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zachwayne/Documents/GitHub/Spotify-Streamlit/"/>
    </mc:Choice>
  </mc:AlternateContent>
  <xr:revisionPtr revIDLastSave="0" documentId="13_ncr:1_{DA1D1B17-64CB-F948-A923-A384C69663BF}" xr6:coauthVersionLast="47" xr6:coauthVersionMax="47" xr10:uidLastSave="{00000000-0000-0000-0000-000000000000}"/>
  <bookViews>
    <workbookView xWindow="0" yWindow="740" windowWidth="29400" windowHeight="16680" activeTab="2" xr2:uid="{00000000-000D-0000-FFFF-FFFF00000000}"/>
  </bookViews>
  <sheets>
    <sheet name="Links" sheetId="1" r:id="rId1"/>
    <sheet name="Factoids" sheetId="2" r:id="rId2"/>
    <sheet name="2024 Full View" sheetId="3" r:id="rId3"/>
    <sheet name="2023 Full View" sheetId="4" r:id="rId4"/>
    <sheet name="Helper" sheetId="5" r:id="rId5"/>
    <sheet name="Bryce if he gets bored sticker " sheetId="6" r:id="rId6"/>
  </sheets>
  <definedNames>
    <definedName name="_xlnm._FilterDatabase" localSheetId="3" hidden="1">'2023 Full View'!$A$1:$P$366</definedName>
    <definedName name="_xlnm._FilterDatabase" localSheetId="2" hidden="1">'2024 Full View'!$B$1:$L$330</definedName>
    <definedName name="_xlnm._FilterDatabase" localSheetId="1" hidden="1">Factoids!$B$1:$G$219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7" i="3" l="1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I75" i="5"/>
  <c r="H75" i="5"/>
  <c r="G75" i="5"/>
  <c r="F75" i="5"/>
  <c r="A75" i="5"/>
  <c r="I74" i="5"/>
  <c r="H74" i="5"/>
  <c r="G74" i="5"/>
  <c r="F74" i="5"/>
  <c r="A74" i="5"/>
  <c r="I73" i="5"/>
  <c r="H73" i="5"/>
  <c r="G73" i="5"/>
  <c r="F73" i="5"/>
  <c r="A73" i="5"/>
  <c r="I72" i="5"/>
  <c r="H72" i="5"/>
  <c r="G72" i="5"/>
  <c r="F72" i="5"/>
  <c r="A72" i="5"/>
  <c r="I71" i="5"/>
  <c r="H71" i="5"/>
  <c r="G71" i="5"/>
  <c r="F71" i="5"/>
  <c r="A71" i="5"/>
  <c r="I70" i="5"/>
  <c r="H70" i="5"/>
  <c r="G70" i="5"/>
  <c r="F70" i="5"/>
  <c r="A70" i="5"/>
  <c r="I69" i="5"/>
  <c r="H69" i="5"/>
  <c r="G69" i="5"/>
  <c r="F69" i="5"/>
  <c r="A69" i="5"/>
  <c r="I68" i="5"/>
  <c r="H68" i="5"/>
  <c r="G68" i="5"/>
  <c r="F68" i="5"/>
  <c r="A68" i="5"/>
  <c r="I67" i="5"/>
  <c r="H67" i="5"/>
  <c r="G67" i="5"/>
  <c r="F67" i="5"/>
  <c r="A67" i="5"/>
  <c r="I66" i="5"/>
  <c r="H66" i="5"/>
  <c r="G66" i="5"/>
  <c r="F66" i="5"/>
  <c r="A66" i="5"/>
  <c r="I65" i="5"/>
  <c r="H65" i="5"/>
  <c r="G65" i="5"/>
  <c r="F65" i="5"/>
  <c r="A65" i="5"/>
  <c r="I64" i="5"/>
  <c r="H64" i="5"/>
  <c r="G64" i="5"/>
  <c r="F64" i="5"/>
  <c r="A64" i="5"/>
  <c r="I63" i="5"/>
  <c r="H63" i="5"/>
  <c r="G63" i="5"/>
  <c r="F63" i="5"/>
  <c r="A63" i="5"/>
  <c r="I62" i="5"/>
  <c r="H62" i="5"/>
  <c r="G62" i="5"/>
  <c r="F62" i="5"/>
  <c r="A62" i="5"/>
  <c r="I61" i="5"/>
  <c r="H61" i="5"/>
  <c r="G61" i="5"/>
  <c r="F61" i="5"/>
  <c r="A61" i="5"/>
  <c r="I60" i="5"/>
  <c r="H60" i="5"/>
  <c r="G60" i="5"/>
  <c r="F60" i="5"/>
  <c r="A60" i="5"/>
  <c r="I59" i="5"/>
  <c r="H59" i="5"/>
  <c r="G59" i="5"/>
  <c r="F59" i="5"/>
  <c r="A59" i="5"/>
  <c r="I58" i="5"/>
  <c r="H58" i="5"/>
  <c r="G58" i="5"/>
  <c r="F58" i="5"/>
  <c r="A58" i="5"/>
  <c r="I57" i="5"/>
  <c r="H57" i="5"/>
  <c r="G57" i="5"/>
  <c r="F57" i="5"/>
  <c r="A57" i="5"/>
  <c r="I56" i="5"/>
  <c r="H56" i="5"/>
  <c r="G56" i="5"/>
  <c r="F56" i="5"/>
  <c r="A56" i="5"/>
  <c r="I55" i="5"/>
  <c r="H55" i="5"/>
  <c r="G55" i="5"/>
  <c r="F55" i="5"/>
  <c r="A55" i="5"/>
  <c r="I54" i="5"/>
  <c r="H54" i="5"/>
  <c r="G54" i="5"/>
  <c r="F54" i="5"/>
  <c r="A54" i="5"/>
  <c r="I53" i="5"/>
  <c r="H53" i="5"/>
  <c r="G53" i="5"/>
  <c r="F53" i="5"/>
  <c r="A53" i="5"/>
  <c r="I52" i="5"/>
  <c r="H52" i="5"/>
  <c r="G52" i="5"/>
  <c r="F52" i="5"/>
  <c r="A52" i="5"/>
  <c r="I51" i="5"/>
  <c r="H51" i="5"/>
  <c r="G51" i="5"/>
  <c r="F51" i="5"/>
  <c r="A51" i="5"/>
  <c r="I50" i="5"/>
  <c r="H50" i="5"/>
  <c r="G50" i="5"/>
  <c r="F50" i="5"/>
  <c r="A50" i="5"/>
  <c r="I49" i="5"/>
  <c r="H49" i="5"/>
  <c r="G49" i="5"/>
  <c r="F49" i="5"/>
  <c r="A49" i="5"/>
  <c r="I48" i="5"/>
  <c r="H48" i="5"/>
  <c r="G48" i="5"/>
  <c r="F48" i="5"/>
  <c r="A48" i="5"/>
  <c r="I47" i="5"/>
  <c r="H47" i="5"/>
  <c r="G47" i="5"/>
  <c r="F47" i="5"/>
  <c r="A47" i="5"/>
  <c r="I46" i="5"/>
  <c r="H46" i="5"/>
  <c r="G46" i="5"/>
  <c r="F46" i="5"/>
  <c r="A46" i="5"/>
  <c r="I45" i="5"/>
  <c r="H45" i="5"/>
  <c r="G45" i="5"/>
  <c r="F45" i="5"/>
  <c r="A45" i="5"/>
  <c r="I44" i="5"/>
  <c r="H44" i="5"/>
  <c r="G44" i="5"/>
  <c r="F44" i="5"/>
  <c r="A44" i="5"/>
  <c r="I43" i="5"/>
  <c r="H43" i="5"/>
  <c r="G43" i="5"/>
  <c r="F43" i="5"/>
  <c r="A43" i="5"/>
  <c r="I42" i="5"/>
  <c r="H42" i="5"/>
  <c r="G42" i="5"/>
  <c r="F42" i="5"/>
  <c r="A42" i="5"/>
  <c r="I41" i="5"/>
  <c r="H41" i="5"/>
  <c r="G41" i="5"/>
  <c r="F41" i="5"/>
  <c r="A41" i="5"/>
  <c r="I40" i="5"/>
  <c r="H40" i="5"/>
  <c r="G40" i="5"/>
  <c r="F40" i="5"/>
  <c r="A40" i="5"/>
  <c r="I39" i="5"/>
  <c r="H39" i="5"/>
  <c r="G39" i="5"/>
  <c r="F39" i="5"/>
  <c r="A39" i="5"/>
  <c r="I38" i="5"/>
  <c r="H38" i="5"/>
  <c r="G38" i="5"/>
  <c r="F38" i="5"/>
  <c r="A38" i="5"/>
  <c r="I37" i="5"/>
  <c r="H37" i="5"/>
  <c r="G37" i="5"/>
  <c r="F37" i="5"/>
  <c r="A37" i="5"/>
  <c r="I36" i="5"/>
  <c r="H36" i="5"/>
  <c r="G36" i="5"/>
  <c r="F36" i="5"/>
  <c r="A36" i="5"/>
  <c r="I35" i="5"/>
  <c r="H35" i="5"/>
  <c r="G35" i="5"/>
  <c r="F35" i="5"/>
  <c r="A35" i="5"/>
  <c r="I34" i="5"/>
  <c r="H34" i="5"/>
  <c r="G34" i="5"/>
  <c r="F34" i="5"/>
  <c r="A34" i="5"/>
  <c r="I33" i="5"/>
  <c r="H33" i="5"/>
  <c r="G33" i="5"/>
  <c r="F33" i="5"/>
  <c r="A33" i="5"/>
  <c r="I32" i="5"/>
  <c r="H32" i="5"/>
  <c r="G32" i="5"/>
  <c r="F32" i="5"/>
  <c r="A32" i="5"/>
  <c r="I31" i="5"/>
  <c r="H31" i="5"/>
  <c r="G31" i="5"/>
  <c r="F31" i="5"/>
  <c r="A31" i="5"/>
  <c r="I30" i="5"/>
  <c r="H30" i="5"/>
  <c r="G30" i="5"/>
  <c r="F30" i="5"/>
  <c r="A30" i="5"/>
  <c r="I29" i="5"/>
  <c r="H29" i="5"/>
  <c r="G29" i="5"/>
  <c r="F29" i="5"/>
  <c r="A29" i="5"/>
  <c r="I28" i="5"/>
  <c r="H28" i="5"/>
  <c r="G28" i="5"/>
  <c r="F28" i="5"/>
  <c r="A28" i="5"/>
  <c r="I27" i="5"/>
  <c r="H27" i="5"/>
  <c r="G27" i="5"/>
  <c r="F27" i="5"/>
  <c r="A27" i="5"/>
  <c r="I26" i="5"/>
  <c r="H26" i="5"/>
  <c r="G26" i="5"/>
  <c r="F26" i="5"/>
  <c r="A26" i="5"/>
  <c r="I25" i="5"/>
  <c r="H25" i="5"/>
  <c r="G25" i="5"/>
  <c r="F25" i="5"/>
  <c r="A25" i="5"/>
  <c r="I24" i="5"/>
  <c r="H24" i="5"/>
  <c r="G24" i="5"/>
  <c r="F24" i="5"/>
  <c r="A24" i="5"/>
  <c r="I23" i="5"/>
  <c r="H23" i="5"/>
  <c r="G23" i="5"/>
  <c r="F23" i="5"/>
  <c r="A23" i="5"/>
  <c r="I22" i="5"/>
  <c r="H22" i="5"/>
  <c r="G22" i="5"/>
  <c r="F22" i="5"/>
  <c r="A22" i="5"/>
  <c r="I21" i="5"/>
  <c r="H21" i="5"/>
  <c r="G21" i="5"/>
  <c r="F21" i="5"/>
  <c r="A21" i="5"/>
  <c r="I20" i="5"/>
  <c r="H20" i="5"/>
  <c r="G20" i="5"/>
  <c r="F20" i="5"/>
  <c r="A20" i="5"/>
  <c r="I19" i="5"/>
  <c r="H19" i="5"/>
  <c r="G19" i="5"/>
  <c r="F19" i="5"/>
  <c r="A19" i="5"/>
  <c r="I18" i="5"/>
  <c r="H18" i="5"/>
  <c r="G18" i="5"/>
  <c r="F18" i="5"/>
  <c r="A18" i="5"/>
  <c r="I17" i="5"/>
  <c r="H17" i="5"/>
  <c r="G17" i="5"/>
  <c r="F17" i="5"/>
  <c r="A17" i="5"/>
  <c r="I16" i="5"/>
  <c r="H16" i="5"/>
  <c r="G16" i="5"/>
  <c r="F16" i="5"/>
  <c r="A16" i="5"/>
  <c r="I15" i="5"/>
  <c r="H15" i="5"/>
  <c r="G15" i="5"/>
  <c r="F15" i="5"/>
  <c r="A15" i="5"/>
  <c r="I14" i="5"/>
  <c r="H14" i="5"/>
  <c r="G14" i="5"/>
  <c r="F14" i="5"/>
  <c r="A14" i="5"/>
  <c r="I13" i="5"/>
  <c r="H13" i="5"/>
  <c r="G13" i="5"/>
  <c r="F13" i="5"/>
  <c r="A13" i="5"/>
  <c r="I12" i="5"/>
  <c r="H12" i="5"/>
  <c r="G12" i="5"/>
  <c r="F12" i="5"/>
  <c r="A12" i="5"/>
  <c r="I11" i="5"/>
  <c r="H11" i="5"/>
  <c r="G11" i="5"/>
  <c r="F11" i="5"/>
  <c r="A11" i="5"/>
  <c r="I10" i="5"/>
  <c r="H10" i="5"/>
  <c r="G10" i="5"/>
  <c r="F10" i="5"/>
  <c r="A10" i="5"/>
  <c r="I9" i="5"/>
  <c r="H9" i="5"/>
  <c r="G9" i="5"/>
  <c r="F9" i="5"/>
  <c r="A9" i="5"/>
  <c r="I8" i="5"/>
  <c r="H8" i="5"/>
  <c r="G8" i="5"/>
  <c r="F8" i="5"/>
  <c r="A8" i="5"/>
  <c r="I7" i="5"/>
  <c r="H7" i="5"/>
  <c r="G7" i="5"/>
  <c r="F7" i="5"/>
  <c r="A7" i="5"/>
  <c r="I6" i="5"/>
  <c r="H6" i="5"/>
  <c r="G6" i="5"/>
  <c r="F6" i="5"/>
  <c r="A6" i="5"/>
  <c r="I5" i="5"/>
  <c r="H5" i="5"/>
  <c r="G5" i="5"/>
  <c r="F5" i="5"/>
  <c r="A5" i="5"/>
  <c r="I4" i="5"/>
  <c r="H4" i="5"/>
  <c r="G4" i="5"/>
  <c r="F4" i="5"/>
  <c r="A4" i="5"/>
  <c r="I3" i="5"/>
  <c r="H3" i="5"/>
  <c r="G3" i="5"/>
  <c r="F3" i="5"/>
  <c r="A3" i="5"/>
  <c r="I2" i="5"/>
  <c r="H2" i="5"/>
  <c r="G2" i="5"/>
  <c r="F2" i="5"/>
  <c r="A2" i="5"/>
  <c r="A1" i="5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O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O311" i="4"/>
  <c r="P310" i="4"/>
  <c r="P309" i="4"/>
  <c r="P308" i="4"/>
  <c r="P307" i="4"/>
  <c r="P306" i="4"/>
  <c r="P305" i="4"/>
  <c r="P304" i="4"/>
  <c r="P303" i="4"/>
  <c r="P302" i="4"/>
  <c r="P301" i="4"/>
  <c r="P300" i="4"/>
  <c r="O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O279" i="4"/>
  <c r="P278" i="4"/>
  <c r="P277" i="4"/>
  <c r="P276" i="4"/>
  <c r="P275" i="4"/>
  <c r="P274" i="4"/>
  <c r="P273" i="4"/>
  <c r="P272" i="4"/>
  <c r="P271" i="4"/>
  <c r="P270" i="4"/>
  <c r="P269" i="4"/>
  <c r="P268" i="4"/>
  <c r="O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O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O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O183" i="4"/>
  <c r="P182" i="4"/>
  <c r="P181" i="4"/>
  <c r="P180" i="4"/>
  <c r="P179" i="4"/>
  <c r="O179" i="4"/>
  <c r="P178" i="4"/>
  <c r="O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O108" i="4"/>
  <c r="P107" i="4"/>
  <c r="P106" i="4"/>
  <c r="O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O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O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O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O18" i="4"/>
  <c r="P17" i="4"/>
  <c r="P16" i="4"/>
  <c r="P15" i="4"/>
  <c r="O367" i="3"/>
  <c r="P14" i="4"/>
  <c r="P13" i="4"/>
  <c r="P12" i="4"/>
  <c r="O353" i="3"/>
  <c r="P11" i="4"/>
  <c r="P10" i="4"/>
  <c r="P9" i="4"/>
  <c r="P8" i="4"/>
  <c r="P7" i="4"/>
  <c r="P6" i="4"/>
  <c r="P5" i="4"/>
  <c r="P4" i="4"/>
  <c r="P3" i="4"/>
  <c r="P2" i="4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N411" i="3"/>
  <c r="P410" i="3"/>
  <c r="N410" i="3"/>
  <c r="P409" i="3"/>
  <c r="N409" i="3"/>
  <c r="P408" i="3"/>
  <c r="N408" i="3"/>
  <c r="P407" i="3"/>
  <c r="N407" i="3"/>
  <c r="P406" i="3"/>
  <c r="N406" i="3"/>
  <c r="P405" i="3"/>
  <c r="N405" i="3"/>
  <c r="P404" i="3"/>
  <c r="N404" i="3"/>
  <c r="P403" i="3"/>
  <c r="N403" i="3"/>
  <c r="P402" i="3"/>
  <c r="N402" i="3"/>
  <c r="P401" i="3"/>
  <c r="N401" i="3"/>
  <c r="P400" i="3"/>
  <c r="N400" i="3"/>
  <c r="P399" i="3"/>
  <c r="N399" i="3"/>
  <c r="P398" i="3"/>
  <c r="N398" i="3"/>
  <c r="P397" i="3"/>
  <c r="N397" i="3"/>
  <c r="P396" i="3"/>
  <c r="N396" i="3"/>
  <c r="P395" i="3"/>
  <c r="N395" i="3"/>
  <c r="P394" i="3"/>
  <c r="N394" i="3"/>
  <c r="P393" i="3"/>
  <c r="N393" i="3"/>
  <c r="P392" i="3"/>
  <c r="N392" i="3"/>
  <c r="P391" i="3"/>
  <c r="N391" i="3"/>
  <c r="P390" i="3"/>
  <c r="N390" i="3"/>
  <c r="P389" i="3"/>
  <c r="N389" i="3"/>
  <c r="P388" i="3"/>
  <c r="N388" i="3"/>
  <c r="P387" i="3"/>
  <c r="N387" i="3"/>
  <c r="P386" i="3"/>
  <c r="N386" i="3"/>
  <c r="P385" i="3"/>
  <c r="N385" i="3"/>
  <c r="P384" i="3"/>
  <c r="N384" i="3"/>
  <c r="P383" i="3"/>
  <c r="N383" i="3"/>
  <c r="P382" i="3"/>
  <c r="N382" i="3"/>
  <c r="P381" i="3"/>
  <c r="N381" i="3"/>
  <c r="P380" i="3"/>
  <c r="N380" i="3"/>
  <c r="P379" i="3"/>
  <c r="N379" i="3"/>
  <c r="P378" i="3"/>
  <c r="N378" i="3"/>
  <c r="P377" i="3"/>
  <c r="N377" i="3"/>
  <c r="P376" i="3"/>
  <c r="N376" i="3"/>
  <c r="P375" i="3"/>
  <c r="N375" i="3"/>
  <c r="P374" i="3"/>
  <c r="N374" i="3"/>
  <c r="P373" i="3"/>
  <c r="N373" i="3"/>
  <c r="P372" i="3"/>
  <c r="N372" i="3"/>
  <c r="P371" i="3"/>
  <c r="N371" i="3"/>
  <c r="P370" i="3"/>
  <c r="N370" i="3"/>
  <c r="P369" i="3"/>
  <c r="N369" i="3"/>
  <c r="P368" i="3"/>
  <c r="N368" i="3"/>
  <c r="P367" i="3"/>
  <c r="N367" i="3"/>
  <c r="P366" i="3"/>
  <c r="N366" i="3"/>
  <c r="P365" i="3"/>
  <c r="N365" i="3"/>
  <c r="P364" i="3"/>
  <c r="N364" i="3"/>
  <c r="O364" i="3"/>
  <c r="P363" i="3"/>
  <c r="N363" i="3"/>
  <c r="P362" i="3"/>
  <c r="N362" i="3"/>
  <c r="P361" i="3"/>
  <c r="N361" i="3"/>
  <c r="P360" i="3"/>
  <c r="N360" i="3"/>
  <c r="P359" i="3"/>
  <c r="N359" i="3"/>
  <c r="P358" i="3"/>
  <c r="N358" i="3"/>
  <c r="P357" i="3"/>
  <c r="N357" i="3"/>
  <c r="P356" i="3"/>
  <c r="N356" i="3"/>
  <c r="P355" i="3"/>
  <c r="N355" i="3"/>
  <c r="P354" i="3"/>
  <c r="N354" i="3"/>
  <c r="P353" i="3"/>
  <c r="N353" i="3"/>
  <c r="P352" i="3"/>
  <c r="N352" i="3"/>
  <c r="P351" i="3"/>
  <c r="N351" i="3"/>
  <c r="P350" i="3"/>
  <c r="N350" i="3"/>
  <c r="P349" i="3"/>
  <c r="N349" i="3"/>
  <c r="P348" i="3"/>
  <c r="N348" i="3"/>
  <c r="P347" i="3"/>
  <c r="N347" i="3"/>
  <c r="P346" i="3"/>
  <c r="N346" i="3"/>
  <c r="P345" i="3"/>
  <c r="N345" i="3"/>
  <c r="P344" i="3"/>
  <c r="N344" i="3"/>
  <c r="P343" i="3"/>
  <c r="N343" i="3"/>
  <c r="P342" i="3"/>
  <c r="N342" i="3"/>
  <c r="P341" i="3"/>
  <c r="N341" i="3"/>
  <c r="P340" i="3"/>
  <c r="N340" i="3"/>
  <c r="P339" i="3"/>
  <c r="N339" i="3"/>
  <c r="O339" i="3"/>
  <c r="P338" i="3"/>
  <c r="N338" i="3"/>
  <c r="P337" i="3"/>
  <c r="N337" i="3"/>
  <c r="P336" i="3"/>
  <c r="N336" i="3"/>
  <c r="P335" i="3"/>
  <c r="N335" i="3"/>
  <c r="P334" i="3"/>
  <c r="N334" i="3"/>
  <c r="P333" i="3"/>
  <c r="N333" i="3"/>
  <c r="P332" i="3"/>
  <c r="N332" i="3"/>
  <c r="P331" i="3"/>
  <c r="N331" i="3"/>
  <c r="P330" i="3"/>
  <c r="N330" i="3"/>
  <c r="P329" i="3"/>
  <c r="O329" i="3"/>
  <c r="N329" i="3"/>
  <c r="P328" i="3"/>
  <c r="N328" i="3"/>
  <c r="P327" i="3"/>
  <c r="N327" i="3"/>
  <c r="O327" i="3"/>
  <c r="P326" i="3"/>
  <c r="N326" i="3"/>
  <c r="P325" i="3"/>
  <c r="N325" i="3"/>
  <c r="P324" i="3"/>
  <c r="N324" i="3"/>
  <c r="P323" i="3"/>
  <c r="N323" i="3"/>
  <c r="P322" i="3"/>
  <c r="O322" i="3"/>
  <c r="N322" i="3"/>
  <c r="P321" i="3"/>
  <c r="N321" i="3"/>
  <c r="P320" i="3"/>
  <c r="N320" i="3"/>
  <c r="P319" i="3"/>
  <c r="N319" i="3"/>
  <c r="P318" i="3"/>
  <c r="N318" i="3"/>
  <c r="P317" i="3"/>
  <c r="N317" i="3"/>
  <c r="P316" i="3"/>
  <c r="N316" i="3"/>
  <c r="P315" i="3"/>
  <c r="N315" i="3"/>
  <c r="P314" i="3"/>
  <c r="N314" i="3"/>
  <c r="P313" i="3"/>
  <c r="N313" i="3"/>
  <c r="P312" i="3"/>
  <c r="N312" i="3"/>
  <c r="P311" i="3"/>
  <c r="N311" i="3"/>
  <c r="O311" i="3"/>
  <c r="P310" i="3"/>
  <c r="N310" i="3"/>
  <c r="P309" i="3"/>
  <c r="N309" i="3"/>
  <c r="P308" i="3"/>
  <c r="N308" i="3"/>
  <c r="P307" i="3"/>
  <c r="N307" i="3"/>
  <c r="P306" i="3"/>
  <c r="O306" i="3"/>
  <c r="N306" i="3"/>
  <c r="P305" i="3"/>
  <c r="N305" i="3"/>
  <c r="P304" i="3"/>
  <c r="N304" i="3"/>
  <c r="P303" i="3"/>
  <c r="N303" i="3"/>
  <c r="P302" i="3"/>
  <c r="N302" i="3"/>
  <c r="P301" i="3"/>
  <c r="N301" i="3"/>
  <c r="P300" i="3"/>
  <c r="N300" i="3"/>
  <c r="P299" i="3"/>
  <c r="N299" i="3"/>
  <c r="P298" i="3"/>
  <c r="N298" i="3"/>
  <c r="P297" i="3"/>
  <c r="N297" i="3"/>
  <c r="P296" i="3"/>
  <c r="N296" i="3"/>
  <c r="P295" i="3"/>
  <c r="N295" i="3"/>
  <c r="O295" i="3"/>
  <c r="P294" i="3"/>
  <c r="N294" i="3"/>
  <c r="P293" i="3"/>
  <c r="N293" i="3"/>
  <c r="P292" i="3"/>
  <c r="N292" i="3"/>
  <c r="P291" i="3"/>
  <c r="N291" i="3"/>
  <c r="P290" i="3"/>
  <c r="O290" i="3"/>
  <c r="N290" i="3"/>
  <c r="P289" i="3"/>
  <c r="N289" i="3"/>
  <c r="P288" i="3"/>
  <c r="O288" i="3"/>
  <c r="N288" i="3"/>
  <c r="P287" i="3"/>
  <c r="N287" i="3"/>
  <c r="P286" i="3"/>
  <c r="N286" i="3"/>
  <c r="P285" i="3"/>
  <c r="N285" i="3"/>
  <c r="P284" i="3"/>
  <c r="N284" i="3"/>
  <c r="P283" i="3"/>
  <c r="N283" i="3"/>
  <c r="P282" i="3"/>
  <c r="N282" i="3"/>
  <c r="P281" i="3"/>
  <c r="N281" i="3"/>
  <c r="P280" i="3"/>
  <c r="N280" i="3"/>
  <c r="P279" i="3"/>
  <c r="N279" i="3"/>
  <c r="O279" i="3"/>
  <c r="P278" i="3"/>
  <c r="N278" i="3"/>
  <c r="P277" i="3"/>
  <c r="N277" i="3"/>
  <c r="O277" i="3"/>
  <c r="P276" i="3"/>
  <c r="N276" i="3"/>
  <c r="P275" i="3"/>
  <c r="N275" i="3"/>
  <c r="P274" i="3"/>
  <c r="O274" i="3"/>
  <c r="N274" i="3"/>
  <c r="P273" i="3"/>
  <c r="N273" i="3"/>
  <c r="P272" i="3"/>
  <c r="O272" i="3"/>
  <c r="N272" i="3"/>
  <c r="P271" i="3"/>
  <c r="N271" i="3"/>
  <c r="P270" i="3"/>
  <c r="N270" i="3"/>
  <c r="P269" i="3"/>
  <c r="N269" i="3"/>
  <c r="P268" i="3"/>
  <c r="N268" i="3"/>
  <c r="P267" i="3"/>
  <c r="N267" i="3"/>
  <c r="P266" i="3"/>
  <c r="N266" i="3"/>
  <c r="P265" i="3"/>
  <c r="N265" i="3"/>
  <c r="P264" i="3"/>
  <c r="N264" i="3"/>
  <c r="P263" i="3"/>
  <c r="N263" i="3"/>
  <c r="O263" i="3"/>
  <c r="P262" i="3"/>
  <c r="N262" i="3"/>
  <c r="P261" i="3"/>
  <c r="N261" i="3"/>
  <c r="O261" i="3"/>
  <c r="P260" i="3"/>
  <c r="N260" i="3"/>
  <c r="P259" i="3"/>
  <c r="N259" i="3"/>
  <c r="P258" i="3"/>
  <c r="O258" i="3"/>
  <c r="N258" i="3"/>
  <c r="P257" i="3"/>
  <c r="N257" i="3"/>
  <c r="P256" i="3"/>
  <c r="O256" i="3"/>
  <c r="N256" i="3"/>
  <c r="P255" i="3"/>
  <c r="N255" i="3"/>
  <c r="P254" i="3"/>
  <c r="N254" i="3"/>
  <c r="P253" i="3"/>
  <c r="N253" i="3"/>
  <c r="P252" i="3"/>
  <c r="N252" i="3"/>
  <c r="P251" i="3"/>
  <c r="N251" i="3"/>
  <c r="P250" i="3"/>
  <c r="N250" i="3"/>
  <c r="P249" i="3"/>
  <c r="N249" i="3"/>
  <c r="P248" i="3"/>
  <c r="N248" i="3"/>
  <c r="P247" i="3"/>
  <c r="N247" i="3"/>
  <c r="O247" i="3"/>
  <c r="P246" i="3"/>
  <c r="N246" i="3"/>
  <c r="P245" i="3"/>
  <c r="N245" i="3"/>
  <c r="O245" i="3"/>
  <c r="P244" i="3"/>
  <c r="N244" i="3"/>
  <c r="P243" i="3"/>
  <c r="N243" i="3"/>
  <c r="P242" i="3"/>
  <c r="O242" i="3"/>
  <c r="N242" i="3"/>
  <c r="P241" i="3"/>
  <c r="N241" i="3"/>
  <c r="O241" i="3"/>
  <c r="P240" i="3"/>
  <c r="O240" i="3"/>
  <c r="N240" i="3"/>
  <c r="P239" i="3"/>
  <c r="N239" i="3"/>
  <c r="O239" i="3"/>
  <c r="P238" i="3"/>
  <c r="O238" i="3"/>
  <c r="N238" i="3"/>
  <c r="P237" i="3"/>
  <c r="N237" i="3"/>
  <c r="O237" i="3"/>
  <c r="P236" i="3"/>
  <c r="O236" i="3"/>
  <c r="N236" i="3"/>
  <c r="P235" i="3"/>
  <c r="N235" i="3"/>
  <c r="O235" i="3"/>
  <c r="P234" i="3"/>
  <c r="O234" i="3"/>
  <c r="N234" i="3"/>
  <c r="P233" i="3"/>
  <c r="N233" i="3"/>
  <c r="O233" i="3"/>
  <c r="P232" i="3"/>
  <c r="O232" i="3"/>
  <c r="N232" i="3"/>
  <c r="P231" i="3"/>
  <c r="N231" i="3"/>
  <c r="O231" i="3"/>
  <c r="P230" i="3"/>
  <c r="O230" i="3"/>
  <c r="N230" i="3"/>
  <c r="P229" i="3"/>
  <c r="N229" i="3"/>
  <c r="O229" i="3"/>
  <c r="P228" i="3"/>
  <c r="O228" i="3"/>
  <c r="N228" i="3"/>
  <c r="P227" i="3"/>
  <c r="N227" i="3"/>
  <c r="O227" i="3"/>
  <c r="P226" i="3"/>
  <c r="O226" i="3"/>
  <c r="N226" i="3"/>
  <c r="P225" i="3"/>
  <c r="N225" i="3"/>
  <c r="O225" i="3"/>
  <c r="P224" i="3"/>
  <c r="O224" i="3"/>
  <c r="N224" i="3"/>
  <c r="P223" i="3"/>
  <c r="N223" i="3"/>
  <c r="O223" i="3"/>
  <c r="P222" i="3"/>
  <c r="O222" i="3"/>
  <c r="N222" i="3"/>
  <c r="P221" i="3"/>
  <c r="N221" i="3"/>
  <c r="O221" i="3"/>
  <c r="P220" i="3"/>
  <c r="O220" i="3"/>
  <c r="N220" i="3"/>
  <c r="P219" i="3"/>
  <c r="N219" i="3"/>
  <c r="O219" i="3"/>
  <c r="P218" i="3"/>
  <c r="O218" i="3"/>
  <c r="N218" i="3"/>
  <c r="P217" i="3"/>
  <c r="N217" i="3"/>
  <c r="O217" i="3"/>
  <c r="P216" i="3"/>
  <c r="O216" i="3"/>
  <c r="N216" i="3"/>
  <c r="P215" i="3"/>
  <c r="N215" i="3"/>
  <c r="O215" i="3"/>
  <c r="P214" i="3"/>
  <c r="O214" i="3"/>
  <c r="N214" i="3"/>
  <c r="P213" i="3"/>
  <c r="N213" i="3"/>
  <c r="O213" i="3"/>
  <c r="P212" i="3"/>
  <c r="O212" i="3"/>
  <c r="N212" i="3"/>
  <c r="P211" i="3"/>
  <c r="N211" i="3"/>
  <c r="O211" i="3"/>
  <c r="P210" i="3"/>
  <c r="O210" i="3"/>
  <c r="N210" i="3"/>
  <c r="P209" i="3"/>
  <c r="N209" i="3"/>
  <c r="O209" i="3"/>
  <c r="P208" i="3"/>
  <c r="O208" i="3"/>
  <c r="N208" i="3"/>
  <c r="P207" i="3"/>
  <c r="N207" i="3"/>
  <c r="O207" i="3"/>
  <c r="P206" i="3"/>
  <c r="O206" i="3"/>
  <c r="N206" i="3"/>
  <c r="P205" i="3"/>
  <c r="N205" i="3"/>
  <c r="O205" i="3"/>
  <c r="P204" i="3"/>
  <c r="O204" i="3"/>
  <c r="N204" i="3"/>
  <c r="P203" i="3"/>
  <c r="N203" i="3"/>
  <c r="O203" i="3"/>
  <c r="P202" i="3"/>
  <c r="O202" i="3"/>
  <c r="N202" i="3"/>
  <c r="P201" i="3"/>
  <c r="N201" i="3"/>
  <c r="O201" i="3"/>
  <c r="P200" i="3"/>
  <c r="O200" i="3"/>
  <c r="N200" i="3"/>
  <c r="P199" i="3"/>
  <c r="N199" i="3"/>
  <c r="O199" i="3"/>
  <c r="P198" i="3"/>
  <c r="O198" i="3"/>
  <c r="N198" i="3"/>
  <c r="P197" i="3"/>
  <c r="N197" i="3"/>
  <c r="O197" i="3"/>
  <c r="P196" i="3"/>
  <c r="O196" i="3"/>
  <c r="N196" i="3"/>
  <c r="P195" i="3"/>
  <c r="N195" i="3"/>
  <c r="O195" i="3"/>
  <c r="P194" i="3"/>
  <c r="O194" i="3"/>
  <c r="N194" i="3"/>
  <c r="P193" i="3"/>
  <c r="N193" i="3"/>
  <c r="O193" i="3"/>
  <c r="P192" i="3"/>
  <c r="O192" i="3"/>
  <c r="N192" i="3"/>
  <c r="P191" i="3"/>
  <c r="N191" i="3"/>
  <c r="O191" i="3"/>
  <c r="P190" i="3"/>
  <c r="O190" i="3"/>
  <c r="N190" i="3"/>
  <c r="P189" i="3"/>
  <c r="N189" i="3"/>
  <c r="O189" i="3"/>
  <c r="P188" i="3"/>
  <c r="O188" i="3"/>
  <c r="N188" i="3"/>
  <c r="P187" i="3"/>
  <c r="N187" i="3"/>
  <c r="O187" i="3"/>
  <c r="P186" i="3"/>
  <c r="O186" i="3"/>
  <c r="N186" i="3"/>
  <c r="P185" i="3"/>
  <c r="N185" i="3"/>
  <c r="O185" i="3"/>
  <c r="P184" i="3"/>
  <c r="O184" i="3"/>
  <c r="N184" i="3"/>
  <c r="P183" i="3"/>
  <c r="N183" i="3"/>
  <c r="O183" i="3"/>
  <c r="P182" i="3"/>
  <c r="O182" i="3"/>
  <c r="N182" i="3"/>
  <c r="P181" i="3"/>
  <c r="N181" i="3"/>
  <c r="O181" i="3"/>
  <c r="P180" i="3"/>
  <c r="O180" i="3"/>
  <c r="N180" i="3"/>
  <c r="P179" i="3"/>
  <c r="N179" i="3"/>
  <c r="O179" i="3"/>
  <c r="P178" i="3"/>
  <c r="O178" i="3"/>
  <c r="N178" i="3"/>
  <c r="P177" i="3"/>
  <c r="N177" i="3"/>
  <c r="O177" i="3"/>
  <c r="P176" i="3"/>
  <c r="O176" i="3"/>
  <c r="N176" i="3"/>
  <c r="P175" i="3"/>
  <c r="N175" i="3"/>
  <c r="O175" i="3"/>
  <c r="P174" i="3"/>
  <c r="O174" i="3"/>
  <c r="N174" i="3"/>
  <c r="P173" i="3"/>
  <c r="N173" i="3"/>
  <c r="O173" i="3"/>
  <c r="P172" i="3"/>
  <c r="O172" i="3"/>
  <c r="N172" i="3"/>
  <c r="P171" i="3"/>
  <c r="N171" i="3"/>
  <c r="O171" i="3"/>
  <c r="P170" i="3"/>
  <c r="O170" i="3"/>
  <c r="N170" i="3"/>
  <c r="P169" i="3"/>
  <c r="N169" i="3"/>
  <c r="O169" i="3"/>
  <c r="P168" i="3"/>
  <c r="O168" i="3"/>
  <c r="N168" i="3"/>
  <c r="P167" i="3"/>
  <c r="N167" i="3"/>
  <c r="O167" i="3"/>
  <c r="P166" i="3"/>
  <c r="O166" i="3"/>
  <c r="N166" i="3"/>
  <c r="P165" i="3"/>
  <c r="N165" i="3"/>
  <c r="O165" i="3"/>
  <c r="P164" i="3"/>
  <c r="O164" i="3"/>
  <c r="N164" i="3"/>
  <c r="P163" i="3"/>
  <c r="N163" i="3"/>
  <c r="O163" i="3"/>
  <c r="P162" i="3"/>
  <c r="O162" i="3"/>
  <c r="N162" i="3"/>
  <c r="P161" i="3"/>
  <c r="N161" i="3"/>
  <c r="O161" i="3"/>
  <c r="P160" i="3"/>
  <c r="O160" i="3"/>
  <c r="N160" i="3"/>
  <c r="P159" i="3"/>
  <c r="N159" i="3"/>
  <c r="O159" i="3"/>
  <c r="P158" i="3"/>
  <c r="O158" i="3"/>
  <c r="N158" i="3"/>
  <c r="P157" i="3"/>
  <c r="N157" i="3"/>
  <c r="O157" i="3"/>
  <c r="P156" i="3"/>
  <c r="O156" i="3"/>
  <c r="N156" i="3"/>
  <c r="P155" i="3"/>
  <c r="N155" i="3"/>
  <c r="O155" i="3"/>
  <c r="P154" i="3"/>
  <c r="O154" i="3"/>
  <c r="N154" i="3"/>
  <c r="P153" i="3"/>
  <c r="N153" i="3"/>
  <c r="O153" i="3"/>
  <c r="P152" i="3"/>
  <c r="O152" i="3"/>
  <c r="N152" i="3"/>
  <c r="P151" i="3"/>
  <c r="N151" i="3"/>
  <c r="O151" i="3"/>
  <c r="P150" i="3"/>
  <c r="O150" i="3"/>
  <c r="N150" i="3"/>
  <c r="P149" i="3"/>
  <c r="N149" i="3"/>
  <c r="O149" i="3"/>
  <c r="P148" i="3"/>
  <c r="O148" i="3"/>
  <c r="N148" i="3"/>
  <c r="P147" i="3"/>
  <c r="N147" i="3"/>
  <c r="O147" i="3"/>
  <c r="P146" i="3"/>
  <c r="O146" i="3"/>
  <c r="N146" i="3"/>
  <c r="P145" i="3"/>
  <c r="N145" i="3"/>
  <c r="O145" i="3"/>
  <c r="P144" i="3"/>
  <c r="O144" i="3"/>
  <c r="N144" i="3"/>
  <c r="P143" i="3"/>
  <c r="N143" i="3"/>
  <c r="O143" i="3"/>
  <c r="P142" i="3"/>
  <c r="O142" i="3"/>
  <c r="N142" i="3"/>
  <c r="P141" i="3"/>
  <c r="N141" i="3"/>
  <c r="O141" i="3"/>
  <c r="P140" i="3"/>
  <c r="O140" i="3"/>
  <c r="N140" i="3"/>
  <c r="P139" i="3"/>
  <c r="N139" i="3"/>
  <c r="O139" i="3"/>
  <c r="P138" i="3"/>
  <c r="O138" i="3"/>
  <c r="N138" i="3"/>
  <c r="P137" i="3"/>
  <c r="N137" i="3"/>
  <c r="O137" i="3"/>
  <c r="P136" i="3"/>
  <c r="O136" i="3"/>
  <c r="N136" i="3"/>
  <c r="P135" i="3"/>
  <c r="N135" i="3"/>
  <c r="O135" i="3"/>
  <c r="P134" i="3"/>
  <c r="O134" i="3"/>
  <c r="N134" i="3"/>
  <c r="P133" i="3"/>
  <c r="N133" i="3"/>
  <c r="O133" i="3"/>
  <c r="P132" i="3"/>
  <c r="O132" i="3"/>
  <c r="N132" i="3"/>
  <c r="P131" i="3"/>
  <c r="N131" i="3"/>
  <c r="O131" i="3"/>
  <c r="P130" i="3"/>
  <c r="O130" i="3"/>
  <c r="N130" i="3"/>
  <c r="P129" i="3"/>
  <c r="N129" i="3"/>
  <c r="O129" i="3"/>
  <c r="P128" i="3"/>
  <c r="O128" i="3"/>
  <c r="N128" i="3"/>
  <c r="P127" i="3"/>
  <c r="N127" i="3"/>
  <c r="O127" i="3"/>
  <c r="P126" i="3"/>
  <c r="O126" i="3"/>
  <c r="N126" i="3"/>
  <c r="P125" i="3"/>
  <c r="N125" i="3"/>
  <c r="O125" i="3"/>
  <c r="P124" i="3"/>
  <c r="O124" i="3"/>
  <c r="N124" i="3"/>
  <c r="P123" i="3"/>
  <c r="N123" i="3"/>
  <c r="O123" i="3"/>
  <c r="P122" i="3"/>
  <c r="O122" i="3"/>
  <c r="N122" i="3"/>
  <c r="P121" i="3"/>
  <c r="N121" i="3"/>
  <c r="O121" i="3"/>
  <c r="P120" i="3"/>
  <c r="O120" i="3"/>
  <c r="N120" i="3"/>
  <c r="P119" i="3"/>
  <c r="N119" i="3"/>
  <c r="O119" i="3"/>
  <c r="P118" i="3"/>
  <c r="O118" i="3"/>
  <c r="N118" i="3"/>
  <c r="P117" i="3"/>
  <c r="N117" i="3"/>
  <c r="O117" i="3"/>
  <c r="P116" i="3"/>
  <c r="O116" i="3"/>
  <c r="N116" i="3"/>
  <c r="P115" i="3"/>
  <c r="N115" i="3"/>
  <c r="O115" i="3"/>
  <c r="P114" i="3"/>
  <c r="O114" i="3"/>
  <c r="N114" i="3"/>
  <c r="P113" i="3"/>
  <c r="N113" i="3"/>
  <c r="O113" i="3"/>
  <c r="P112" i="3"/>
  <c r="O112" i="3"/>
  <c r="N112" i="3"/>
  <c r="P111" i="3"/>
  <c r="N111" i="3"/>
  <c r="O111" i="3"/>
  <c r="P110" i="3"/>
  <c r="O110" i="3"/>
  <c r="N110" i="3"/>
  <c r="P109" i="3"/>
  <c r="N109" i="3"/>
  <c r="O109" i="3"/>
  <c r="P108" i="3"/>
  <c r="O108" i="3"/>
  <c r="N108" i="3"/>
  <c r="P107" i="3"/>
  <c r="N107" i="3"/>
  <c r="O107" i="3"/>
  <c r="P106" i="3"/>
  <c r="O106" i="3"/>
  <c r="N106" i="3"/>
  <c r="P105" i="3"/>
  <c r="N105" i="3"/>
  <c r="O105" i="3"/>
  <c r="P104" i="3"/>
  <c r="O104" i="3"/>
  <c r="N104" i="3"/>
  <c r="P103" i="3"/>
  <c r="N103" i="3"/>
  <c r="O103" i="3"/>
  <c r="P102" i="3"/>
  <c r="O102" i="3"/>
  <c r="N102" i="3"/>
  <c r="P101" i="3"/>
  <c r="N101" i="3"/>
  <c r="O101" i="3"/>
  <c r="P100" i="3"/>
  <c r="O100" i="3"/>
  <c r="N100" i="3"/>
  <c r="P99" i="3"/>
  <c r="N99" i="3"/>
  <c r="O99" i="3"/>
  <c r="P98" i="3"/>
  <c r="O98" i="3"/>
  <c r="N98" i="3"/>
  <c r="P97" i="3"/>
  <c r="N97" i="3"/>
  <c r="O97" i="3"/>
  <c r="P96" i="3"/>
  <c r="O96" i="3"/>
  <c r="N96" i="3"/>
  <c r="P95" i="3"/>
  <c r="N95" i="3"/>
  <c r="O95" i="3"/>
  <c r="P94" i="3"/>
  <c r="O94" i="3"/>
  <c r="N94" i="3"/>
  <c r="P93" i="3"/>
  <c r="N93" i="3"/>
  <c r="O93" i="3"/>
  <c r="P92" i="3"/>
  <c r="O92" i="3"/>
  <c r="N92" i="3"/>
  <c r="P91" i="3"/>
  <c r="N91" i="3"/>
  <c r="O91" i="3"/>
  <c r="P90" i="3"/>
  <c r="O90" i="3"/>
  <c r="N90" i="3"/>
  <c r="P89" i="3"/>
  <c r="N89" i="3"/>
  <c r="O89" i="3"/>
  <c r="P88" i="3"/>
  <c r="O88" i="3"/>
  <c r="N88" i="3"/>
  <c r="P87" i="3"/>
  <c r="N87" i="3"/>
  <c r="O87" i="3"/>
  <c r="P86" i="3"/>
  <c r="O86" i="3"/>
  <c r="N86" i="3"/>
  <c r="P85" i="3"/>
  <c r="N85" i="3"/>
  <c r="O85" i="3"/>
  <c r="P84" i="3"/>
  <c r="O84" i="3"/>
  <c r="N84" i="3"/>
  <c r="P83" i="3"/>
  <c r="N83" i="3"/>
  <c r="O83" i="3"/>
  <c r="P82" i="3"/>
  <c r="O82" i="3"/>
  <c r="N82" i="3"/>
  <c r="P81" i="3"/>
  <c r="N81" i="3"/>
  <c r="O81" i="3"/>
  <c r="P80" i="3"/>
  <c r="O80" i="3"/>
  <c r="N80" i="3"/>
  <c r="P79" i="3"/>
  <c r="N79" i="3"/>
  <c r="O79" i="3"/>
  <c r="P78" i="3"/>
  <c r="O78" i="3"/>
  <c r="N78" i="3"/>
  <c r="P77" i="3"/>
  <c r="N77" i="3"/>
  <c r="O77" i="3"/>
  <c r="P76" i="3"/>
  <c r="O76" i="3"/>
  <c r="N76" i="3"/>
  <c r="P75" i="3"/>
  <c r="N75" i="3"/>
  <c r="O75" i="3"/>
  <c r="P74" i="3"/>
  <c r="O74" i="3"/>
  <c r="N74" i="3"/>
  <c r="P73" i="3"/>
  <c r="N73" i="3"/>
  <c r="O73" i="3"/>
  <c r="P72" i="3"/>
  <c r="O72" i="3"/>
  <c r="N72" i="3"/>
  <c r="P71" i="3"/>
  <c r="N71" i="3"/>
  <c r="O71" i="3"/>
  <c r="P70" i="3"/>
  <c r="O70" i="3"/>
  <c r="N70" i="3"/>
  <c r="P69" i="3"/>
  <c r="N69" i="3"/>
  <c r="O69" i="3"/>
  <c r="P68" i="3"/>
  <c r="O68" i="3"/>
  <c r="N68" i="3"/>
  <c r="P67" i="3"/>
  <c r="N67" i="3"/>
  <c r="O67" i="3"/>
  <c r="P66" i="3"/>
  <c r="O66" i="3"/>
  <c r="N66" i="3"/>
  <c r="P65" i="3"/>
  <c r="N65" i="3"/>
  <c r="O65" i="3"/>
  <c r="P64" i="3"/>
  <c r="O64" i="3"/>
  <c r="N64" i="3"/>
  <c r="P63" i="3"/>
  <c r="N63" i="3"/>
  <c r="O63" i="3"/>
  <c r="P62" i="3"/>
  <c r="O62" i="3"/>
  <c r="N62" i="3"/>
  <c r="P61" i="3"/>
  <c r="N61" i="3"/>
  <c r="O61" i="3"/>
  <c r="P60" i="3"/>
  <c r="O60" i="3"/>
  <c r="N60" i="3"/>
  <c r="P59" i="3"/>
  <c r="N59" i="3"/>
  <c r="O59" i="3"/>
  <c r="P58" i="3"/>
  <c r="O58" i="3"/>
  <c r="N58" i="3"/>
  <c r="P57" i="3"/>
  <c r="N57" i="3"/>
  <c r="O57" i="3"/>
  <c r="P56" i="3"/>
  <c r="O56" i="3"/>
  <c r="N56" i="3"/>
  <c r="P55" i="3"/>
  <c r="N55" i="3"/>
  <c r="O55" i="3"/>
  <c r="P54" i="3"/>
  <c r="O54" i="3"/>
  <c r="N54" i="3"/>
  <c r="P53" i="3"/>
  <c r="N53" i="3"/>
  <c r="O53" i="3"/>
  <c r="P52" i="3"/>
  <c r="O52" i="3"/>
  <c r="N52" i="3"/>
  <c r="P51" i="3"/>
  <c r="N51" i="3"/>
  <c r="O51" i="3"/>
  <c r="P50" i="3"/>
  <c r="O50" i="3"/>
  <c r="N50" i="3"/>
  <c r="P49" i="3"/>
  <c r="N49" i="3"/>
  <c r="O49" i="3"/>
  <c r="P48" i="3"/>
  <c r="O48" i="3"/>
  <c r="N48" i="3"/>
  <c r="P47" i="3"/>
  <c r="N47" i="3"/>
  <c r="O47" i="3"/>
  <c r="P46" i="3"/>
  <c r="O46" i="3"/>
  <c r="N46" i="3"/>
  <c r="P45" i="3"/>
  <c r="N45" i="3"/>
  <c r="O45" i="3"/>
  <c r="P44" i="3"/>
  <c r="O44" i="3"/>
  <c r="N44" i="3"/>
  <c r="P43" i="3"/>
  <c r="N43" i="3"/>
  <c r="O43" i="3"/>
  <c r="P42" i="3"/>
  <c r="O42" i="3"/>
  <c r="N42" i="3"/>
  <c r="P41" i="3"/>
  <c r="N41" i="3"/>
  <c r="O41" i="3"/>
  <c r="P40" i="3"/>
  <c r="O40" i="3"/>
  <c r="N40" i="3"/>
  <c r="P39" i="3"/>
  <c r="N39" i="3"/>
  <c r="O39" i="3"/>
  <c r="P38" i="3"/>
  <c r="O38" i="3"/>
  <c r="N38" i="3"/>
  <c r="P37" i="3"/>
  <c r="N37" i="3"/>
  <c r="O37" i="3"/>
  <c r="P36" i="3"/>
  <c r="O36" i="3"/>
  <c r="N36" i="3"/>
  <c r="P35" i="3"/>
  <c r="N35" i="3"/>
  <c r="O35" i="3"/>
  <c r="P34" i="3"/>
  <c r="O34" i="3"/>
  <c r="N34" i="3"/>
  <c r="P33" i="3"/>
  <c r="N33" i="3"/>
  <c r="O33" i="3"/>
  <c r="P32" i="3"/>
  <c r="O32" i="3"/>
  <c r="N32" i="3"/>
  <c r="P31" i="3"/>
  <c r="N31" i="3"/>
  <c r="O31" i="3"/>
  <c r="P30" i="3"/>
  <c r="O30" i="3"/>
  <c r="N30" i="3"/>
  <c r="P29" i="3"/>
  <c r="N29" i="3"/>
  <c r="O29" i="3"/>
  <c r="P28" i="3"/>
  <c r="O28" i="3"/>
  <c r="N28" i="3"/>
  <c r="P27" i="3"/>
  <c r="N27" i="3"/>
  <c r="O27" i="3"/>
  <c r="P26" i="3"/>
  <c r="O26" i="3"/>
  <c r="N26" i="3"/>
  <c r="P25" i="3"/>
  <c r="N25" i="3"/>
  <c r="O25" i="3"/>
  <c r="P24" i="3"/>
  <c r="O24" i="3"/>
  <c r="N24" i="3"/>
  <c r="P23" i="3"/>
  <c r="N23" i="3"/>
  <c r="O23" i="3"/>
  <c r="P22" i="3"/>
  <c r="O22" i="3"/>
  <c r="N22" i="3"/>
  <c r="P21" i="3"/>
  <c r="N21" i="3"/>
  <c r="O21" i="3"/>
  <c r="P20" i="3"/>
  <c r="O20" i="3"/>
  <c r="N20" i="3"/>
  <c r="P19" i="3"/>
  <c r="N19" i="3"/>
  <c r="O19" i="3"/>
  <c r="P18" i="3"/>
  <c r="O18" i="3"/>
  <c r="N18" i="3"/>
  <c r="P17" i="3"/>
  <c r="N17" i="3"/>
  <c r="O17" i="3"/>
  <c r="P16" i="3"/>
  <c r="O16" i="3"/>
  <c r="N16" i="3"/>
  <c r="P15" i="3"/>
  <c r="N15" i="3"/>
  <c r="O15" i="3"/>
  <c r="P14" i="3"/>
  <c r="O14" i="3"/>
  <c r="N14" i="3"/>
  <c r="P13" i="3"/>
  <c r="N13" i="3"/>
  <c r="O13" i="3"/>
  <c r="P12" i="3"/>
  <c r="O12" i="3"/>
  <c r="N12" i="3"/>
  <c r="P11" i="3"/>
  <c r="N11" i="3"/>
  <c r="O11" i="3"/>
  <c r="P10" i="3"/>
  <c r="O10" i="3"/>
  <c r="N10" i="3"/>
  <c r="P9" i="3"/>
  <c r="N9" i="3"/>
  <c r="O9" i="3"/>
  <c r="P8" i="3"/>
  <c r="O8" i="3"/>
  <c r="N8" i="3"/>
  <c r="P7" i="3"/>
  <c r="N7" i="3"/>
  <c r="O7" i="3"/>
  <c r="P6" i="3"/>
  <c r="O6" i="3"/>
  <c r="N6" i="3"/>
  <c r="P5" i="3"/>
  <c r="N5" i="3"/>
  <c r="O5" i="3"/>
  <c r="P4" i="3"/>
  <c r="O4" i="3"/>
  <c r="N4" i="3"/>
  <c r="P3" i="3"/>
  <c r="N3" i="3"/>
  <c r="O335" i="4"/>
  <c r="P2" i="3"/>
  <c r="O2" i="3"/>
  <c r="N2" i="3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5" i="2"/>
  <c r="E215" i="2"/>
  <c r="D215" i="2"/>
  <c r="C215" i="2"/>
  <c r="F214" i="2"/>
  <c r="E214" i="2"/>
  <c r="D214" i="2"/>
  <c r="C214" i="2"/>
  <c r="F213" i="2"/>
  <c r="E213" i="2"/>
  <c r="D213" i="2"/>
  <c r="C213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4" i="2"/>
  <c r="E194" i="2"/>
  <c r="D194" i="2"/>
  <c r="C194" i="2"/>
  <c r="F193" i="2"/>
  <c r="E193" i="2"/>
  <c r="D193" i="2"/>
  <c r="C193" i="2"/>
  <c r="F192" i="2"/>
  <c r="E192" i="2"/>
  <c r="D192" i="2"/>
  <c r="C192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N58" i="2"/>
  <c r="M58" i="2"/>
  <c r="L58" i="2"/>
  <c r="O58" i="2" s="1"/>
  <c r="F58" i="2"/>
  <c r="E58" i="2"/>
  <c r="D58" i="2"/>
  <c r="C58" i="2"/>
  <c r="N57" i="2"/>
  <c r="M57" i="2"/>
  <c r="L57" i="2"/>
  <c r="P57" i="2" s="1"/>
  <c r="F57" i="2"/>
  <c r="E57" i="2"/>
  <c r="D57" i="2"/>
  <c r="C57" i="2"/>
  <c r="N56" i="2"/>
  <c r="M56" i="2"/>
  <c r="L56" i="2"/>
  <c r="O56" i="2" s="1"/>
  <c r="F56" i="2"/>
  <c r="E56" i="2"/>
  <c r="D56" i="2"/>
  <c r="C56" i="2"/>
  <c r="N55" i="2"/>
  <c r="M55" i="2"/>
  <c r="L55" i="2"/>
  <c r="P55" i="2" s="1"/>
  <c r="F55" i="2"/>
  <c r="E55" i="2"/>
  <c r="D55" i="2"/>
  <c r="C55" i="2"/>
  <c r="N54" i="2"/>
  <c r="M54" i="2"/>
  <c r="L54" i="2"/>
  <c r="O54" i="2" s="1"/>
  <c r="F54" i="2"/>
  <c r="E54" i="2"/>
  <c r="D54" i="2"/>
  <c r="C54" i="2"/>
  <c r="N53" i="2"/>
  <c r="M53" i="2"/>
  <c r="L53" i="2"/>
  <c r="P53" i="2" s="1"/>
  <c r="F53" i="2"/>
  <c r="E53" i="2"/>
  <c r="D53" i="2"/>
  <c r="C53" i="2"/>
  <c r="N52" i="2"/>
  <c r="M52" i="2"/>
  <c r="L52" i="2"/>
  <c r="F52" i="2"/>
  <c r="E52" i="2"/>
  <c r="D52" i="2"/>
  <c r="C52" i="2"/>
  <c r="N51" i="2"/>
  <c r="M51" i="2"/>
  <c r="L51" i="2"/>
  <c r="P51" i="2" s="1"/>
  <c r="F51" i="2"/>
  <c r="E51" i="2"/>
  <c r="D51" i="2"/>
  <c r="C51" i="2"/>
  <c r="N50" i="2"/>
  <c r="M50" i="2"/>
  <c r="L50" i="2"/>
  <c r="O50" i="2" s="1"/>
  <c r="F50" i="2"/>
  <c r="E50" i="2"/>
  <c r="D50" i="2"/>
  <c r="C50" i="2"/>
  <c r="N49" i="2"/>
  <c r="M49" i="2"/>
  <c r="L49" i="2"/>
  <c r="P49" i="2" s="1"/>
  <c r="F49" i="2"/>
  <c r="E49" i="2"/>
  <c r="D49" i="2"/>
  <c r="C49" i="2"/>
  <c r="N48" i="2"/>
  <c r="M48" i="2"/>
  <c r="L48" i="2"/>
  <c r="P48" i="2" s="1"/>
  <c r="F48" i="2"/>
  <c r="E48" i="2"/>
  <c r="D48" i="2"/>
  <c r="C48" i="2"/>
  <c r="N47" i="2"/>
  <c r="M47" i="2"/>
  <c r="L47" i="2"/>
  <c r="P47" i="2" s="1"/>
  <c r="F47" i="2"/>
  <c r="E47" i="2"/>
  <c r="D47" i="2"/>
  <c r="C47" i="2"/>
  <c r="N46" i="2"/>
  <c r="M46" i="2"/>
  <c r="L46" i="2"/>
  <c r="P46" i="2" s="1"/>
  <c r="F46" i="2"/>
  <c r="E46" i="2"/>
  <c r="D46" i="2"/>
  <c r="C46" i="2"/>
  <c r="N45" i="2"/>
  <c r="M45" i="2"/>
  <c r="L45" i="2"/>
  <c r="P45" i="2" s="1"/>
  <c r="F45" i="2"/>
  <c r="E45" i="2"/>
  <c r="D45" i="2"/>
  <c r="C45" i="2"/>
  <c r="N44" i="2"/>
  <c r="M44" i="2"/>
  <c r="L44" i="2"/>
  <c r="P44" i="2" s="1"/>
  <c r="F44" i="2"/>
  <c r="E44" i="2"/>
  <c r="D44" i="2"/>
  <c r="C44" i="2"/>
  <c r="N43" i="2"/>
  <c r="M43" i="2"/>
  <c r="L43" i="2"/>
  <c r="O43" i="2" s="1"/>
  <c r="F43" i="2"/>
  <c r="E43" i="2"/>
  <c r="D43" i="2"/>
  <c r="C43" i="2"/>
  <c r="N42" i="2"/>
  <c r="M42" i="2"/>
  <c r="L42" i="2"/>
  <c r="O42" i="2" s="1"/>
  <c r="F42" i="2"/>
  <c r="E42" i="2"/>
  <c r="D42" i="2"/>
  <c r="C42" i="2"/>
  <c r="N41" i="2"/>
  <c r="M41" i="2"/>
  <c r="L41" i="2"/>
  <c r="O41" i="2" s="1"/>
  <c r="F41" i="2"/>
  <c r="E41" i="2"/>
  <c r="D41" i="2"/>
  <c r="C41" i="2"/>
  <c r="N40" i="2"/>
  <c r="M40" i="2"/>
  <c r="L40" i="2"/>
  <c r="O40" i="2" s="1"/>
  <c r="F40" i="2"/>
  <c r="E40" i="2"/>
  <c r="D40" i="2"/>
  <c r="C40" i="2"/>
  <c r="N39" i="2"/>
  <c r="M39" i="2"/>
  <c r="L39" i="2"/>
  <c r="P39" i="2" s="1"/>
  <c r="F39" i="2"/>
  <c r="E39" i="2"/>
  <c r="D39" i="2"/>
  <c r="C39" i="2"/>
  <c r="N38" i="2"/>
  <c r="M38" i="2"/>
  <c r="L38" i="2"/>
  <c r="O38" i="2" s="1"/>
  <c r="F38" i="2"/>
  <c r="E38" i="2"/>
  <c r="D38" i="2"/>
  <c r="C38" i="2"/>
  <c r="N37" i="2"/>
  <c r="M37" i="2"/>
  <c r="L37" i="2"/>
  <c r="P37" i="2" s="1"/>
  <c r="F37" i="2"/>
  <c r="E37" i="2"/>
  <c r="D37" i="2"/>
  <c r="C37" i="2"/>
  <c r="N36" i="2"/>
  <c r="M36" i="2"/>
  <c r="L36" i="2"/>
  <c r="P36" i="2" s="1"/>
  <c r="F36" i="2"/>
  <c r="E36" i="2"/>
  <c r="D36" i="2"/>
  <c r="C36" i="2"/>
  <c r="N35" i="2"/>
  <c r="M35" i="2"/>
  <c r="L35" i="2"/>
  <c r="O35" i="2" s="1"/>
  <c r="F35" i="2"/>
  <c r="E35" i="2"/>
  <c r="D35" i="2"/>
  <c r="C35" i="2"/>
  <c r="N34" i="2"/>
  <c r="M34" i="2"/>
  <c r="L34" i="2"/>
  <c r="O34" i="2" s="1"/>
  <c r="F34" i="2"/>
  <c r="E34" i="2"/>
  <c r="D34" i="2"/>
  <c r="C34" i="2"/>
  <c r="N33" i="2"/>
  <c r="M33" i="2"/>
  <c r="L33" i="2"/>
  <c r="P33" i="2" s="1"/>
  <c r="F33" i="2"/>
  <c r="E33" i="2"/>
  <c r="D33" i="2"/>
  <c r="C33" i="2"/>
  <c r="N32" i="2"/>
  <c r="M32" i="2"/>
  <c r="L32" i="2"/>
  <c r="P32" i="2" s="1"/>
  <c r="F32" i="2"/>
  <c r="E32" i="2"/>
  <c r="D32" i="2"/>
  <c r="C32" i="2"/>
  <c r="N31" i="2"/>
  <c r="M31" i="2"/>
  <c r="L31" i="2"/>
  <c r="P31" i="2" s="1"/>
  <c r="F31" i="2"/>
  <c r="E31" i="2"/>
  <c r="D31" i="2"/>
  <c r="C31" i="2"/>
  <c r="N30" i="2"/>
  <c r="M30" i="2"/>
  <c r="L30" i="2"/>
  <c r="O30" i="2" s="1"/>
  <c r="F30" i="2"/>
  <c r="E30" i="2"/>
  <c r="D30" i="2"/>
  <c r="C30" i="2"/>
  <c r="N29" i="2"/>
  <c r="M29" i="2"/>
  <c r="L29" i="2"/>
  <c r="P29" i="2" s="1"/>
  <c r="F29" i="2"/>
  <c r="E29" i="2"/>
  <c r="D29" i="2"/>
  <c r="C29" i="2"/>
  <c r="N28" i="2"/>
  <c r="M28" i="2"/>
  <c r="L28" i="2"/>
  <c r="O28" i="2" s="1"/>
  <c r="F28" i="2"/>
  <c r="E28" i="2"/>
  <c r="D28" i="2"/>
  <c r="C28" i="2"/>
  <c r="N27" i="2"/>
  <c r="M27" i="2"/>
  <c r="L27" i="2"/>
  <c r="O27" i="2" s="1"/>
  <c r="F27" i="2"/>
  <c r="E27" i="2"/>
  <c r="D27" i="2"/>
  <c r="C27" i="2"/>
  <c r="N26" i="2"/>
  <c r="M26" i="2"/>
  <c r="L26" i="2"/>
  <c r="O26" i="2" s="1"/>
  <c r="F26" i="2"/>
  <c r="E26" i="2"/>
  <c r="D26" i="2"/>
  <c r="C26" i="2"/>
  <c r="N25" i="2"/>
  <c r="M25" i="2"/>
  <c r="L25" i="2"/>
  <c r="P25" i="2" s="1"/>
  <c r="F25" i="2"/>
  <c r="E25" i="2"/>
  <c r="D25" i="2"/>
  <c r="C25" i="2"/>
  <c r="N24" i="2"/>
  <c r="M24" i="2"/>
  <c r="L24" i="2"/>
  <c r="O24" i="2" s="1"/>
  <c r="F24" i="2"/>
  <c r="E24" i="2"/>
  <c r="D24" i="2"/>
  <c r="C24" i="2"/>
  <c r="N23" i="2"/>
  <c r="M23" i="2"/>
  <c r="L23" i="2"/>
  <c r="P23" i="2" s="1"/>
  <c r="F23" i="2"/>
  <c r="E23" i="2"/>
  <c r="D23" i="2"/>
  <c r="C23" i="2"/>
  <c r="N22" i="2"/>
  <c r="M22" i="2"/>
  <c r="L22" i="2"/>
  <c r="O22" i="2" s="1"/>
  <c r="F22" i="2"/>
  <c r="E22" i="2"/>
  <c r="D22" i="2"/>
  <c r="C22" i="2"/>
  <c r="N21" i="2"/>
  <c r="M21" i="2"/>
  <c r="L21" i="2"/>
  <c r="P21" i="2" s="1"/>
  <c r="F21" i="2"/>
  <c r="E21" i="2"/>
  <c r="D21" i="2"/>
  <c r="C21" i="2"/>
  <c r="N20" i="2"/>
  <c r="M20" i="2"/>
  <c r="L20" i="2"/>
  <c r="O20" i="2" s="1"/>
  <c r="F20" i="2"/>
  <c r="E20" i="2"/>
  <c r="D20" i="2"/>
  <c r="C20" i="2"/>
  <c r="N19" i="2"/>
  <c r="M19" i="2"/>
  <c r="L19" i="2"/>
  <c r="P19" i="2" s="1"/>
  <c r="F19" i="2"/>
  <c r="E19" i="2"/>
  <c r="D19" i="2"/>
  <c r="C19" i="2"/>
  <c r="N18" i="2"/>
  <c r="M18" i="2"/>
  <c r="L18" i="2"/>
  <c r="O18" i="2" s="1"/>
  <c r="F18" i="2"/>
  <c r="E18" i="2"/>
  <c r="D18" i="2"/>
  <c r="C18" i="2"/>
  <c r="N17" i="2"/>
  <c r="M17" i="2"/>
  <c r="L17" i="2"/>
  <c r="P17" i="2" s="1"/>
  <c r="J17" i="2"/>
  <c r="F17" i="2"/>
  <c r="E17" i="2"/>
  <c r="D17" i="2"/>
  <c r="C17" i="2"/>
  <c r="U16" i="2"/>
  <c r="T16" i="2"/>
  <c r="S16" i="2"/>
  <c r="V16" i="2" s="1"/>
  <c r="N16" i="2"/>
  <c r="M16" i="2"/>
  <c r="L16" i="2"/>
  <c r="O16" i="2" s="1"/>
  <c r="J16" i="2"/>
  <c r="F16" i="2"/>
  <c r="E16" i="2"/>
  <c r="D16" i="2"/>
  <c r="C16" i="2"/>
  <c r="U15" i="2"/>
  <c r="T15" i="2"/>
  <c r="S15" i="2"/>
  <c r="V15" i="2" s="1"/>
  <c r="N15" i="2"/>
  <c r="M15" i="2"/>
  <c r="L15" i="2"/>
  <c r="P15" i="2" s="1"/>
  <c r="J15" i="2"/>
  <c r="F15" i="2"/>
  <c r="E15" i="2"/>
  <c r="D15" i="2"/>
  <c r="C15" i="2"/>
  <c r="U14" i="2"/>
  <c r="T14" i="2"/>
  <c r="S14" i="2"/>
  <c r="V14" i="2" s="1"/>
  <c r="N14" i="2"/>
  <c r="M14" i="2"/>
  <c r="L14" i="2"/>
  <c r="P14" i="2" s="1"/>
  <c r="J14" i="2"/>
  <c r="F14" i="2"/>
  <c r="E14" i="2"/>
  <c r="D14" i="2"/>
  <c r="C14" i="2"/>
  <c r="U13" i="2"/>
  <c r="T13" i="2"/>
  <c r="S13" i="2"/>
  <c r="V13" i="2" s="1"/>
  <c r="N13" i="2"/>
  <c r="M13" i="2"/>
  <c r="L13" i="2"/>
  <c r="P13" i="2" s="1"/>
  <c r="F13" i="2"/>
  <c r="E13" i="2"/>
  <c r="D13" i="2"/>
  <c r="C13" i="2"/>
  <c r="U12" i="2"/>
  <c r="T12" i="2"/>
  <c r="S12" i="2"/>
  <c r="V12" i="2" s="1"/>
  <c r="N12" i="2"/>
  <c r="M12" i="2"/>
  <c r="L12" i="2"/>
  <c r="P12" i="2" s="1"/>
  <c r="F12" i="2"/>
  <c r="E12" i="2"/>
  <c r="D12" i="2"/>
  <c r="C12" i="2"/>
  <c r="U11" i="2"/>
  <c r="T11" i="2"/>
  <c r="S11" i="2"/>
  <c r="V11" i="2" s="1"/>
  <c r="N11" i="2"/>
  <c r="M11" i="2"/>
  <c r="L11" i="2"/>
  <c r="P11" i="2" s="1"/>
  <c r="J11" i="2"/>
  <c r="F11" i="2"/>
  <c r="E11" i="2"/>
  <c r="D11" i="2"/>
  <c r="C11" i="2"/>
  <c r="U10" i="2"/>
  <c r="T10" i="2"/>
  <c r="S10" i="2"/>
  <c r="V10" i="2" s="1"/>
  <c r="N10" i="2"/>
  <c r="M10" i="2"/>
  <c r="L10" i="2"/>
  <c r="J10" i="2"/>
  <c r="F10" i="2"/>
  <c r="E10" i="2"/>
  <c r="D10" i="2"/>
  <c r="C10" i="2"/>
  <c r="U9" i="2"/>
  <c r="T9" i="2"/>
  <c r="S9" i="2"/>
  <c r="V9" i="2" s="1"/>
  <c r="N9" i="2"/>
  <c r="M9" i="2"/>
  <c r="L9" i="2"/>
  <c r="P9" i="2" s="1"/>
  <c r="J9" i="2"/>
  <c r="F9" i="2"/>
  <c r="E9" i="2"/>
  <c r="D9" i="2"/>
  <c r="C9" i="2"/>
  <c r="U8" i="2"/>
  <c r="T8" i="2"/>
  <c r="S8" i="2"/>
  <c r="V8" i="2" s="1"/>
  <c r="N8" i="2"/>
  <c r="M8" i="2"/>
  <c r="L8" i="2"/>
  <c r="O8" i="2" s="1"/>
  <c r="J8" i="2"/>
  <c r="F8" i="2"/>
  <c r="E8" i="2"/>
  <c r="D8" i="2"/>
  <c r="C8" i="2"/>
  <c r="U7" i="2"/>
  <c r="T7" i="2"/>
  <c r="S7" i="2"/>
  <c r="V7" i="2" s="1"/>
  <c r="N7" i="2"/>
  <c r="M7" i="2"/>
  <c r="L7" i="2"/>
  <c r="P7" i="2" s="1"/>
  <c r="F7" i="2"/>
  <c r="E7" i="2"/>
  <c r="D7" i="2"/>
  <c r="C7" i="2"/>
  <c r="U6" i="2"/>
  <c r="T6" i="2"/>
  <c r="S6" i="2"/>
  <c r="V6" i="2" s="1"/>
  <c r="N6" i="2"/>
  <c r="M6" i="2"/>
  <c r="L6" i="2"/>
  <c r="F6" i="2"/>
  <c r="E6" i="2"/>
  <c r="D6" i="2"/>
  <c r="C6" i="2"/>
  <c r="U5" i="2"/>
  <c r="T5" i="2"/>
  <c r="S5" i="2"/>
  <c r="V5" i="2" s="1"/>
  <c r="N5" i="2"/>
  <c r="M5" i="2"/>
  <c r="L5" i="2"/>
  <c r="O5" i="2" s="1"/>
  <c r="J5" i="2"/>
  <c r="F5" i="2"/>
  <c r="E5" i="2"/>
  <c r="D5" i="2"/>
  <c r="C5" i="2"/>
  <c r="U4" i="2"/>
  <c r="T4" i="2"/>
  <c r="S4" i="2"/>
  <c r="V4" i="2" s="1"/>
  <c r="N4" i="2"/>
  <c r="M4" i="2"/>
  <c r="L4" i="2"/>
  <c r="P4" i="2" s="1"/>
  <c r="J4" i="2"/>
  <c r="F4" i="2"/>
  <c r="E4" i="2"/>
  <c r="D4" i="2"/>
  <c r="C4" i="2"/>
  <c r="U3" i="2"/>
  <c r="T3" i="2"/>
  <c r="S3" i="2"/>
  <c r="V3" i="2" s="1"/>
  <c r="N3" i="2"/>
  <c r="M3" i="2"/>
  <c r="L3" i="2"/>
  <c r="O3" i="2" s="1"/>
  <c r="J3" i="2"/>
  <c r="F3" i="2"/>
  <c r="E3" i="2"/>
  <c r="D3" i="2"/>
  <c r="C3" i="2"/>
  <c r="N2" i="2"/>
  <c r="M2" i="2"/>
  <c r="J2" i="2"/>
  <c r="F2" i="2"/>
  <c r="E2" i="2"/>
  <c r="D2" i="2"/>
  <c r="C2" i="2"/>
  <c r="A2" i="2"/>
  <c r="G21" i="2" l="1"/>
  <c r="G37" i="2"/>
  <c r="G15" i="2"/>
  <c r="G55" i="2"/>
  <c r="O57" i="2"/>
  <c r="Q57" i="2" s="1"/>
  <c r="O15" i="2"/>
  <c r="Q15" i="2" s="1"/>
  <c r="P41" i="2"/>
  <c r="Q41" i="2" s="1"/>
  <c r="O12" i="2"/>
  <c r="Q12" i="2" s="1"/>
  <c r="G170" i="2"/>
  <c r="G124" i="2"/>
  <c r="J47" i="5"/>
  <c r="P27" i="2"/>
  <c r="Q27" i="2" s="1"/>
  <c r="P16" i="2"/>
  <c r="Q16" i="2" s="1"/>
  <c r="G45" i="2"/>
  <c r="G181" i="2"/>
  <c r="J50" i="5"/>
  <c r="G44" i="2"/>
  <c r="G70" i="2"/>
  <c r="G74" i="2"/>
  <c r="G78" i="2"/>
  <c r="G80" i="2"/>
  <c r="G190" i="2"/>
  <c r="G43" i="2"/>
  <c r="J33" i="5"/>
  <c r="J41" i="5"/>
  <c r="J65" i="5"/>
  <c r="G204" i="2"/>
  <c r="J6" i="5"/>
  <c r="P24" i="2"/>
  <c r="Q24" i="2" s="1"/>
  <c r="O25" i="2"/>
  <c r="Q25" i="2" s="1"/>
  <c r="G38" i="2"/>
  <c r="P52" i="2"/>
  <c r="G61" i="2"/>
  <c r="G89" i="2"/>
  <c r="G93" i="2"/>
  <c r="G97" i="2"/>
  <c r="G105" i="2"/>
  <c r="G109" i="2"/>
  <c r="G121" i="2"/>
  <c r="J13" i="5"/>
  <c r="J29" i="5"/>
  <c r="J61" i="5"/>
  <c r="J66" i="5"/>
  <c r="P58" i="2"/>
  <c r="Q58" i="2" s="1"/>
  <c r="G60" i="2"/>
  <c r="G174" i="2"/>
  <c r="G212" i="2"/>
  <c r="O36" i="2"/>
  <c r="Q36" i="2" s="1"/>
  <c r="J23" i="5"/>
  <c r="J39" i="5"/>
  <c r="J42" i="5"/>
  <c r="G29" i="2"/>
  <c r="G126" i="2"/>
  <c r="G113" i="2"/>
  <c r="G129" i="2"/>
  <c r="G133" i="2"/>
  <c r="G165" i="2"/>
  <c r="G169" i="2"/>
  <c r="G173" i="2"/>
  <c r="P40" i="2"/>
  <c r="Q40" i="2" s="1"/>
  <c r="G6" i="2"/>
  <c r="G69" i="2"/>
  <c r="G4" i="2"/>
  <c r="O48" i="2"/>
  <c r="Q48" i="2" s="1"/>
  <c r="O51" i="2"/>
  <c r="Q51" i="2" s="1"/>
  <c r="G67" i="2"/>
  <c r="G81" i="2"/>
  <c r="G111" i="2"/>
  <c r="G193" i="2"/>
  <c r="G197" i="2"/>
  <c r="G201" i="2"/>
  <c r="G14" i="2"/>
  <c r="O14" i="2"/>
  <c r="Q14" i="2" s="1"/>
  <c r="O32" i="2"/>
  <c r="Q32" i="2" s="1"/>
  <c r="P43" i="2"/>
  <c r="Q43" i="2" s="1"/>
  <c r="O44" i="2"/>
  <c r="Q44" i="2" s="1"/>
  <c r="O45" i="2"/>
  <c r="Q45" i="2" s="1"/>
  <c r="O49" i="2"/>
  <c r="Q49" i="2" s="1"/>
  <c r="G77" i="2"/>
  <c r="G175" i="2"/>
  <c r="G183" i="2"/>
  <c r="G185" i="2"/>
  <c r="G114" i="2"/>
  <c r="G116" i="2"/>
  <c r="G118" i="2"/>
  <c r="G41" i="2"/>
  <c r="G50" i="2"/>
  <c r="G53" i="2"/>
  <c r="G68" i="2"/>
  <c r="G86" i="2"/>
  <c r="G92" i="2"/>
  <c r="G140" i="2"/>
  <c r="G142" i="2"/>
  <c r="G150" i="2"/>
  <c r="G154" i="2"/>
  <c r="G156" i="2"/>
  <c r="G158" i="2"/>
  <c r="G160" i="2"/>
  <c r="G162" i="2"/>
  <c r="G178" i="2"/>
  <c r="G180" i="2"/>
  <c r="J18" i="5"/>
  <c r="J34" i="5"/>
  <c r="J45" i="5"/>
  <c r="J48" i="5"/>
  <c r="G12" i="2"/>
  <c r="G8" i="2"/>
  <c r="G10" i="2"/>
  <c r="G22" i="2"/>
  <c r="G25" i="2"/>
  <c r="G27" i="2"/>
  <c r="G47" i="2"/>
  <c r="G84" i="2"/>
  <c r="G100" i="2"/>
  <c r="G102" i="2"/>
  <c r="G164" i="2"/>
  <c r="G188" i="2"/>
  <c r="J24" i="5"/>
  <c r="G119" i="2"/>
  <c r="G40" i="2"/>
  <c r="G66" i="2"/>
  <c r="G7" i="2"/>
  <c r="G35" i="2"/>
  <c r="P35" i="2"/>
  <c r="Q35" i="2" s="1"/>
  <c r="G48" i="2"/>
  <c r="G96" i="2"/>
  <c r="P8" i="2"/>
  <c r="Q8" i="2" s="1"/>
  <c r="G11" i="2"/>
  <c r="G31" i="2"/>
  <c r="G32" i="2"/>
  <c r="P54" i="2"/>
  <c r="Q54" i="2" s="1"/>
  <c r="G130" i="2"/>
  <c r="G2" i="2"/>
  <c r="P10" i="2"/>
  <c r="G18" i="2"/>
  <c r="G20" i="2"/>
  <c r="O21" i="2"/>
  <c r="Q21" i="2" s="1"/>
  <c r="P22" i="2"/>
  <c r="Q22" i="2" s="1"/>
  <c r="P28" i="2"/>
  <c r="Q28" i="2" s="1"/>
  <c r="G34" i="2"/>
  <c r="G36" i="2"/>
  <c r="O37" i="2"/>
  <c r="Q37" i="2" s="1"/>
  <c r="P38" i="2"/>
  <c r="Q38" i="2" s="1"/>
  <c r="O46" i="2"/>
  <c r="Q46" i="2" s="1"/>
  <c r="O55" i="2"/>
  <c r="Q55" i="2" s="1"/>
  <c r="G57" i="2"/>
  <c r="G64" i="2"/>
  <c r="G85" i="2"/>
  <c r="G110" i="2"/>
  <c r="G112" i="2"/>
  <c r="G117" i="2"/>
  <c r="G132" i="2"/>
  <c r="G134" i="2"/>
  <c r="G166" i="2"/>
  <c r="G176" i="2"/>
  <c r="G206" i="2"/>
  <c r="G210" i="2"/>
  <c r="G214" i="2"/>
  <c r="J7" i="5"/>
  <c r="J12" i="5"/>
  <c r="J21" i="5"/>
  <c r="J55" i="5"/>
  <c r="J74" i="5"/>
  <c r="J9" i="5"/>
  <c r="J26" i="5"/>
  <c r="J32" i="5"/>
  <c r="J37" i="5"/>
  <c r="J57" i="5"/>
  <c r="G148" i="2"/>
  <c r="G161" i="2"/>
  <c r="G189" i="2"/>
  <c r="J71" i="5"/>
  <c r="G62" i="2"/>
  <c r="G24" i="2"/>
  <c r="J3" i="5"/>
  <c r="J15" i="5"/>
  <c r="J25" i="5"/>
  <c r="J40" i="5"/>
  <c r="J49" i="5"/>
  <c r="J51" i="5"/>
  <c r="J63" i="5"/>
  <c r="J73" i="5"/>
  <c r="G56" i="2"/>
  <c r="G125" i="2"/>
  <c r="G218" i="2"/>
  <c r="P20" i="2"/>
  <c r="Q20" i="2" s="1"/>
  <c r="G26" i="2"/>
  <c r="G28" i="2"/>
  <c r="O29" i="2"/>
  <c r="Q29" i="2" s="1"/>
  <c r="P30" i="2"/>
  <c r="Q30" i="2" s="1"/>
  <c r="G46" i="2"/>
  <c r="G49" i="2"/>
  <c r="G51" i="2"/>
  <c r="G63" i="2"/>
  <c r="G65" i="2"/>
  <c r="G76" i="2"/>
  <c r="G82" i="2"/>
  <c r="G120" i="2"/>
  <c r="G137" i="2"/>
  <c r="G139" i="2"/>
  <c r="G186" i="2"/>
  <c r="G191" i="2"/>
  <c r="G205" i="2"/>
  <c r="G209" i="2"/>
  <c r="G213" i="2"/>
  <c r="G215" i="2"/>
  <c r="G217" i="2"/>
  <c r="O7" i="2"/>
  <c r="Q7" i="2" s="1"/>
  <c r="O13" i="2"/>
  <c r="Q13" i="2" s="1"/>
  <c r="G17" i="2"/>
  <c r="O17" i="2"/>
  <c r="Q17" i="2" s="1"/>
  <c r="O19" i="2"/>
  <c r="Q19" i="2" s="1"/>
  <c r="G30" i="2"/>
  <c r="O33" i="2"/>
  <c r="Q33" i="2" s="1"/>
  <c r="O52" i="2"/>
  <c r="Q52" i="2" s="1"/>
  <c r="G58" i="2"/>
  <c r="G71" i="2"/>
  <c r="G73" i="2"/>
  <c r="G88" i="2"/>
  <c r="G90" i="2"/>
  <c r="G122" i="2"/>
  <c r="G127" i="2"/>
  <c r="G149" i="2"/>
  <c r="G177" i="2"/>
  <c r="G179" i="2"/>
  <c r="G182" i="2"/>
  <c r="G219" i="2"/>
  <c r="J5" i="5"/>
  <c r="J17" i="5"/>
  <c r="J19" i="5"/>
  <c r="J31" i="5"/>
  <c r="J44" i="5"/>
  <c r="J67" i="5"/>
  <c r="J75" i="5"/>
  <c r="G39" i="2"/>
  <c r="G13" i="2"/>
  <c r="G19" i="2"/>
  <c r="G33" i="2"/>
  <c r="O53" i="2"/>
  <c r="Q53" i="2" s="1"/>
  <c r="G155" i="2"/>
  <c r="J2" i="5"/>
  <c r="J53" i="5"/>
  <c r="J56" i="5"/>
  <c r="J72" i="5"/>
  <c r="G23" i="2"/>
  <c r="G42" i="2"/>
  <c r="G59" i="2"/>
  <c r="G52" i="2"/>
  <c r="G94" i="2"/>
  <c r="G194" i="2"/>
  <c r="G3" i="2"/>
  <c r="G5" i="2"/>
  <c r="O6" i="2"/>
  <c r="G9" i="2"/>
  <c r="G16" i="2"/>
  <c r="G79" i="2"/>
  <c r="G98" i="2"/>
  <c r="G106" i="2"/>
  <c r="G151" i="2"/>
  <c r="G157" i="2"/>
  <c r="G172" i="2"/>
  <c r="G196" i="2"/>
  <c r="G198" i="2"/>
  <c r="G202" i="2"/>
  <c r="J8" i="5"/>
  <c r="J10" i="5"/>
  <c r="J16" i="5"/>
  <c r="J35" i="5"/>
  <c r="J58" i="5"/>
  <c r="J64" i="5"/>
  <c r="J69" i="5"/>
  <c r="P6" i="2"/>
  <c r="P18" i="2"/>
  <c r="Q18" i="2" s="1"/>
  <c r="P26" i="2"/>
  <c r="Q26" i="2" s="1"/>
  <c r="P34" i="2"/>
  <c r="Q34" i="2" s="1"/>
  <c r="P42" i="2"/>
  <c r="Q42" i="2" s="1"/>
  <c r="P50" i="2"/>
  <c r="Q50" i="2" s="1"/>
  <c r="P56" i="2"/>
  <c r="Q56" i="2" s="1"/>
  <c r="G104" i="2"/>
  <c r="G136" i="2"/>
  <c r="G153" i="2"/>
  <c r="G184" i="2"/>
  <c r="G203" i="2"/>
  <c r="O4" i="2"/>
  <c r="Q4" i="2" s="1"/>
  <c r="P3" i="2"/>
  <c r="Q3" i="2" s="1"/>
  <c r="P5" i="2"/>
  <c r="Q5" i="2" s="1"/>
  <c r="G138" i="2"/>
  <c r="G83" i="2"/>
  <c r="G95" i="2"/>
  <c r="G99" i="2"/>
  <c r="G115" i="2"/>
  <c r="G131" i="2"/>
  <c r="G199" i="2"/>
  <c r="G54" i="2"/>
  <c r="G101" i="2"/>
  <c r="G108" i="2"/>
  <c r="G146" i="2"/>
  <c r="G75" i="2"/>
  <c r="O9" i="2"/>
  <c r="Q9" i="2" s="1"/>
  <c r="O10" i="2"/>
  <c r="O11" i="2"/>
  <c r="Q11" i="2" s="1"/>
  <c r="O23" i="2"/>
  <c r="Q23" i="2" s="1"/>
  <c r="O31" i="2"/>
  <c r="Q31" i="2" s="1"/>
  <c r="O39" i="2"/>
  <c r="Q39" i="2" s="1"/>
  <c r="O47" i="2"/>
  <c r="Q47" i="2" s="1"/>
  <c r="G91" i="2"/>
  <c r="G123" i="2"/>
  <c r="G135" i="2"/>
  <c r="G141" i="2"/>
  <c r="G72" i="2"/>
  <c r="G87" i="2"/>
  <c r="G145" i="2"/>
  <c r="G168" i="2"/>
  <c r="G187" i="2"/>
  <c r="O360" i="4"/>
  <c r="O246" i="3"/>
  <c r="O251" i="3"/>
  <c r="O262" i="3"/>
  <c r="O267" i="3"/>
  <c r="O278" i="3"/>
  <c r="O283" i="3"/>
  <c r="O294" i="3"/>
  <c r="O299" i="3"/>
  <c r="O310" i="3"/>
  <c r="O315" i="3"/>
  <c r="O326" i="3"/>
  <c r="O336" i="3"/>
  <c r="O341" i="3"/>
  <c r="O343" i="3"/>
  <c r="O348" i="3"/>
  <c r="O10" i="4"/>
  <c r="O21" i="4"/>
  <c r="O32" i="4"/>
  <c r="O39" i="4"/>
  <c r="O42" i="4"/>
  <c r="O67" i="4"/>
  <c r="O74" i="4"/>
  <c r="O93" i="4"/>
  <c r="O160" i="4"/>
  <c r="O164" i="4"/>
  <c r="O188" i="4"/>
  <c r="O195" i="4"/>
  <c r="O199" i="4"/>
  <c r="O202" i="4"/>
  <c r="O228" i="4"/>
  <c r="O242" i="4"/>
  <c r="O249" i="4"/>
  <c r="O256" i="4"/>
  <c r="O292" i="4"/>
  <c r="O306" i="4"/>
  <c r="O313" i="4"/>
  <c r="O320" i="4"/>
  <c r="O349" i="4"/>
  <c r="O356" i="4"/>
  <c r="G144" i="2"/>
  <c r="G159" i="2"/>
  <c r="G163" i="2"/>
  <c r="G208" i="2"/>
  <c r="O244" i="3"/>
  <c r="O249" i="3"/>
  <c r="O260" i="3"/>
  <c r="O265" i="3"/>
  <c r="O276" i="3"/>
  <c r="O281" i="3"/>
  <c r="O292" i="3"/>
  <c r="O297" i="3"/>
  <c r="O308" i="3"/>
  <c r="O313" i="3"/>
  <c r="O324" i="3"/>
  <c r="O331" i="3"/>
  <c r="O334" i="3"/>
  <c r="O356" i="3"/>
  <c r="O7" i="4"/>
  <c r="O29" i="4"/>
  <c r="O64" i="4"/>
  <c r="O71" i="4"/>
  <c r="O124" i="4"/>
  <c r="O131" i="4"/>
  <c r="O138" i="4"/>
  <c r="O146" i="4"/>
  <c r="O175" i="4"/>
  <c r="O185" i="4"/>
  <c r="O192" i="4"/>
  <c r="O210" i="4"/>
  <c r="O239" i="4"/>
  <c r="O253" i="4"/>
  <c r="O274" i="4"/>
  <c r="O289" i="4"/>
  <c r="O303" i="4"/>
  <c r="O338" i="4"/>
  <c r="O353" i="4"/>
  <c r="O50" i="4"/>
  <c r="O57" i="4"/>
  <c r="O61" i="4"/>
  <c r="O79" i="4"/>
  <c r="O111" i="4"/>
  <c r="O114" i="4"/>
  <c r="O121" i="4"/>
  <c r="O128" i="4"/>
  <c r="O135" i="4"/>
  <c r="O172" i="4"/>
  <c r="O189" i="4"/>
  <c r="O225" i="4"/>
  <c r="O236" i="4"/>
  <c r="O243" i="4"/>
  <c r="O247" i="4"/>
  <c r="O282" i="4"/>
  <c r="O346" i="4"/>
  <c r="O364" i="4"/>
  <c r="O293" i="3"/>
  <c r="O304" i="3"/>
  <c r="O309" i="3"/>
  <c r="O320" i="3"/>
  <c r="O325" i="3"/>
  <c r="O4" i="4"/>
  <c r="O15" i="4"/>
  <c r="O68" i="4"/>
  <c r="O87" i="4"/>
  <c r="O98" i="4"/>
  <c r="O105" i="4"/>
  <c r="O125" i="4"/>
  <c r="O143" i="4"/>
  <c r="O169" i="4"/>
  <c r="O186" i="4"/>
  <c r="O207" i="4"/>
  <c r="O218" i="4"/>
  <c r="O271" i="4"/>
  <c r="O290" i="4"/>
  <c r="O297" i="4"/>
  <c r="O354" i="4"/>
  <c r="G200" i="2"/>
  <c r="O232" i="4"/>
  <c r="O177" i="4"/>
  <c r="O168" i="4"/>
  <c r="O113" i="4"/>
  <c r="O104" i="4"/>
  <c r="O49" i="4"/>
  <c r="O40" i="4"/>
  <c r="O72" i="4"/>
  <c r="O17" i="4"/>
  <c r="O8" i="4"/>
  <c r="O352" i="4"/>
  <c r="O324" i="4"/>
  <c r="O321" i="4"/>
  <c r="O295" i="4"/>
  <c r="O184" i="4"/>
  <c r="O161" i="4"/>
  <c r="O137" i="4"/>
  <c r="O130" i="4"/>
  <c r="O60" i="4"/>
  <c r="O47" i="4"/>
  <c r="O344" i="4"/>
  <c r="O304" i="4"/>
  <c r="O288" i="4"/>
  <c r="O260" i="4"/>
  <c r="O257" i="4"/>
  <c r="O231" i="4"/>
  <c r="O120" i="4"/>
  <c r="O97" i="4"/>
  <c r="O73" i="4"/>
  <c r="O66" i="4"/>
  <c r="O361" i="4"/>
  <c r="O330" i="4"/>
  <c r="O280" i="4"/>
  <c r="O240" i="4"/>
  <c r="O224" i="4"/>
  <c r="O196" i="4"/>
  <c r="O193" i="4"/>
  <c r="O167" i="4"/>
  <c r="O56" i="4"/>
  <c r="O33" i="4"/>
  <c r="O9" i="4"/>
  <c r="O2" i="4"/>
  <c r="O243" i="3"/>
  <c r="O254" i="3"/>
  <c r="O259" i="3"/>
  <c r="O270" i="3"/>
  <c r="O275" i="3"/>
  <c r="O286" i="3"/>
  <c r="O291" i="3"/>
  <c r="O302" i="3"/>
  <c r="O307" i="3"/>
  <c r="O318" i="3"/>
  <c r="O323" i="3"/>
  <c r="O352" i="3"/>
  <c r="O357" i="3"/>
  <c r="O359" i="3"/>
  <c r="O369" i="3"/>
  <c r="O361" i="3"/>
  <c r="O363" i="3"/>
  <c r="O351" i="3"/>
  <c r="O12" i="4"/>
  <c r="O23" i="4"/>
  <c r="O51" i="4"/>
  <c r="O58" i="4"/>
  <c r="O65" i="4"/>
  <c r="O76" i="4"/>
  <c r="O91" i="4"/>
  <c r="O95" i="4"/>
  <c r="O115" i="4"/>
  <c r="O122" i="4"/>
  <c r="O132" i="4"/>
  <c r="O151" i="4"/>
  <c r="O162" i="4"/>
  <c r="O173" i="4"/>
  <c r="O176" i="4"/>
  <c r="O226" i="4"/>
  <c r="O265" i="4"/>
  <c r="O283" i="4"/>
  <c r="O287" i="4"/>
  <c r="O315" i="4"/>
  <c r="O329" i="4"/>
  <c r="O343" i="4"/>
  <c r="O347" i="4"/>
  <c r="O351" i="4"/>
  <c r="G195" i="2"/>
  <c r="O252" i="3"/>
  <c r="O257" i="3"/>
  <c r="O268" i="3"/>
  <c r="O273" i="3"/>
  <c r="O284" i="3"/>
  <c r="O289" i="3"/>
  <c r="O300" i="3"/>
  <c r="O305" i="3"/>
  <c r="O316" i="3"/>
  <c r="O321" i="3"/>
  <c r="O337" i="3"/>
  <c r="O340" i="3"/>
  <c r="O41" i="4"/>
  <c r="O44" i="4"/>
  <c r="O84" i="4"/>
  <c r="O99" i="4"/>
  <c r="O109" i="4"/>
  <c r="O112" i="4"/>
  <c r="O119" i="4"/>
  <c r="O129" i="4"/>
  <c r="O140" i="4"/>
  <c r="O148" i="4"/>
  <c r="O155" i="4"/>
  <c r="O159" i="4"/>
  <c r="O170" i="4"/>
  <c r="O201" i="4"/>
  <c r="O204" i="4"/>
  <c r="O212" i="4"/>
  <c r="O219" i="4"/>
  <c r="O223" i="4"/>
  <c r="O234" i="4"/>
  <c r="O248" i="4"/>
  <c r="O255" i="4"/>
  <c r="O258" i="4"/>
  <c r="O276" i="4"/>
  <c r="O298" i="4"/>
  <c r="O312" i="4"/>
  <c r="O319" i="4"/>
  <c r="O322" i="4"/>
  <c r="O340" i="4"/>
  <c r="G103" i="2"/>
  <c r="G107" i="2"/>
  <c r="G152" i="2"/>
  <c r="G167" i="2"/>
  <c r="G171" i="2"/>
  <c r="G216" i="2"/>
  <c r="O3" i="3"/>
  <c r="O250" i="3"/>
  <c r="O255" i="3"/>
  <c r="O266" i="3"/>
  <c r="O271" i="3"/>
  <c r="O282" i="3"/>
  <c r="O287" i="3"/>
  <c r="O298" i="3"/>
  <c r="O303" i="3"/>
  <c r="O314" i="3"/>
  <c r="O319" i="3"/>
  <c r="O333" i="3"/>
  <c r="O335" i="3"/>
  <c r="O347" i="3"/>
  <c r="O350" i="3"/>
  <c r="O355" i="3"/>
  <c r="O35" i="4"/>
  <c r="O48" i="4"/>
  <c r="O52" i="4"/>
  <c r="O59" i="4"/>
  <c r="O88" i="4"/>
  <c r="O92" i="4"/>
  <c r="O103" i="4"/>
  <c r="O116" i="4"/>
  <c r="O163" i="4"/>
  <c r="O194" i="4"/>
  <c r="O227" i="4"/>
  <c r="O245" i="4"/>
  <c r="O309" i="4"/>
  <c r="O362" i="4"/>
  <c r="G128" i="2"/>
  <c r="G143" i="2"/>
  <c r="G147" i="2"/>
  <c r="G192" i="2"/>
  <c r="G207" i="2"/>
  <c r="G211" i="2"/>
  <c r="O248" i="3"/>
  <c r="O253" i="3"/>
  <c r="O264" i="3"/>
  <c r="O269" i="3"/>
  <c r="O280" i="3"/>
  <c r="O285" i="3"/>
  <c r="O296" i="3"/>
  <c r="O301" i="3"/>
  <c r="O312" i="3"/>
  <c r="O317" i="3"/>
  <c r="O345" i="3"/>
  <c r="O358" i="3"/>
  <c r="O368" i="3"/>
  <c r="O24" i="4"/>
  <c r="O28" i="4"/>
  <c r="O45" i="4"/>
  <c r="O85" i="4"/>
  <c r="O96" i="4"/>
  <c r="O100" i="4"/>
  <c r="O149" i="4"/>
  <c r="O152" i="4"/>
  <c r="O156" i="4"/>
  <c r="O213" i="4"/>
  <c r="O216" i="4"/>
  <c r="O220" i="4"/>
  <c r="O252" i="4"/>
  <c r="O259" i="4"/>
  <c r="O263" i="4"/>
  <c r="O266" i="4"/>
  <c r="O316" i="4"/>
  <c r="O323" i="4"/>
  <c r="O359" i="4"/>
  <c r="O26" i="4"/>
  <c r="O53" i="4"/>
  <c r="O63" i="4"/>
  <c r="O123" i="4"/>
  <c r="O157" i="4"/>
  <c r="O180" i="4"/>
  <c r="O237" i="4"/>
  <c r="O250" i="4"/>
  <c r="O277" i="4"/>
  <c r="O284" i="4"/>
  <c r="O291" i="4"/>
  <c r="O307" i="4"/>
  <c r="O317" i="4"/>
  <c r="O327" i="4"/>
  <c r="O332" i="3"/>
  <c r="O342" i="3"/>
  <c r="O349" i="3"/>
  <c r="O366" i="3"/>
  <c r="O90" i="4"/>
  <c r="O117" i="4"/>
  <c r="O127" i="4"/>
  <c r="O187" i="4"/>
  <c r="O221" i="4"/>
  <c r="O244" i="4"/>
  <c r="O301" i="4"/>
  <c r="O314" i="4"/>
  <c r="O341" i="4"/>
  <c r="O348" i="4"/>
  <c r="O355" i="4"/>
  <c r="O3" i="4"/>
  <c r="O365" i="3"/>
  <c r="O20" i="4"/>
  <c r="O27" i="4"/>
  <c r="O31" i="4"/>
  <c r="O34" i="4"/>
  <c r="O154" i="4"/>
  <c r="O181" i="4"/>
  <c r="O191" i="4"/>
  <c r="O251" i="4"/>
  <c r="O285" i="4"/>
  <c r="O308" i="4"/>
  <c r="O365" i="4"/>
  <c r="J38" i="5"/>
  <c r="J70" i="5"/>
  <c r="O338" i="3"/>
  <c r="O354" i="3"/>
  <c r="O5" i="4"/>
  <c r="O11" i="4"/>
  <c r="O69" i="4"/>
  <c r="O75" i="4"/>
  <c r="O81" i="4"/>
  <c r="O133" i="4"/>
  <c r="O136" i="4"/>
  <c r="O139" i="4"/>
  <c r="O145" i="4"/>
  <c r="O197" i="4"/>
  <c r="O200" i="4"/>
  <c r="O203" i="4"/>
  <c r="O209" i="4"/>
  <c r="O261" i="4"/>
  <c r="O264" i="4"/>
  <c r="O267" i="4"/>
  <c r="O273" i="4"/>
  <c r="O325" i="4"/>
  <c r="O328" i="4"/>
  <c r="O331" i="4"/>
  <c r="O337" i="4"/>
  <c r="J11" i="5"/>
  <c r="J20" i="5"/>
  <c r="J43" i="5"/>
  <c r="J52" i="5"/>
  <c r="J14" i="5"/>
  <c r="J46" i="5"/>
  <c r="J28" i="5"/>
  <c r="J60" i="5"/>
  <c r="J22" i="5"/>
  <c r="J54" i="5"/>
  <c r="O330" i="3"/>
  <c r="O346" i="3"/>
  <c r="O362" i="3"/>
  <c r="O37" i="4"/>
  <c r="O43" i="4"/>
  <c r="O101" i="4"/>
  <c r="O107" i="4"/>
  <c r="O165" i="4"/>
  <c r="O171" i="4"/>
  <c r="O229" i="4"/>
  <c r="O235" i="4"/>
  <c r="O241" i="4"/>
  <c r="O293" i="4"/>
  <c r="O296" i="4"/>
  <c r="O299" i="4"/>
  <c r="O305" i="4"/>
  <c r="O357" i="4"/>
  <c r="O363" i="4"/>
  <c r="J4" i="5"/>
  <c r="J27" i="5"/>
  <c r="J36" i="5"/>
  <c r="J59" i="5"/>
  <c r="J68" i="5"/>
  <c r="O366" i="4"/>
  <c r="O358" i="4"/>
  <c r="O350" i="4"/>
  <c r="O342" i="4"/>
  <c r="O334" i="4"/>
  <c r="O326" i="4"/>
  <c r="O318" i="4"/>
  <c r="O310" i="4"/>
  <c r="O302" i="4"/>
  <c r="O294" i="4"/>
  <c r="O286" i="4"/>
  <c r="O278" i="4"/>
  <c r="O270" i="4"/>
  <c r="O262" i="4"/>
  <c r="O254" i="4"/>
  <c r="O246" i="4"/>
  <c r="O238" i="4"/>
  <c r="O230" i="4"/>
  <c r="O222" i="4"/>
  <c r="O214" i="4"/>
  <c r="O206" i="4"/>
  <c r="O198" i="4"/>
  <c r="O190" i="4"/>
  <c r="O182" i="4"/>
  <c r="O174" i="4"/>
  <c r="O166" i="4"/>
  <c r="O158" i="4"/>
  <c r="O150" i="4"/>
  <c r="O142" i="4"/>
  <c r="O134" i="4"/>
  <c r="O126" i="4"/>
  <c r="O118" i="4"/>
  <c r="O110" i="4"/>
  <c r="O102" i="4"/>
  <c r="O94" i="4"/>
  <c r="O86" i="4"/>
  <c r="O78" i="4"/>
  <c r="O70" i="4"/>
  <c r="O62" i="4"/>
  <c r="O54" i="4"/>
  <c r="O46" i="4"/>
  <c r="O38" i="4"/>
  <c r="O30" i="4"/>
  <c r="O22" i="4"/>
  <c r="O14" i="4"/>
  <c r="O6" i="4"/>
  <c r="O328" i="3"/>
  <c r="O344" i="3"/>
  <c r="O360" i="3"/>
  <c r="O13" i="4"/>
  <c r="O16" i="4"/>
  <c r="O19" i="4"/>
  <c r="O25" i="4"/>
  <c r="O77" i="4"/>
  <c r="O80" i="4"/>
  <c r="O83" i="4"/>
  <c r="O89" i="4"/>
  <c r="O141" i="4"/>
  <c r="O144" i="4"/>
  <c r="O147" i="4"/>
  <c r="O153" i="4"/>
  <c r="O205" i="4"/>
  <c r="O208" i="4"/>
  <c r="O211" i="4"/>
  <c r="O217" i="4"/>
  <c r="O269" i="4"/>
  <c r="O272" i="4"/>
  <c r="O275" i="4"/>
  <c r="O281" i="4"/>
  <c r="O333" i="4"/>
  <c r="O336" i="4"/>
  <c r="O339" i="4"/>
  <c r="O345" i="4"/>
  <c r="J30" i="5"/>
  <c r="J62" i="5"/>
  <c r="Q10" i="2" l="1"/>
  <c r="K4" i="5"/>
  <c r="Q6" i="2"/>
  <c r="K15" i="5"/>
  <c r="K3" i="5"/>
  <c r="K66" i="5"/>
  <c r="K60" i="5"/>
  <c r="K11" i="5"/>
  <c r="K38" i="5"/>
  <c r="K63" i="5"/>
  <c r="K33" i="5"/>
  <c r="K28" i="5"/>
  <c r="K8" i="5"/>
  <c r="K22" i="5"/>
  <c r="K20" i="5"/>
  <c r="K31" i="5"/>
  <c r="K19" i="5"/>
  <c r="K49" i="5"/>
  <c r="K65" i="5"/>
  <c r="K50" i="5"/>
  <c r="K75" i="5"/>
  <c r="K73" i="5"/>
  <c r="K74" i="5"/>
  <c r="K17" i="5"/>
  <c r="K71" i="5"/>
  <c r="K57" i="5"/>
  <c r="K68" i="5"/>
  <c r="K61" i="5"/>
  <c r="K46" i="5"/>
  <c r="K44" i="5"/>
  <c r="K5" i="5"/>
  <c r="K67" i="5"/>
  <c r="K7" i="5"/>
  <c r="K40" i="5"/>
  <c r="K59" i="5"/>
  <c r="K54" i="5"/>
  <c r="K14" i="5"/>
  <c r="K69" i="5"/>
  <c r="K34" i="5"/>
  <c r="K16" i="5"/>
  <c r="K9" i="5"/>
  <c r="K45" i="5"/>
  <c r="K41" i="5"/>
  <c r="K55" i="5"/>
  <c r="K32" i="5"/>
  <c r="K35" i="5"/>
  <c r="K62" i="5"/>
  <c r="K70" i="5"/>
  <c r="K21" i="5"/>
  <c r="K13" i="5"/>
  <c r="K36" i="5"/>
  <c r="K47" i="5"/>
  <c r="K52" i="5"/>
  <c r="K64" i="5"/>
  <c r="K12" i="5"/>
  <c r="K6" i="5"/>
  <c r="K10" i="5"/>
  <c r="K42" i="5"/>
  <c r="K25" i="5"/>
  <c r="K37" i="5"/>
  <c r="K26" i="5"/>
  <c r="K56" i="5"/>
  <c r="K53" i="5"/>
  <c r="K30" i="5"/>
  <c r="K48" i="5"/>
  <c r="K27" i="5"/>
  <c r="K29" i="5"/>
  <c r="K43" i="5"/>
  <c r="K58" i="5"/>
  <c r="K72" i="5"/>
  <c r="K51" i="5"/>
  <c r="K2" i="5"/>
  <c r="K39" i="5"/>
  <c r="K18" i="5"/>
  <c r="K23" i="5"/>
  <c r="K24" i="5"/>
  <c r="L2" i="5" l="1"/>
</calcChain>
</file>

<file path=xl/sharedStrings.xml><?xml version="1.0" encoding="utf-8"?>
<sst xmlns="http://schemas.openxmlformats.org/spreadsheetml/2006/main" count="3925" uniqueCount="2536">
  <si>
    <t>Zach</t>
  </si>
  <si>
    <t>Bryce</t>
  </si>
  <si>
    <t>Maggie</t>
  </si>
  <si>
    <t>Jamie</t>
  </si>
  <si>
    <t>https://open.spotify.com/wrapped/share/share-34963e5bef6c4398a8d8d6c211751420?si=vrqlE865RcyQJ3rOTG7SAw&amp;track-id=1VmR7aU6sK05IrpiPpyXRB</t>
  </si>
  <si>
    <t>https://open.spotify.com/wrapped/share/share-6e3aa2f971dd4aa2ba0d5b0402d854c7?si=LmP-fisvQKSesFPcxkBZmQ&amp;track-id=0DD4vkP9qDiej99eUCG4jC</t>
  </si>
  <si>
    <t>6u9RqxALwkjJ1ukB1y8vuP</t>
  </si>
  <si>
    <t>https://open.spotify.com/wrapped/share/share-ecaf56547e92450bafb20133d8426d29?si=PnGe6NyxSQ6ZD6vM7y3E2w&amp;track-id=215JYyyUnrJ98NK3KEwu6d</t>
  </si>
  <si>
    <t>https://open.spotify.com/wrapped/share/share-b53361aa154247a189b8839210695d5e?si=_-B8jMd1SS2NXi-ZssDZ5w&amp;track-id=4Zy6m1QjUivLl8Zt7E8uxr</t>
  </si>
  <si>
    <t>https://open.spotify.com/wrapped/share/share-b340053f554e466886c8b9aee60d4b7c?si=9WvCX72KSV-joKy-UNd1rg&amp;track-id=1DgtQlVNotingln271ZKCx</t>
  </si>
  <si>
    <t>https://open.spotify.com/wrapped/share/share-9787c2e2dc15461e8d4ac25dfdbd24a1?si=2GuDu4VGT_amIbG4gHQDhg&amp;track-id=7ID5MLSB71awNzjI7jyojG</t>
  </si>
  <si>
    <t>https://open.spotify.com/wrapped/share/share-9c59ff47c6ab4cf388e352551c7a01ae?si=WxLdd_oJTHm_2kU_7J39pg&amp;track-id=62E2nR0od0M5HYxuYLaDz7</t>
  </si>
  <si>
    <t>https://open.spotify.com/wrapped/share/share-566b72ac458e41df84c44d0d3c2cab5c?si=eSsZFQQISv-3qYaSWYe32w&amp;track-id=0bILU0UiNDmA5Ff6whhb2R</t>
  </si>
  <si>
    <t>7N2PNxzZXxCdAHiAfsklhT</t>
  </si>
  <si>
    <t>https://open.spotify.com/wrapped/share/share-278ab9e59e114920bc5986d8cc996bdb?si=KobRENgqT1yp_BBbn1RP5Q&amp;track-id=5kHMfzgLZP95O9NBy0ku4v</t>
  </si>
  <si>
    <t>https://open.spotify.com/wrapped/share/share-f2142461d05a49779967a43d7212f900?si=CKbwRjyZQ4aXEqKq3qYAqQ&amp;track-id=4qIYVoGM0KoG9kB4evd5h1</t>
  </si>
  <si>
    <t>https://open.spotify.com/wrapped/share/share-aae404aaa0894a5b998944c0536dbfd0?si=OUGTARfbRuidV2IgEvwLxA&amp;track-id=2HRqTpkrJO5ggZyyK6NPWz</t>
  </si>
  <si>
    <t>https://open.spotify.com/wrapped/share/share-f5839ab27cf045ba8f8cba86b626295b?si=vXZdaeeoSeKukZ9Eyc41bg&amp;track-id=4w47YE9rjhmZUdtZjSCb82</t>
  </si>
  <si>
    <t>https://open.spotify.com/wrapped/share/share-5978ea46e25548baa7535e45204a50b5?si=KvFvB306SKu64KodSMfRnw&amp;track-id=5O4erNlJ74PIF6kGol1ZrC</t>
  </si>
  <si>
    <t>https://open.spotify.com/wrapped/share/share-05d515ff242b410b8c88c1b2fda6653e?si=qWsYsmMrRliKIkLaoSAtIQ&amp;track-id=7ByxizhA4GgEf7Sxomxhze</t>
  </si>
  <si>
    <t>https://open.spotify.com/wrapped/share/share-f21fecb1282740d19b68cf473948fa83?si=JTgrNqQtT6-W1LOsoffeQw&amp;track-id=22VHOlVYBqytsrAqV8yXBK</t>
  </si>
  <si>
    <t>06ZVdd9hNVlNv9fAd5NUok</t>
  </si>
  <si>
    <t>https://open.spotify.com/wrapped/share/share-bceecbac49564b779d4d95155842bf96?si=rtBNOEUqSa68cLC4yGcAIA&amp;track-id=5hviCr3lgg6LY6noG6DPKs</t>
  </si>
  <si>
    <t>03GBiorLGTk7T4IScIl4jj</t>
  </si>
  <si>
    <t>https://open.spotify.com/wrapped/share/share-9037559b2ee946a6a44d5f0e5ec13d64?si=cc9oK_q4Tgi0xVVs67p2VA&amp;track-id=3xYJScVfxByb61dYHTwiby</t>
  </si>
  <si>
    <t>043trFU53vB0CBmFszufZd</t>
  </si>
  <si>
    <t>https://open.spotify.com/wrapped/share/share-5dd9df27633543d7941bdf36e6c89987?si=fjssl8GdRAKultM6G_l2BQ&amp;track-id=5XrfFo0JFOnWD9ZMNXGkQh</t>
  </si>
  <si>
    <t>https://open.spotify.com/wrapped/share/share-b45f61a4da564b389edfa9b705b2f7f5?si=VYUl1GkdSg-szPZdqC-TKA&amp;track-id=09LrGvT9KsACH66RHYMDyR</t>
  </si>
  <si>
    <t>https://open.spotify.com/wrapped/share/share-8f2dfe397bbc48d59d4339415f093a9d?si=LH2_PpxYTo-btGPIOa5iPQ&amp;track-id=0NdTUS4UiNYCNn5FgVqKQY</t>
  </si>
  <si>
    <t>track-id=3vv9phIu6Y1vX3jcqaGz5Z</t>
  </si>
  <si>
    <t>https://open.spotify.com/wrapped/share/share-6bdcefc2e3cb4ba695cde6622686be72?si=syL-QIqPSay42CijFDMWcA&amp;track-id=1udKn1oNKYQSQ9OmiIWCMu</t>
  </si>
  <si>
    <t>https://open.spotify.com/wrapped/share/share-1b2f918a40384f8da2ed24d37ad47980?si=p40dgWAbQdqrFObFIECqPw&amp;track-id=13xVnZKZDEGbmXkzBFpJDD</t>
  </si>
  <si>
    <t>https://open.spotify.com/wrapped/share/share-51018164462b4db5a26e255892588b6c?si=6xflsZZdQayaUwXzKW7rQw&amp;track-id=4hfqe20vqkuRv1RDsA1LbQ</t>
  </si>
  <si>
    <t>https://open.spotify.com/wrapped/share/share-ead8ef09da7748aa8320f55b8872e502?si=kM9SwUE6Qty9rap52v6IbQ&amp;track-id=3TwtrR1yNLY1PMPsrGQpOp</t>
  </si>
  <si>
    <t>https://open.spotify.com/wrapped/share/share-81fb01ef0b4d434d82fd06a235ce4129?si=FfHmQkrTRxy6xH16YyHHdg&amp;track-id=02srSkeu2pzybuVr2B9TJm</t>
  </si>
  <si>
    <t>https://open.spotify.com/wrapped/share/share-99a0bf8f400145988fdb5d065fb6484f?si=Y6rZYSR5SnGx6S8D8-aD9Q&amp;track-id=6mQvaOgN76Q7qcwmwuEP2W</t>
  </si>
  <si>
    <t>040I32EKLxQrkuxQu1pqvT</t>
  </si>
  <si>
    <t>https://open.spotify.com/wrapped/share/share-5f27e125b6bb4960bed43fdc89a3a922?si=klpGlIwnTKelToFHvLD9Yw&amp;track-id=7G7tgVYORlDuVprcYHuFJh</t>
  </si>
  <si>
    <t>https://open.spotify.com/wrapped/share/share-1ed716b83dd441aa890c7b7ceb96326e?si=DVX8NMvbTWerqI-0KLZuNA&amp;track-id=2DL5cXb2F3nvggbyTiNhzc</t>
  </si>
  <si>
    <t>https://open.spotify.com/wrapped/share/share-05139bcce8e841528e88b4c641fac598?si=98Ea7nigShesXQNOErv9HQ&amp;track-id=7MfNoHB8JRNbSQ8P3eAfMQ</t>
  </si>
  <si>
    <t>https://open.spotify.com/wrapped/share/share-fc8ccb1b989341c79fff1d193e82bc4d?si=yfuR6vSEQfGuad_bQIsKYw&amp;track-id=3CqT9ajcy6pY7TonEPiV4H</t>
  </si>
  <si>
    <t>https://open.spotify.com/wrapped/share/share-ce8515bc4d1849efac5814376f44478a?si=alP6CGtRT9mu8QPNH5lDxA&amp;track-id=33iv3wnGMrrDugd7GBso1z</t>
  </si>
  <si>
    <t>https://open.spotify.com/wrapped/share/share-967738ee10af489daebeb57c16298181?si=jKr0yUOoTiWbBIlUkD03VA&amp;track-id=4rlQza35DE4Prh5yonxnCs</t>
  </si>
  <si>
    <t>https://open.spotify.com/wrapped/share/share-994801cc8e304974884803f3d0b8e8e5?si=XQ4CuxU-QbSDap-N2DNftg&amp;track-id=5sR5RxaErPw0YtsB0MyQyn</t>
  </si>
  <si>
    <t>https://open.spotify.com/wrapped/share/share-eeb994682f054d6f888d52e5eed794ba?si=AwRnhfgnRn2uXMeXE93IXA&amp;track-id=4ApqBh1Xnrpwx6EbhoUPgq</t>
  </si>
  <si>
    <t>https://open.spotify.com/wrapped/share/share-e3927665b37141c3a34789594f7c4a76?si=Fx8ni_URRzaeDs9VWzz1hA&amp;track-id=5pIVEk6Di7n1v5khOzJaJL</t>
  </si>
  <si>
    <t>https://open.spotify.com/wrapped/share/share-3823578da88c422a90dd10a805f4b499?si=vXVou75nSvSWhUUUPqgFEw&amp;track-id=6kopmMZiyLmw7h66uXcXR7</t>
  </si>
  <si>
    <t>https://open.spotify.com/wrapped/share/share-769f0d31b7c243029ac9dfb8d1fb53bf?si=b0ZY82J6Q3ecumzFM0ZQBA&amp;track-id=0Z57YWES04xGh3AImDz6Qr</t>
  </si>
  <si>
    <t>https://open.spotify.com/wrapped/share/share-c52f4c4a751a439aa5bd3c4fecc50bc7?si=ghT2LWiuTd6VcHbWu_3YEA&amp;track-id=333XFHKsHU0pOocFzBgrJi</t>
  </si>
  <si>
    <t>https://open.spotify.com/wrapped/share/share-cce0de470d6a47f0881e0ebdc80aec0d?si=ta5yJ22TRkeoGXinn3TV_Q&amp;track-id=5rb9QrpfcKFHM1EUbSIurX</t>
  </si>
  <si>
    <t>https://open.spotify.com/wrapped/share/share-d9599a43aaa14678b95a9d2bc200f521?si=nGaP_cj1S6-VMglEPUB8og&amp;track-id=7vgTNTaEz3CsBZ1N4YQalM</t>
  </si>
  <si>
    <t>https://open.spotify.com/wrapped/share/share-899897a1cc22476ba76bd8ca1cc71f53?si=TKLfHdtjSnCR4k3Kl7MjTQ&amp;track-id=2tznHmp70DxMyr2XhWLOW0</t>
  </si>
  <si>
    <t>https://open.spotify.com/wrapped/share/share-d96f6e2c28044303b4ec4d6ef62bfe7d?si=snL2ktdyQduV-2ur8RtRFQ&amp;track-id=0XTno2fRFMFGPJG95RxQSR</t>
  </si>
  <si>
    <t>https://open.spotify.com/wrapped/share/share-3aa3102d922d48d3ad1884a453f7a5f1?si=2syiuE7mSViXmSAj6GSvMw&amp;track-id=5bLUk3nEJoFAmNMc8WHWIh</t>
  </si>
  <si>
    <t>https://open.spotify.com/wrapped/share/share-6de79410d0bd40eaab5d0d6aa3228c1c?si=VGaRQNPhQQSsJSDGx_Tmfg&amp;track-id=0so0moYLqkFWE6dquoCOsh</t>
  </si>
  <si>
    <t>https://open.spotify.com/wrapped/share/share-71c0a670608940ffa1f572f97e3f68c0?si=mfkCC9kCScaxX5_M2sJWuA&amp;track-id=6ET9kf9riLETWs9lePUEAI</t>
  </si>
  <si>
    <t>https://open.spotify.com/wrapped/share/share-28129614283049229f429cba3129bd2c?si=TlYz5VJ6TaS3qwn5Zz--Qw&amp;track-id=68SYsp6XfIEnlDYMgMyxUv</t>
  </si>
  <si>
    <t>https://open.spotify.com/wrapped/share/share-0299b1248514467d8b05ed19f8d4fbe2?si=KK_Z_YMeS4KTZjXBETVpEg&amp;track-id=6iUYqKyjgFBiHwRQPlltWn</t>
  </si>
  <si>
    <t>https://open.spotify.com/wrapped/share/share-c3f4aa03b42a4946a750f63c2350f083?si=8XF3ib7jSm2OA9Mr9fr7mg&amp;track-id=4uIjNF84ZbteunNMxr4Xc0</t>
  </si>
  <si>
    <t>https://open.spotify.com/wrapped/share/share-def47223eadc41878b20bce7df92c84b?si=7Osgs2nRSk6WEUOSKTkxFA&amp;track-id=5wbg8kepMFoMzHOEuxiI0q</t>
  </si>
  <si>
    <t>https://open.spotify.com/wrapped/share/share-33f13a0f1f9545d5ad026d180b49e2ec?si=rIGEdoQXTbilQ7gaTgXE4g&amp;track-id=20hTkA9oKKuxghkRptRczS</t>
  </si>
  <si>
    <t>https://open.spotify.com/wrapped/share/share-cbdbc080cbf647fd8d4d6b809c750e8c?si=J0R9v_crQbaSEu9jnHGXtA&amp;track-id=00syWkRGIVQvYsg2OwfBUw</t>
  </si>
  <si>
    <t>https://open.spotify.com/wrapped/share/share-64ead250586a410a80c462603f1abd05?si=5pguQEpaQpmNSSYbWrY68w&amp;track-id=6L6CPMkduYn5Ty1t1lx0sc</t>
  </si>
  <si>
    <t>https://open.spotify.com/wrapped/share/share-4b3bddd8d51f403888620d7d9aca0bb9?si=nKbYoeGISPKzBIw8-zVUwQ&amp;track-id=5ZFKYhcWTiBNeeE0ZHqJeL</t>
  </si>
  <si>
    <t>3dKFOqjSQ2nMaz0q08APjS</t>
  </si>
  <si>
    <t>https://open.spotify.com/wrapped/share/share-0380aaeff7284a3ab9b599a01af03251?si=EzjYGzUgSd-Xy6_3hVw3tQ&amp;track-id=5m4X2HQ0eiviwuKPoREanT</t>
  </si>
  <si>
    <t>https://open.spotify.com/wrapped/share/share-c959c60e21fb4f20a92c1ad19d75ea68?si=n65J6klzT3aEEkKIyPrT2A&amp;track-id=4Gmdm6oRVwJgsM8gYnwRoE</t>
  </si>
  <si>
    <t>1c8gk2PeTE04A1pIDH9YMk</t>
  </si>
  <si>
    <t>1UP7PXne1lIYZB5G5aiRGL</t>
  </si>
  <si>
    <t>https://open.spotify.com/wrapped/share/share-03e9b19498a24859b92ccfaac3537caa?si=KfK5wua0QJ28f8dMEPpMRQ&amp;track-id=2rw5cbtHTyzy8iruujD28d</t>
  </si>
  <si>
    <t>0am001WwFBVGDGLwRh3ixi</t>
  </si>
  <si>
    <t>https://open.spotify.com/wrapped/share/share-1f6ffbb696194e07858ffcf55e5d7353?si=bi9sDo7ZT1S6Nb2TubLmdQ&amp;track-id=5wOWfWtfKJesbZSkWl4eRH</t>
  </si>
  <si>
    <t>https://open.spotify.com/wrapped/share/share-d936fe9d8d8c4b8a80037edcf6767ab2?si=2oEnlUlUTGSp6GzX5V25mA&amp;track-id=0unNLQbn2xlm2nPcB1pdjS</t>
  </si>
  <si>
    <t>4F0B8TLdJVACskfkkTqHDI</t>
  </si>
  <si>
    <t>https://open.spotify.com/wrapped/share/share-7d241bfa952f422e92c62a9ce9ee3e21?si=W_UliaBgQ7OgMv-9Yduwvw&amp;track-id=4pNApnaUWAL2J4KO2eqokq</t>
  </si>
  <si>
    <t>https://open.spotify.com/wrapped/share/share-60698f664a2f41e9ac034c7a63827bc4?si=kJcDRAHcSQ21lDuHPC1PSw&amp;track-id=0MIJFuEJpmgSjNjkbq29TQ</t>
  </si>
  <si>
    <t>https://open.spotify.com/wrapped/share/share-961de6821444419a83d209cd974e68ec?si=viSiW3JtSbO7VLfvIYU4sA&amp;track-id=5G2f63n7IPVPPjfNIGih7Q</t>
  </si>
  <si>
    <t>https://open.spotify.com/wrapped/share/share-3cd96bf8843c49a6b1b370a7c7fc56a4?si=vYbCy9CYRWejArgqcb2dsw&amp;track-id=6WxuJ0miXSbI56DbuxQODG</t>
  </si>
  <si>
    <t>https://open.spotify.com/wrapped/share/share-ec1caaa60e2c456a81fe19be28adb18a?si=nkJndC2jQIW_776dGsIiLg&amp;track-id=6GQLHDE3YwtVUdDcMv8xwf</t>
  </si>
  <si>
    <t>https://open.spotify.com/wrapped/share/share-48274bfbafb14460aeb2750973ca016a?si=BYY8oVcyTHKVxmdT5-IkKw&amp;track-id=06qDEAG26TspT2yK2NLgEZ</t>
  </si>
  <si>
    <t>https://open.spotify.com/wrapped/share/share-4088cd035cb64b689ed33acb27ac2c07?si=6AVIwBu4QXabRoCtd0-kcQ&amp;track-id=0158TMiGmHyibaDeaUKayX</t>
  </si>
  <si>
    <t>https://open.spotify.com/wrapped/share/share-799a496c07514c62a2e21415e4f5ffff?si=Wri_TZaoSyypvJ4oXuo1mA&amp;track-id=6J5sxraPPZ4b0CVOGAgpXj</t>
  </si>
  <si>
    <t>https://open.spotify.com/wrapped/share/share-337e6c2787c641b5ad6dcc3392f8f505?si=7302CPG7QGiPPgsKnOVwBA&amp;track-id=0AZjGAFciL2GpwoBqDxgg9</t>
  </si>
  <si>
    <t>https://open.spotify.com/wrapped/share/share-5897417131b14e43a748650a6a4a29bc?si=99P9QZdkQkSUPlryAoQBMA&amp;track-id=5oIVNm56t6OIf9ZjdEG3ud</t>
  </si>
  <si>
    <t>https://open.spotify.com/wrapped/share/share-d2e3cae4c5c7418fa411a5159dacd66a?si=HO5v6W7bRfSJfv1FN91_Zw&amp;track-id=2nLtzopw4rPReszdYBJU6h</t>
  </si>
  <si>
    <t>https://open.spotify.com/wrapped/share/share-d134a9b1231f4365b26a4616a0d28aeb?si=URvCC1xZT0umsegzlSdpqw&amp;track-id=04nN9vTH0g61TjyrM0nK2c</t>
  </si>
  <si>
    <t>https://open.spotify.com/wrapped/share/share-072eb46a2ca748f1939adf947d2b8860?si=Wfjszy7bTySilR7rbvUgEQ&amp;track-id=0qRR9d89hIS0MHRkQ0ejxX</t>
  </si>
  <si>
    <t>5AKAyMEL5LqCkafztPdBSI</t>
  </si>
  <si>
    <t>https://open.spotify.com/wrapped/share/share-47f528d65b34462e96a1d2690a8513a7?si=N0U-I_T-SS-52RQ0a1nyyg&amp;track-id=10QxsSJlNl8jrylYL5XGJO</t>
  </si>
  <si>
    <t>https://open.spotify.com/wrapped/share/share-8f4af9c04aba46f4ab5bb6a2203cb3f3?si=483MhWzwTKa-IpB3X5CIxQ&amp;track-id=3tBZ60j1jQ7NJm8IjelyQe</t>
  </si>
  <si>
    <t>https://open.spotify.com/wrapped/share/share-710ee80d2edd44fda3c7df3fa1febc34?si=uG067IIGTAiZu12B1HHClA&amp;track-id=4c6vZqYHFur11FbWATIJ9P</t>
  </si>
  <si>
    <t>https://open.spotify.com/wrapped/share/share-f2b9a100d2c34957b84d4f5893c6b1fc?si=PUmdpPYfROGNnrdi11NU1w&amp;track-id=69BWKQ0qeTnPHdk4lxuLcD</t>
  </si>
  <si>
    <t>https://open.spotify.com/wrapped/share/share-c7375478878f43409f5350e73575839d?si=Wk2apM1rSKil6IUBrQ6AeQ&amp;track-id=7k2nR2eTRVuzAMCXUj3HMv</t>
  </si>
  <si>
    <t>https://open.spotify.com/wrapped/share/share-827aeac313c0455088e95a3e8f1838de?si=GAE8KvR3T7KdgXpP4tdLiQ&amp;track-id=2GzbeXhNYv3X1F588zT7vl</t>
  </si>
  <si>
    <t>https://open.spotify.com/wrapped/share/share-8296ef8b477244e7bb763f1184f3be0c?si=s2oNewD9R6q0C0vicwwUVg&amp;track-id=6MzofobZt2dm0Kf1hTThFz</t>
  </si>
  <si>
    <t>https://open.spotify.com/wrapped/share/share-42a282610aae451aa0e274cef1b233a1?si=tX07DNovR2SX2PHNjnGOvg&amp;track-id=6rEcXviYlZCEx01m1z7qZv</t>
  </si>
  <si>
    <t>https://open.spotify.com/wrapped/share/share-d6f920297d4b485397baab0e4599c3ac?si=sF6mBv4kSBi_14qbC5vOSA&amp;track-id=698eQRku24PIYPQPHItKlA</t>
  </si>
  <si>
    <t>https://open.spotify.com/wrapped/share/share-23285825735a4ce984eb2c609c987ab6?si=idKqIFKCT4m-r847GBZL6A&amp;track-id=3GKg5UKHIi1Tj2Noz5N0F5</t>
  </si>
  <si>
    <t>https://open.spotify.com/wrapped/share/share-4606dc97dacf45d8bea43156c2ab8264?si=XKHDeianTZKRLXWBmjjbhg&amp;track-id=4MAxWahEbzU8m4bD6mSZg9</t>
  </si>
  <si>
    <t>3iVmzeoFR0AZrn8EYFnEsB</t>
  </si>
  <si>
    <t>https://open.spotify.com/wrapped/share/share-269db85334cb4a4e9ee176e63163e656?si=4xK618j4Tv2mKnbmELPXkw&amp;track-id=6WxuJ0miXSbI56DbuxQODG</t>
  </si>
  <si>
    <t>https://open.spotify.com/wrapped/share/share-f90297832a7348ffb95ba8e66e68e35c?si=kBBYxMaCRDa2gdhDobtBoQ&amp;track-id=4qNYl4NkngYRqf6DtTyD9I</t>
  </si>
  <si>
    <t>https://open.spotify.com/wrapped/share/share-f64e96957c514b408a2a584fd4b64da1?si=qRQRvJh4TveMAaMfKkiQ0g&amp;track-id=69m9WDPBvemwujQwdONslk</t>
  </si>
  <si>
    <t>https://open.spotify.com/wrapped/share/share-592709a3f97c4c69bb16dc932c8244a4?si=55goskcETdOsSG9Sm4Y5TA&amp;track-id=1jyddn36UN4tVsJGtaJfem</t>
  </si>
  <si>
    <t>https://open.spotify.com/wrapped/share/share-a5036267f2c64c4db88321b04937ea3a?si=EZU8ipLkTKO3y-d7WEAe2Q&amp;track-id=5ya0TmUQw2wHMkq36rPsnd</t>
  </si>
  <si>
    <t>3EiDyqPIjDDo6F8RS5Lj4t</t>
  </si>
  <si>
    <t>https://open.spotify.com/wrapped/share/share-055b94e81db84d8db4ba73adde20a05e?si=Yi_yjNsxTcWWK6RRuMl7Tw&amp;track-id=7jvCeWOSnJs2N3spqobWnO</t>
  </si>
  <si>
    <t>https://open.spotify.com/wrapped/share/share-3627fc0652d246dd80e154958e1b155c?si=JdSFxnQ8TVyXiBtWjAXnPw&amp;track-id=1k2pQc5i348DCHwbn5KTdc</t>
  </si>
  <si>
    <t>https://open.spotify.com/wrapped/share/share-23cff67a1a354bd49e85a6074c7345c8?si=3xmYfBg2TPWUEgQQmXMjOQ&amp;track-id=0MIp9iBm1V41ERxkZnmSUG</t>
  </si>
  <si>
    <t>https://open.spotify.com/wrapped/share/share-9bbe17ebc44d48f9b39ec5fc61b70739?si=E3-R9XVAQkKeR6LfCU-txw&amp;track-id=50Emgupm363qIrYBe20FR3</t>
  </si>
  <si>
    <t>https://open.spotify.com/wrapped/share/share-1e28e31832db442ea3571620d924ac64?si=-FnwakoYQY-mZZOZ57fBvQ&amp;track-id=5Vrczz39CvlD3OGCa6utoA</t>
  </si>
  <si>
    <t>https://open.spotify.com/wrapped/share/share-69368446f34c48c5aa2dd80c256a2d2f?si=jqPU5TLyQwKx_AUNcw6-Hw&amp;track-id=46kXlOq68HXFrhkxGV6qtI</t>
  </si>
  <si>
    <t>https://open.spotify.com/wrapped/share/share-de56673ab54c459a9e96d7d26dc8287f?si=n-2k4fFRTyGiFmmHYdRkpg&amp;track-id=5w40ZYhbBMAlHYNDaVJIUu</t>
  </si>
  <si>
    <t>00j7iDi26rWOK6Q1FEv5Jt</t>
  </si>
  <si>
    <t>https://open.spotify.com/wrapped/share/share-f21663e899d843258eaee660ea1c1ae5?si=qMPnSSgFRkK0bYK0TrjqkQ&amp;track-id=38BgRP0EX5p0sBj0fFhqN9</t>
  </si>
  <si>
    <t>https://open.spotify.com/wrapped/share/share-a0252fb048884a7299fa13455dabe635?si=W_368vGGT9OiN8-kKH9GdQ&amp;track-id=2NVTpSoonYCVm7RE8zczEy</t>
  </si>
  <si>
    <t>https://open.spotify.com/wrapped/share/share-31a59fdd850743feba4eb79bbbdf98e9?si=knz4nPvISf2XuaOWF0oaWQ&amp;track-id=0BjqRekzGWZ4es58rTkza9</t>
  </si>
  <si>
    <t>https://open.spotify.com/wrapped/share/share-cce7a1a7a5884bbab3edaa7561a9ae23?si=aI5koJy0SZOC_tnJBpoZYw&amp;track-id=42T2QQv3xgBlpQxaSP7lnK</t>
  </si>
  <si>
    <t>https://open.spotify.com/wrapped/share/share-fde5b7b526d143f3a9e72d05ce22ef53?si=-fpJcCqmTCyhAxHhW2wCrw&amp;track-id=0tgBtQ0ISnMQOKorrN9HLX</t>
  </si>
  <si>
    <t>https://open.spotify.com/wrapped/share/share-11ff2a2f03ef433baec27b2fa0a24bcc?si=OUFXwnohQBuiLWJcGfgTxA&amp;track-id=0B2SaH1ByxhJnoN3VlGnrn</t>
  </si>
  <si>
    <t>3cPoiK69oQ1SdbB2j2ulGm</t>
  </si>
  <si>
    <t>https://open.spotify.com/wrapped/share/share-ed85b54534a947fbb5cdf8f77f855e21?si=LWLk99k2QoeVwAlBb-fqCQ&amp;track-id=0uimoUttVoJT9WV1j2LZqy</t>
  </si>
  <si>
    <t>https://open.spotify.com/wrapped/share/share-a48aaf9a8d454c4aa3b035434ee1f8db?si=7VtmbqY1QdyOs8-2k30LDg&amp;track-id=6b6IMqP565TbtFFZg9iFf3</t>
  </si>
  <si>
    <t>https://open.spotify.com/wrapped/share/share-89046725371242848060e6327ed1720e?si=8a8jDhsISSG6OCBvGFVwaQ&amp;track-id=2SSdjwuUQlkO0s6Kb4II8x</t>
  </si>
  <si>
    <t>https://open.spotify.com/wrapped/share/share-8db0e4cc04a3433cabdfa19b18d2b509?si=2d05_XahSVSfwyWDQ562XQ&amp;track-id=1EDPVGbyPKJPeGqATwXZvN</t>
  </si>
  <si>
    <t>72nSMmmhc9ScOVgKt5TXia</t>
  </si>
  <si>
    <t>https://open.spotify.com/wrapped/share/share-378b2ad050c746079fe3ef7df7dd4ce6?si=U1F6cGF6SlWQOeFdO0hvPA&amp;track-id=2hnMS47jN0etwvFPzYk11f</t>
  </si>
  <si>
    <t>https://open.spotify.com/wrapped/share/share-26171319e5b44362aa96a8dd9916cc55?si=AFIAUaTJTwaGD6Ijj6aJpw&amp;track-id=7uUP4uaSx4zq5GnibE5gZR</t>
  </si>
  <si>
    <t>https://open.spotify.com/wrapped/share/share-11fb64dfccd64127b29044ce96c7a5a7?si=KWQ6Cb94S-CH35wgVSvK1w&amp;track-id=49oxuPnuWOL793zpF6zgLQ</t>
  </si>
  <si>
    <t>https://open.spotify.com/wrapped/share/share-052e8048e1a64cc08fcbbd59cc99e9cd?si=ptsfyQsLSAum_lvk0KLyTQ&amp;track-id=1T4tQ4SSagbhAKpvcWg035</t>
  </si>
  <si>
    <t>https://open.spotify.com/wrapped/share/share-6cc652e6840141139c8510a31dbb471a?si=7-RT09KTTX6VKXfj-FprrQ&amp;track-id=2tznHmp70DxMyr2XhWLOW0</t>
  </si>
  <si>
    <t>https://open.spotify.com/wrapped/share/share-055986bf84c04e718196f21805d66284?si=Vn5E-cu1TLmiI7AAUcYApw&amp;track-id=6q8nlNnBLSAn5tU6tH9Zlz</t>
  </si>
  <si>
    <t>https://open.spotify.com/wrapped/share/share-b79821c7c4324c0990e7b034c0aefe8b?si=t1sBGq9VSB6ssbIHIsla0A&amp;track-id=27RDQ0TfxzWMlQFuKrPT11</t>
  </si>
  <si>
    <t>https://open.spotify.com/wrapped/share/share-0c5d96e952314ab48352aa4d94f0b864?si=MF-Nx2lOT-S6sn6EjQBYCg&amp;track-id=68Dni7IE4VyPkTOH9mRWHr</t>
  </si>
  <si>
    <t>https://open.spotify.com/wrapped/share/share-dc20ffebe15741a485dec5f48c2adac8?si=g0oUftgKQlmNy9fXgAR5oQ&amp;track-id=3jkdQNkDTxxXtjSO4l0o1H</t>
  </si>
  <si>
    <t>https://open.spotify.com/wrapped/share/share-00cbda3bcd0e4be684abd98c35a345bd?si=hv3sviNXSHS87nRhrS-5oA&amp;track-id=5Jh1i0no3vJ9u4deXkb4aV</t>
  </si>
  <si>
    <t>https://open.spotify.com/wrapped/share/share-b0b2d0ed189745baadf534851ec0b0a0?si=6AdskQnGQs-dZg5gjmg_ng&amp;track-id=3aMDzPibtzIRWzASMH44JF</t>
  </si>
  <si>
    <t>https://open.spotify.com/wrapped/share/share-de511763216f41ea80e0b73e4725ef60?si=Mf4xf7UETwStlZxliBMftw&amp;track-id=22H7neCMj03ifZXlix1B6h</t>
  </si>
  <si>
    <t>https://open.spotify.com/wrapped/share/share-3ab2ff40009746d591f2a26f322c6518?si=wt8nogutSlSpn7j2hD0b1Q&amp;track-id=2BY7ALEWdloFHgQZG6VMLA</t>
  </si>
  <si>
    <t>169pWCmfvVazzcL4EXFPgL</t>
  </si>
  <si>
    <t>https://open.spotify.com/wrapped/share/share-b1502391fb8d44059ec4a75379c18180?si=n_2qa4lgShKVgq2gM5aPmg&amp;track-id=7rFYrQfPCNVsZOY7ld2YVX</t>
  </si>
  <si>
    <t>https://open.spotify.com/wrapped/share/share-c3c57012b7e94a3b9dadb307287b1315?si=oXJy9julSmOO3V2_4xLw1Q&amp;track-id=7jPdqwZug0ovtDZsY5uK4T</t>
  </si>
  <si>
    <t>https://open.spotify.com/wrapped/share/share-9f7c32c8d7834bcd8df98a7e904a560d?si=0Q-EbJ_uQA2iQi-6fqkSWw&amp;track-id=6JWddKPdqvDc2WkPEi9grC</t>
  </si>
  <si>
    <t>https://open.spotify.com/wrapped/share/share-2a0b09f8954e4a31a81d9f0cc23c4cd1?si=zkDOCbUmTaaLHA4NQSoS0Q&amp;track-id=4wG82w1L31yQhgGiWt6gIb</t>
  </si>
  <si>
    <t>https://open.spotify.com/wrapped/share/share-ec9b8fc41e5e4d968e9d84d0d59eaf6d?si=13jsy7xwRH-gm5WggI4qRQ&amp;track-id=5JiU3gLHz9AvUnrhXgOmos</t>
  </si>
  <si>
    <t>https://open.spotify.com/wrapped/share/share-0d3290396a994623905421b29ee8e422?si=xbykg1njQTmxPO_tSyt6aA&amp;track-id=5UsLjwBaTHBX4ektWIr4XX</t>
  </si>
  <si>
    <t>https://open.spotify.com/wrapped/share/share-86ddd7bf9d1d442dbd426d5ba6def17f?si=TKpdHV9mSlKg_uQ2dBAzeg&amp;track-id=3hUxzQpSfdDqwM3ZTFQY0K</t>
  </si>
  <si>
    <t>https://open.spotify.com/wrapped/share/share-38b684381ee94b2e899d1346a8eff09c?si=OVQy-Ns9RticA00WdG_x_Q&amp;track-id=19JPKFRxR6Kf90mQR3ixOi</t>
  </si>
  <si>
    <t>https://open.spotify.com/wrapped/share/share-c86c6ec3813041b1b7bd08ab7440c045?si=5aq3gpMRQbedOoQBzxpLAw&amp;track-id=0MpQPb1hrwk4dPiyWEGmer</t>
  </si>
  <si>
    <t>https://open.spotify.com/wrapped/share/share-e6a9952dafe446bb8ac938540080d71a?si=2ZxMt-a4SPKONy9JbB3mCg&amp;track-id=5j0McHPthKpOXRr3fBq8M0</t>
  </si>
  <si>
    <t>https://open.spotify.com/wrapped/share/share-f434c45b72364497a257c8702c6a4125?si=m0WjZZY3RqSSYdB2-ROFrA&amp;track-id=6Y4rniIxibegzsg8cdWAWV</t>
  </si>
  <si>
    <t>43dcCpx19I0R4zLr4KH1UC</t>
  </si>
  <si>
    <t>https://open.spotify.com/wrapped/share/share-aba86ffa9e714657b94febfcdec64398?si=tCypo-TMQ0-IxAhNcHID8Q&amp;track-id=1LAlLBTGBUO0MDA8IbSysd</t>
  </si>
  <si>
    <t>https://open.spotify.com/wrapped/share/share-e6bd04de895245fbbb04d16b51da0c31?si=IIdodGNlS0i_Mte4JE_AxQ&amp;track-id=3aMDzPibtzIRWzASMH44JF</t>
  </si>
  <si>
    <t>4HfLQJtVT1KiX1eVedDyTm</t>
  </si>
  <si>
    <t>5bjB0xPlN7fR1roEedzQvg</t>
  </si>
  <si>
    <t>https://open.spotify.com/wrapped/share/share-fc38a41d573c47aa9cd9ac4517a99388?si=aPtCZOfBStKxa_IWl9rAlQ&amp;feature=wrapped&amp;track-id=3BH2a8rOc8nnB6tm0KJUhu</t>
  </si>
  <si>
    <t>7ygpwy2qP3NbrxVkHvUhXY</t>
  </si>
  <si>
    <t>https://open.spotify.com/wrapped/share/share-ea0d244867484a40ad80642bf737e0bc?si=5aT93KBtQnywxSZIdafgNQ&amp;feature=wrapped&amp;track-id=6H3kDe7CGoWYBabAeVWGiD</t>
  </si>
  <si>
    <t>https://open.spotify.com/wrapped/share/share-a11e838e52eb4ec6bf2f865438b356bf?si=Vag3E1IjQOaGg4o153JZXA&amp;track-id=7FOgcfdz9Nx5V9lCNXdBYv</t>
  </si>
  <si>
    <t>https://open.spotify.com/wrapped/share/share-751f9180353243679d1ce6ca45d0f330?si=JDvvp-M9RpmyzlO8QHu_XQ&amp;feature=wrapped&amp;track-id=4GyZ7Cc8K7Es48vMyiOso2</t>
  </si>
  <si>
    <t>https://open.spotify.com/wrapped/share/share-f61f8875aa654d2ca6ad8207af41a7d6?si=3eO8QanXSaKZeX0yPYbAIA&amp;feature=wrapped&amp;track-id=2r6rQc8mbPzWERVtdBR7lV</t>
  </si>
  <si>
    <t>https://open.spotify.com/wrapped/share/share-e3504cbe313641ac8eed623e39e01be2?si=VXMA8dLHRg6IztEX7Xo-cg&amp;feature=wrapped&amp;track-id=6c0G8K6G2LlIfJTsRLJjfs</t>
  </si>
  <si>
    <t>5G2f63n7IPVPPjfNIGih7Q</t>
  </si>
  <si>
    <t>https://open.spotify.com/wrapped/share/share-c6105d71df3a4d2fbe51b4b3544ad42a?si=itlbf959TvmPjV3gw_l2Yg&amp;feature=wrapped&amp;track-id=1nrgBXtczBXNSlqIezjwbR</t>
  </si>
  <si>
    <t>https://open.spotify.com/wrapped/share/share-78678a74fbd34cc89817626f83469817?si=t9DHcWUrQCunMMhVQAXmmQ&amp;track-id=5JVbvCHX10U2pLa5DEqGav</t>
  </si>
  <si>
    <t>https://open.spotify.com/wrapped/share/share-0000a41981ad4dac84654d2454e92327?si=QIlP1mC-RXK-A3yrONJrjQ&amp;feature=wrapped&amp;track-id=6D8y7Bck8h11byRY88Pt2z</t>
  </si>
  <si>
    <t>https://open.spotify.com/wrapped/share/share-593ab4a3d2124b7cbc18ca9b146dcba2?si=YDMOMt4-ROuy08V3Kr0HXg&amp;track-id=3spdoTYpuCpmq19tuD0bOe</t>
  </si>
  <si>
    <t>https://open.spotify.com/wrapped/share/share-9aa67d2a03e540e89804c2acd18876b8?si=r6GqAHR0R7ahPztBxRkV_g&amp;feature=wrapped&amp;track-id=57yL3161hUMuw06zzzUCHi</t>
  </si>
  <si>
    <t>https://open.spotify.com/wrapped/share/share-8abcfeb7a7354c5d94093174d5db75fa?si=UGW3QfgGRSG3EZAeWt-j8Q&amp;track-id=6pamafD9p0K7FHfJPz6TYF</t>
  </si>
  <si>
    <t>2MQhTbX792AT6YyzwLz9dt</t>
  </si>
  <si>
    <t>https://open.spotify.com/wrapped/share/share-e3cbbfdb0c7f4ada91ed707ba29d8e8b?si=_CmgLR18T0GgRSje99QZbQ&amp;track-id=7mFhyM0k5ZKG8jxcwmPVYl</t>
  </si>
  <si>
    <t>https://open.spotify.com/wrapped/share/share-356c2b33f7964509bd36ee67907d1040?si=eyR18eSTSpGFoTKKiOFBHg&amp;feature=wrapped&amp;track-id=66OrNUst0atPTFTVeJsBOI</t>
  </si>
  <si>
    <t>https://open.spotify.com/wrapped/share/share-255dbcf41e9248c0a81903591b1d503d?si=e5zwTRJlTsuygQp5Kz28hA&amp;feature=wrapped&amp;track-id=66rVt7PbwyKlu6CK6rxyAi</t>
  </si>
  <si>
    <t>https://open.spotify.com/wrapped/share/share-fb1226575e164272b4260537c6437602?si=8DQEnmJFRuOrKlLq18nNtw&amp;feature=wrapped&amp;track-id=3rUGC1vUpkDG9CZFHMur1t</t>
  </si>
  <si>
    <t>https://open.spotify.com/wrapped/share/share-5191291ab1a440a786db7912b0caa371?si=k-vE4G3eRnm7xr7mVjnLiQ&amp;track-id=6Xw2FLih8m5ItDbyP992HH</t>
  </si>
  <si>
    <t>https://open.spotify.com/wrapped/share/share-6cc405c1aee04a628bab23e0c60b4f61?si=ZR9gR_f6TVGYKWSpsOyswg&amp;track-id=6GG4yyk3UATdBfTHVgI8PB</t>
  </si>
  <si>
    <t>https://open.spotify.com/wrapped/share/share-deb5e3e222f2418cb2854af942a31ed9?si=qyyvXqrvTgmACX_AJOAY2w&amp;feature=wrapped&amp;track-id=6gbiTbclnHlmSIPfmF2zEc</t>
  </si>
  <si>
    <t>https://open.spotify.com/wrapped/share/share-48d819e5623a4b72804075251fa5bb15?si=-z3_6AjCRd6PeCmNdHUx6g&amp;feature=wrapped&amp;track-id=0hhzNPE68LWLfgZwdpxVdR</t>
  </si>
  <si>
    <t>https://open.spotify.com/wrapped/share/share-69edb21209b84662aff015b0baeca587?si=72joIgxrSSuWF751VJhHYg&amp;feature=wrapped&amp;track-id=08TjqEEAO32VuF002ePbTz</t>
  </si>
  <si>
    <t>36phXHOKx8rO7CMp2vNX4x</t>
  </si>
  <si>
    <t>https://open.spotify.com/wrapped/share/share-b6c390b3d03641be851270c460532338?si=y36EyTz1Sq-R1McWgEDwBA&amp;feature=wrapped&amp;track-id=7kDUspsoYfLkWnZR7qwHZl</t>
  </si>
  <si>
    <t>0VwTeYNjcl30DyQlt3GPe0</t>
  </si>
  <si>
    <t>https://open.spotify.com/wrapped/share/share-8adea404ff2f4c5b9b0dffe52cd4523f?si=Wv1BDuSURDG-g4IDRWnkdQ&amp;track-id=5FdYRHYIyzYp8SDL3BrL81</t>
  </si>
  <si>
    <t>7GVQS66ukm48XZVymA3ZUg</t>
  </si>
  <si>
    <t>4d1WMnL8dMh37ZZnMGvG59</t>
  </si>
  <si>
    <t>5j0McHPthKpOXRr3fBq8M0</t>
  </si>
  <si>
    <t>1kuGVB7EU95pJObxwvfwKS</t>
  </si>
  <si>
    <t>7K3BhSpAxZBznislvUMVtn</t>
  </si>
  <si>
    <t>3IvTwPCCjfZczCN2k4qPiH</t>
  </si>
  <si>
    <t>5Ts1DYOuouQLgzTaisxWYh</t>
  </si>
  <si>
    <t>7Mts0OfPorF4iwOomvfqn1</t>
  </si>
  <si>
    <t>https://open.spotify.com/track/1Lo0QY9cvc8sUB2vnIOxDT?si=yVyyd3bWQMiOnSH0JkXrkw&amp;context=spotify%3Aplaylist%3A37i9dQZF1FoyQGyinuuvRu</t>
  </si>
  <si>
    <t>53zCCom4uEoIBaOAEJtjUL</t>
  </si>
  <si>
    <t>https://open.spotify.com/track/0k5hoseEJnCAbpRh38dNoI?si=Q3WUKGC5RbaaJkS18SPuvw&amp;context=spotify%3Aplaylist%3A37i9dQZF1FoyQGyinuuvRu</t>
  </si>
  <si>
    <t>https://open.spotify.com/track/1UHS8Rf6h5Ar3CDWRd3wjF?si=Xk-NN-eYTwWnN8ALcgPiqQ&amp;context=spotify%3Aplaylist%3A37i9dQZF1FoyQGyinuuvRu</t>
  </si>
  <si>
    <t>https://open.spotify.com/track/5TTyyKNJZHONhjtAiXL1nG?si=-RIvsEpARB-t6y9tbjHFPg</t>
  </si>
  <si>
    <t>7F3suGXGa7XtKdqsG8N6RC</t>
  </si>
  <si>
    <t>https://open.spotify.com/track/5B6Kjha6RRIMWGN7zGsAaT?si=MPS1VcaMT7WAo2t0eLSIFQ&amp;context=spotify%3Aplaylist%3A37i9dQZF1FoyQGyinuuvRu</t>
  </si>
  <si>
    <t>https://open.spotify.com/track/6CNKcu9SBPWKMkBvMkPRBT?si=wMFTjCVJRXC7B1Cvgvnb3g&amp;context=spotify%3Aplaylist%3A37i9dQZF1FoyQGyinuuvRu</t>
  </si>
  <si>
    <t>5ySgEEGoCBMtomsrN0fOm7</t>
  </si>
  <si>
    <t>https://open.spotify.com/track/3PRTKWFigJCi47YAEsBpiP?si=SzqUA7MpTGyv3Gp8NqBGBw&amp;context=spotify%3Aplaylist%3A37i9dQZF1FoyQGyinuuvRu</t>
  </si>
  <si>
    <t>https://open.spotify.com/track/7hR5toSPEgwFZ78jfHdANM?si=uc4zuiPgQvOlA5wENVitDQ&amp;context=spotify%3Aplaylist%3A37i9dQZF1FoyQGyinuuvRu</t>
  </si>
  <si>
    <t>https://open.spotify.com/track/6wf7Yu7cxBSPrRlWeSeK0Q?si=CiTlUCUiTP2D7arT10Aqow&amp;context=spotify%3Aplaylist%3A37i9dQZF1FoyQGyinuuvRu</t>
  </si>
  <si>
    <t>https://open.spotify.com/track/7hR22TOX3RorxJPcsz5Wbo?si=vnGKa9SRQ4KHjf6xcMnpvA</t>
  </si>
  <si>
    <t>https://open.spotify.com/track/4ioTh5Nrk0Vp8X3u1tHhob?si=DkUqrHY1TR-wVros8EMTSA&amp;context=spotify%3Aplaylist%3A37i9dQZF1FoyQGyinuuvRu</t>
  </si>
  <si>
    <t>https://open.spotify.com/track/72PoJMDfdaw9gGECgA9kTZ?si=tagrmjnOSLy-dxqw2cNZNg&amp;context=spotify%3Aplaylist%3A37i9dQZF1FoyQGyinuuvRu</t>
  </si>
  <si>
    <t>https://open.spotify.com/track/1Nl0nKMX15Q3c1CS5E3DSM?si=X81nLfTnTuSoPsdzP4oMCA&amp;context=spotify%3Aplaylist%3A37i9dQZF1FoyQGyinuuvRu</t>
  </si>
  <si>
    <t>https://open.spotify.com/track/7ob2RAHoWaQsIZ6XaoaEnG?si=x3F3Qa1kS12xtgRzIxCn7w&amp;context=spotify%3Aplaylist%3A37i9dQZF1FoyQGyinuuvRu</t>
  </si>
  <si>
    <t>5JiU3gLHz9AvUnrhXgOmos</t>
  </si>
  <si>
    <t>https://open.spotify.com/track/6dOtVTDdiauQNBQEDOtlAB?si=eBxwdAy0TPaqK3xuLMpSXw&amp;context=spotify%3Aplaylist%3A37i9dQZF1FoyQGyinuuvRu</t>
  </si>
  <si>
    <t>https://open.spotify.com/track/4fCURHaPS3CQBcYsnTidvW?si=64Dr6MyQSTiwLN5XOS9MiA&amp;context=spotify%3Aplaylist%3A37i9dQZF1FoyQGyinuuvRu</t>
  </si>
  <si>
    <t>https://open.spotify.com/track/7zBg6qxuNUz0mBdr85l6ng?si=yTddjAydTKafAqjF6-L9qg&amp;context=spotify%3Aplaylist%3A37i9dQZF1FoyQGyinuuvRu</t>
  </si>
  <si>
    <t>https://open.spotify.com/track/6mADjHs6FXdroPzEGW6KVJ?si=0w1VOcHmRJG7b9xRADdvZw&amp;context=spotify%3Aplaylist%3A37i9dQZF1FoyQGyinuuvRu</t>
  </si>
  <si>
    <t>https://open.spotify.com/track/4laAKIq9ZxBCwf99rauPYb?si=juHycChiStquoC55hoWihg&amp;context=spotify%3Aplaylist%3A37i9dQZF1FoyQGyinuuvRu</t>
  </si>
  <si>
    <t>5KeIVGRr2dEmUJDuwEzQB8</t>
  </si>
  <si>
    <t>https://open.spotify.com/track/5tlXwZ4m7dbRZyG4natJZ1?si=tVg5KMzAQzeFd1B2gYj2sw</t>
  </si>
  <si>
    <t>https://open.spotify.com/track/1INWPr855fwWdAOeecbu0W?si=ed3Kq2yjQ5mNLbw7YbUvog&amp;context=spotify%3Aplaylist%3A37i9dQZF1FoyQGyinuuvRu</t>
  </si>
  <si>
    <t>https://open.spotify.com/track/5I9K1oVuO22OehDQZnxdr2?si=i9RFSTUlRJuvLT0ZW38jOw&amp;context=spotify%3Aplaylist%3A37i9dQZF1FoyQGyinuuvRu</t>
  </si>
  <si>
    <t>https://open.spotify.com/track/45bMR5YEj1fsOVkcHbVW6s?si=v0a0iCQ9SnakypJSAKzXxA&amp;context=spotify%3Aplaylist%3A37i9dQZF1FoyQGyinuuvRu</t>
  </si>
  <si>
    <t>https://open.spotify.com/track/1OYHXCuHdzHjpHqHlY1g1r?si=FL6C4Om6S4GnfgeySfny_Q&amp;context=spotify%3Aplaylist%3A37i9dQZF1FoyQGyinuuvRu</t>
  </si>
  <si>
    <t>https://open.spotify.com/track/0Mr9OCnxOxbnFpmmCa85x2?si=xB_RmWZSQ1iJnz-UKWOX-A&amp;context=spotify%3Aplaylist%3A37i9dQZF1FoyQGyinuuvRu</t>
  </si>
  <si>
    <t>https://open.spotify.com/track/3R47KOuGuGvmoeQqbODPa3?si=1R_gNafPTI-sxgSWP-mFOA&amp;context=spotify%3Aplaylist%3A37i9dQZF1FoyQGyinuuvRu</t>
  </si>
  <si>
    <t>https://open.spotify.com/track/3COk8dMEndoyUTFdCxHHN8?si=RLEKDgVbRy6GI_29vxqLMA&amp;context=spotify%3Aplaylist%3A37i9dQZF1FoyQGyinuuvRu</t>
  </si>
  <si>
    <t>https://open.spotify.com/track/2ap0aBgxnBfS2GZARlx1z7?si=vc5iccf3RR2DuBIW7my1sg&amp;context=spotify%3Aplaylist%3A37i9dQZF1FoyQGyinuuvRu</t>
  </si>
  <si>
    <t>https://open.spotify.com/track/5Eh1nj7IjV9lwpcKAkidyY?si=_YSBxUbuTjixonlAwQ2TmA&amp;context=spotify%3Aplaylist%3A37i9dQZF1FoyQGyinuuvRu</t>
  </si>
  <si>
    <t>https://open.spotify.com/track/4QMgEffJQuKtjCNvqfRZ0m?si=wpW4MRGvTOe13qpChtkBBw&amp;context=spotify%3Aplaylist%3A37i9dQZF1FoyQGyinuuvRu</t>
  </si>
  <si>
    <t>https://open.spotify.com/track/5q0EXnBYyeCdXD72FzJxH0?si=cuwBOZ79SNqA3VmY58CQVg&amp;context=spotify%3Aplaylist%3A37i9dQZF1FoyQGyinuuvRu</t>
  </si>
  <si>
    <t>https://open.spotify.com/track/6iCW2e9BR83fJLit5BFchl?si=uuSvipQcSdSdtW31pPP-Iw&amp;context=spotify%3Aplaylist%3A37i9dQZF1FoyQGyinuuvRu</t>
  </si>
  <si>
    <t>https://open.spotify.com/track/0WbMK4wrZ1wFSty9F7FCgu?si=eLLeCr-bRsKzkOg46oywLA&amp;context=spotify%3Aplaylist%3A37i9dQZF1FoyQGyinuuvRu</t>
  </si>
  <si>
    <t>https://open.spotify.com/track/6bPF8VDAb12I4TG7IZjVeX?si=ftrU-7GnRuGCbOzO7-mFQQ&amp;context=spotify%3Aplaylist%3A37i9dQZF1FoyQGyinuuvRu</t>
  </si>
  <si>
    <t>5DQU4Fmdx7Hs7pwtcZMSTK</t>
  </si>
  <si>
    <t>https://open.spotify.com/track/7hR22TOX3RorxJPcsz5Wbo?si=LLt48yMQSoaFqyKZQxfPxw&amp;context=spotify%3Aplaylist%3A37i9dQZF1FoyQGyinuuvRu</t>
  </si>
  <si>
    <t>https://open.spotify.com/track/10vkYRKw6Jjr7try1ir50G?si=cnLHwfnYS6ahvZ6keRMe5g&amp;context=spotify%3Aplaylist%3A37i9dQZF1FoyQGyinuuvRu</t>
  </si>
  <si>
    <t>https://open.spotify.com/track/353l8u2CCNBek7Nd3Q3Txa?si=sfpMmMynRKurfyl7zjPaIQ&amp;context=spotify%3Aplaylist%3A37i9dQZF1FoyQGyinuuvRu</t>
  </si>
  <si>
    <t>1DgtQlVNotingln271ZKCx</t>
  </si>
  <si>
    <t>https://open.spotify.com/track/0fsjGGhENGu1notSXZYU7m?si=npO4dEBNQDajFCgY0C7ZGw&amp;context=spotify%3Aplaylist%3A37i9dQZF1FoyQGyinuuvRu</t>
  </si>
  <si>
    <t>https://open.spotify.com/track/2OzhQlSqBEmt7hmkYxfT6m?si=W4reNniCSr2Sv9_VfxtAbg&amp;context=spotify%3Aplaylist%3A37i9dQZF1FoyQGyinuuvRu</t>
  </si>
  <si>
    <t>https://open.spotify.com/track/51rfRCiUSvxXlCSCfIztBy?si=UYm6zHSZS4CCOxM4AhXoXA&amp;context=spotify%3Aplaylist%3A37i9dQZF1FoyQGyinuuvRu</t>
  </si>
  <si>
    <t>https://open.spotify.com/track/0wXThIDxO3YRJCpPgnmbkw?si=jbcvElEwQU2_xkoBJuaKaQ&amp;context=spotify%3Aplaylist%3A37i9dQZF1FoyQGyinuuvRu</t>
  </si>
  <si>
    <t>https://open.spotify.com/track/2at8MSHDZp9QTDo2mdHP4d?si=qC-592pbR1aRft9vdsqLvQ&amp;context=spotify%3Aplaylist%3A37i9dQZF1FoyQGyinuuvRu</t>
  </si>
  <si>
    <t>https://open.spotify.com/track/7D97JnBT73FWUh9KmRvP9M?si=6N2uOkMBRzC2z5GEVPbz5w&amp;context=spotify%3Aplaylist%3A37i9dQZF1FoyQGyinuuvRu</t>
  </si>
  <si>
    <t>https://open.spotify.com/track/2U3jOPfO4wZZFaaWS4Dcj6?si=Uqhji5dIRFCMcTnIMCuDPw&amp;context=spotify%3Aplaylist%3A37i9dQZF1FoyQGyinuuvRu</t>
  </si>
  <si>
    <t>https://open.spotify.com/track/6206Kvrl6LTMvDomHgEDMH?si=Ipl9_ox4SWif4Xpk3_PVxA&amp;context=spotify%3Aplaylist%3A37i9dQZF1FoyQGyinuuvRu</t>
  </si>
  <si>
    <t>5GCU2LJWPzoP8Q6nexs61z</t>
  </si>
  <si>
    <t>76JKIsdKrAfWUMjaA0u7v5</t>
  </si>
  <si>
    <t>https://open.spotify.com/track/1zeQjPT367QcGrkpIXYjuW?si=TkxFAfzaRf6qWa72jW4x1Q&amp;context=spotify%3Aplaylist%3A37i9dQZF1FoyQGyinuuvRu</t>
  </si>
  <si>
    <t>25uMKq5kygC2woAfeetEfE</t>
  </si>
  <si>
    <t>https://open.spotify.com/track/4SEXboxQAkx6VzfxkEW0BA?si=tEjgmo6ARA-pZoCCkuH1RA&amp;context=spotify%3Aplaylist%3A37i9dQZF1FoyQGyinuuvRu</t>
  </si>
  <si>
    <t>https://open.spotify.com/track/2gyxAWHebV7xPYVxqoi86f?si=nl876CT6SJGeLwXBj_hJzA&amp;context=spotify%3Aplaylist%3A37i9dQZF1FoyQGyinuuvRu</t>
  </si>
  <si>
    <t>https://open.spotify.com/track/2d8UxVNhJinc8uat9PoM9y?si=E6gGh2EHQHaE-zmP8WbOjA&amp;context=spotify%3Aplaylist%3A37i9dQZF1FoyQGyinuuvRu</t>
  </si>
  <si>
    <t>https://open.spotify.com/track/5HvDKyJlHWg42BdsE4ycSm?si=6NN1VY3rTR2PpfdHjVuuEw&amp;context=spotify%3Aplaylist%3A37i9dQZF1FoyQGyinuuvRu</t>
  </si>
  <si>
    <t>https://open.spotify.com/track/4TJUS843fKiqqIzycM74Oy?si=KytffOlUSrSE4A58yQhgog&amp;context=spotify%3Aplaylist%3A37i9dQZF1FoyQGyinuuvRu</t>
  </si>
  <si>
    <t>https://open.spotify.com/track/2C86Vf9K43LG8GWCHObAzP?si=8VO_5GFRTWS61LNK2BPamQ&amp;context=spotify%3Aplaylist%3A37i9dQZF1FoyQGyinuuvRu</t>
  </si>
  <si>
    <t>https://open.spotify.com/track/3GFC8G5pFOpTCnPR9KFAj5?si=k_EL4ZDeTwuhvkcDb5Jiyw&amp;context=spotify%3Aplaylist%3A37i9dQZF1FoyQGyinuuvRu</t>
  </si>
  <si>
    <t>0QosomGFiJYOxj2ViZfqng</t>
  </si>
  <si>
    <t>https://open.spotify.com/track/2VSbEXqs6NbNiZSTcHlIDR?si=940WDbWXRwOPex8ALW9k8w&amp;context=spotify%3Aplaylist%3A37i9dQZF1FoyQGyinuuvRu</t>
  </si>
  <si>
    <t>https://open.spotify.com/track/5JnHzjo25FY1fMQMQVOawB?si=5Dy2dPSVQDmrkQmjK8ixpw&amp;context=spotify%3Aplaylist%3A37i9dQZF1FoyQGyinuuvRu</t>
  </si>
  <si>
    <t>https://open.spotify.com/track/1wLN48gT4YmUWs4WMgnw2n?si=zoGruS-DSyC7M3wQgPVwAg&amp;context=spotify%3Aplaylist%3A37i9dQZF1FoyQGyinuuvRu</t>
  </si>
  <si>
    <t>https://open.spotify.com/track/71fcNlXfJu1aWQmABFyZ2j?si=2-aTvsydSaqhNLl4Lbabfg&amp;context=spotify%3Aplaylist%3A37i9dQZF1FoyQGyinuuvRu</t>
  </si>
  <si>
    <t>https://open.spotify.com/track/6k07Z7rd9og1FvRJD2n9E8?si=VCKv1Jf6QBaIygTdB4LbRA&amp;context=spotify%3Aplaylist%3A37i9dQZF1FoyQGyinuuvRu</t>
  </si>
  <si>
    <t>https://open.spotify.com/track/2sHahlW8ib7C7GkuV39tKR?si=6H6t_oiBQLKPWAYeVdBFQg&amp;context=spotify%3Aplaylist%3A37i9dQZF1FoyQGyinuuvRu</t>
  </si>
  <si>
    <t>https://open.spotify.com/track/7IL4oYjqU58OrarBeQnn0x?si=1T7P2xitS9ulScNnfoZ7aA&amp;context=spotify%3Aplaylist%3A37i9dQZF1FoyQGyinuuvRu</t>
  </si>
  <si>
    <t>https://open.spotify.com/track/2HfbUxCrf9SWnQy3vndaC6?si=o3kkY9HYTm6rDiPca-pY9A&amp;context=spotify%3Aplaylist%3A37i9dQZF1FoyQGyinuuvRu</t>
  </si>
  <si>
    <t>5IZXB5IKAD2qlvTPJYDCFB</t>
  </si>
  <si>
    <t>4ZVZBc5xvMyV3WzWktn8i7</t>
  </si>
  <si>
    <t>https://open.spotify.com/track/799KrpEbhZp0MHeiA8YK9P?si=CK-58iDxTQKzGcu2VbvDlQ&amp;context=spotify%3Aplaylist%3A37i9dQZF1FoyQGyinuuvRu</t>
  </si>
  <si>
    <t>https://open.spotify.com/track/47Xj8eIAp7hYOOqArmkqZE?si=-huw9h9yRseSTFE6SB9nUA&amp;context=spotify%3Aplaylist%3A37i9dQZF1FoyQGyinuuvRu</t>
  </si>
  <si>
    <t>https://open.spotify.com/track/2FQrifJ1N335Ljm3TjTVVf?si=DXeF-ujAQCeAxnn3sB-mzg&amp;context=spotify%3Aplaylist%3A37i9dQZF1FoyQGyinuuvRu</t>
  </si>
  <si>
    <t>https://open.spotify.com/track/49OMJ1prsRA7ZYgrAjz70c?si=shU4JSGYShWSCns2-sl0Hw&amp;context=spotify%3Aplaylist%3A37i9dQZF1FoyQGyinuuvRu</t>
  </si>
  <si>
    <t>1wqokYd6jXynRI4zhGC93X</t>
  </si>
  <si>
    <t>https://open.spotify.com/track/0lJNSfWnwJMIh94Dv9jQUt?si=P1U_eq7cT7WVQUQ01mq07Q&amp;context=spotify%3Aplaylist%3A37i9dQZF1FoyQGyinuuvRu</t>
  </si>
  <si>
    <t>https://open.spotify.com/track/32mcz82FOIucA49qkynFVB?si=we4yXpZ6Ql63HdJ7gNY-Gw&amp;context=spotify%3Aplaylist%3A37i9dQZF1FoyQGyinuuvRu</t>
  </si>
  <si>
    <t>2HRqTpkrJO5ggZyyK6NPWz</t>
  </si>
  <si>
    <t>https://open.spotify.com/track/6f2unaaUhIqTkbHsWMbGcm?si=l2947eYVQ567vTqQp3tl-w&amp;context=spotify%3Aplaylist%3A37i9dQZF1FoyQGyinuuvRu</t>
  </si>
  <si>
    <t>https://open.spotify.com/track/2FQrifJ1N335Ljm3TjTVVf?si=fGUU_u1NTvKBwpwoQfhwwA&amp;context=spotify%3Aplaylist%3A37i9dQZF1FoyQGyinuuvRu</t>
  </si>
  <si>
    <t>https://open.spotify.com/track/42TtHTxWk782ZBiqyOi2d1?si=o5gEi1khT_q_4vbEJsQd1w&amp;context=spotify%3Aplaylist%3A37i9dQZF1FoyQGyinuuvRu</t>
  </si>
  <si>
    <t>https://open.spotify.com/track/1ZY1PqizIl78geGM4xWlEA?si=9AnZigapTRqCTYKvjBYNLw&amp;context=spotify%3Aplaylist%3A37i9dQZF1FoyQGyinuuvRu</t>
  </si>
  <si>
    <t>https://open.spotify.com/track/0WbMK4wrZ1wFSty9F7FCgu?si=SgUFzfYtQaKx1oiI-Hi7HQ&amp;context=spotify%3Aplaylist%3A37i9dQZF1FoyQGyinuuvRu</t>
  </si>
  <si>
    <t>Checked^</t>
  </si>
  <si>
    <t>https://open.spotify.com/track/4pkb8SbRGeHAvdb87v9rpf?si=g0rYJJKlShiLrE_FqGM4ZQ&amp;context=spotify%3Aplaylist%3A37i9dQZF1FoyQGyinuuvRu</t>
  </si>
  <si>
    <t>https://open.spotify.com/track/1ZozJfi8u9cO2Ob8KwiwNT?si=daa_ONnQQOaHjOwMhqWCbQ&amp;context=spotify%3Aplaylist%3A37i9dQZF1FoyQGyinuuvRu</t>
  </si>
  <si>
    <t>https://open.spotify.com/track/5mIOsPuQdXchVY0jB5NO9Q?si=DEbJ3g69QrCaA7H3UuUYYw&amp;context=spotify%3Aplaylist%3A37i9dQZF1FoyQGyinuuvRu</t>
  </si>
  <si>
    <t>https://open.spotify.com/track/0B1DzuAnGyav6VsGRYDrjM?si=HQ2J0_tATOuftPvFM3rr6g&amp;context=spotify%3Aplaylist%3A37i9dQZF1FoyQGyinuuvRu</t>
  </si>
  <si>
    <t>https://open.spotify.com/track/3xkHsmpQCBMytMJNiDf3Ii?si=O-6X27VFTBKlid63a6pRYw&amp;context=spotify%3Aplaylist%3A37i9dQZF1FoyQGyinuuvRu</t>
  </si>
  <si>
    <t>https://open.spotify.com/track/1zU0kAJdEPyRs4x5gkQQER?si=iHWYBZ5XT6SB1vkozhWnAg&amp;context=spotify%3Aplaylist%3A37i9dQZF1FoyQGyinuuvRu</t>
  </si>
  <si>
    <t>https://open.spotify.com/track/12q3V8ShACq2PSWINMc2rC?si=dEIYrVS7TsOZKA1L4UyWww&amp;context=spotify%3Aplaylist%3A37i9dQZF1FoyQGyinuuvRu</t>
  </si>
  <si>
    <t>https://open.spotify.com/track/09Qrzf6qOsYDL1yz9tFUS0?si=r3z_oeV_SxWlWDb6JkCIMw&amp;context=spotify%3Aplaylist%3A37i9dQZF1FoyQGyinuuvRu</t>
  </si>
  <si>
    <t>https://open.spotify.com/track/7dI0mSvbdJTynUnEkWIom1?si=EkmObDmaTQqpv7wGZFx_Hg&amp;context=spotify%3Aplaylist%3A37i9dQZF1FoyQGyinuuvRu</t>
  </si>
  <si>
    <t>https://open.spotify.com/track/4mIHgQ3ofK2RK34UdbqMbe?si=ziS7OrLtTyihPIzaGiXMSQ&amp;context=spotify%3Aplaylist%3A37i9dQZF1FoyQGyinuuvRu</t>
  </si>
  <si>
    <t>https://open.spotify.com/track/4sNG6zQBmtq7M8aeeKJRMQ?si=cn9uaTI0Qnes4DOPQXbjLg&amp;context=spotify%3Aplaylist%3A37i9dQZF1FoyQGyinuuvRu</t>
  </si>
  <si>
    <t>https://open.spotify.com/track/4nHJcUtNSUVjXRnjdP29Bk?si=fcxwzfA6RsOyjuHP-SaZdg&amp;context=spotify%3Aplaylist%3A37i9dQZF1FoyQGyinuuvRu</t>
  </si>
  <si>
    <t>1L0O1FRgee0LRZCtA1O6uA</t>
  </si>
  <si>
    <t>https://open.spotify.com/track/5CfsbLLaJ6GGzEuRjYFRhT?si=U4V2-lw-TieCchd3dzKbbg&amp;context=spotify%3Aplaylist%3A37i9dQZF1FoyQGyinuuvRu</t>
  </si>
  <si>
    <t>https://open.spotify.com/track/1BxfuPKGuaTgP7aM0Bbdwr?si=FmWIwGLdQdGToDnDlO-bUg&amp;context=spotify%3Aplaylist%3A37i9dQZF1FoyQGyinuuvRu</t>
  </si>
  <si>
    <t>https://open.spotify.com/track/2Zo1PcszsT9WQ0ANntJbID?si=-XVDUqJ6QPuHo8wiEwYAfA&amp;context=spotify%3Aplaylist%3A37i9dQZF1FoyQGyinuuvRu</t>
  </si>
  <si>
    <t>https://open.spotify.com/track/2kvlpIO6c9yvKAzk2KF0IS?si=gObzb2VYSYuzv4h_IEAzag&amp;context=spotify%3Aplaylist%3A37i9dQZF1FoyQGyinuuvRu</t>
  </si>
  <si>
    <t>https://open.spotify.com/track/4xdBrk0nFZaP54vvZj0yx7?si=NMkws-ipRYWFOqgv-TyZWw&amp;context=spotify%3Aplaylist%3A37i9dQZF1FoyQGyinuuvRu</t>
  </si>
  <si>
    <t>https://open.spotify.com/track/7b6sWLSnbZhSIeqNGrJ4py?si=gq4FYxUASB6IPVjTJm7gdA&amp;context=spotify%3Aplaylist%3A37i9dQZF1FoyQGyinuuvRu</t>
  </si>
  <si>
    <t>https://open.spotify.com/track/5FQ77Cl1ndljtwwImdtjMy?si=UcJIYjNmT7aK88-AAAh6aA&amp;context=spotify%3Aplaylist%3A37i9dQZF1FoyQGyinuuvRu</t>
  </si>
  <si>
    <t>https://open.spotify.com/track/1YvT4ml5LQM8ZYcLvqsAkD?si=scaIyDmTSL2qLaGAg_O_sg&amp;context=spotify%3Aplaylist%3A37i9dQZF1FoyQGyinuuvRu</t>
  </si>
  <si>
    <t>https://open.spotify.com/track/3Vr3zh0r7ALn8VLqCiRR10?si=Jhw-l2mwQp-SsbHWIrX4gA&amp;context=spotify%3Aplaylist%3A37i9dQZF1FoyQGyinuuvRu</t>
  </si>
  <si>
    <t>https://open.spotify.com/track/4kuPeLqTPXDkPB2injreCw?si=M4Q47d7qQY2Tl4huFg-AYw&amp;context=spotify%3Aplaylist%3A37i9dQZF1FoyQGyinuuvRu</t>
  </si>
  <si>
    <t>https://open.spotify.com/track/0hhzNPE68LWLfgZwdpxVdR?si=_CZCd9bmTMm_RhBnIihRaQ&amp;context=spotify%3Aplaylist%3A37i9dQZF1FoyQGyinuuvRu</t>
  </si>
  <si>
    <t>https://open.spotify.com/track/7kcApwUclbIw9B6MuVmqPc?si=uuOoYBvMTpahjCPM0Fbh4w&amp;context=spotify%3Aplaylist%3A37i9dQZF1FoyQGyinuuvRu</t>
  </si>
  <si>
    <t>https://open.spotify.com/track/2WnAKZefdRHxtBEkRjFOHC?si=nOq-T1D_T6qwh9aq0ag-8w&amp;context=spotify%3Aplaylist%3A37i9dQZF1FoyQGyinuuvRu</t>
  </si>
  <si>
    <t>https://open.spotify.com/track/30St98Bok3jJmXdkkHVPQe?si=ezWEvdxbRbe4pb2-linWzg&amp;context=spotify%3Aplaylist%3A37i9dQZF1FoyQGyinuuvRu</t>
  </si>
  <si>
    <t>https://open.spotify.com/track/1oWnDC5OoMPPosVY2cdXgT?si=R8yuMuZqTGaAzym5riMNDQ&amp;context=spotify%3Aplaylist%3A37i9dQZF1FoyQGyinuuvRu</t>
  </si>
  <si>
    <t>https://open.spotify.com/track/51eSHglvG1RJXtL3qI5trr?si=MaCYvFTtRNKTfATPyGqBFQ&amp;context=spotify%3Aplaylist%3A37i9dQZF1FoyQGyinuuvRu</t>
  </si>
  <si>
    <t>https://open.spotify.com/track/2F4FNcz68howQWD4zaGJSi?si=SuAHCLUiRKuLNeTxzjdpRg&amp;context=spotify%3Aplaylist%3A37i9dQZF1FoyQGyinuuvRu</t>
  </si>
  <si>
    <t>2f0GI2ZLUtbGqFx8t2Gk6A</t>
  </si>
  <si>
    <t>https://open.spotify.com/track/2gyxAWHebV7xPYVxqoi86f?si=2j5c_51SQZWh6N9d1P639g&amp;context=spotify%3Aplaylist%3A37i9dQZF1FoyQGyinuuvRu</t>
  </si>
  <si>
    <t>https://open.spotify.com/track/7Fzl7QaTu47WyP9R5S5mh5?si=e-IvDmWvQyqv8oZrjGywWw&amp;context=spotify%3Aplaylist%3A37i9dQZF1FoyQGyinuuvRu</t>
  </si>
  <si>
    <t>27w0RH5IDt6xU3B2j7QOuy</t>
  </si>
  <si>
    <t>https://open.spotify.com/track/2SGBEDwsOAOAHrrdAd304i?si=NSFoJZAxTaK5mu-5f_ADjg&amp;context=spotify%3Aplaylist%3A37i9dQZF1FoyQGyinuuvRu</t>
  </si>
  <si>
    <t>https://open.spotify.com/track/1KTemUlHzS0SvVtTjY1NTw?si=MgLFHh-1SuapuGdp01SaEA&amp;context=spotify%3Aplaylist%3A37i9dQZF1FoyQGyinuuvRu</t>
  </si>
  <si>
    <t>https://open.spotify.com/track/0V75hy6x3cToema5BdJaj9?si=arPUQZlCTUiqbJFjGCN9IQ&amp;context=spotify%3Aplaylist%3A37i9dQZF1FoyQGyinuuvRu</t>
  </si>
  <si>
    <t>https://open.spotify.com/track/6FyWLxwCe1d1Fik2PZ3bGp?si=5CLK81-0RRi5-rJgHWDfTg&amp;context=spotify%3Aplaylist%3A37i9dQZF1FoyQGyinuuvRu</t>
  </si>
  <si>
    <t>https://open.spotify.com/track/4CcSw8wQAHYf4XNckayPoc?si=K7vyFb-rTwSEb2S7aXUz6w&amp;context=spotify%3Aplaylist%3A37i9dQZF1FoyQGyinuuvRu</t>
  </si>
  <si>
    <t>https://open.spotify.com/track/0ZucyPms79Cydv0RMYV2Oi?si=ig__zaviTiium7IRfEq1_w&amp;context=spotify%3Aplaylist%3A37i9dQZF1FoyQGyinuuvRu</t>
  </si>
  <si>
    <t>https://open.spotify.com/track/4ZJ4vzLQekI0WntDbanNC7?si=Gt33S159RGiCbWLzzZgSmg&amp;context=spotify%3Aplaylist%3A37i9dQZF1FoyQGyinuuvRu</t>
  </si>
  <si>
    <t>https://open.spotify.com/track/2tHwzyyOLoWSFqYNjeVMzj?si=fDdZHnyUTjG1x6b1UrZBIw&amp;context=spotify%3Aplaylist%3A37i9dQZF1FoyQGyinuuvRu</t>
  </si>
  <si>
    <t>https://open.spotify.com/track/6L2uVVPJA9WcDc7zCZ4DHN?si=7pMxyXUOT7S5aNPnRRqsUw&amp;context=spotify%3Aplaylist%3A37i9dQZF1FoyQGyinuuvRu</t>
  </si>
  <si>
    <t>https://open.spotify.com/track/0gucUyFMFRMlUiVn9US4YX?si=gHy8cOA7Ra2dR_n_GoBm9w&amp;context=spotify%3Aplaylist%3A37i9dQZF1FoyQGyinuuvRu</t>
  </si>
  <si>
    <t>0BRHnOFm6sjxN1i9LJrUDu</t>
  </si>
  <si>
    <t>https://open.spotify.com/track/0RfzQhbvtn5lOaKdhpAni7?si=VKJkF9CNQh6fOxMrxH1UJA&amp;context=spotify%3Aplaylist%3A37i9dQZF1FoyQGyinuuvRu</t>
  </si>
  <si>
    <t>https://open.spotify.com/track/3ZTZiH8eOtaUPrEW4KxtOB?si=8T1VSjtHQ1ipfyzI6eQSCA&amp;context=spotify%3Aplaylist%3A37i9dQZF1FoyQGyinuuvRu</t>
  </si>
  <si>
    <t>https://open.spotify.com/track/73zawW1ttszLRgT9By826D?si=XQxW292JRP6ZbyIOBITYqg&amp;context=spotify%3Aplaylist%3A37i9dQZF1FoyQGyinuuvRu</t>
  </si>
  <si>
    <t>https://open.spotify.com/track/0NZrY7Lc9g6V03hxRpfToV?si=bxl888YWT1yH0KQZ_4UOUQ&amp;context=spotify%3Aplaylist%3A37i9dQZF1FoyQGyinuuvRu</t>
  </si>
  <si>
    <t>1Z2gqmHJGyiaoC26JcZq3l</t>
  </si>
  <si>
    <t>https://open.spotify.com/track/7uGYWMwRy24dm7RUDDhUlD?si=hMCOVVwcRuSBtSojwC4N0g&amp;context=spotify%3Aplaylist%3A37i9dQZF1FoyQGyinuuvRu</t>
  </si>
  <si>
    <t>https://open.spotify.com/track/0ewQUWupKrDmYFhhiyjqaA?si=qFjQuZLKS1yxrRKFbNNcTQ&amp;context=spotify%3Aplaylist%3A37i9dQZF1FoyQGyinuuvRu</t>
  </si>
  <si>
    <t>https://open.spotify.com/track/4faNMjNcWITplikCBbhK5z?si=mvF5AyKCTfKIgCg5qygVRQ&amp;context=spotify%3Aplaylist%3A37i9dQZF1FoyQGyinuuvRu</t>
  </si>
  <si>
    <t>https://open.spotify.com/track/0xAhbD6lCf5re1RXl5yiTm?si=yc0SJTqXSLufyQ4D3inTyw&amp;context=spotify%3Aplaylist%3A37i9dQZF1FoyQGyinuuvRu</t>
  </si>
  <si>
    <t>https://open.spotify.com/track/73CMRj62VK8nUS4ezD2wvi?si=tjL3mHKnQLiU5YAhCieGLA&amp;context=spotify%3Aplaylist%3A37i9dQZF1FoyQGyinuuvRu</t>
  </si>
  <si>
    <t>https://open.spotify.com/track/5QPGnFslbDUQ7mDteKn3By?si=WC4zDV0VRw-uUe8Ee3xQfA&amp;context=spotify%3Aplaylist%3A37i9dQZF1FoyQGyinuuvRu</t>
  </si>
  <si>
    <t>https://open.spotify.com/track/6sbXGUn9V9ZaLwLdOfpKRE?si=CE7MRkxgRGG2xlnJoYMAqQ&amp;context=spotify%3Aplaylist%3A37i9dQZF1FoyQGyinuuvRu</t>
  </si>
  <si>
    <t>https://open.spotify.com/track/3CWq0pAKKTWb0K4yiglDc4?si=1LlJtysfRT2ZFJ2cLuAHRw&amp;context=spotify%3Aplaylist%3A37i9dQZF1FoyQGyinuuvRu</t>
  </si>
  <si>
    <t>0I6ZBVBb7DXfjVVCM0NmSQ</t>
  </si>
  <si>
    <t>646GpXko7gJumzUQxVkYvG</t>
  </si>
  <si>
    <t>https://open.spotify.com/track/4OYGHze5MiMkgozardIRxU?si=RbvOJwdxTn-J6PcvZXrC8A&amp;context=spotify%3Aplaylist%3A37i9dQZF1FoyQGyinuuvRu</t>
  </si>
  <si>
    <t>https://open.spotify.com/track/1Qrg8KqiBpW07V7PNxwwwL?si=VzWQNVXqRtChK4_dyWlCUQ&amp;context=spotify%3Aplaylist%3A37i9dQZF1FoyQGyinuuvRu</t>
  </si>
  <si>
    <t>https://open.spotify.com/track/7yXibbAYi4to5oQTeO738f?si=dQ73gsw0QzqQne-HYH9B2A&amp;context=spotify%3Aplaylist%3A37i9dQZF1FoyQGyinuuvRu</t>
  </si>
  <si>
    <t>0mNzElhEofvgMWAJoOA4q9</t>
  </si>
  <si>
    <t>https://open.spotify.com/track/0c34ovpXiMWWUbKX0IavIH?si=NAH_wrVVSaKnpLGTmu9-vg&amp;context=spotify%3Aplaylist%3A37i9dQZF1FoyQGyinuuvRu</t>
  </si>
  <si>
    <t>https://open.spotify.com/track/3gxEZXUjrNbl3TlSrTGbR5?si=USrurweCQKG3Asj7gvS7iA&amp;context=spotify%3Aplaylist%3A37i9dQZF1FoyQGyinuuvRu</t>
  </si>
  <si>
    <t>Days Included:</t>
  </si>
  <si>
    <t>Top Artists</t>
  </si>
  <si>
    <t>Total</t>
  </si>
  <si>
    <t>Avg Popularity</t>
  </si>
  <si>
    <t>2023-2024 Repeats</t>
  </si>
  <si>
    <t>2024 Overlaps</t>
  </si>
  <si>
    <t>Gracie Abrams</t>
  </si>
  <si>
    <t>TrackID</t>
  </si>
  <si>
    <t>2023 Listeners</t>
  </si>
  <si>
    <t>2024 Listeners</t>
  </si>
  <si>
    <t>Influenced</t>
  </si>
  <si>
    <t>Artist</t>
  </si>
  <si>
    <t>Song</t>
  </si>
  <si>
    <t>Maggie Rogers</t>
  </si>
  <si>
    <t>Jelly Roll</t>
  </si>
  <si>
    <t>Darius Rucker</t>
  </si>
  <si>
    <t>Kameron Marlowe</t>
  </si>
  <si>
    <t>Shaboozey</t>
  </si>
  <si>
    <t>Unique Artists (including features)</t>
  </si>
  <si>
    <t>Chris Stapleton</t>
  </si>
  <si>
    <t>Sabrina Carpenter</t>
  </si>
  <si>
    <t>Knox</t>
  </si>
  <si>
    <t>Post Malone</t>
  </si>
  <si>
    <t>Chappell Roan</t>
  </si>
  <si>
    <t>Kanye West</t>
  </si>
  <si>
    <t>Avg Song Release Date</t>
  </si>
  <si>
    <t>The Lumineers</t>
  </si>
  <si>
    <t>Justin Bieber</t>
  </si>
  <si>
    <t>Jeezy</t>
  </si>
  <si>
    <t>Dolly Parton</t>
  </si>
  <si>
    <t>Yung Gravy</t>
  </si>
  <si>
    <t>SARA'H</t>
  </si>
  <si>
    <t>Backstreet Boys</t>
  </si>
  <si>
    <t>J. Cole</t>
  </si>
  <si>
    <t>Chubby Checker</t>
  </si>
  <si>
    <t>Fontaines D.C.</t>
  </si>
  <si>
    <t>Eminem</t>
  </si>
  <si>
    <t>Capital Cities</t>
  </si>
  <si>
    <t>A.J. &amp; Big Justice</t>
  </si>
  <si>
    <t>Yung Buttpiss</t>
  </si>
  <si>
    <t>The Chainsmokers</t>
  </si>
  <si>
    <t>Steely Dan</t>
  </si>
  <si>
    <t>Craig Smart</t>
  </si>
  <si>
    <t>M. Pokora</t>
  </si>
  <si>
    <t>Pierce Edens</t>
  </si>
  <si>
    <t>The All-American Rejects</t>
  </si>
  <si>
    <t>Keen' V</t>
  </si>
  <si>
    <t>Squeeze</t>
  </si>
  <si>
    <t>Lit</t>
  </si>
  <si>
    <t>Flo Rida</t>
  </si>
  <si>
    <t>The Tokens</t>
  </si>
  <si>
    <t>Crowded House</t>
  </si>
  <si>
    <t>Toby Keith</t>
  </si>
  <si>
    <t>Vianney</t>
  </si>
  <si>
    <t>Tibz</t>
  </si>
  <si>
    <t>Oasis</t>
  </si>
  <si>
    <t>RAC</t>
  </si>
  <si>
    <t>Good Charlotte</t>
  </si>
  <si>
    <t>Eric Paslay</t>
  </si>
  <si>
    <t>The Kid LAROI</t>
  </si>
  <si>
    <t>Ryan Gosling</t>
  </si>
  <si>
    <t>Ivan Hrvatska</t>
  </si>
  <si>
    <t>Drake</t>
  </si>
  <si>
    <t>ERNEST</t>
  </si>
  <si>
    <t>Macklemore</t>
  </si>
  <si>
    <t>Dierks Bentley</t>
  </si>
  <si>
    <t>2 Chainz</t>
  </si>
  <si>
    <t>Myles Smith</t>
  </si>
  <si>
    <t>Five For Fighting</t>
  </si>
  <si>
    <t>We The Kings</t>
  </si>
  <si>
    <t>Lil Wayne</t>
  </si>
  <si>
    <t>Coi Leray</t>
  </si>
  <si>
    <t>Sting</t>
  </si>
  <si>
    <t>Tony Yayo</t>
  </si>
  <si>
    <t>ROZES</t>
  </si>
  <si>
    <t>YUNGBLUD</t>
  </si>
  <si>
    <t>Jennifer Nettles</t>
  </si>
  <si>
    <t>Alok</t>
  </si>
  <si>
    <t>Lil Jon</t>
  </si>
  <si>
    <t>Matthew Koma</t>
  </si>
  <si>
    <t>blackbear</t>
  </si>
  <si>
    <t>WILLOW</t>
  </si>
  <si>
    <t>HARDY</t>
  </si>
  <si>
    <t>Morgan Wallen</t>
  </si>
  <si>
    <t>USHER</t>
  </si>
  <si>
    <t>Pitbull</t>
  </si>
  <si>
    <t>Fall Out Boy</t>
  </si>
  <si>
    <t>GIMS</t>
  </si>
  <si>
    <t>Creed</t>
  </si>
  <si>
    <t>mgk</t>
  </si>
  <si>
    <t>Key Glock</t>
  </si>
  <si>
    <t>Zach Bryan</t>
  </si>
  <si>
    <t>Taylor Swift</t>
  </si>
  <si>
    <t>Trousdale</t>
  </si>
  <si>
    <t>Dua Lipa</t>
  </si>
  <si>
    <t>Beyoncé</t>
  </si>
  <si>
    <t>SZA</t>
  </si>
  <si>
    <t>The War And Treaty</t>
  </si>
  <si>
    <t>Blake Shelton</t>
  </si>
  <si>
    <t>Arctic Monkeys</t>
  </si>
  <si>
    <t>Stephen Day</t>
  </si>
  <si>
    <t>Clay Walker</t>
  </si>
  <si>
    <t>Lee DeWyze</t>
  </si>
  <si>
    <t>Keith Urban</t>
  </si>
  <si>
    <t>Marshmello</t>
  </si>
  <si>
    <t>Yebba</t>
  </si>
  <si>
    <t>Justin Timberlake</t>
  </si>
  <si>
    <t>Hailee Steinfeld</t>
  </si>
  <si>
    <t>Zach Top</t>
  </si>
  <si>
    <t>Parker McCollum</t>
  </si>
  <si>
    <t>Cody Johnson</t>
  </si>
  <si>
    <t>The Beaches</t>
  </si>
  <si>
    <t>Charlie Puth</t>
  </si>
  <si>
    <t>Chris Lane</t>
  </si>
  <si>
    <t>Maddie &amp; Tae</t>
  </si>
  <si>
    <t>Phillip Phillips</t>
  </si>
  <si>
    <t>Chelsea Cutler</t>
  </si>
  <si>
    <t>Larry Fleet</t>
  </si>
  <si>
    <t>Olivia Dean</t>
  </si>
  <si>
    <t>Miley Cyrus</t>
  </si>
  <si>
    <t>Lainey Wilson</t>
  </si>
  <si>
    <t>Lauren Alaina</t>
  </si>
  <si>
    <t>Eric Church</t>
  </si>
  <si>
    <t>Brad Paisley</t>
  </si>
  <si>
    <t>Leon Bridges</t>
  </si>
  <si>
    <t>Noah Kahan</t>
  </si>
  <si>
    <t>Linkin Park</t>
  </si>
  <si>
    <t>Nate Smith</t>
  </si>
  <si>
    <t>Warren Zeiders</t>
  </si>
  <si>
    <t>Old Dominion</t>
  </si>
  <si>
    <t>Kane Brown</t>
  </si>
  <si>
    <t>Bailey Zimmerman</t>
  </si>
  <si>
    <t>BRELAND</t>
  </si>
  <si>
    <t>Benson Boone</t>
  </si>
  <si>
    <t>Kacey Musgraves</t>
  </si>
  <si>
    <t>Gabby Barrett</t>
  </si>
  <si>
    <t>Luke Combs</t>
  </si>
  <si>
    <t>Twenty One Pilots</t>
  </si>
  <si>
    <t>Olivia Rodrigo</t>
  </si>
  <si>
    <t>Adele</t>
  </si>
  <si>
    <t>Ashe</t>
  </si>
  <si>
    <t>Lizzy McAlpine</t>
  </si>
  <si>
    <t>John Mayer</t>
  </si>
  <si>
    <t>Lawrence</t>
  </si>
  <si>
    <t>Sheryl Crow</t>
  </si>
  <si>
    <t>Billie Eilish</t>
  </si>
  <si>
    <t>Jesse McCartney</t>
  </si>
  <si>
    <t>The Chicks</t>
  </si>
  <si>
    <t>Niall Horan</t>
  </si>
  <si>
    <t>Amy Winehouse</t>
  </si>
  <si>
    <t>Caamp</t>
  </si>
  <si>
    <t>Bee Gees</t>
  </si>
  <si>
    <t>Cage The Elephant</t>
  </si>
  <si>
    <t>Couch</t>
  </si>
  <si>
    <t>Dayglow</t>
  </si>
  <si>
    <t>Troye Sivan</t>
  </si>
  <si>
    <t>Alicia Bridges</t>
  </si>
  <si>
    <t>The La's</t>
  </si>
  <si>
    <t>The Lovin' Spoonful</t>
  </si>
  <si>
    <t>¥$</t>
  </si>
  <si>
    <t>ABBA</t>
  </si>
  <si>
    <t>Mt. Joy</t>
  </si>
  <si>
    <t>Carole King</t>
  </si>
  <si>
    <t>Sly &amp; The Family Stone</t>
  </si>
  <si>
    <t>Bleachers</t>
  </si>
  <si>
    <t>The Foundations</t>
  </si>
  <si>
    <t>Clean Bandit</t>
  </si>
  <si>
    <t>Sir Woman</t>
  </si>
  <si>
    <t>Yvonne Elliman</t>
  </si>
  <si>
    <t>Stereophonics</t>
  </si>
  <si>
    <t>Grand Funk Railroad</t>
  </si>
  <si>
    <t>Meghan Trainor</t>
  </si>
  <si>
    <t>Allman Brothers Band</t>
  </si>
  <si>
    <t>Hozier</t>
  </si>
  <si>
    <t>Ashlee Simpson</t>
  </si>
  <si>
    <t>The Supremes</t>
  </si>
  <si>
    <t>Houndmouth</t>
  </si>
  <si>
    <t>Clairo</t>
  </si>
  <si>
    <t>Bob Marley &amp; The Wailers</t>
  </si>
  <si>
    <t>Juice</t>
  </si>
  <si>
    <t>David Bowie</t>
  </si>
  <si>
    <t>The Kooks</t>
  </si>
  <si>
    <t>Glen Campbell</t>
  </si>
  <si>
    <t>Father John Misty</t>
  </si>
  <si>
    <t>Annie Lennox</t>
  </si>
  <si>
    <t>Declan McKenna</t>
  </si>
  <si>
    <t>Frankie Valli</t>
  </si>
  <si>
    <t>Drake Bell</t>
  </si>
  <si>
    <t>Frank Sinatra</t>
  </si>
  <si>
    <t>SIX</t>
  </si>
  <si>
    <t>Circa Waves</t>
  </si>
  <si>
    <t>Mark Ronson</t>
  </si>
  <si>
    <t>Florence + The Machine</t>
  </si>
  <si>
    <t>Steinza</t>
  </si>
  <si>
    <t>Ringo Starr</t>
  </si>
  <si>
    <t>The Three Degrees</t>
  </si>
  <si>
    <t>Colony House</t>
  </si>
  <si>
    <t>Jimmy Soul</t>
  </si>
  <si>
    <t>Bruno Mars</t>
  </si>
  <si>
    <t>Disclosure</t>
  </si>
  <si>
    <t>Ray LaMontagne</t>
  </si>
  <si>
    <t>Addison Rae</t>
  </si>
  <si>
    <t>Al Green</t>
  </si>
  <si>
    <t>Electric Light Orchestra</t>
  </si>
  <si>
    <t>SYML</t>
  </si>
  <si>
    <t>Daryl Hall &amp; John Oates</t>
  </si>
  <si>
    <t>Billy Joel</t>
  </si>
  <si>
    <t>Simon &amp; Garfunkel</t>
  </si>
  <si>
    <t>Tom Jones</t>
  </si>
  <si>
    <t>Tate McRae</t>
  </si>
  <si>
    <t>Billy Preston</t>
  </si>
  <si>
    <t>Edison Lighthouse</t>
  </si>
  <si>
    <t>Bruce Springsteen</t>
  </si>
  <si>
    <t>Kate Hudson</t>
  </si>
  <si>
    <t>Jamestown Revival</t>
  </si>
  <si>
    <t>Looking Glass</t>
  </si>
  <si>
    <t>Caroline Polachek</t>
  </si>
  <si>
    <t>Sublime</t>
  </si>
  <si>
    <t>Little Mix</t>
  </si>
  <si>
    <t>Becky Hill</t>
  </si>
  <si>
    <t>Lake Street Dive</t>
  </si>
  <si>
    <t>Glee Cast</t>
  </si>
  <si>
    <t>Four Tops</t>
  </si>
  <si>
    <t>The Rolling Stones</t>
  </si>
  <si>
    <t>Play</t>
  </si>
  <si>
    <t>Ludacris</t>
  </si>
  <si>
    <t>Jess Glynne</t>
  </si>
  <si>
    <t>Anderson .Paak</t>
  </si>
  <si>
    <t>Sam Smith</t>
  </si>
  <si>
    <t>PARTYNEXTDOOR</t>
  </si>
  <si>
    <t>David Guetta</t>
  </si>
  <si>
    <t>Gwyneth Paltrow</t>
  </si>
  <si>
    <t>track_id</t>
  </si>
  <si>
    <t>Featured Artist</t>
  </si>
  <si>
    <t>Duration</t>
  </si>
  <si>
    <t>Release Date</t>
  </si>
  <si>
    <t>Popularity</t>
  </si>
  <si>
    <t>Album</t>
  </si>
  <si>
    <t>2024 Overlap</t>
  </si>
  <si>
    <t>Repeated in 2023</t>
  </si>
  <si>
    <t>Four Tops - Second Album</t>
  </si>
  <si>
    <t>I Can't Help Myself (Sugar Pie, Honey Bunch)</t>
  </si>
  <si>
    <t>Tapestry</t>
  </si>
  <si>
    <t>It's Too Late</t>
  </si>
  <si>
    <t>Brandy (You're a Fine Girl)</t>
  </si>
  <si>
    <t>When Will I See You Again</t>
  </si>
  <si>
    <t>Rhinestone Cowboy (Expanded Edition)</t>
  </si>
  <si>
    <t>Rhinestone Cowboy</t>
  </si>
  <si>
    <t>Sweet Talkin' Woman</t>
  </si>
  <si>
    <t>I Love The Nightlife (Disco 'Round)</t>
  </si>
  <si>
    <t>Grease - 2007 Remaster</t>
  </si>
  <si>
    <t>Night Flight</t>
  </si>
  <si>
    <t>If I Can't Have You</t>
  </si>
  <si>
    <t>Voulez-Vous</t>
  </si>
  <si>
    <t>If It Wasn't For The Nights</t>
  </si>
  <si>
    <t>There She Goes</t>
  </si>
  <si>
    <t>(What's The Story) Morning Glory? (Deluxe Remastered Edition)</t>
  </si>
  <si>
    <t>Wonderwall - Remastered</t>
  </si>
  <si>
    <t>Me &amp; Mr Jones</t>
  </si>
  <si>
    <t>Departure - Recharged</t>
  </si>
  <si>
    <t>How Do You Sleep? - Radio Edit Remix</t>
  </si>
  <si>
    <t>You've Got The Love</t>
  </si>
  <si>
    <t>Let's Twist Again</t>
  </si>
  <si>
    <t>Do you Believe In Magic</t>
  </si>
  <si>
    <t>Do You Believe in Magic?</t>
  </si>
  <si>
    <t>Baby Now That I've Found You</t>
  </si>
  <si>
    <t>Baby Now That I've Found You - Mono</t>
  </si>
  <si>
    <t>My Way</t>
  </si>
  <si>
    <t>Stand</t>
  </si>
  <si>
    <t>Everyday People</t>
  </si>
  <si>
    <t>Let It Bleed</t>
  </si>
  <si>
    <t>Gimme Shelter</t>
  </si>
  <si>
    <t>Love Grows (Where My Rosemary Goes) &amp; Other Gems</t>
  </si>
  <si>
    <t>Love Grows (Where My Rosemary Goes)</t>
  </si>
  <si>
    <t>Bridge Over Troubled Water</t>
  </si>
  <si>
    <t>Keep the Customer Satisfied</t>
  </si>
  <si>
    <t>Right On</t>
  </si>
  <si>
    <t>Up The Ladder To The Roof</t>
  </si>
  <si>
    <t>Tom Jones Sings She's A Lady</t>
  </si>
  <si>
    <t>She's A Lady</t>
  </si>
  <si>
    <t>Gets Next to You</t>
  </si>
  <si>
    <t>Tired of Being Alone</t>
  </si>
  <si>
    <t>Melissa</t>
  </si>
  <si>
    <t>Can't Buy A Thrill</t>
  </si>
  <si>
    <t>Dirty Work</t>
  </si>
  <si>
    <t>Ringo</t>
  </si>
  <si>
    <t>You're Sixteen (You’re Beautiful And You’re Mine)</t>
  </si>
  <si>
    <t>Mr. Natural</t>
  </si>
  <si>
    <t>The Kids &amp; Me</t>
  </si>
  <si>
    <t>Nothing From Nothing</t>
  </si>
  <si>
    <t>All The Girls In The World Beware!!! (Remastered)</t>
  </si>
  <si>
    <t>Bad Time - Remastered 2002</t>
  </si>
  <si>
    <t>Born To Run</t>
  </si>
  <si>
    <t>Tenth Avenue Freeze-Out</t>
  </si>
  <si>
    <t>Bigger Than Both Of Us</t>
  </si>
  <si>
    <t>Rich Girl</t>
  </si>
  <si>
    <t>Greatest</t>
  </si>
  <si>
    <t>More Than A Woman</t>
  </si>
  <si>
    <t>Up The Junction</t>
  </si>
  <si>
    <t>Could You Be Loved</t>
  </si>
  <si>
    <t>Let's Dance (2018 Remaster)</t>
  </si>
  <si>
    <t>Modern Love - 2018 Remaster</t>
  </si>
  <si>
    <t>Don't Dream It's Over</t>
  </si>
  <si>
    <t>Walking on Broken Glass</t>
  </si>
  <si>
    <t>Should've Been A Cowboy</t>
  </si>
  <si>
    <t>The Lion Sleeps Tonight (Wimoweh)</t>
  </si>
  <si>
    <t>If It Makes You Happy</t>
  </si>
  <si>
    <t>Santeria</t>
  </si>
  <si>
    <t>Wide Open Spaces</t>
  </si>
  <si>
    <t>There's Your Trouble</t>
  </si>
  <si>
    <t>Higher</t>
  </si>
  <si>
    <t>My Own Worst Enemy</t>
  </si>
  <si>
    <t>Larger Than Life</t>
  </si>
  <si>
    <t>America Town</t>
  </si>
  <si>
    <t>Superman (It's Not Easy)</t>
  </si>
  <si>
    <t>Just Enough Education To Perform</t>
  </si>
  <si>
    <t>Have A Nice Day</t>
  </si>
  <si>
    <t>One Last Breath</t>
  </si>
  <si>
    <t>My Sacrifice</t>
  </si>
  <si>
    <t>Soak Up The Sun</t>
  </si>
  <si>
    <t>Us Against the World</t>
  </si>
  <si>
    <t>Landslide</t>
  </si>
  <si>
    <t>The Young and The Hopeless</t>
  </si>
  <si>
    <t>The Anthem</t>
  </si>
  <si>
    <t>Numb</t>
  </si>
  <si>
    <t>Pieces Of Me</t>
  </si>
  <si>
    <t>Yeah! (feat. Lil Jon &amp; Ludacris)</t>
  </si>
  <si>
    <t>Inside In / Inside Out</t>
  </si>
  <si>
    <t>She Moves In Her Own Way</t>
  </si>
  <si>
    <t>Version</t>
  </si>
  <si>
    <t>Valerie (feat. Amy Winehouse) - Version Revisited</t>
  </si>
  <si>
    <t>Check Yes, Juliet</t>
  </si>
  <si>
    <t>Here I Stand</t>
  </si>
  <si>
    <t>Love in This Club (feat. Young Jeezy)</t>
  </si>
  <si>
    <t>You Are the Best Thing</t>
  </si>
  <si>
    <t>Relapse: Refill</t>
  </si>
  <si>
    <t>Forever</t>
  </si>
  <si>
    <t>Battle Studies</t>
  </si>
  <si>
    <t>Half of My Heart</t>
  </si>
  <si>
    <t>My World 2.0</t>
  </si>
  <si>
    <t>U Smile</t>
  </si>
  <si>
    <t>American</t>
  </si>
  <si>
    <t>She Won't Be Lonely Long</t>
  </si>
  <si>
    <t>Shake</t>
  </si>
  <si>
    <t>Sweet Serendipity</t>
  </si>
  <si>
    <t>Forget You (feat. Gwyneth Paltrow)</t>
  </si>
  <si>
    <t>One And Only</t>
  </si>
  <si>
    <t>I'll Be Waiting</t>
  </si>
  <si>
    <t>Set Fire to the Rain</t>
  </si>
  <si>
    <t>Rolling in the Deep</t>
  </si>
  <si>
    <t>Based On A T.R.U. Story (Deluxe)</t>
  </si>
  <si>
    <t>I'm Different</t>
  </si>
  <si>
    <t>Frank Guida Presents: Jimmy Soul "If You Wanna Be Happy"</t>
  </si>
  <si>
    <t>If You Wanna Be Happy</t>
  </si>
  <si>
    <t>Stubborn Love</t>
  </si>
  <si>
    <t>Montana</t>
  </si>
  <si>
    <t>123 (Version Française)</t>
  </si>
  <si>
    <t>Safe and Sound</t>
  </si>
  <si>
    <t>AM</t>
  </si>
  <si>
    <t>Snap Out Of It</t>
  </si>
  <si>
    <t>Melophobia</t>
  </si>
  <si>
    <t>Cigarette Daydreams</t>
  </si>
  <si>
    <t>Subliminal (La face cachée)</t>
  </si>
  <si>
    <t>J'me tire</t>
  </si>
  <si>
    <t>Friday Night</t>
  </si>
  <si>
    <t>Bad Self Portraits</t>
  </si>
  <si>
    <t>You Go Down Smooth</t>
  </si>
  <si>
    <t>Rather Be (feat. Jess Glynne)</t>
  </si>
  <si>
    <t>No Role Modelz</t>
  </si>
  <si>
    <t>Title</t>
  </si>
  <si>
    <t>Little Neon Limelight</t>
  </si>
  <si>
    <t>Sedona</t>
  </si>
  <si>
    <t>T-Shirt Weather</t>
  </si>
  <si>
    <t>Blurryface</t>
  </si>
  <si>
    <t>Doubt</t>
  </si>
  <si>
    <t>Roses</t>
  </si>
  <si>
    <t>Mon coeur avait raison</t>
  </si>
  <si>
    <t>Mon coeur avait raison - Pilule bleue</t>
  </si>
  <si>
    <t>Caracal (Deluxe)</t>
  </si>
  <si>
    <t>Omen</t>
  </si>
  <si>
    <t>Get Weird (Expanded Edition)</t>
  </si>
  <si>
    <t>Love Me Like You</t>
  </si>
  <si>
    <t>HAIZ</t>
  </si>
  <si>
    <t>Love Myself</t>
  </si>
  <si>
    <t>Rien qu'une fois</t>
  </si>
  <si>
    <t>Real Love Baby</t>
  </si>
  <si>
    <t>The Education Of A Wandering Man</t>
  </si>
  <si>
    <t>Midnight Hour</t>
  </si>
  <si>
    <t>Only The Lonely</t>
  </si>
  <si>
    <t>You Know It</t>
  </si>
  <si>
    <t>What Do You Think About the Car?</t>
  </si>
  <si>
    <t>Brazil</t>
  </si>
  <si>
    <t>reputation</t>
  </si>
  <si>
    <t>Gorgeous</t>
  </si>
  <si>
    <t>Probably Wrong</t>
  </si>
  <si>
    <t>Hell of a Year</t>
  </si>
  <si>
    <t>Silver Lining</t>
  </si>
  <si>
    <t>Golden Hour</t>
  </si>
  <si>
    <t>Slow Burn</t>
  </si>
  <si>
    <t>4EVER</t>
  </si>
  <si>
    <t>ye</t>
  </si>
  <si>
    <t>Ghost Town</t>
  </si>
  <si>
    <t>This One's for You Too (Deluxe Edition)</t>
  </si>
  <si>
    <t>She Got the Best of Me</t>
  </si>
  <si>
    <t>Workin' on Lovin'</t>
  </si>
  <si>
    <t>Ex-Wives</t>
  </si>
  <si>
    <t>Glockoma</t>
  </si>
  <si>
    <t>Gang Shit No Lame Shit</t>
  </si>
  <si>
    <t>Heard It In A Past Life</t>
  </si>
  <si>
    <t>Alaska</t>
  </si>
  <si>
    <t>PYRAMIDE</t>
  </si>
  <si>
    <t>Tombé</t>
  </si>
  <si>
    <t>Reste</t>
  </si>
  <si>
    <t>Highroad</t>
  </si>
  <si>
    <t>Lover</t>
  </si>
  <si>
    <t>Cruel Summer</t>
  </si>
  <si>
    <t>Guess I'm Grown Now</t>
  </si>
  <si>
    <t>All the Time in the World</t>
  </si>
  <si>
    <t>Pang</t>
  </si>
  <si>
    <t>So Hot You're Hurting My Feelings</t>
  </si>
  <si>
    <t>Tout au bout du monde</t>
  </si>
  <si>
    <t>Fuzzybrain</t>
  </si>
  <si>
    <t>Junior Varsity</t>
  </si>
  <si>
    <t>Fair Game</t>
  </si>
  <si>
    <t>Yellow Tape</t>
  </si>
  <si>
    <t>Dough</t>
  </si>
  <si>
    <t>Never Let You Go</t>
  </si>
  <si>
    <t>folklore</t>
  </si>
  <si>
    <t>august</t>
  </si>
  <si>
    <t>Hearts Town</t>
  </si>
  <si>
    <t>Five More Minutes</t>
  </si>
  <si>
    <t>Tickets To My Downfall</t>
  </si>
  <si>
    <t>my ex's best friend (with blackbear)</t>
  </si>
  <si>
    <t>bloody valentine</t>
  </si>
  <si>
    <t>Tickets To My Downfall (SOLD OUT Deluxe)</t>
  </si>
  <si>
    <t>body bag (feat. YUNGBLUD &amp; Bert McCracken of The Used)</t>
  </si>
  <si>
    <t>Wouldn't Come Back</t>
  </si>
  <si>
    <t>Anyone</t>
  </si>
  <si>
    <t>Ashlyn</t>
  </si>
  <si>
    <t>When I'm Older</t>
  </si>
  <si>
    <t>Remember</t>
  </si>
  <si>
    <t>Sob Rock</t>
  </si>
  <si>
    <t>Last Train Home</t>
  </si>
  <si>
    <t>This Is It</t>
  </si>
  <si>
    <t>F*CK LOVE 3+: OVER YOU</t>
  </si>
  <si>
    <t>F*CK YOU, GOODBYE (feat. Machine Gun Kelly)</t>
  </si>
  <si>
    <t>On pourrait</t>
  </si>
  <si>
    <t>Ambition For Cash</t>
  </si>
  <si>
    <t>An Evening With Silk Sonic</t>
  </si>
  <si>
    <t>Skate</t>
  </si>
  <si>
    <t>Red (Taylor's Version)</t>
  </si>
  <si>
    <t>Come Back...Be Here (Taylor's Version)</t>
  </si>
  <si>
    <t>N'attendons pas (Deluxe)</t>
  </si>
  <si>
    <t>Emma</t>
  </si>
  <si>
    <t>BRIGHTSIDE</t>
  </si>
  <si>
    <t>A.M. RADIO</t>
  </si>
  <si>
    <t>The Age of Worry - Live at Electric Lady</t>
  </si>
  <si>
    <t>mainstream sellout</t>
  </si>
  <si>
    <t>ay! (feat. Lil Wayne)</t>
  </si>
  <si>
    <t>emo girl (feat. WILLOW)</t>
  </si>
  <si>
    <t>Dancin' In The Moonlight (feat. Lauren Alaina)</t>
  </si>
  <si>
    <t>American Heartbreak</t>
  </si>
  <si>
    <t>The Good I'll Do</t>
  </si>
  <si>
    <t>Open the Gate</t>
  </si>
  <si>
    <t>From Austin</t>
  </si>
  <si>
    <t>The Eminem Show (Expanded Edition)</t>
  </si>
  <si>
    <t>Bump Heads</t>
  </si>
  <si>
    <t>Lavender Days</t>
  </si>
  <si>
    <t>Snowshoes</t>
  </si>
  <si>
    <t>Lavender Girl</t>
  </si>
  <si>
    <t>Quittin' Time</t>
  </si>
  <si>
    <t>Iowa Whore</t>
  </si>
  <si>
    <t>We Were Cowboys</t>
  </si>
  <si>
    <t>Girl On Fire</t>
  </si>
  <si>
    <t>Poems</t>
  </si>
  <si>
    <t>Through The Madness Vol. 2</t>
  </si>
  <si>
    <t>Every Night Every Morning</t>
  </si>
  <si>
    <t>Rae</t>
  </si>
  <si>
    <t>omw</t>
  </si>
  <si>
    <t>Stick Season</t>
  </si>
  <si>
    <t>All My Love</t>
  </si>
  <si>
    <t>Shower With My Clothes On</t>
  </si>
  <si>
    <t>Die Trying</t>
  </si>
  <si>
    <t>SOS</t>
  </si>
  <si>
    <t>Kill Bill</t>
  </si>
  <si>
    <t>The Former</t>
  </si>
  <si>
    <t>Religiously. The Album.</t>
  </si>
  <si>
    <t>Religiously</t>
  </si>
  <si>
    <t>Where It Ends</t>
  </si>
  <si>
    <t>the mockingbird &amp; THE CROW</t>
  </si>
  <si>
    <t>screen</t>
  </si>
  <si>
    <t>Dawns (feat. Maggie Rogers)</t>
  </si>
  <si>
    <t>The Day My Father Died</t>
  </si>
  <si>
    <t>Sweet Home</t>
  </si>
  <si>
    <t>FLOWER SHOPS (THE ALBUM): Two Dozen Roses</t>
  </si>
  <si>
    <t>Miss That Girl</t>
  </si>
  <si>
    <t>Dirt</t>
  </si>
  <si>
    <t>One Thing At A Time</t>
  </si>
  <si>
    <t>Me To Me</t>
  </si>
  <si>
    <t>Last Night</t>
  </si>
  <si>
    <t>Man Made A Bar (feat. Eric Church)</t>
  </si>
  <si>
    <t>emails i can’t send fwd:</t>
  </si>
  <si>
    <t>Feather</t>
  </si>
  <si>
    <t>Nonsense (with Coi Leray) - Remix</t>
  </si>
  <si>
    <t>Gettin' Old</t>
  </si>
  <si>
    <t>Tattoo on a Sunburn</t>
  </si>
  <si>
    <t>So Much (For) Stardust</t>
  </si>
  <si>
    <t>Heaven, Iowa</t>
  </si>
  <si>
    <t>We Didn’t Start The Fire (Bonus Track)</t>
  </si>
  <si>
    <t>Fast Car</t>
  </si>
  <si>
    <t>Chemical</t>
  </si>
  <si>
    <t>NATE SMITH (DELUXE)</t>
  </si>
  <si>
    <t>World on Fire</t>
  </si>
  <si>
    <t>Whiskey On You</t>
  </si>
  <si>
    <t>Midnights (The Til Dawn Edition)</t>
  </si>
  <si>
    <t>Hits Different</t>
  </si>
  <si>
    <t>The Show</t>
  </si>
  <si>
    <t>Heaven</t>
  </si>
  <si>
    <t>Stick Season (We'll All Be Here Forever)</t>
  </si>
  <si>
    <t>You’re Gonna Go Far</t>
  </si>
  <si>
    <t>Drift Back</t>
  </si>
  <si>
    <t>Dancing With Your Shadows</t>
  </si>
  <si>
    <t>Glockoma 2 (Deluxe)</t>
  </si>
  <si>
    <t>Let's Go</t>
  </si>
  <si>
    <t>Speak Now (Taylor's Version)</t>
  </si>
  <si>
    <t>I Can See You (Taylor’s Version) (From The Vault)</t>
  </si>
  <si>
    <t>What Was I Made For? [From The Motion Picture "Barbie"]</t>
  </si>
  <si>
    <t>Dial Drunk (with Post Malone)</t>
  </si>
  <si>
    <t>I'm Just Ken (From Barbie The Album)</t>
  </si>
  <si>
    <t>Pretty Little Poison</t>
  </si>
  <si>
    <t>Overtime</t>
  </si>
  <si>
    <t>East Side of Sorrow</t>
  </si>
  <si>
    <t>Earned It</t>
  </si>
  <si>
    <t>Things I Take For Granted</t>
  </si>
  <si>
    <t>GUTS</t>
  </si>
  <si>
    <t>get him back!</t>
  </si>
  <si>
    <t>vampire</t>
  </si>
  <si>
    <t>greedy</t>
  </si>
  <si>
    <t>Out Of My Mind</t>
  </si>
  <si>
    <t>Go There</t>
  </si>
  <si>
    <t>Movie Star</t>
  </si>
  <si>
    <t>Blame My Ex</t>
  </si>
  <si>
    <t>Edge of the Earth</t>
  </si>
  <si>
    <t>If I'm Honest</t>
  </si>
  <si>
    <t>Bad Blood</t>
  </si>
  <si>
    <t>Smart Iowa</t>
  </si>
  <si>
    <t>Can't Get Your Love Back</t>
  </si>
  <si>
    <t>The Rise and Fall of a Midwest Princess</t>
  </si>
  <si>
    <t>After Midnight</t>
  </si>
  <si>
    <t>Red Wine Supernova</t>
  </si>
  <si>
    <t>Pink Pony Club</t>
  </si>
  <si>
    <t>HOT TO GO!</t>
  </si>
  <si>
    <t>Memory Lane</t>
  </si>
  <si>
    <t>Carolyn's Boy</t>
  </si>
  <si>
    <t>Sara</t>
  </si>
  <si>
    <t>Something To Give Each Other</t>
  </si>
  <si>
    <t>One Of Your Girls</t>
  </si>
  <si>
    <t>Stellaria</t>
  </si>
  <si>
    <t>Your Bones</t>
  </si>
  <si>
    <t>1989 (Taylor's Version)</t>
  </si>
  <si>
    <t>I Know Places (Taylor's Version)</t>
  </si>
  <si>
    <t>The Painter</t>
  </si>
  <si>
    <t>L.A.</t>
  </si>
  <si>
    <t>White Horse</t>
  </si>
  <si>
    <t>You’re Losing Me (From The Vault)</t>
  </si>
  <si>
    <t>Selfish</t>
  </si>
  <si>
    <t>Spin You Around (1/24)</t>
  </si>
  <si>
    <t>Turn the Lights Back On</t>
  </si>
  <si>
    <t>Chapter &amp; Verse</t>
  </si>
  <si>
    <t>Grow Apart</t>
  </si>
  <si>
    <t>Off The Highway</t>
  </si>
  <si>
    <t>Had It All</t>
  </si>
  <si>
    <t>VULTURES 1</t>
  </si>
  <si>
    <t>BURN</t>
  </si>
  <si>
    <t>Stick Season (Forever)</t>
  </si>
  <si>
    <t>She Calls Me Back (with Kacey Musgraves)</t>
  </si>
  <si>
    <t>Powerful Women</t>
  </si>
  <si>
    <t>Trackhouse (Daytona 500 Edition)</t>
  </si>
  <si>
    <t>Thank God &amp; Jimmy Buffett</t>
  </si>
  <si>
    <t>American Girl</t>
  </si>
  <si>
    <t>Overcompensate</t>
  </si>
  <si>
    <t>Overcompensate (edit)</t>
  </si>
  <si>
    <t>Modern Girl</t>
  </si>
  <si>
    <t>Deeper Well</t>
  </si>
  <si>
    <t>Too Good to be True</t>
  </si>
  <si>
    <t>Sway</t>
  </si>
  <si>
    <t>Dinner with Friends</t>
  </si>
  <si>
    <t>GUTS (spilled)</t>
  </si>
  <si>
    <t>stranger</t>
  </si>
  <si>
    <t>so american</t>
  </si>
  <si>
    <t>COWBOY CARTER</t>
  </si>
  <si>
    <t>BODYGUARD</t>
  </si>
  <si>
    <t>Let's Go - Alok Remix</t>
  </si>
  <si>
    <t>II MOST WANTED</t>
  </si>
  <si>
    <t>Good Luck, Babe!</t>
  </si>
  <si>
    <t>Come Down Soon</t>
  </si>
  <si>
    <t>Cold Beer &amp; Country Music</t>
  </si>
  <si>
    <t>Bad Luck</t>
  </si>
  <si>
    <t>All Falls Down</t>
  </si>
  <si>
    <t>Fireworks &amp; Rollerblades</t>
  </si>
  <si>
    <t>Slow It Down</t>
  </si>
  <si>
    <t>Beautiful Things</t>
  </si>
  <si>
    <t>Don't Forget Me</t>
  </si>
  <si>
    <t>It Was Coming All Along</t>
  </si>
  <si>
    <t>Drunk</t>
  </si>
  <si>
    <t>The Kill</t>
  </si>
  <si>
    <t>A Bar Song (Tipsy)</t>
  </si>
  <si>
    <t>THE TORTURED POETS DEPARTMENT</t>
  </si>
  <si>
    <t>Fortnight (feat. Post Malone)</t>
  </si>
  <si>
    <t>THE TORTURED POETS DEPARTMENT: THE ANTHOLOGY</t>
  </si>
  <si>
    <t>Guilty as Sin?</t>
  </si>
  <si>
    <t>Who’s Afraid of Little Old Me?</t>
  </si>
  <si>
    <t>My Boy Only Breaks His Favorite Toys</t>
  </si>
  <si>
    <t>So High School</t>
  </si>
  <si>
    <t>The Black Dog</t>
  </si>
  <si>
    <t>But Daddy I Love Him</t>
  </si>
  <si>
    <t>Never Been Over</t>
  </si>
  <si>
    <t>Radical Optimism</t>
  </si>
  <si>
    <t>These Walls</t>
  </si>
  <si>
    <t>Houdini</t>
  </si>
  <si>
    <t>Miles On It</t>
  </si>
  <si>
    <t>Illusion</t>
  </si>
  <si>
    <t>Making Love to the 2024 Vancouver Canucks</t>
  </si>
  <si>
    <t>Clementine</t>
  </si>
  <si>
    <t>Stargazing</t>
  </si>
  <si>
    <t>Ain't No Love In Oklahoma (From Twisters: The Album)</t>
  </si>
  <si>
    <t>HIT ME HARD AND SOFT</t>
  </si>
  <si>
    <t>BIRDS OF A FEATHER</t>
  </si>
  <si>
    <t>Clancy</t>
  </si>
  <si>
    <t>Lavish</t>
  </si>
  <si>
    <t>Midwest Indigo</t>
  </si>
  <si>
    <t>Hero</t>
  </si>
  <si>
    <t>At The Risk Of Feeling Dumb</t>
  </si>
  <si>
    <t>Paladin Strait</t>
  </si>
  <si>
    <t>Pink Skies</t>
  </si>
  <si>
    <t>Snap Back</t>
  </si>
  <si>
    <t>Oldies Station</t>
  </si>
  <si>
    <t>The Craving (Jenna's version)</t>
  </si>
  <si>
    <t>Fathers &amp; Sons</t>
  </si>
  <si>
    <t>Remember Him That Way</t>
  </si>
  <si>
    <t>Family Business</t>
  </si>
  <si>
    <t>Guy I Used To Be</t>
  </si>
  <si>
    <t>Risk</t>
  </si>
  <si>
    <t>Blowing Smoke</t>
  </si>
  <si>
    <t>Close To You</t>
  </si>
  <si>
    <t>us. (feat. Taylor Swift)</t>
  </si>
  <si>
    <t>I Love You, I'm Sorry</t>
  </si>
  <si>
    <t>Let It Happen</t>
  </si>
  <si>
    <t>Treadmill</t>
  </si>
  <si>
    <t>We Bring The BOOM!</t>
  </si>
  <si>
    <t>Lies Lies Lies</t>
  </si>
  <si>
    <t>Quit!!</t>
  </si>
  <si>
    <t>HAPPY HOUR (feat. Knox)</t>
  </si>
  <si>
    <t>Diet Pepsi</t>
  </si>
  <si>
    <t>Pour Me A Drink (Feat. Blake Shelton)</t>
  </si>
  <si>
    <t>Losers (Feat. Jelly Roll)</t>
  </si>
  <si>
    <t>I Had Some Help (Feat. Morgan Wallen)</t>
  </si>
  <si>
    <t>What Don't Belong To Me</t>
  </si>
  <si>
    <t>Nosedive (Feat. Lainey Wilson)</t>
  </si>
  <si>
    <t>Right About You</t>
  </si>
  <si>
    <t>Goes Without Saying (Feat. Brad Paisley)</t>
  </si>
  <si>
    <t>F-1 Trillion: Long Bed</t>
  </si>
  <si>
    <t>Ain’t How It Ends</t>
  </si>
  <si>
    <t>Too Sweet</t>
  </si>
  <si>
    <t>Short n' Sweet</t>
  </si>
  <si>
    <t>Espresso</t>
  </si>
  <si>
    <t>Coincidence</t>
  </si>
  <si>
    <t>Romance</t>
  </si>
  <si>
    <t>Favourite</t>
  </si>
  <si>
    <t>Don’t Smile</t>
  </si>
  <si>
    <t>Friday - Rebecca's Black &amp; White Remix</t>
  </si>
  <si>
    <t>Bed Chem</t>
  </si>
  <si>
    <t>Taste</t>
  </si>
  <si>
    <t>Odies But Goodies</t>
  </si>
  <si>
    <t>Lookin' for Love</t>
  </si>
  <si>
    <t>Flagpole Sitta</t>
  </si>
  <si>
    <t>HIGH</t>
  </si>
  <si>
    <t>MESSED UP AS ME</t>
  </si>
  <si>
    <t>Time of Day (with mgk)</t>
  </si>
  <si>
    <t>Backseat Driver</t>
  </si>
  <si>
    <t>You For A Reason</t>
  </si>
  <si>
    <t>What You've Been Through</t>
  </si>
  <si>
    <t>Same Work (feat. The War And Treaty)</t>
  </si>
  <si>
    <t>The Secret of Us (Deluxe)</t>
  </si>
  <si>
    <t>Felt Good About You</t>
  </si>
  <si>
    <t>Love Somebody</t>
  </si>
  <si>
    <t>Non Stop Flight</t>
  </si>
  <si>
    <t>I KIND OF RELATE</t>
  </si>
  <si>
    <t>From Zero</t>
  </si>
  <si>
    <t>The Emptiness Machine</t>
  </si>
  <si>
    <t>SOS Deluxe: LANA</t>
  </si>
  <si>
    <t>Saturn</t>
  </si>
  <si>
    <t>Glorious (Deluxe)</t>
  </si>
  <si>
    <t>Gonna Find Out</t>
  </si>
  <si>
    <t>Short n' Sweet (Deluxe)</t>
  </si>
  <si>
    <t>Lie To Girls</t>
  </si>
  <si>
    <t>Repeated in 2024</t>
  </si>
  <si>
    <t>Endless Summer Vacation</t>
  </si>
  <si>
    <t>Flowers</t>
  </si>
  <si>
    <t>Snooze</t>
  </si>
  <si>
    <t>Midnights</t>
  </si>
  <si>
    <t>Anti-Hero</t>
  </si>
  <si>
    <t>Dance The Night (From Barbie The Album)</t>
  </si>
  <si>
    <t>Dance The Night - From Barbie The Album</t>
  </si>
  <si>
    <t>Is It Over Now? (Taylor's Version) (From The Vault)</t>
  </si>
  <si>
    <t>Pendulum (Expanded Edition)</t>
  </si>
  <si>
    <t>Creedence Clearwater Revival</t>
  </si>
  <si>
    <t>Have You Ever Seen The Rain</t>
  </si>
  <si>
    <t>cardigan</t>
  </si>
  <si>
    <t>Don't Blame Me</t>
  </si>
  <si>
    <t>emails i can't send</t>
  </si>
  <si>
    <t>Nonsense</t>
  </si>
  <si>
    <t>Songs From The Big Chair (Super Deluxe Edition)</t>
  </si>
  <si>
    <t>Tears For Fears</t>
  </si>
  <si>
    <t>Everybody Wants To Rule The World</t>
  </si>
  <si>
    <t>After Hours</t>
  </si>
  <si>
    <t>The Weeknd</t>
  </si>
  <si>
    <t>Save Your Tears</t>
  </si>
  <si>
    <t>Thinkin' Bout Me</t>
  </si>
  <si>
    <t>Karma</t>
  </si>
  <si>
    <t>=</t>
  </si>
  <si>
    <t>Ed Sheeran</t>
  </si>
  <si>
    <t>Shivers</t>
  </si>
  <si>
    <t>five seconds flat</t>
  </si>
  <si>
    <t>ceilings</t>
  </si>
  <si>
    <t>SOUR</t>
  </si>
  <si>
    <t>favorite crime</t>
  </si>
  <si>
    <t>Nobody Gets Me</t>
  </si>
  <si>
    <t>Getaway Car</t>
  </si>
  <si>
    <t>Dangerous: The Double Album</t>
  </si>
  <si>
    <t>Wasted On You</t>
  </si>
  <si>
    <t>reputation Stadium Tour Surprise Song Playlist</t>
  </si>
  <si>
    <t>ZAYN</t>
  </si>
  <si>
    <t>I Don't Wanna Live Forever (Fifty Shades Darker)</t>
  </si>
  <si>
    <t>Love Story (Taylor's Version)</t>
  </si>
  <si>
    <t>You Proof</t>
  </si>
  <si>
    <t>RENAISSANCE</t>
  </si>
  <si>
    <t>Beyonc√©</t>
  </si>
  <si>
    <t>CUFF IT</t>
  </si>
  <si>
    <t>Doo-Wops &amp; Hooligans</t>
  </si>
  <si>
    <t>Talking to the Moon</t>
  </si>
  <si>
    <t>Harry's House</t>
  </si>
  <si>
    <t>Harry Styles</t>
  </si>
  <si>
    <t>Late Night Talking</t>
  </si>
  <si>
    <t>People</t>
  </si>
  <si>
    <t>Libianca</t>
  </si>
  <si>
    <t>THE END OF EVERYTHING</t>
  </si>
  <si>
    <t>Noah Cyrus</t>
  </si>
  <si>
    <t>July</t>
  </si>
  <si>
    <t>Only Human (Deluxe)</t>
  </si>
  <si>
    <t>Calum Scott</t>
  </si>
  <si>
    <t>Dancing On My Own</t>
  </si>
  <si>
    <t>-</t>
  </si>
  <si>
    <t>Eyes Closed</t>
  </si>
  <si>
    <t>Cowgirls (feat. ERNEST)</t>
  </si>
  <si>
    <t>Luke Bryan</t>
  </si>
  <si>
    <t>Buy Dirt</t>
  </si>
  <si>
    <t>Jordan Davis</t>
  </si>
  <si>
    <t>Miss Americana &amp; The Heartbreak Prince</t>
  </si>
  <si>
    <t>Rock and A Hard Place</t>
  </si>
  <si>
    <t>Drops Of Jupiter</t>
  </si>
  <si>
    <t>Train</t>
  </si>
  <si>
    <t>Drops of Jupiter (Tell Me)</t>
  </si>
  <si>
    <t>Used To Be Young</t>
  </si>
  <si>
    <t>You're Gonna Go Far</t>
  </si>
  <si>
    <t>evermore</t>
  </si>
  <si>
    <t>champagne problems</t>
  </si>
  <si>
    <t>Bon Iver</t>
  </si>
  <si>
    <t>exile (feat. Bon Iver)</t>
  </si>
  <si>
    <t>If You Can Believe Your Eyes &amp; Ears</t>
  </si>
  <si>
    <t>The Mamas &amp; The Papas</t>
  </si>
  <si>
    <t>California Dreamin' - Single Version</t>
  </si>
  <si>
    <t>Divide</t>
  </si>
  <si>
    <t>Castle on the Hill</t>
  </si>
  <si>
    <t>the record</t>
  </si>
  <si>
    <t>boygenius</t>
  </si>
  <si>
    <t>Not Strong Enough</t>
  </si>
  <si>
    <t>Fine Line</t>
  </si>
  <si>
    <t>I Can See You (Taylor's Version) (From The Vault)</t>
  </si>
  <si>
    <t>the 1</t>
  </si>
  <si>
    <t>Fearless (Taylor's Version)</t>
  </si>
  <si>
    <t>The Way I Loved You (Taylor's Version)</t>
  </si>
  <si>
    <t>Ain't That Some</t>
  </si>
  <si>
    <t>TRUCK BED</t>
  </si>
  <si>
    <t>The Rise and Fall of Ziggy Stardust and the Spiders from Mars (2012 Remaster)</t>
  </si>
  <si>
    <t>Starman - 2012 Remaster</t>
  </si>
  <si>
    <t>Hopes And Fears</t>
  </si>
  <si>
    <t>Keane</t>
  </si>
  <si>
    <t>Somewhere Only We Know</t>
  </si>
  <si>
    <t>Growin' Up</t>
  </si>
  <si>
    <t>The Kind of Love We Make</t>
  </si>
  <si>
    <t>Thought You Should Know</t>
  </si>
  <si>
    <t>Woodland</t>
  </si>
  <si>
    <t>The Paper Kites</t>
  </si>
  <si>
    <t>Bloom - Bonus Track</t>
  </si>
  <si>
    <t>Them Vs. You Vs. Me (Deluxe Edition)</t>
  </si>
  <si>
    <t>Finger Eleven</t>
  </si>
  <si>
    <t>Paralyzer</t>
  </si>
  <si>
    <t>Fall In Love</t>
  </si>
  <si>
    <t>So Wrong, It's Right</t>
  </si>
  <si>
    <t>All Time Low</t>
  </si>
  <si>
    <t>Dear Maria, Count Me In</t>
  </si>
  <si>
    <t>Teenage Dream: The Complete Confection</t>
  </si>
  <si>
    <t>Katy Perry</t>
  </si>
  <si>
    <t>Wide Awake</t>
  </si>
  <si>
    <t>Cleopatra</t>
  </si>
  <si>
    <t>Ophelia</t>
  </si>
  <si>
    <t>Orange Juice</t>
  </si>
  <si>
    <t>invisible string</t>
  </si>
  <si>
    <t>Ballads of the Broken</t>
  </si>
  <si>
    <t>Son Of A Sinner</t>
  </si>
  <si>
    <t>Going, Going, Gone</t>
  </si>
  <si>
    <t>Homesick</t>
  </si>
  <si>
    <t>RUNAWAY</t>
  </si>
  <si>
    <t>OneRepublic</t>
  </si>
  <si>
    <t>Clean (Taylor's Version)</t>
  </si>
  <si>
    <t>Death By A Thousand Cuts</t>
  </si>
  <si>
    <t>This Empty Northern Hemisphere</t>
  </si>
  <si>
    <t>Gregory Alan Isakov</t>
  </si>
  <si>
    <t>Big Black Car</t>
  </si>
  <si>
    <t>Dreams and Nightmares (Deluxe Edition)</t>
  </si>
  <si>
    <t>Meek Mill</t>
  </si>
  <si>
    <t>Dreams and Nightmares</t>
  </si>
  <si>
    <t>Konvicted</t>
  </si>
  <si>
    <t>Akon</t>
  </si>
  <si>
    <t>Don't Matter</t>
  </si>
  <si>
    <t>Bluebird Days</t>
  </si>
  <si>
    <t>What My World Spins Around</t>
  </si>
  <si>
    <t>Jaded</t>
  </si>
  <si>
    <t>Everything To Everyone</t>
  </si>
  <si>
    <t>Renee Rapp</t>
  </si>
  <si>
    <t>Too Well</t>
  </si>
  <si>
    <t>Phoebe Bridgers</t>
  </si>
  <si>
    <t>Nothing New (feat. Phoebe Bridgers) (Taylor's Version) (From The Vault)</t>
  </si>
  <si>
    <t>When You're Gone</t>
  </si>
  <si>
    <t>Shawn Mendes</t>
  </si>
  <si>
    <t>Est-ce que tu m'aimes ? - Pilule bleue</t>
  </si>
  <si>
    <t>Almost Healed</t>
  </si>
  <si>
    <t>Lil Durk</t>
  </si>
  <si>
    <t>Stand By Me (feat. Morgan Wallen)</t>
  </si>
  <si>
    <t>Greatest Hits</t>
  </si>
  <si>
    <t>Fleetwood Mac</t>
  </si>
  <si>
    <t>Gypsy</t>
  </si>
  <si>
    <t>Tucson Too Late</t>
  </si>
  <si>
    <t>About Damn Time</t>
  </si>
  <si>
    <t>Lizzo</t>
  </si>
  <si>
    <t>Love You Anyway</t>
  </si>
  <si>
    <t>Mae Muller</t>
  </si>
  <si>
    <t>Better Days (NEIKED x Mae Muller x Polo G)</t>
  </si>
  <si>
    <t>NEIKED</t>
  </si>
  <si>
    <t>Brand New Eyes</t>
  </si>
  <si>
    <t>Paramore</t>
  </si>
  <si>
    <t>The Only Exception</t>
  </si>
  <si>
    <t>The Story Of Us (Taylor's Version)</t>
  </si>
  <si>
    <t>Mr. Perfectly Fine (Taylor's Version) (From The Vault)</t>
  </si>
  <si>
    <t>Tyler Hubbard</t>
  </si>
  <si>
    <t>Dancin' In The Country</t>
  </si>
  <si>
    <t>Everything I Love</t>
  </si>
  <si>
    <t>7220 (Reloaded)</t>
  </si>
  <si>
    <t>Broadway Girls (feat. Morgan Wallen)</t>
  </si>
  <si>
    <t>Revival</t>
  </si>
  <si>
    <t>River (feat. Ed Sheeran)</t>
  </si>
  <si>
    <t>Blood Bank</t>
  </si>
  <si>
    <t>Beach Baby</t>
  </si>
  <si>
    <t>Heart Of Stone</t>
  </si>
  <si>
    <t>Cher</t>
  </si>
  <si>
    <t>If I Could Turn Back Time</t>
  </si>
  <si>
    <t>Katelyn Brown</t>
  </si>
  <si>
    <t>Different Man</t>
  </si>
  <si>
    <t>Thank God</t>
  </si>
  <si>
    <t>Coming Home (Deluxe)</t>
  </si>
  <si>
    <t>River</t>
  </si>
  <si>
    <t>Our Song</t>
  </si>
  <si>
    <t>98 Braves</t>
  </si>
  <si>
    <t>x (Deluxe Edition)</t>
  </si>
  <si>
    <t>Don't</t>
  </si>
  <si>
    <t>Bring Me The Horizon</t>
  </si>
  <si>
    <t>maybe (feat. Bring Me The Horizon)</t>
  </si>
  <si>
    <t>Rumours (Super Deluxe)</t>
  </si>
  <si>
    <t>Silver Springs - 2004 Remaster</t>
  </si>
  <si>
    <t>The Album</t>
  </si>
  <si>
    <t>Jonas Brothers</t>
  </si>
  <si>
    <t>Waffle House</t>
  </si>
  <si>
    <t>Growing Sideways</t>
  </si>
  <si>
    <t>New Perspective</t>
  </si>
  <si>
    <t>Life Goes On (feat. Luke Combs)</t>
  </si>
  <si>
    <t>A ROCK</t>
  </si>
  <si>
    <t>GIVE HEAVEN SOME HELL</t>
  </si>
  <si>
    <t>Southern Nights</t>
  </si>
  <si>
    <t>You Don't Mess Around With Jim</t>
  </si>
  <si>
    <t>Jim Croce</t>
  </si>
  <si>
    <t>Operator (That's Not the Way It Feels)</t>
  </si>
  <si>
    <t>American Fool</t>
  </si>
  <si>
    <t>John Mellencamp</t>
  </si>
  <si>
    <t>Hurts So Good</t>
  </si>
  <si>
    <t>The View Between Villages</t>
  </si>
  <si>
    <t>ivy</t>
  </si>
  <si>
    <t>When Emma Falls in Love (Taylor's Version) (From The Vault)</t>
  </si>
  <si>
    <t>County Line</t>
  </si>
  <si>
    <t>Chase Matthew</t>
  </si>
  <si>
    <t>Highway Desperado</t>
  </si>
  <si>
    <t>Jason Aldean</t>
  </si>
  <si>
    <t>Try That In A Small Town</t>
  </si>
  <si>
    <t>I Wrote The Book</t>
  </si>
  <si>
    <t>Freakin' Out On The Interstate (Acoustic Version [Live])</t>
  </si>
  <si>
    <t>Briston Maroney</t>
  </si>
  <si>
    <t>Freakin' Out On the Interstate</t>
  </si>
  <si>
    <t>I Will Survive (Phil Kelsey Remix)</t>
  </si>
  <si>
    <t>Gloria Gaynor</t>
  </si>
  <si>
    <t>I Will Survive - Original 7" Version</t>
  </si>
  <si>
    <t>A/B</t>
  </si>
  <si>
    <t>KALEO</t>
  </si>
  <si>
    <t>All the Pretty Girls</t>
  </si>
  <si>
    <t>Sleep On The Floor</t>
  </si>
  <si>
    <t>Call Your Mom</t>
  </si>
  <si>
    <t>Fifteen (Taylor's Version)</t>
  </si>
  <si>
    <t>Ice Spice</t>
  </si>
  <si>
    <t>Karma (feat. Ice Spice)</t>
  </si>
  <si>
    <t>peace</t>
  </si>
  <si>
    <t>Livin' My Best Life</t>
  </si>
  <si>
    <t>Dylan Scott</t>
  </si>
  <si>
    <t>Can't Have Mine (Find You A Girl)</t>
  </si>
  <si>
    <t>Halsey</t>
  </si>
  <si>
    <t>forget me too (feat. Halsey)</t>
  </si>
  <si>
    <t>That Lonesome Song</t>
  </si>
  <si>
    <t>Jamey Johnson</t>
  </si>
  <si>
    <t>In Color</t>
  </si>
  <si>
    <t>Surrealistic Pillow</t>
  </si>
  <si>
    <t>Jefferson Airplane</t>
  </si>
  <si>
    <t>Somebody to Love</t>
  </si>
  <si>
    <t>I'm Wide Awake, It's Morning</t>
  </si>
  <si>
    <t>Bright Eyes</t>
  </si>
  <si>
    <t>First Day of My Life</t>
  </si>
  <si>
    <t>Young Hearts Run Free (US Internet Release)</t>
  </si>
  <si>
    <t>Candi Staton</t>
  </si>
  <si>
    <t>Young Hearts Run Free</t>
  </si>
  <si>
    <t>Love Hurts</t>
  </si>
  <si>
    <t>The Shoop Shoop Song (It's In His Kiss)</t>
  </si>
  <si>
    <t>XO</t>
  </si>
  <si>
    <t>Meltdown</t>
  </si>
  <si>
    <t>evermore (deluxe version)</t>
  </si>
  <si>
    <t>evermore (feat. Bon Iver)</t>
  </si>
  <si>
    <t>State Of Grace (Taylor's Version)</t>
  </si>
  <si>
    <t>The Head And The Heart</t>
  </si>
  <si>
    <t>Rivers and Roads</t>
  </si>
  <si>
    <t>California 37</t>
  </si>
  <si>
    <t>50 Ways to Say Goodbye</t>
  </si>
  <si>
    <t>Dan + Shay</t>
  </si>
  <si>
    <t>That's Not How This Works (feat. Dan + Shay)</t>
  </si>
  <si>
    <t>Human The Double Album</t>
  </si>
  <si>
    <t>Human</t>
  </si>
  <si>
    <t>Big Energy</t>
  </si>
  <si>
    <t>Latto</t>
  </si>
  <si>
    <t>What's Going On</t>
  </si>
  <si>
    <t>Marvin Gaye</t>
  </si>
  <si>
    <t>Mercy Mercy Me (The Ecology)</t>
  </si>
  <si>
    <t>I Deserve A Drink</t>
  </si>
  <si>
    <t>Konvicted (Complete Edition)</t>
  </si>
  <si>
    <t>Sorry, Blame It On Me</t>
  </si>
  <si>
    <t>Wide Open</t>
  </si>
  <si>
    <t>Big Green Tractor</t>
  </si>
  <si>
    <t>Still Goin Down</t>
  </si>
  <si>
    <t>The New Look</t>
  </si>
  <si>
    <t>Fontella Bass</t>
  </si>
  <si>
    <t>Rescue Me</t>
  </si>
  <si>
    <t>Whiskey Friends</t>
  </si>
  <si>
    <t>Dream Your Life Away (Special Edition)</t>
  </si>
  <si>
    <t>Vance Joy</t>
  </si>
  <si>
    <t>Mess Is Mine</t>
  </si>
  <si>
    <t>717 Tapes the Album</t>
  </si>
  <si>
    <t>Ride the Lightning - 717 Tapes</t>
  </si>
  <si>
    <t>Wild Ones</t>
  </si>
  <si>
    <t>I Cry</t>
  </si>
  <si>
    <t>Born With A Beer In My Hand</t>
  </si>
  <si>
    <t>Sentiments</t>
  </si>
  <si>
    <t>Louane</t>
  </si>
  <si>
    <t>Secret</t>
  </si>
  <si>
    <t>LU KALA</t>
  </si>
  <si>
    <t>Lottery (feat. LU KALA)</t>
  </si>
  <si>
    <t>Me + All Your Reasons</t>
  </si>
  <si>
    <t>Neon Star (Country Boy Lullaby)</t>
  </si>
  <si>
    <t>MUNA</t>
  </si>
  <si>
    <t>Silk Chiffon</t>
  </si>
  <si>
    <t>Tell Me Why (Taylor's Version)</t>
  </si>
  <si>
    <t>Subliminal (La face cach√©e)</t>
  </si>
  <si>
    <t>drunk face</t>
  </si>
  <si>
    <t>Boat</t>
  </si>
  <si>
    <t>Either/Or</t>
  </si>
  <si>
    <t>Elliott Smith</t>
  </si>
  <si>
    <t>Between the Bars</t>
  </si>
  <si>
    <t>Continuum</t>
  </si>
  <si>
    <t>The Heart of Life</t>
  </si>
  <si>
    <t>Summer Baby</t>
  </si>
  <si>
    <t>Rolling Up the Welcome Mat</t>
  </si>
  <si>
    <t>Kelsea Ballerini</t>
  </si>
  <si>
    <t>Penthouse</t>
  </si>
  <si>
    <t>Angela</t>
  </si>
  <si>
    <t>Single Than She Was</t>
  </si>
  <si>
    <t>Last Drive Down Main</t>
  </si>
  <si>
    <t>F150-50</t>
  </si>
  <si>
    <t>Tennessee Fan</t>
  </si>
  <si>
    <t>Revolver (Remastered)</t>
  </si>
  <si>
    <t>The Beatles</t>
  </si>
  <si>
    <t>For No One - Remastered 2009</t>
  </si>
  <si>
    <t>The First Family of Soul: The Best of The Five Stairsteps</t>
  </si>
  <si>
    <t>The Five Stairsteps</t>
  </si>
  <si>
    <t>O-o-h Child</t>
  </si>
  <si>
    <t>James Taylor</t>
  </si>
  <si>
    <t>Carolina in My Mind</t>
  </si>
  <si>
    <t>Give Me A Minute</t>
  </si>
  <si>
    <t>To the Mountains</t>
  </si>
  <si>
    <t>Solar Power</t>
  </si>
  <si>
    <t>Lorde</t>
  </si>
  <si>
    <t>You Found Yours</t>
  </si>
  <si>
    <t>Rewind</t>
  </si>
  <si>
    <t>Rascal Flatts</t>
  </si>
  <si>
    <t>I Like The Sound Of That</t>
  </si>
  <si>
    <t>Vika Jigulina</t>
  </si>
  <si>
    <t>Stereo Love</t>
  </si>
  <si>
    <t>Edward Maya</t>
  </si>
  <si>
    <t>Stereo Love - Original</t>
  </si>
  <si>
    <t>I'm a Mess</t>
  </si>
  <si>
    <t>Tennessee Numbers</t>
  </si>
  <si>
    <t>Stop This Train</t>
  </si>
  <si>
    <t>Wings</t>
  </si>
  <si>
    <t>The Best: Loggins &amp; Messina Sittin' In Again</t>
  </si>
  <si>
    <t>Loggins &amp; Messina</t>
  </si>
  <si>
    <t>Danny's Song</t>
  </si>
  <si>
    <t>Miranda Lambert</t>
  </si>
  <si>
    <t>Outrunnin' Your Memory</t>
  </si>
  <si>
    <t>The Good Witch</t>
  </si>
  <si>
    <t>Maisie Peters</t>
  </si>
  <si>
    <t>Lost The Breakup</t>
  </si>
  <si>
    <t>Island</t>
  </si>
  <si>
    <t>Keith Whitley</t>
  </si>
  <si>
    <t>Part Of The Light</t>
  </si>
  <si>
    <t>Such A Simple Thing</t>
  </si>
  <si>
    <t>Come In With The Rain (Taylor's Version)</t>
  </si>
  <si>
    <t>Gold Chain Cowboy</t>
  </si>
  <si>
    <t>To Be Loved By You</t>
  </si>
  <si>
    <t>kiss kiss</t>
  </si>
  <si>
    <t>Patched Up</t>
  </si>
  <si>
    <t>beabadoobee</t>
  </si>
  <si>
    <t>Dance with Me</t>
  </si>
  <si>
    <t>Reboot</t>
  </si>
  <si>
    <t>Brooks &amp; Dunn</t>
  </si>
  <si>
    <t>Neon Moon - with Kacey Musgraves</t>
  </si>
  <si>
    <t>Save Me The Trouble, Heartbreak On The Map, Bigger Houses</t>
  </si>
  <si>
    <t>Save Me The Trouble</t>
  </si>
  <si>
    <t>Dark in the City</t>
  </si>
  <si>
    <t>Jordy Searcy</t>
  </si>
  <si>
    <t>Love &amp; War in Your Twenties</t>
  </si>
  <si>
    <t>Edges Run</t>
  </si>
  <si>
    <t>Mipso</t>
  </si>
  <si>
    <t>People Change</t>
  </si>
  <si>
    <t>Tides</t>
  </si>
  <si>
    <t>AURORA</t>
  </si>
  <si>
    <t>Daisy Jones &amp; The Six</t>
  </si>
  <si>
    <t>The River</t>
  </si>
  <si>
    <t>You Could Start A Cult</t>
  </si>
  <si>
    <t>Lost in My Mind</t>
  </si>
  <si>
    <t>Rolling Up the Welcome Mat (For Good)</t>
  </si>
  <si>
    <t>How Do I Do This</t>
  </si>
  <si>
    <t>See Me Now</t>
  </si>
  <si>
    <t>Northern Attitude</t>
  </si>
  <si>
    <t>Megan Moroney</t>
  </si>
  <si>
    <t>Can't Break Up Now</t>
  </si>
  <si>
    <t>Nation of Two</t>
  </si>
  <si>
    <t>Lay It on Me</t>
  </si>
  <si>
    <t>iann dior</t>
  </si>
  <si>
    <t>nothing inside (feat. iann dior)</t>
  </si>
  <si>
    <t>Women In Music Pt. III</t>
  </si>
  <si>
    <t>HAIM</t>
  </si>
  <si>
    <t>Gasoline (feat. Taylor Swift)</t>
  </si>
  <si>
    <t>LEGEND</t>
  </si>
  <si>
    <t>John Legend</t>
  </si>
  <si>
    <t>Wonder Woman</t>
  </si>
  <si>
    <t>Dangerous Levels of Introspection</t>
  </si>
  <si>
    <t>JP Saxe</t>
  </si>
  <si>
    <t>A Little Bit Yours</t>
  </si>
  <si>
    <t>Blindsided (Yeah, Sure, Okay)</t>
  </si>
  <si>
    <t>Mountain With A View</t>
  </si>
  <si>
    <t>Take You With Me</t>
  </si>
  <si>
    <t>Standing Room Only</t>
  </si>
  <si>
    <t>Tim McGraw</t>
  </si>
  <si>
    <t>CHARLIE</t>
  </si>
  <si>
    <t>Loser</t>
  </si>
  <si>
    <t>Montana Sky</t>
  </si>
  <si>
    <t>TROLLS (Original Motion Picture Soundtrack)</t>
  </si>
  <si>
    <t>Anna Kendrick</t>
  </si>
  <si>
    <t>True Colors</t>
  </si>
  <si>
    <t>Abbey Road (Remastered)</t>
  </si>
  <si>
    <t>She Came In Through The Bathroom Window - Remastered 2009</t>
  </si>
  <si>
    <t>You Never Give Me Your Money - Remastered 2009</t>
  </si>
  <si>
    <t>Mulan (Original Motion Picture Soundtrack)</t>
  </si>
  <si>
    <t>Christina Aguilera</t>
  </si>
  <si>
    <t>Reflection (2020)</t>
  </si>
  <si>
    <t>Regret Me</t>
  </si>
  <si>
    <t>Giving Up On That</t>
  </si>
  <si>
    <t>Dalton Dover</t>
  </si>
  <si>
    <t>The George Benson Collection</t>
  </si>
  <si>
    <t>George Benson</t>
  </si>
  <si>
    <t>Turn Your Love Around</t>
  </si>
  <si>
    <t>Life Upside Down EP</t>
  </si>
  <si>
    <t>Morgan Evans</t>
  </si>
  <si>
    <t>Over For You</t>
  </si>
  <si>
    <t>WHO CARES?</t>
  </si>
  <si>
    <t>Rex Orange County</t>
  </si>
  <si>
    <t>KEEP IT UP</t>
  </si>
  <si>
    <t>States</t>
  </si>
  <si>
    <t>Tenenbaum</t>
  </si>
  <si>
    <t>concert for aliens</t>
  </si>
  <si>
    <t>Look Sharp!</t>
  </si>
  <si>
    <t>Roxette</t>
  </si>
  <si>
    <t>Listen To Your Heart</t>
  </si>
  <si>
    <t>On √©tait beau</t>
  </si>
  <si>
    <t>Lancaster Nights</t>
  </si>
  <si>
    <t>Charlie Burg</t>
  </si>
  <si>
    <t>You're Such A</t>
  </si>
  <si>
    <t>Jah</t>
  </si>
  <si>
    <t>GANGSTER ROMANTIC</t>
  </si>
  <si>
    <t>Lojay</t>
  </si>
  <si>
    <t>MOTO</t>
  </si>
  <si>
    <t>Something / Anything?</t>
  </si>
  <si>
    <t>Todd Rundgren</t>
  </si>
  <si>
    <t>Hello It's Me</t>
  </si>
  <si>
    <t>Combat Rock (Remastered)</t>
  </si>
  <si>
    <t>The Clash</t>
  </si>
  <si>
    <t>Straight to Hell - Remastered</t>
  </si>
  <si>
    <t>Gunna</t>
  </si>
  <si>
    <t>die in california (feat. Gunna, Young Thug &amp; Landon Barker)</t>
  </si>
  <si>
    <t>#1 Record</t>
  </si>
  <si>
    <t>Big Star</t>
  </si>
  <si>
    <t>Thirteen</t>
  </si>
  <si>
    <t>Sail Away</t>
  </si>
  <si>
    <t>Surround Me - EP</t>
  </si>
  <si>
    <t>L√âON</t>
  </si>
  <si>
    <t>Surround Me</t>
  </si>
  <si>
    <t>Crisis / Secret / Set Me Free</t>
  </si>
  <si>
    <t>Joshua Bassett</t>
  </si>
  <si>
    <t>Set Me Free</t>
  </si>
  <si>
    <t>It Don't Come Easy</t>
  </si>
  <si>
    <t>Love,Heartbreak, &amp; Everything in Between</t>
  </si>
  <si>
    <t>Tenille Arts</t>
  </si>
  <si>
    <t>I Hate This</t>
  </si>
  <si>
    <t>KILL SH!T TILL I DIE</t>
  </si>
  <si>
    <t>We're All Gonna Die</t>
  </si>
  <si>
    <t>Joy Oladokun</t>
  </si>
  <si>
    <t>We're All Gonna Die (with Noah Kahan)</t>
  </si>
  <si>
    <t>III</t>
  </si>
  <si>
    <t>Life In The City</t>
  </si>
  <si>
    <t>Broke Boy (Stripped)</t>
  </si>
  <si>
    <t>Malia Civetz</t>
  </si>
  <si>
    <t>Broke Boy</t>
  </si>
  <si>
    <t>Where I'm Coming From</t>
  </si>
  <si>
    <t>Stevie Wonder</t>
  </si>
  <si>
    <t>If You Really Love Me</t>
  </si>
  <si>
    <t>No More Drama</t>
  </si>
  <si>
    <t>Easy to Love</t>
  </si>
  <si>
    <t>American Beauty (2013 Remaster)</t>
  </si>
  <si>
    <t>Grateful Dead</t>
  </si>
  <si>
    <t>Box of Rain - 2013 Remaster</t>
  </si>
  <si>
    <t>Joe Cocker!</t>
  </si>
  <si>
    <t>Joe Cocker</t>
  </si>
  <si>
    <t>She Came In Through The Bathroom Window</t>
  </si>
  <si>
    <t>Anything Goes</t>
  </si>
  <si>
    <t>Florida Georgia Line</t>
  </si>
  <si>
    <t>Smoke</t>
  </si>
  <si>
    <t>Tenille Townes</t>
  </si>
  <si>
    <t>I Know (feat. Tenille Townes &amp; Bryce Vine)</t>
  </si>
  <si>
    <t>Don't Tempt Me</t>
  </si>
  <si>
    <t>Fuck</t>
  </si>
  <si>
    <t>Buckcherry</t>
  </si>
  <si>
    <t>Say Fuck It</t>
  </si>
  <si>
    <t>Life &amp; Times</t>
  </si>
  <si>
    <t>One Less Set of Footsteps</t>
  </si>
  <si>
    <t>Just Married</t>
  </si>
  <si>
    <t>Nothing / Sad N Stuff</t>
  </si>
  <si>
    <t>Hopeless Romantic</t>
  </si>
  <si>
    <t>Sam Fischer</t>
  </si>
  <si>
    <t>Multitude</t>
  </si>
  <si>
    <t>Stromae</t>
  </si>
  <si>
    <t>Mon amour</t>
  </si>
  <si>
    <t>Happiness and Surrounding Suburbs</t>
  </si>
  <si>
    <t>Ball Park Music</t>
  </si>
  <si>
    <t>It's Nice to Be Alive</t>
  </si>
  <si>
    <t>Alana Springsteen</t>
  </si>
  <si>
    <t>For What It's Worth (feat. Alana Springsteen)</t>
  </si>
  <si>
    <t>Heartland</t>
  </si>
  <si>
    <t>Nelly</t>
  </si>
  <si>
    <t>High Horse (feat. BRELAND and Blanco Brown)</t>
  </si>
  <si>
    <t>No</t>
  </si>
  <si>
    <t>Dylan Scott (Deluxe Edition)</t>
  </si>
  <si>
    <t>Beer Buddies</t>
  </si>
  <si>
    <t>Bigger Houses</t>
  </si>
  <si>
    <t>Heartbreak On The Map</t>
  </si>
  <si>
    <t>Takin' It Back</t>
  </si>
  <si>
    <t>While You're Young</t>
  </si>
  <si>
    <t>Travelling Like The Light</t>
  </si>
  <si>
    <t>V V Brown</t>
  </si>
  <si>
    <t>Shark In The Water</t>
  </si>
  <si>
    <t>I'm Fine</t>
  </si>
  <si>
    <t>Foolish Loving Spaces (Deluxe Edition)</t>
  </si>
  <si>
    <t>Blossoms</t>
  </si>
  <si>
    <t>Oh No (I Think I'm In Love)</t>
  </si>
  <si>
    <t>Thomas Rhett</t>
  </si>
  <si>
    <t>My Maria - with Thomas Rhett</t>
  </si>
  <si>
    <t>Leaning On You</t>
  </si>
  <si>
    <t>The Ever Dying Bristlecone Man</t>
  </si>
  <si>
    <t>The Brazen Youth</t>
  </si>
  <si>
    <t>Center of Gravity</t>
  </si>
  <si>
    <t>Any Day Now</t>
  </si>
  <si>
    <t>Elles ont trop jou√© avec mon coeur</t>
  </si>
  <si>
    <t>Z√©lie</t>
  </si>
  <si>
    <t>Denim &amp; Rhinestones</t>
  </si>
  <si>
    <t>Carrie Underwood</t>
  </si>
  <si>
    <t>Crazy Angels</t>
  </si>
  <si>
    <t>Superwoman</t>
  </si>
  <si>
    <t>Run River North</t>
  </si>
  <si>
    <t>Growing Up</t>
  </si>
  <si>
    <t>Prendre l'air - Collector</t>
  </si>
  <si>
    <t>Shy'm</t>
  </si>
  <si>
    <t>Je sais</t>
  </si>
  <si>
    <t>Blanks</t>
  </si>
  <si>
    <t>Tissues (French Version)</t>
  </si>
  <si>
    <t>Tissues (with Louane) - French Version</t>
  </si>
  <si>
    <t>Le Droit De R√™ver</t>
  </si>
  <si>
    <t>TAL</t>
  </si>
  <si>
    <t>Je prends le large</t>
  </si>
  <si>
    <t>Always, Joni</t>
  </si>
  <si>
    <t>Happy Anymore</t>
  </si>
  <si>
    <t>L√† o√π le vent me m√®ne (Summer Edition)</t>
  </si>
  <si>
    <t>Lola Dubini</t>
  </si>
  <si>
    <t>Comme des enfants (Version collector)</t>
  </si>
  <si>
    <t>Trois Caf√©s Gourmands</t>
  </si>
  <si>
    <t>Si demain</t>
  </si>
  <si>
    <t>The Loneliest Time</t>
  </si>
  <si>
    <t>Carly Rae Jepsen</t>
  </si>
  <si>
    <t>Go Find Yourself or Whatever</t>
  </si>
  <si>
    <t>Prisoner in Disguise</t>
  </si>
  <si>
    <t>Linda Ronstadt</t>
  </si>
  <si>
    <t>Heat Wave</t>
  </si>
  <si>
    <t>Watching the River Run</t>
  </si>
  <si>
    <t>The Bridge</t>
  </si>
  <si>
    <t>Maren Morris</t>
  </si>
  <si>
    <t>Get The Hell Out Of Here</t>
  </si>
  <si>
    <t>Cross Country</t>
  </si>
  <si>
    <t>Natural</t>
  </si>
  <si>
    <t>Songs From the Trees (A Musical Memoir Collection)</t>
  </si>
  <si>
    <t>Carly Simon</t>
  </si>
  <si>
    <t>You're So Vain - 2015 Remaster</t>
  </si>
  <si>
    <t>Codependent</t>
  </si>
  <si>
    <t>Sophie Holohan</t>
  </si>
  <si>
    <t>Everyone's In Everyone</t>
  </si>
  <si>
    <t>Patrick Park</t>
  </si>
  <si>
    <t>Life Is A Song</t>
  </si>
  <si>
    <t>Vitaa</t>
  </si>
  <si>
    <t>L'empire de M√©ro√©</t>
  </si>
  <si>
    <t>Prends ma main</t>
  </si>
  <si>
    <t>Stoney End</t>
  </si>
  <si>
    <t>Barbra Streisand</t>
  </si>
  <si>
    <t>Hotcakes</t>
  </si>
  <si>
    <t>Haven't Got Time for the Pain</t>
  </si>
  <si>
    <t>My Favourite Faded Fantasy</t>
  </si>
  <si>
    <t>Damien Rice</t>
  </si>
  <si>
    <t>Colour Me In</t>
  </si>
  <si>
    <t>Tumbleweed Connection</t>
  </si>
  <si>
    <t>Elton John</t>
  </si>
  <si>
    <t>Where To Now St. Peter?</t>
  </si>
  <si>
    <t>What Could I Say</t>
  </si>
  <si>
    <t>Burn</t>
  </si>
  <si>
    <t>Kina Grannis</t>
  </si>
  <si>
    <t>Imaginary Future</t>
  </si>
  <si>
    <t>We'll Be Okay</t>
  </si>
  <si>
    <t>Sometimes</t>
  </si>
  <si>
    <t>Velvet Heartbreak</t>
  </si>
  <si>
    <t>Incorruptible Heart</t>
  </si>
  <si>
    <t>Lavender Diamond</t>
  </si>
  <si>
    <t>I Don't Recall</t>
  </si>
  <si>
    <t>If You're Hurting</t>
  </si>
  <si>
    <t>What Happiness Is</t>
  </si>
  <si>
    <t>Love</t>
  </si>
  <si>
    <t>Point Your Finger</t>
  </si>
  <si>
    <t>She Don't Know</t>
  </si>
  <si>
    <t>Texas Longhorn - Single</t>
  </si>
  <si>
    <t>Django Walker</t>
  </si>
  <si>
    <t>Texas Longhorn</t>
  </si>
  <si>
    <t>Fais-moi penser</t>
  </si>
  <si>
    <t>Tom Frager</t>
  </si>
  <si>
    <t>123 - Radio Edit</t>
  </si>
  <si>
    <t>Don't Wanna</t>
  </si>
  <si>
    <t>soundtrack for a sunset</t>
  </si>
  <si>
    <t>moonstalker</t>
  </si>
  <si>
    <t>forever</t>
  </si>
  <si>
    <t>Day</t>
  </si>
  <si>
    <t>Rank</t>
  </si>
  <si>
    <t>https://open.spotify.com/wrapped/share/share-3e708cf501a34c98a8744888052d9b58?si=8xmVb__nSFuoT1MnvG4TLQ&amp;track-id=244AvzGQ4Ksa5637JQu5Gy</t>
  </si>
  <si>
    <t>Au Family</t>
  </si>
  <si>
    <t>Joie</t>
  </si>
  <si>
    <t>Golden Girls JFK</t>
  </si>
  <si>
    <t>Natasha</t>
  </si>
  <si>
    <t>Jeff D Lowe</t>
  </si>
  <si>
    <t>Albert</t>
  </si>
  <si>
    <t>https://open.spotify.com/wrapped/share/share-38e671975ff14554bf64d5e7ad1adf3c?si=ZDFd_U0WQq6B5MkxsCSBew&amp;track-id=1b7vg5T9YKR3NNqXfBYRF7</t>
  </si>
  <si>
    <t>Helena</t>
  </si>
  <si>
    <t>Juliette</t>
  </si>
  <si>
    <t>Brooke</t>
  </si>
  <si>
    <t>Avery, Joseph</t>
  </si>
  <si>
    <t>Audia</t>
  </si>
  <si>
    <t>Tori</t>
  </si>
  <si>
    <t>https://open.spotify.com/wrapped/share/share-e201e3b056c64c69a11c222fc2d31902?si=zIckeQqcRxejKIVhALrs2g&amp;track-id=0KakXD2XTaMwFkJBQcL8d8</t>
  </si>
  <si>
    <t>https://open.spotify.com/wrapped/share/share-5bf46a64e05443ae93d9c1e10bad3b69?si=pITu5NsERJWI65230ZzTtQ&amp;track-id=0FZ9csVDfNZAvzw3pPBXkG</t>
  </si>
  <si>
    <t>Cami</t>
  </si>
  <si>
    <t>Lauren</t>
  </si>
  <si>
    <t>Doobs, Lippman</t>
  </si>
  <si>
    <t>https://open.spotify.com/wrapped/share/share-d94c3cfa094d4f1c85d137b1e5f83d2e?si=GMpNgDzWQciSEtLA3gbSFQ&amp;track-id=2p0VD8mwgVidhkioB1XNZm</t>
  </si>
  <si>
    <t>Zach, Maggie, Jamie</t>
  </si>
  <si>
    <t>Oslin</t>
  </si>
  <si>
    <t>Ally Boots</t>
  </si>
  <si>
    <t>Alex, Nam</t>
  </si>
  <si>
    <t>Harris, Quinn, Brewski</t>
  </si>
  <si>
    <t>Seb, Obama</t>
  </si>
  <si>
    <t>https://open.spotify.com/wrapped/share/share-9f94ad6a7699432db21cca4d01837a37?si=lB599TNBTg6MtGmnhyDqUQ&amp;track-id=1bjeWoagtHmUKputLVyDxQ</t>
  </si>
  <si>
    <t>Teddy, Dlovid</t>
  </si>
  <si>
    <t>Heather, Seb, Zach</t>
  </si>
  <si>
    <t>Claire, Kenny, Abromowitz</t>
  </si>
  <si>
    <t>Exile Gang</t>
  </si>
  <si>
    <t>Lucy Cheez</t>
  </si>
  <si>
    <t>Juliette, Joseph, Avery</t>
  </si>
  <si>
    <t>Avery, Audia</t>
  </si>
  <si>
    <t>Seb, Hildo</t>
  </si>
  <si>
    <t>Darius Rucker, Sara, Quinn, Hosking, Prager</t>
  </si>
  <si>
    <t>Anuj</t>
  </si>
  <si>
    <t>Avery</t>
  </si>
  <si>
    <t>WVU Chick</t>
  </si>
  <si>
    <t>Cami, Mo</t>
  </si>
  <si>
    <t>Chase</t>
  </si>
  <si>
    <t>Austin Chick</t>
  </si>
  <si>
    <t>Tori, Chase, Hamburg</t>
  </si>
  <si>
    <t>Tara</t>
  </si>
  <si>
    <t>Claire</t>
  </si>
  <si>
    <t>Kuperman, Mo, Phillips twins, Nathin, Chase, Wayne, Kenny, Abromowitz, Olensky</t>
  </si>
  <si>
    <t>Nathin, Sussman, Sherman</t>
  </si>
  <si>
    <t>Juliette, SoGo</t>
  </si>
  <si>
    <t>https://open.spotify.com/wrapped/share/share-0187c611f33d4fde95b644764cb29cbd?si=cf9j8j7VT6y7k5oUw_3PQg&amp;track-id=6zuPQl2RVqQ4y5nAH61CFC</t>
  </si>
  <si>
    <t>https://open.spotify.com/wrapped/share/share-26719ecab9bf4f729084d6bccb74dba3?si=Qz0gzfYDSA2N1g40n7udJQ&amp;track-id=0TVV2gFROJaB3kIZyCUvIY</t>
  </si>
  <si>
    <t>Woody &amp; Buzz (as cars)</t>
  </si>
  <si>
    <t>Wayne, Buc-cee's Beaver</t>
  </si>
  <si>
    <t>https://open.spotify.com/wrapped/share/share-eab76677e8154f48b253a3f9a7702f48?si=BhN08e1CSFqIMY7_8rgO9w&amp;track-id=3ebaeB2BdCEgZmwKv7p2r5</t>
  </si>
  <si>
    <t>Juliette, Tori</t>
  </si>
  <si>
    <t>Olensky, Chase, Kuperman</t>
  </si>
  <si>
    <t>Maggie, Teddy, Dlovid</t>
  </si>
  <si>
    <t>Teddy, Rachel</t>
  </si>
  <si>
    <t>Simon, Sabrina</t>
  </si>
  <si>
    <t>Teddy</t>
  </si>
  <si>
    <t>https://open.spotify.com/wrapped/share/share-cf9645c90ae548b9a10da8bf45f000c5?si=JbuUrB1DQa24-KRZolta-g&amp;track-id=3iVmzeoFR0AZrn8EYFnEsB</t>
  </si>
  <si>
    <t>Seb</t>
  </si>
  <si>
    <t>Vinod, Savitz</t>
  </si>
  <si>
    <t>Tori, Juliette</t>
  </si>
  <si>
    <t>Mo</t>
  </si>
  <si>
    <t>https://open.spotify.com/wrapped/share/share-d5bb4e0058644c19816809f30e398982?si=uJe3-plCSXOz8wMCQQ8jTg&amp;track-id=399mh97iAmjU34de5MebHp</t>
  </si>
  <si>
    <t>Teddy, Barb</t>
  </si>
  <si>
    <t>Juliette, Joseph</t>
  </si>
  <si>
    <t>Sabrina</t>
  </si>
  <si>
    <t>Stonewall Jackson</t>
  </si>
  <si>
    <t>https://open.spotify.com/wrapped/share/share-cb06376a8e6a4337be5a74f575f48266?si=cLdrny0fTiKluYMw2H8WEw&amp;track-id=3cPoiK69oQ1SdbB2j2ulGm</t>
  </si>
  <si>
    <t>Baitch!</t>
  </si>
  <si>
    <t>Ditkoff</t>
  </si>
  <si>
    <t>Jeltz, Bones, Stan</t>
  </si>
  <si>
    <t>Derrick Rose</t>
  </si>
  <si>
    <t>Juliette, Cami, Joseph, Avery, Chase</t>
  </si>
  <si>
    <t>Teddy, Seb, Obama, Rumble</t>
  </si>
  <si>
    <t>Quinn</t>
  </si>
  <si>
    <t>Madorsky family</t>
  </si>
  <si>
    <t>Teddy,Rachel</t>
  </si>
  <si>
    <t>Nathin</t>
  </si>
  <si>
    <t>Juliette (RIP)</t>
  </si>
  <si>
    <t>Kobe (RIP)</t>
  </si>
  <si>
    <t>Julia, Joanne, Teddy</t>
  </si>
  <si>
    <t>Thai 7/11</t>
  </si>
  <si>
    <t>https://open.spotify.com/wrapped/share/share-ac5c42e1b26045ed833be1518e0e8013?si=Lts_PsxFRlCtcsNpEo-i7w&amp;track-id=23DXEXzuVjrPvqi2f1uMmX</t>
  </si>
  <si>
    <t>Quinn, Prager</t>
  </si>
  <si>
    <t>https://open.spotify.com/wrapped/share/share-62f613c61ed84745aa6d0ad4d025eb06?si=NbsC3PHJT3ujZyKyeX8ROA&amp;track-id=5qqabIl2vWzo9ApSC317sa</t>
  </si>
  <si>
    <t>Prager</t>
  </si>
  <si>
    <t>Dlovid</t>
  </si>
  <si>
    <t>https://open.spotify.com/wrapped/share/share-25fb41fe741644e2a71f7300ccba7fa3?si=hnZJEkUXR16E91_K5wGZnQ&amp;track-id=65T1aY3I9qfNUDVAnaM9bq</t>
  </si>
  <si>
    <t>Bidge, Nile, Hachi, Benny Katz, Arthur Stevens, Nathin, Jacob Schumer</t>
  </si>
  <si>
    <t>Tori, Chase</t>
  </si>
  <si>
    <t>Wayne, KJ</t>
  </si>
  <si>
    <t>Cami, Harris</t>
  </si>
  <si>
    <t>Joseph, Avery</t>
  </si>
  <si>
    <t>Pirate Gang Myrtle Beach</t>
  </si>
  <si>
    <t>Soto</t>
  </si>
  <si>
    <t>Brooke, Seb</t>
  </si>
  <si>
    <t>Teddy, Rumble</t>
  </si>
  <si>
    <t>Sammy J, Chuck Rubin</t>
  </si>
  <si>
    <t>Rachel</t>
  </si>
  <si>
    <t>USD Student Program Board</t>
  </si>
  <si>
    <t>https://open.spotify.com/wrapped/share/share-092e34f187ee41e6923364091ffe3b0a?si=s9LYl7MBTXC66n_MBrFhtQ&amp;feature=wrapped&amp;track-id=3Bjr9MzHM7KHk6zq7KvJRN</t>
  </si>
  <si>
    <t>Swagu</t>
  </si>
  <si>
    <t>Juliette, Sabina</t>
  </si>
  <si>
    <t>6gPOwGszseqYL7w02opoy1</t>
  </si>
  <si>
    <t>Megatron</t>
  </si>
  <si>
    <t>Aaron, Hannah, Teddy</t>
  </si>
  <si>
    <t>Lauren, Jamie Rodge, Wayne</t>
  </si>
  <si>
    <t>Stutt, Berger</t>
  </si>
  <si>
    <t>Barry, Melissa</t>
  </si>
  <si>
    <t>Wayne</t>
  </si>
  <si>
    <t>Wayne, Caitlin</t>
  </si>
  <si>
    <t>Avery, Joseph, Juliette</t>
  </si>
  <si>
    <t>Sammi</t>
  </si>
  <si>
    <t>Richard Nixon</t>
  </si>
  <si>
    <t>This Old Heart Of Mine</t>
  </si>
  <si>
    <t>The Isley Brothers</t>
  </si>
  <si>
    <t>This Old Heart Of Mine (Is Weak For You)</t>
  </si>
  <si>
    <t>Hide My Gun (Feat. HARDY)</t>
  </si>
  <si>
    <t>Lonely Road (with Jelly Roll)</t>
  </si>
  <si>
    <t>Please Please Please</t>
  </si>
  <si>
    <t>JEKYLL + HYDE</t>
  </si>
  <si>
    <t>Zac Brown Band</t>
  </si>
  <si>
    <t>Loving You Easy</t>
  </si>
  <si>
    <t>The Craving - single version</t>
  </si>
  <si>
    <t>Dasha</t>
  </si>
  <si>
    <t>Unwritten</t>
  </si>
  <si>
    <t>Natasha Bedingfield</t>
  </si>
  <si>
    <t>Read My Lips (Deluxe Version)</t>
  </si>
  <si>
    <t>Sophie Ellis-Bextor</t>
  </si>
  <si>
    <t>Murder On The Dancefloor</t>
  </si>
  <si>
    <t>Messy</t>
  </si>
  <si>
    <t>The Hardest Part</t>
  </si>
  <si>
    <t>Texas Longhorn (Sec Version)</t>
  </si>
  <si>
    <t>Juno</t>
  </si>
  <si>
    <t>Heavy Eyes</t>
  </si>
  <si>
    <t>Lookin' for LoveOld Dominion</t>
  </si>
  <si>
    <t>Alright</t>
  </si>
  <si>
    <t>Nonsense (with Coi Leray) - RemixSabrina Carpenter</t>
  </si>
  <si>
    <t>You've Got The LoveFlorence + The Machine</t>
  </si>
  <si>
    <t>Soak Up The SunSheryl Crow</t>
  </si>
  <si>
    <t>Edge of the EarthThe Beaches</t>
  </si>
  <si>
    <t>White HorseChris Stapleton</t>
  </si>
  <si>
    <t>Us Against the WorldPlay</t>
  </si>
  <si>
    <t>Who Knew (Her Perspective)</t>
  </si>
  <si>
    <t>Darren Waller</t>
  </si>
  <si>
    <t>The Black DogTaylor Swift</t>
  </si>
  <si>
    <t>ReligiouslyBailey Zimmerman</t>
  </si>
  <si>
    <t>Check Yes, JulietWe The Kings</t>
  </si>
  <si>
    <t>I Can See You (Taylor’s Version) (From The Vault)Taylor Swift</t>
  </si>
  <si>
    <t>Bad BloodTrousdale</t>
  </si>
  <si>
    <t>EspressoSabrina Carpenter</t>
  </si>
  <si>
    <t>J'me tireGIMS</t>
  </si>
  <si>
    <t>Could You Be LovedBob Marley &amp; The Wailers</t>
  </si>
  <si>
    <t>All My LoveNoah Kahan</t>
  </si>
  <si>
    <t>Dial Drunk (with Post Malone)Noah Kahan</t>
  </si>
  <si>
    <t>ClementineYung Gravy</t>
  </si>
  <si>
    <t>LandslideThe Chicks</t>
  </si>
  <si>
    <t>Ex-WivesSIX</t>
  </si>
  <si>
    <t>Hits DifferentTaylor Swift</t>
  </si>
  <si>
    <t>Powerful WomenPitbull</t>
  </si>
  <si>
    <t>If It Makes You HappySheryl Crow</t>
  </si>
  <si>
    <t>Don’t SmileSabrina Carpenter</t>
  </si>
  <si>
    <t>Snap Out Of ItArctic Monkeys</t>
  </si>
  <si>
    <t>RosesThe Chainsmokers</t>
  </si>
  <si>
    <t>Do You Believe in Magic?The Lovin' Spoonful</t>
  </si>
  <si>
    <t>Silver LiningMt. Joy</t>
  </si>
  <si>
    <t>The Craving (Jenna's version)Twenty One Pilots</t>
  </si>
  <si>
    <t>Superman (It's Not Easy)Five For Fighting</t>
  </si>
  <si>
    <t>When Will I See You AgainThe Three Degrees</t>
  </si>
  <si>
    <t>Baby Now That I've Found You - MonoThe Foundations</t>
  </si>
  <si>
    <t>SaturnSZA</t>
  </si>
  <si>
    <t>Don't Dream It's OverCrowded House</t>
  </si>
  <si>
    <t>Bad Time - Remastered 2002Grand Funk Railroad</t>
  </si>
  <si>
    <t>T-Shirt WeatherCirca Waves</t>
  </si>
  <si>
    <t>Me To MeMorgan Wallen</t>
  </si>
  <si>
    <t>My Own Worst EnemyLit</t>
  </si>
  <si>
    <t>After MidnightChappell Roan</t>
  </si>
  <si>
    <t>Smart IowaTrousdale</t>
  </si>
  <si>
    <t>Ain’t How It EndsPost Malone</t>
  </si>
  <si>
    <t>OvertimeZach Bryan</t>
  </si>
  <si>
    <t>Walk Through Fire (Deluxe Edition)</t>
  </si>
  <si>
    <t>Yola</t>
  </si>
  <si>
    <t>I Don't Wanna Lie</t>
  </si>
  <si>
    <t>Valerie (feat. Amy Winehouse) - Version RevisitedMark Ronson</t>
  </si>
  <si>
    <t>Real Love BabyFather John Misty</t>
  </si>
  <si>
    <t>Deeper WellKacey Musgraves</t>
  </si>
  <si>
    <t>Yeah! (feat. Lil Jon &amp; Ludacris)USHER</t>
  </si>
  <si>
    <t>Ghost TownKanye West</t>
  </si>
  <si>
    <t>Cigarette DaydreamsCage The Elephant</t>
  </si>
  <si>
    <t>SaraDarius Rucker</t>
  </si>
  <si>
    <t>screenHARDY</t>
  </si>
  <si>
    <t>Forget You (feat. Gwyneth Paltrow)Glee Cast</t>
  </si>
  <si>
    <t>Slow BurnKacey Musgraves</t>
  </si>
  <si>
    <t>Backseat DriverKane Brown</t>
  </si>
  <si>
    <t>MontanaPierce Edens</t>
  </si>
  <si>
    <t>Keep the Customer SatisfiedSimon &amp; Garfunkel</t>
  </si>
  <si>
    <t>Close To YouGracie Abrams</t>
  </si>
  <si>
    <t>Goes Without Saying (Feat. Brad Paisley)Post Malone</t>
  </si>
  <si>
    <t>East Side of SorrowZach Bryan</t>
  </si>
  <si>
    <t>ShakeJesse McCartney</t>
  </si>
  <si>
    <t>Fair GameDayglow</t>
  </si>
  <si>
    <t>Every Night Every MorningMaddie &amp; Tae</t>
  </si>
  <si>
    <t>AmericanMacklemore</t>
  </si>
  <si>
    <t>Tenth Avenue Freeze-OutBruce Springsteen</t>
  </si>
  <si>
    <t>Rolling in the DeepAdele</t>
  </si>
  <si>
    <t>II MOST WANTEDBeyoncé</t>
  </si>
  <si>
    <t>DoughKey Glock</t>
  </si>
  <si>
    <t>Rather Be (feat. Jess Glynne)Clean Bandit</t>
  </si>
  <si>
    <t>Movie StarTrousdale</t>
  </si>
  <si>
    <t>Whiskey On YouNate Smith</t>
  </si>
  <si>
    <t>ResteGIMS</t>
  </si>
  <si>
    <t>Come Back...Be Here (Taylor's Version)Taylor Swift</t>
  </si>
  <si>
    <t>Blowing SmokeGracie Abrams</t>
  </si>
  <si>
    <t>TasteSabrina Carpenter</t>
  </si>
  <si>
    <t>HAPPY HOUR (feat. Knox)HARDY</t>
  </si>
  <si>
    <t>If I Can't Have YouYvonne Elliman</t>
  </si>
  <si>
    <t>The KillMaggie Rogers</t>
  </si>
  <si>
    <t>She Won't Be Lonely LongClay Walker</t>
  </si>
  <si>
    <t>I'm Different2 Chainz</t>
  </si>
  <si>
    <t>There’s Your Trouble - Spotify Singles (Live from Spotify House)</t>
  </si>
  <si>
    <t>This Is ItTrousdale</t>
  </si>
  <si>
    <t>CoincidenceSabrina Carpenter</t>
  </si>
  <si>
    <t>NumbLinkin Park</t>
  </si>
  <si>
    <t>DirtKey Glock</t>
  </si>
  <si>
    <t>Rich GirlDaryl Hall &amp; John Oates</t>
  </si>
  <si>
    <t>I'll Be WaitingAdele</t>
  </si>
  <si>
    <t>You For A ReasonWarren Zeiders</t>
  </si>
  <si>
    <t>emo girl (feat. WILLOW)mgk</t>
  </si>
  <si>
    <t>There She GoesThe La's</t>
  </si>
  <si>
    <t>SnowshoesCaamp</t>
  </si>
  <si>
    <t>Right About YouPost Malone</t>
  </si>
  <si>
    <t>Mon coeur avait raison - Pilule bleueGIMS</t>
  </si>
  <si>
    <t>Diet PepsiAddison Rae</t>
  </si>
  <si>
    <t>Come Down SoonLizzy McAlpine</t>
  </si>
  <si>
    <t>She Got the Best of MeLuke Combs</t>
  </si>
  <si>
    <t>Heaven, IowaFall Out Boy</t>
  </si>
  <si>
    <t>You're Sixteen (You’re Beautiful And You’re Mine)Ringo Starr</t>
  </si>
  <si>
    <t>You Could Start A CultNiall Horan</t>
  </si>
  <si>
    <t>Die TryingKey Glock</t>
  </si>
  <si>
    <t>There's Your TroubleThe Chicks</t>
  </si>
  <si>
    <t>You Are the Best ThingRay LaMontagne</t>
  </si>
  <si>
    <t>World on FireNate Smith</t>
  </si>
  <si>
    <t>TombéM. Pokora</t>
  </si>
  <si>
    <t>SkateBruno Mars</t>
  </si>
  <si>
    <t>Pink Pony ClubChappell Roan</t>
  </si>
  <si>
    <t>Main Course</t>
  </si>
  <si>
    <t>Nights On Broadway</t>
  </si>
  <si>
    <t>Pretty Little PoisonWarren Zeiders</t>
  </si>
  <si>
    <t>Quittin' TimeZach Bryan</t>
  </si>
  <si>
    <t>Grease - 2007 RemasterFrankie Valli</t>
  </si>
  <si>
    <t>All Falls DownLizzy McAlpine</t>
  </si>
  <si>
    <t>ChemicalPost Malone</t>
  </si>
  <si>
    <t>Iowa WhoreYung Buttpiss</t>
  </si>
  <si>
    <t>BURN¥$</t>
  </si>
  <si>
    <t>You Go Down SmoothLake Street Dive</t>
  </si>
  <si>
    <t>If I'm HonestTrousdale</t>
  </si>
  <si>
    <t>One Last BreathCreed</t>
  </si>
  <si>
    <t>Last Train HomeJohn Mayer</t>
  </si>
  <si>
    <t>PoemsCouch</t>
  </si>
  <si>
    <t>The Hardest PartOlivia Dean</t>
  </si>
  <si>
    <t>Friday - Rebecca's Black &amp; White RemixFlo Rida</t>
  </si>
  <si>
    <t>I Can't Help Myself (Sugar Pie, Honey Bunch)Four Tops</t>
  </si>
  <si>
    <t>It Was Coming All AlongMaggie Rogers</t>
  </si>
  <si>
    <t>The Emptiness MachineLinkin Park</t>
  </si>
  <si>
    <t>Tout au bout du mondeTibz</t>
  </si>
  <si>
    <t>SanteriaSublime</t>
  </si>
  <si>
    <t>I KIND OF RELATEDrake Bell</t>
  </si>
  <si>
    <t>LavishTwenty One Pilots</t>
  </si>
  <si>
    <t>ay! (feat. Lil Wayne)mgk</t>
  </si>
  <si>
    <t>HighroadSir Woman</t>
  </si>
  <si>
    <t>Too Good to be TrueKacey Musgraves</t>
  </si>
  <si>
    <t>No Role ModelzJ. Cole</t>
  </si>
  <si>
    <t>How Do You Sleep? - Radio Edit RemixJesse McCartney</t>
  </si>
  <si>
    <t>so americanOlivia Rodrigo</t>
  </si>
  <si>
    <t>Girl On FireKameron Marlowe</t>
  </si>
  <si>
    <t>We Didn’t Start The Fire (Bonus Track)Fall Out Boy</t>
  </si>
  <si>
    <t>Brandy (You're a Fine Girl)Looking Glass</t>
  </si>
  <si>
    <t>Fast Cars And Freedom</t>
  </si>
  <si>
    <t>You Know ItColony House</t>
  </si>
  <si>
    <t>What You've Been ThroughBRELAND</t>
  </si>
  <si>
    <t>I'm Just Ken (From Barbie The Album)Ryan Gosling</t>
  </si>
  <si>
    <t>Have A Nice DayStereophonics</t>
  </si>
  <si>
    <t>Stubborn LoveThe Lumineers</t>
  </si>
  <si>
    <t>RiskGracie Abrams</t>
  </si>
  <si>
    <t>ForeverDrake</t>
  </si>
  <si>
    <t>augustTaylor Swift</t>
  </si>
  <si>
    <t>L.A.Couch</t>
  </si>
  <si>
    <t>She Calls Me Back (with Kacey Musgraves)Noah Kahan</t>
  </si>
  <si>
    <t>Love in This Club (feat. Young Jeezy)USHER</t>
  </si>
  <si>
    <t>BODYGUARDBeyoncé</t>
  </si>
  <si>
    <t>One And OnlyAdele</t>
  </si>
  <si>
    <t>OvercompensateTwenty One Pilots</t>
  </si>
  <si>
    <t>AlaskaMaggie Rogers</t>
  </si>
  <si>
    <t>Felt Good About YouGracie Abrams</t>
  </si>
  <si>
    <t>Same Work (feat. The War And Treaty)BRELAND</t>
  </si>
  <si>
    <t>Wonderwall - RemasteredOasis</t>
  </si>
  <si>
    <t>love is embarrassing</t>
  </si>
  <si>
    <t>Gimme ShelterThe Rolling Stones</t>
  </si>
  <si>
    <t>Red Wine SupernovaChappell Roan</t>
  </si>
  <si>
    <t>Had It AllGabby Barrett</t>
  </si>
  <si>
    <t>Miss That GirlERNEST</t>
  </si>
  <si>
    <t>I Love The Nightlife (Disco 'Round)Alicia Bridges</t>
  </si>
  <si>
    <t>Memory LaneOld Dominion</t>
  </si>
  <si>
    <t>Safe and SoundCapital Cities</t>
  </si>
  <si>
    <t>HoudiniDua Lipa</t>
  </si>
  <si>
    <t>My WayFrank Sinatra</t>
  </si>
  <si>
    <t>DoubtTwenty One Pilots</t>
  </si>
  <si>
    <t>Open the GateZach Bryan</t>
  </si>
  <si>
    <t>SedonaHoundmouth</t>
  </si>
  <si>
    <t>Let It HappenGracie Abrams</t>
  </si>
  <si>
    <t>The Age of Worry - Live at Electric LadyYebba</t>
  </si>
  <si>
    <t>Friday NightEric Paslay</t>
  </si>
  <si>
    <t>greedyTate McRae</t>
  </si>
  <si>
    <t>U SmileJustin Bieber</t>
  </si>
  <si>
    <t>Ain't No Love In Oklahoma (From Twisters: The Album)Luke Combs</t>
  </si>
  <si>
    <t>Gang Shit No Lame ShitKey Glock</t>
  </si>
  <si>
    <t>us. (feat. Taylor Swift)Gracie Abrams</t>
  </si>
  <si>
    <t>Junior VarsityDayglow</t>
  </si>
  <si>
    <t>Love MyselfHailee Steinfeld</t>
  </si>
  <si>
    <t>my ex's best friend (with blackbear)mgk</t>
  </si>
  <si>
    <t>Rhinestone CowboyGlen Campbell</t>
  </si>
  <si>
    <t>Guy I Used To BeLawrence</t>
  </si>
  <si>
    <t>Midwest IndigoTwenty One Pilots</t>
  </si>
  <si>
    <t>Flagpole SittaThe All-American Rejects</t>
  </si>
  <si>
    <t>vampireOlivia Rodrigo</t>
  </si>
  <si>
    <t>Last NightMorgan Wallen</t>
  </si>
  <si>
    <t>Dirty WorkSteely Dan</t>
  </si>
  <si>
    <t>Love Grows (Where My Rosemary Goes)Edison Lighthouse</t>
  </si>
  <si>
    <t>So High SchoolTaylor Swift</t>
  </si>
  <si>
    <t>Fast CarLuke Combs</t>
  </si>
  <si>
    <t>The Good I'll DoZach Bryan</t>
  </si>
  <si>
    <t>TitleMeghan Trainor</t>
  </si>
  <si>
    <t>Bed ChemSabrina Carpenter</t>
  </si>
  <si>
    <t>HeroCharlie Puth</t>
  </si>
  <si>
    <t>Time of Day (with mgk)Jelly Roll</t>
  </si>
  <si>
    <t>So Hot You're Hurting My FeelingsCaroline Polachek</t>
  </si>
  <si>
    <t>The FormerSteinza</t>
  </si>
  <si>
    <t>MESSED UP AS MEKeith Urban</t>
  </si>
  <si>
    <t>American GirlDierks Bentley</t>
  </si>
  <si>
    <t>Half of My HeartJohn Mayer</t>
  </si>
  <si>
    <t>What Was I Made For? [From The Motion Picture "Barbie"]Billie Eilish</t>
  </si>
  <si>
    <t>Love SomebodyMorgan Wallen</t>
  </si>
  <si>
    <t>Never Let You GoRAC</t>
  </si>
  <si>
    <t>Nothing From NothingBilly Preston</t>
  </si>
  <si>
    <t>Midnight HourJamestown Revival</t>
  </si>
  <si>
    <t>Grow ApartGabby Barrett</t>
  </si>
  <si>
    <t>BIRDS OF A FEATHERBillie Eilish</t>
  </si>
  <si>
    <t>omwAshe</t>
  </si>
  <si>
    <t>Your BonesChelsea Cutler</t>
  </si>
  <si>
    <t>bloody valentinemgk</t>
  </si>
  <si>
    <t>RememberBecky Hill</t>
  </si>
  <si>
    <t>Go ThereTrousdale</t>
  </si>
  <si>
    <t>Don't Forget MeMaggie Rogers</t>
  </si>
  <si>
    <t>Let's Twist AgainChubby Checker</t>
  </si>
  <si>
    <t>Five More MinutesThe War And Treaty</t>
  </si>
  <si>
    <t>Modern GirlBleachers</t>
  </si>
  <si>
    <t>Bad LuckZach Top</t>
  </si>
  <si>
    <t>On pourraitSARA'H</t>
  </si>
  <si>
    <t>If It Wasn't For The NightsABBA</t>
  </si>
  <si>
    <t>Off The HighwayGabby Barrett</t>
  </si>
  <si>
    <t>123 (Version Française)Craig Smart</t>
  </si>
  <si>
    <t>One Of Your GirlsTroye Sivan</t>
  </si>
  <si>
    <t>But Daddy I Love HimTaylor Swift</t>
  </si>
  <si>
    <t>IllusionDua Lipa</t>
  </si>
  <si>
    <t>EmmaVianney</t>
  </si>
  <si>
    <t>Good Luck, Babe!Chappell Roan</t>
  </si>
  <si>
    <t>Workin' on Lovin'Juice</t>
  </si>
  <si>
    <t>The PainterCody Johnson</t>
  </si>
  <si>
    <t>Tired of Being AloneAl Green</t>
  </si>
  <si>
    <t>DrunkMaggie Rogers</t>
  </si>
  <si>
    <t>Rien qu'une foisKeen' V</t>
  </si>
  <si>
    <t>Fortnight (feat. Post Malone)Taylor Swift</t>
  </si>
  <si>
    <t>I Love You, I'm SorryGracie Abrams</t>
  </si>
  <si>
    <t>Where It EndsBailey Zimmerman</t>
  </si>
  <si>
    <t>Making Love to the 2024 Vancouver CanucksIvan Hrvatska</t>
  </si>
  <si>
    <t>If You Wanna Be HappyJimmy Soul</t>
  </si>
  <si>
    <t>strangerOlivia Rodrigo</t>
  </si>
  <si>
    <t>Sweet SerendipityLee DeWyze</t>
  </si>
  <si>
    <t>Let's GoKey Glock</t>
  </si>
  <si>
    <t>Too SweetHozier</t>
  </si>
  <si>
    <t>Wouldn't Come BackTrousdale</t>
  </si>
  <si>
    <t>Nosedive (Feat. Lainey Wilson)Post Malone</t>
  </si>
  <si>
    <t>We Bring The BOOM!A.J. &amp; Big Justice</t>
  </si>
  <si>
    <t>So Long, London</t>
  </si>
  <si>
    <t>get him back!Olivia Rodrigo</t>
  </si>
  <si>
    <t>Routines In The Night</t>
  </si>
  <si>
    <t>Who’s Afraid of Little Old Me?Taylor Swift</t>
  </si>
  <si>
    <t>Paladin StraitTwenty One Pilots</t>
  </si>
  <si>
    <t>Should've Been A CowboyToby Keith</t>
  </si>
  <si>
    <t>Mr. NaturalBee Gees</t>
  </si>
  <si>
    <t>Shower With My Clothes OnAshe</t>
  </si>
  <si>
    <t>SelfishJustin Timberlake</t>
  </si>
  <si>
    <t>My SacrificeCreed</t>
  </si>
  <si>
    <t>She's A LadyTom Jones</t>
  </si>
  <si>
    <t>Dinner with FriendsKacey Musgraves</t>
  </si>
  <si>
    <t>All the Time in the WorldStephen Day</t>
  </si>
  <si>
    <t>From AustinZach Bryan</t>
  </si>
  <si>
    <t>Up The Ladder To The RoofThe Supremes</t>
  </si>
  <si>
    <t>Sweet HomeSYML</t>
  </si>
  <si>
    <t>Dancing With Your ShadowsPhillip Phillips</t>
  </si>
  <si>
    <t>I Had Some Help (Feat. Morgan Wallen)Post Malone</t>
  </si>
  <si>
    <t>Everyday PeopleSly &amp; The Family Stone</t>
  </si>
  <si>
    <t>Guilty as Sin?Taylor Swift</t>
  </si>
  <si>
    <t>Spin You Around (1/24)Morgan Wallen</t>
  </si>
  <si>
    <t>A Bar Song (Tipsy)Shaboozey</t>
  </si>
  <si>
    <t>More Than A WomanBee Gees</t>
  </si>
  <si>
    <t>23Lawrence</t>
  </si>
  <si>
    <t>What Don't Belong To MePost Malone</t>
  </si>
  <si>
    <t>BigXthaPlug</t>
  </si>
  <si>
    <t>Texas</t>
  </si>
  <si>
    <t>A.M. RADIOThe Lumineers</t>
  </si>
  <si>
    <t>SwayKacey Musgraves</t>
  </si>
  <si>
    <t>Dawns (feat. Maggie Rogers)Zach Bryan</t>
  </si>
  <si>
    <t>GorgeousTaylor Swift</t>
  </si>
  <si>
    <t>Miles On ItMarshmello</t>
  </si>
  <si>
    <t>HigherCreed</t>
  </si>
  <si>
    <t>4EVERClairo</t>
  </si>
  <si>
    <t>Can't Get Your Love BackTrousdale</t>
  </si>
  <si>
    <t>Beautiful ThingsBenson Boone</t>
  </si>
  <si>
    <t>Up The JunctionSqueeze</t>
  </si>
  <si>
    <t>It's Too LateCarole King</t>
  </si>
  <si>
    <t>When I'm OlderAshe</t>
  </si>
  <si>
    <t>Oldies StationTwenty One Pilots</t>
  </si>
  <si>
    <t>Ambition For CashKey Glock</t>
  </si>
  <si>
    <t>BrazilDeclan McKenna</t>
  </si>
  <si>
    <t>You’re Gonna Go FarNoah Kahan</t>
  </si>
  <si>
    <t>Dancin' In The Moonlight (feat. Lauren Alaina)Chris Lane</t>
  </si>
  <si>
    <t>Never Been OverDarius Rucker</t>
  </si>
  <si>
    <t>Cruel SummerTaylor Swift</t>
  </si>
  <si>
    <t>FeatherSabrina Carpenter</t>
  </si>
  <si>
    <t>Hell of a YearParker McCollum</t>
  </si>
  <si>
    <t>HOT TO GO!Chappell Roan</t>
  </si>
  <si>
    <t>These WallsDua Lipa</t>
  </si>
  <si>
    <t>HeavenNiall Horan</t>
  </si>
  <si>
    <t>Remember Him That WayLuke Combs</t>
  </si>
  <si>
    <t>StargazingMyles Smith</t>
  </si>
  <si>
    <t>OmenDisclosure</t>
  </si>
  <si>
    <t>Overcompensate (edit)Twenty One Pilots</t>
  </si>
  <si>
    <t>AnyoneJustin Bieber</t>
  </si>
  <si>
    <t>MelissaAllman Brothers Band</t>
  </si>
  <si>
    <t>Lavender GirlCaamp</t>
  </si>
  <si>
    <t>Slow It DownBenson Boone</t>
  </si>
  <si>
    <t>Guy For That (Feat. Luke Combs)</t>
  </si>
  <si>
    <t>The Lion Sleeps Tonight (Wimoweh)The Tokens</t>
  </si>
  <si>
    <t>I Know Places (Taylor's Version)Taylor Swift</t>
  </si>
  <si>
    <t>Lies Lies LiesMorgan Wallen</t>
  </si>
  <si>
    <t>FavouriteFontaines D.C.</t>
  </si>
  <si>
    <t>She Moves In Her Own WayThe Kooks</t>
  </si>
  <si>
    <t>Turn the Lights Back OnBilly Joel</t>
  </si>
  <si>
    <t>Tattoo on a SunburnLuke Combs</t>
  </si>
  <si>
    <t>Let's Go - Alok RemixKey Glock</t>
  </si>
  <si>
    <t>Walking on Broken GlassAnnie Lennox</t>
  </si>
  <si>
    <t>At The Risk Of Feeling DumbTwenty One Pilots</t>
  </si>
  <si>
    <t>Pink SkiesZach Bryan</t>
  </si>
  <si>
    <t>Please Please PleaseSabrina Carpenter</t>
  </si>
  <si>
    <t>Love Me Like YouLittle Mix</t>
  </si>
  <si>
    <t>Losers (Feat. Jelly Roll)Post Malone</t>
  </si>
  <si>
    <t>The AnthemGood Charlotte</t>
  </si>
  <si>
    <t>Me &amp; Mr JonesAmy Winehouse</t>
  </si>
  <si>
    <t>Out Of My MindTrousdale</t>
  </si>
  <si>
    <t>Man Made A Bar (feat. Eric Church)Morgan Wallen</t>
  </si>
  <si>
    <t>body bag (feat. YUNGBLUD &amp; Bert McCracken of The Used)mgk</t>
  </si>
  <si>
    <t>Gonna Find OutKate Hudson</t>
  </si>
  <si>
    <t>My Boy Only Breaks His Favorite ToysTaylor Swift</t>
  </si>
  <si>
    <t>TreadmillKnox</t>
  </si>
  <si>
    <t>Thank God &amp; Jimmy BuffettPitbull</t>
  </si>
  <si>
    <t>Sweet Talkin' WomanElectric Light Orchestra</t>
  </si>
  <si>
    <t>Set Fire to the RainAdele</t>
  </si>
  <si>
    <t>Snap BackTwenty One Pilots</t>
  </si>
  <si>
    <t>Charli xcx</t>
  </si>
  <si>
    <t>Apple</t>
  </si>
  <si>
    <t>Larger Than LifeBackstreet Boys</t>
  </si>
  <si>
    <t>You’re Losing Me (From The Vault)Taylor Swift</t>
  </si>
  <si>
    <t>Lie To GirlsSabrina Carpenter</t>
  </si>
  <si>
    <t>Things I Take For GrantedLarry Fleet</t>
  </si>
  <si>
    <t>Bump HeadsEminem</t>
  </si>
  <si>
    <t>Kill BillSZA</t>
  </si>
  <si>
    <t>Pieces Of MeAshlee Simpson</t>
  </si>
  <si>
    <t>Pour Me A Drink (Feat. Blake Shelton)Post Malone</t>
  </si>
  <si>
    <t>The Cranberries</t>
  </si>
  <si>
    <t>Linger</t>
  </si>
  <si>
    <t>F*CK YOU, GOODBYE (feat. Machine Gun Kelly)The Kid LAROI</t>
  </si>
  <si>
    <t>Modern Love - 2018 RemasterDavid Bowie</t>
  </si>
  <si>
    <t>Heavy EyesZach Bryan</t>
  </si>
  <si>
    <t>This Old Heart Of Mine (Is Weak For You)The Isley Brothers</t>
  </si>
  <si>
    <t>UnwrittenNatasha Bedingfield</t>
  </si>
  <si>
    <t>The Craving - single versionTwenty One Pilots</t>
  </si>
  <si>
    <t>Texas Longhorn (Sec Version)Django Walker</t>
  </si>
  <si>
    <t>Murder On The DancefloorSophie Ellis-Bextor</t>
  </si>
  <si>
    <t>JunoSabrina Carpenter</t>
  </si>
  <si>
    <t>Loving You EasyZac Brown Band</t>
  </si>
  <si>
    <t>Nobody Gets MeSZA</t>
  </si>
  <si>
    <t>Hide My Gun (Feat. HARDY)Post Malone</t>
  </si>
  <si>
    <t>Lonely Road (with Jelly Roll)mgk</t>
  </si>
  <si>
    <t>Easy to LoveCouch</t>
  </si>
  <si>
    <t>Who Knew (Her Perspective)Darren Waller</t>
  </si>
  <si>
    <t>AppleCharli xcx</t>
  </si>
  <si>
    <t>So Long, LondonTaylor Swift</t>
  </si>
  <si>
    <t>Routines In The NightTwenty One Pilots</t>
  </si>
  <si>
    <t>LingerThe Cranberries</t>
  </si>
  <si>
    <t>I Don't Wanna LieYola</t>
  </si>
  <si>
    <t>love is embarrassingOlivia Rodrigo</t>
  </si>
  <si>
    <t>Die With A SmileLady Gaga</t>
  </si>
  <si>
    <t>TexasBigXthaPlug</t>
  </si>
  <si>
    <t>Fast Cars And FreedomRascal Flatts</t>
  </si>
  <si>
    <t>Guy For That (Feat. Luke Combs)Post Malone</t>
  </si>
  <si>
    <t>There’s Your Trouble - Spotify Singles (Live from Spotify House)mgk</t>
  </si>
  <si>
    <t>Nights On BroadwayBee Gees</t>
  </si>
  <si>
    <t>AlrightCouch</t>
  </si>
  <si>
    <t>Die With A Smile</t>
  </si>
  <si>
    <t>Lady Gaga</t>
  </si>
  <si>
    <t>Stick SeasonNoah Kahan</t>
  </si>
  <si>
    <t>FlowersMiley Cyrus</t>
  </si>
  <si>
    <t>SnoozeSZA</t>
  </si>
  <si>
    <t>Anti-HeroTaylor Swift</t>
  </si>
  <si>
    <t>Dance The Night - From Barbie The AlbumDua Lipa</t>
  </si>
  <si>
    <t>Is It Over Now? (Taylor's Version) (From The Vault)Taylor Swift</t>
  </si>
  <si>
    <t>Have You Ever Seen The RainCreedence Clearwater Revival</t>
  </si>
  <si>
    <t>cardiganTaylor Swift</t>
  </si>
  <si>
    <t>Don't Blame MeTaylor Swift</t>
  </si>
  <si>
    <t>NonsenseSabrina Carpenter</t>
  </si>
  <si>
    <t>Everybody Wants To Rule The WorldTears For Fears</t>
  </si>
  <si>
    <t>Save Your TearsThe Weeknd</t>
  </si>
  <si>
    <t>Thinkin' Bout MeMorgan Wallen</t>
  </si>
  <si>
    <t>KarmaTaylor Swift</t>
  </si>
  <si>
    <t>ShiversEd Sheeran</t>
  </si>
  <si>
    <t>ceilingsLizzy McAlpine</t>
  </si>
  <si>
    <t>favorite crimeOlivia Rodrigo</t>
  </si>
  <si>
    <t>Getaway CarTaylor Swift</t>
  </si>
  <si>
    <t>Wasted On YouMorgan Wallen</t>
  </si>
  <si>
    <t>I Don't Wanna Live Forever (Fifty Shades Darker)ZAYN</t>
  </si>
  <si>
    <t>Love Story (Taylor's Version)Taylor Swift</t>
  </si>
  <si>
    <t>You ProofMorgan Wallen</t>
  </si>
  <si>
    <t>CUFF ITBeyonc√©</t>
  </si>
  <si>
    <t>Talking to the MoonBruno Mars</t>
  </si>
  <si>
    <t>Late Night TalkingHarry Styles</t>
  </si>
  <si>
    <t>PeopleLibianca</t>
  </si>
  <si>
    <t>JulyNoah Cyrus</t>
  </si>
  <si>
    <t>Dancing On My OwnCalum Scott</t>
  </si>
  <si>
    <t>Eyes ClosedEd Sheeran</t>
  </si>
  <si>
    <t>Cowgirls (feat. ERNEST)Morgan Wallen</t>
  </si>
  <si>
    <t>Buy DirtJordan Davis</t>
  </si>
  <si>
    <t>Miss Americana &amp; The Heartbreak PrinceTaylor Swift</t>
  </si>
  <si>
    <t>Rock and A Hard PlaceBailey Zimmerman</t>
  </si>
  <si>
    <t>Drops of Jupiter (Tell Me)Train</t>
  </si>
  <si>
    <t>Used To Be YoungMiley Cyrus</t>
  </si>
  <si>
    <t>You're Gonna Go FarNoah Kahan</t>
  </si>
  <si>
    <t>champagne problemsTaylor Swift</t>
  </si>
  <si>
    <t>exile (feat. Bon Iver)Taylor Swift</t>
  </si>
  <si>
    <t>California Dreamin' - Single VersionThe Mamas &amp; The Papas</t>
  </si>
  <si>
    <t>1966-03</t>
  </si>
  <si>
    <t>Castle on the HillEd Sheeran</t>
  </si>
  <si>
    <t>Not Strong Enoughboygenius</t>
  </si>
  <si>
    <t>Fine LineHarry Styles</t>
  </si>
  <si>
    <t>I Can See You (Taylor's Version) (From The Vault)Taylor Swift</t>
  </si>
  <si>
    <t>the 1Taylor Swift</t>
  </si>
  <si>
    <t>The Way I Loved You (Taylor's Version)Taylor Swift</t>
  </si>
  <si>
    <t>Ain't That SomeMorgan Wallen</t>
  </si>
  <si>
    <t>TRUCK BEDHARDY</t>
  </si>
  <si>
    <t>Starman - 2012 RemasterDavid Bowie</t>
  </si>
  <si>
    <t>Somewhere Only We KnowKeane</t>
  </si>
  <si>
    <t>The Kind of Love We MakeLuke Combs</t>
  </si>
  <si>
    <t>Thought You Should KnowMorgan Wallen</t>
  </si>
  <si>
    <t>Bloom - Bonus TrackThe Paper Kites</t>
  </si>
  <si>
    <t>ParalyzerFinger Eleven</t>
  </si>
  <si>
    <t>Fall In LoveBailey Zimmerman</t>
  </si>
  <si>
    <t>Dear Maria, Count Me InAll Time Low</t>
  </si>
  <si>
    <t>Wide AwakeKaty Perry</t>
  </si>
  <si>
    <t>OpheliaThe Lumineers</t>
  </si>
  <si>
    <t>Orange JuiceNoah Kahan</t>
  </si>
  <si>
    <t>invisible stringTaylor Swift</t>
  </si>
  <si>
    <t>Son Of A SinnerJelly Roll</t>
  </si>
  <si>
    <t>Going, Going, GoneLuke Combs</t>
  </si>
  <si>
    <t>HomesickNoah Kahan</t>
  </si>
  <si>
    <t>RUNAWAYOneRepublic</t>
  </si>
  <si>
    <t>Clean (Taylor's Version)Taylor Swift</t>
  </si>
  <si>
    <t>Death By A Thousand CutsTaylor Swift</t>
  </si>
  <si>
    <t>Big Black CarGregory Alan Isakov</t>
  </si>
  <si>
    <t>Dreams and NightmaresMeek Mill</t>
  </si>
  <si>
    <t>One Thing At A TimeMorgan Wallen</t>
  </si>
  <si>
    <t>Don't MatterAkon</t>
  </si>
  <si>
    <t>What My World Spins AroundJordan Davis</t>
  </si>
  <si>
    <t>JadedMiley Cyrus</t>
  </si>
  <si>
    <t>Too WellRenee Rapp</t>
  </si>
  <si>
    <t>Nothing New (feat. Phoebe Bridgers) (Taylor's Version) (From The Vault)Taylor Swift</t>
  </si>
  <si>
    <t>When You're GoneShawn Mendes</t>
  </si>
  <si>
    <t>Est-ce que tu m'aimes ? - Pilule bleueGIMS</t>
  </si>
  <si>
    <t>Stand By Me (feat. Morgan Wallen)Lil Durk</t>
  </si>
  <si>
    <t>GypsyFleetwood Mac</t>
  </si>
  <si>
    <t>Tucson Too LateJordan Davis</t>
  </si>
  <si>
    <t>About Damn TimeLizzo</t>
  </si>
  <si>
    <t>Love You AnywayLuke Combs</t>
  </si>
  <si>
    <t>Better Days (NEIKED x Mae Muller x Polo G)NEIKED</t>
  </si>
  <si>
    <t>The Only ExceptionParamore</t>
  </si>
  <si>
    <t>The Story Of Us (Taylor's Version)Taylor Swift</t>
  </si>
  <si>
    <t>Mr. Perfectly Fine (Taylor's Version) (From The Vault)Taylor Swift</t>
  </si>
  <si>
    <t>Dancin' In The CountryTyler Hubbard</t>
  </si>
  <si>
    <t>Everything I LoveMorgan Wallen</t>
  </si>
  <si>
    <t>Broadway Girls (feat. Morgan Wallen)Lil Durk</t>
  </si>
  <si>
    <t>River (feat. Ed Sheeran)Eminem</t>
  </si>
  <si>
    <t>Beach BabyBon Iver</t>
  </si>
  <si>
    <t>If I Could Turn Back TimeCher</t>
  </si>
  <si>
    <t>Thank GodKane Brown</t>
  </si>
  <si>
    <t>RiverLeon Bridges</t>
  </si>
  <si>
    <t>Our SongTaylor Swift</t>
  </si>
  <si>
    <t>98 BravesMorgan Wallen</t>
  </si>
  <si>
    <t>Don'tEd Sheeran</t>
  </si>
  <si>
    <t>maybe (feat. Bring Me The Horizon)mgk</t>
  </si>
  <si>
    <t>Silver Springs - 2004 RemasterFleetwood Mac</t>
  </si>
  <si>
    <t>Waffle HouseJonas Brothers</t>
  </si>
  <si>
    <t>CleopatraThe Lumineers</t>
  </si>
  <si>
    <t>Growing SidewaysNoah Kahan</t>
  </si>
  <si>
    <t>New PerspectiveNoah Kahan</t>
  </si>
  <si>
    <t>Life Goes On (feat. Luke Combs)Ed Sheeran</t>
  </si>
  <si>
    <t>GIVE HEAVEN SOME HELLHARDY</t>
  </si>
  <si>
    <t>Southern NightsGlen Campbell</t>
  </si>
  <si>
    <t>Operator (That's Not the Way It Feels)Jim Croce</t>
  </si>
  <si>
    <t>Hurts So GoodJohn Mellencamp</t>
  </si>
  <si>
    <t>The View Between VillagesNoah Kahan</t>
  </si>
  <si>
    <t>ivyTaylor Swift</t>
  </si>
  <si>
    <t>When Emma Falls in Love (Taylor's Version) (From The Vault)Taylor Swift</t>
  </si>
  <si>
    <t>County LineChase Matthew</t>
  </si>
  <si>
    <t>Try That In A Small TownJason Aldean</t>
  </si>
  <si>
    <t>I Wrote The BookMorgan Wallen</t>
  </si>
  <si>
    <t>Freakin' Out On the InterstateBriston Maroney</t>
  </si>
  <si>
    <t>I Will Survive - Original 7" VersionGloria Gaynor</t>
  </si>
  <si>
    <t>All the Pretty GirlsKALEO</t>
  </si>
  <si>
    <t>Sleep On The FloorThe Lumineers</t>
  </si>
  <si>
    <t>Call Your MomNoah Kahan</t>
  </si>
  <si>
    <t>Fifteen (Taylor's Version)Taylor Swift</t>
  </si>
  <si>
    <t>Karma (feat. Ice Spice)Taylor Swift</t>
  </si>
  <si>
    <t>peaceTaylor Swift</t>
  </si>
  <si>
    <t>Can't Have Mine (Find You A Girl)Dylan Scott</t>
  </si>
  <si>
    <t>forget me too (feat. Halsey)mgk</t>
  </si>
  <si>
    <t>In ColorJamey Johnson</t>
  </si>
  <si>
    <t>Somebody to LoveJefferson Airplane</t>
  </si>
  <si>
    <t>First Day of My LifeBright Eyes</t>
  </si>
  <si>
    <t>Young Hearts Run FreeCandi Staton</t>
  </si>
  <si>
    <t>The Shoop Shoop Song (It's In His Kiss)Cher</t>
  </si>
  <si>
    <t>XOJohn Mayer</t>
  </si>
  <si>
    <t>MeltdownNiall Horan</t>
  </si>
  <si>
    <t>evermore (feat. Bon Iver)Taylor Swift</t>
  </si>
  <si>
    <t>State Of Grace (Taylor's Version)Taylor Swift</t>
  </si>
  <si>
    <t>Rivers and RoadsThe Head And The Heart</t>
  </si>
  <si>
    <t>50 Ways to Say GoodbyeTrain</t>
  </si>
  <si>
    <t>That's Not How This Works (feat. Dan + Shay)Charlie Puth</t>
  </si>
  <si>
    <t>HumanCody Johnson</t>
  </si>
  <si>
    <t>Big EnergyLatto</t>
  </si>
  <si>
    <t>Mercy Mercy Me (The Ecology)Marvin Gaye</t>
  </si>
  <si>
    <t>I Deserve A DrinkMorgan Wallen</t>
  </si>
  <si>
    <t>Sorry, Blame It On MeAkon</t>
  </si>
  <si>
    <t>Big Green TractorJason Aldean</t>
  </si>
  <si>
    <t>Still Goin DownMorgan Wallen</t>
  </si>
  <si>
    <t>Rescue MeFontella Bass</t>
  </si>
  <si>
    <t>Whiskey FriendsMorgan Wallen</t>
  </si>
  <si>
    <t>Mess Is MineVance Joy</t>
  </si>
  <si>
    <t>Ride the Lightning - 717 TapesWarren Zeiders</t>
  </si>
  <si>
    <t>I CryFlo Rida</t>
  </si>
  <si>
    <t>Born With A Beer In My HandMorgan Wallen</t>
  </si>
  <si>
    <t>SecretLouane</t>
  </si>
  <si>
    <t>Lottery (feat. LU KALA)Latto</t>
  </si>
  <si>
    <t>Me + All Your ReasonsMorgan Wallen</t>
  </si>
  <si>
    <t>Neon Star (Country Boy Lullaby)Morgan Wallen</t>
  </si>
  <si>
    <t>Silk ChiffonMUNA</t>
  </si>
  <si>
    <t>Tell Me Why (Taylor's Version)Taylor Swift</t>
  </si>
  <si>
    <t>drunk facemgk</t>
  </si>
  <si>
    <t>BoatEd Sheeran</t>
  </si>
  <si>
    <t>Between the BarsElliott Smith</t>
  </si>
  <si>
    <t>The Heart of LifeJohn Mayer</t>
  </si>
  <si>
    <t>Summer BabyJonas Brothers</t>
  </si>
  <si>
    <t>PenthouseKelsea Ballerini</t>
  </si>
  <si>
    <t>AngelaThe Lumineers</t>
  </si>
  <si>
    <t>Single Than She WasMorgan Wallen</t>
  </si>
  <si>
    <t>Last Drive Down MainMorgan Wallen</t>
  </si>
  <si>
    <t>F150-50Morgan Wallen</t>
  </si>
  <si>
    <t>Tennessee FanMorgan Wallen</t>
  </si>
  <si>
    <t>For No One - Remastered 2009The Beatles</t>
  </si>
  <si>
    <t>O-o-h ChildThe Five Stairsteps</t>
  </si>
  <si>
    <t>Carolina in My MindJames Taylor</t>
  </si>
  <si>
    <t>To the MountainsLizzy McAlpine</t>
  </si>
  <si>
    <t>Solar PowerLorde</t>
  </si>
  <si>
    <t>You Found YoursLuke Combs</t>
  </si>
  <si>
    <t>I Like The Sound Of ThatRascal Flatts</t>
  </si>
  <si>
    <t>Stereo Love - OriginalEdward Maya</t>
  </si>
  <si>
    <t>I'm a MessEd Sheeran</t>
  </si>
  <si>
    <t>Tennessee NumbersMorgan Wallen</t>
  </si>
  <si>
    <t>Stop This TrainJohn Mayer</t>
  </si>
  <si>
    <t>WingsJonas Brothers</t>
  </si>
  <si>
    <t>Danny's SongLoggins &amp; Messina</t>
  </si>
  <si>
    <t>Outrunnin' Your MemoryLuke Combs</t>
  </si>
  <si>
    <t>Lost The BreakupMaisie Peters</t>
  </si>
  <si>
    <t>IslandMiley Cyrus</t>
  </si>
  <si>
    <t>Keith WhitleyMorgan Wallen</t>
  </si>
  <si>
    <t>Such A Simple ThingRay LaMontagne</t>
  </si>
  <si>
    <t>Come In With The Rain (Taylor's Version)Taylor Swift</t>
  </si>
  <si>
    <t>To Be Loved By YouParker McCollum</t>
  </si>
  <si>
    <t>kiss kissmgk</t>
  </si>
  <si>
    <t>Dance with Mebeabadoobee</t>
  </si>
  <si>
    <t>Neon Moon - with Kacey MusgravesBrooks &amp; Dunn</t>
  </si>
  <si>
    <t>Save Me The TroubleDan + Shay</t>
  </si>
  <si>
    <t>Love &amp; War in Your TwentiesJordy Searcy</t>
  </si>
  <si>
    <t>People ChangeMipso</t>
  </si>
  <si>
    <t>TidesEd Sheeran</t>
  </si>
  <si>
    <t>The RiverDaisy Jones &amp; The Six</t>
  </si>
  <si>
    <t>Lost in My MindThe Head And The Heart</t>
  </si>
  <si>
    <t>How Do I Do ThisKelsea Ballerini</t>
  </si>
  <si>
    <t>See Me NowLuke Combs</t>
  </si>
  <si>
    <t>Northern AttitudeNoah Kahan</t>
  </si>
  <si>
    <t>Can't Break Up NowOld Dominion</t>
  </si>
  <si>
    <t>Lay It on MeVance Joy</t>
  </si>
  <si>
    <t>nothing inside (feat. iann dior)mgk</t>
  </si>
  <si>
    <t>Gasoline (feat. Taylor Swift)HAIM</t>
  </si>
  <si>
    <t>Wonder WomanJohn Legend</t>
  </si>
  <si>
    <t>A Little Bit YoursJP Saxe</t>
  </si>
  <si>
    <t>Blindsided (Yeah, Sure, Okay)Kelsea Ballerini</t>
  </si>
  <si>
    <t>Mountain With A ViewKelsea Ballerini</t>
  </si>
  <si>
    <t>Take You With MeLuke Combs</t>
  </si>
  <si>
    <t>Standing Room OnlyTim McGraw</t>
  </si>
  <si>
    <t>LoserCharlie Puth</t>
  </si>
  <si>
    <t>Montana SkyJonas Brothers</t>
  </si>
  <si>
    <t>True ColorsAnna Kendrick</t>
  </si>
  <si>
    <t>She Came In Through The Bathroom Window - Remastered 2009The Beatles</t>
  </si>
  <si>
    <t>You Never Give Me Your Money - Remastered 2009The Beatles</t>
  </si>
  <si>
    <t>Reflection (2020)Christina Aguilera</t>
  </si>
  <si>
    <t>Regret MeDaisy Jones &amp; The Six</t>
  </si>
  <si>
    <t>Giving Up On ThatDalton Dover</t>
  </si>
  <si>
    <t>Turn Your Love AroundGeorge Benson</t>
  </si>
  <si>
    <t>Over For YouMorgan Evans</t>
  </si>
  <si>
    <t>KEEP IT UPRex Orange County</t>
  </si>
  <si>
    <t>TenenbaumThe Paper Kites</t>
  </si>
  <si>
    <t>concert for aliensmgk</t>
  </si>
  <si>
    <t>Listen To Your HeartRoxette</t>
  </si>
  <si>
    <t>On √©tait beauLouane</t>
  </si>
  <si>
    <t>Lancaster NightsCharlie Burg</t>
  </si>
  <si>
    <t>You're Such AHailee Steinfeld</t>
  </si>
  <si>
    <t>JahLibianca</t>
  </si>
  <si>
    <t>MOTOLojay</t>
  </si>
  <si>
    <t>Hello It's MeTodd Rundgren</t>
  </si>
  <si>
    <t>Straight to Hell - RemasteredThe Clash</t>
  </si>
  <si>
    <t>die in california (feat. Gunna, Young Thug &amp; Landon Barker)mgk</t>
  </si>
  <si>
    <t>ThirteenBig Star</t>
  </si>
  <si>
    <t>Sail AwayJonas Brothers</t>
  </si>
  <si>
    <t>Surround MeL√âON</t>
  </si>
  <si>
    <t>Set Me FreeJoshua Bassett</t>
  </si>
  <si>
    <t>It Don't Come EasyRingo Starr</t>
  </si>
  <si>
    <t>I Hate ThisTenille Arts</t>
  </si>
  <si>
    <t>KILL SH!T TILL I DIEHARDY</t>
  </si>
  <si>
    <t>We're All Gonna Die (with Noah Kahan)Joy Oladokun</t>
  </si>
  <si>
    <t>Life In The CityThe Lumineers</t>
  </si>
  <si>
    <t>Broke BoyMalia Civetz</t>
  </si>
  <si>
    <t>If You Really Love MeStevie Wonder</t>
  </si>
  <si>
    <t>No More DramaCharlie Puth</t>
  </si>
  <si>
    <t>Box of Rain - 2013 RemasterGrateful Dead</t>
  </si>
  <si>
    <t>She Came In Through The Bathroom WindowJoe Cocker</t>
  </si>
  <si>
    <t>SmokeFlorida Georgia Line</t>
  </si>
  <si>
    <t>I Know (feat. Tenille Townes &amp; Bryce Vine)Train</t>
  </si>
  <si>
    <t>Don't Tempt MeLuke Combs</t>
  </si>
  <si>
    <t>Say Fuck ItBuckcherry</t>
  </si>
  <si>
    <t>One Less Set of FootstepsJim Croce</t>
  </si>
  <si>
    <t>Just MarriedKelsea Ballerini</t>
  </si>
  <si>
    <t>Nothing / Sad N StuffLizzy McAlpine</t>
  </si>
  <si>
    <t>Hopeless RomanticSam Fischer</t>
  </si>
  <si>
    <t>Mon amourStromae</t>
  </si>
  <si>
    <t>It's Nice to Be AliveBall Park Music</t>
  </si>
  <si>
    <t>For What It's Worth (feat. Alana Springsteen)BRELAND</t>
  </si>
  <si>
    <t>High Horse (feat. BRELAND and Blanco Brown)Nelly</t>
  </si>
  <si>
    <t>NoLouane</t>
  </si>
  <si>
    <t>Beer BuddiesDylan Scott</t>
  </si>
  <si>
    <t>Heartbreak On The MapDan + Shay</t>
  </si>
  <si>
    <t>While You're YoungMeghan Trainor</t>
  </si>
  <si>
    <t>Shark In The WaterV V Brown</t>
  </si>
  <si>
    <t>I'm FineAshe</t>
  </si>
  <si>
    <t>Oh No (I Think I'm In Love)Blossoms</t>
  </si>
  <si>
    <t>My Maria - with Thomas RhettBrooks &amp; Dunn</t>
  </si>
  <si>
    <t>Leaning On YouHAIM</t>
  </si>
  <si>
    <t>Center of GravityThe Brazen Youth</t>
  </si>
  <si>
    <t>Any Day NowTrousdale</t>
  </si>
  <si>
    <t>Elles ont trop jou√© avec mon coeurZ√©lie</t>
  </si>
  <si>
    <t>Crazy AngelsCarrie Underwood</t>
  </si>
  <si>
    <t>0.125HAIM</t>
  </si>
  <si>
    <t>SuperwomanMeghan Trainor</t>
  </si>
  <si>
    <t>Takin' It BackMeghan Trainor</t>
  </si>
  <si>
    <t>Growing UpRun River North</t>
  </si>
  <si>
    <t>Je saisShy'm</t>
  </si>
  <si>
    <t>HigherBlanks</t>
  </si>
  <si>
    <t>Tissues (with Louane) - French VersionYUNGBLUD</t>
  </si>
  <si>
    <t>Je prends le largeTAL</t>
  </si>
  <si>
    <t>Always, JoniTrousdale</t>
  </si>
  <si>
    <t>Happy AnymoreTrousdale</t>
  </si>
  <si>
    <t>Si demainTrois Caf√©s Gourmands</t>
  </si>
  <si>
    <t>Go Find Yourself or WhateverCarly Rae Jepsen</t>
  </si>
  <si>
    <t>Heat WaveLinda Ronstadt</t>
  </si>
  <si>
    <t>Watching the River RunLoggins &amp; Messina</t>
  </si>
  <si>
    <t>Get The Hell Out Of HereMaren Morris</t>
  </si>
  <si>
    <t>NaturalBRELAND</t>
  </si>
  <si>
    <t>You're So Vain - 2015 RemasterCarly Simon</t>
  </si>
  <si>
    <t>CodependentSophie Holohan</t>
  </si>
  <si>
    <t>Life Is A SongPatrick Park</t>
  </si>
  <si>
    <t>Prends ma mainGIMS</t>
  </si>
  <si>
    <t>Stoney EndBarbra Streisand</t>
  </si>
  <si>
    <t>1971-02</t>
  </si>
  <si>
    <t>Haven't Got Time for the PainCarly Simon</t>
  </si>
  <si>
    <t>Colour Me InDamien Rice</t>
  </si>
  <si>
    <t>Where To Now St. Peter?Elton John</t>
  </si>
  <si>
    <t>What Could I SayTrousdale</t>
  </si>
  <si>
    <t>BurnCarrie Underwood</t>
  </si>
  <si>
    <t>We'll Be OkayImaginary Future</t>
  </si>
  <si>
    <t>SometimesTrousdale</t>
  </si>
  <si>
    <t>Velvet HeartbreakCarrie Underwood</t>
  </si>
  <si>
    <t>I Don't RecallLavender Diamond</t>
  </si>
  <si>
    <t>If You're HurtingTrousdale</t>
  </si>
  <si>
    <t>LoveTrousdale</t>
  </si>
  <si>
    <t>Point Your FingerTrousdale</t>
  </si>
  <si>
    <t>She Don't KnowCarrie Underwood</t>
  </si>
  <si>
    <t>Texas LonghornDjango Walker</t>
  </si>
  <si>
    <t>Fais-moi penserTom Frager</t>
  </si>
  <si>
    <t>123 - Radio EditCraig Smart</t>
  </si>
  <si>
    <t>Don't WannaHAIM</t>
  </si>
  <si>
    <t>forevermoonstalker</t>
  </si>
  <si>
    <t>Baby Brains</t>
  </si>
  <si>
    <t>Out Of My Mind (Deluxe)</t>
  </si>
  <si>
    <t>The Story Of The Supremes</t>
  </si>
  <si>
    <t>10th Anniversary - The Hits - Volume 1</t>
  </si>
  <si>
    <t>Best-Of 15ème Anniversaire</t>
  </si>
  <si>
    <t>Ceinture noire (Décennie)</t>
  </si>
  <si>
    <t>Serving Country</t>
  </si>
  <si>
    <t>PYRAMIDE, EPILOGUE</t>
  </si>
  <si>
    <t>Glee Singalong</t>
  </si>
  <si>
    <t>Deeper Well: Deeper into the Well</t>
  </si>
  <si>
    <t>The Collection</t>
  </si>
  <si>
    <t>Older (and Wiser)</t>
  </si>
  <si>
    <t>The Show: The Encore</t>
  </si>
  <si>
    <t>Classics Volume 25</t>
  </si>
  <si>
    <t>Beautifully Broken (Pickin' Up The Pieces)</t>
  </si>
  <si>
    <t>Even If It Breaks Your Barefoot Friday Night</t>
  </si>
  <si>
    <t>Bleachers (Deluxe)</t>
  </si>
  <si>
    <t>Autobiography (Expanded Edition)</t>
  </si>
  <si>
    <t>The Best</t>
  </si>
  <si>
    <t>Sincerely</t>
  </si>
  <si>
    <t>Twenty Years Of Rascal Flatts - The Greatest Hits (Big Machine Radio Release Special)</t>
  </si>
  <si>
    <t>mainstream sellout (life in pink deluxe)</t>
  </si>
  <si>
    <t>Sheryl: Music From The Feature Documentary</t>
  </si>
  <si>
    <t>Young Chasers</t>
  </si>
  <si>
    <t>Trouble No More: 50th Anniversary Collection</t>
  </si>
  <si>
    <t>Vocoder</t>
  </si>
  <si>
    <t>SIX: LIVE ON OPENING NIGHT (Original Broadway Cast Recording)</t>
  </si>
  <si>
    <t>Title (Expanded Edition)</t>
  </si>
  <si>
    <t>1989 (Taylor's Version) [Deluxe]</t>
  </si>
  <si>
    <t>Lungs (10th Anniversary Edition)</t>
  </si>
  <si>
    <t>DCX MMXVI Live</t>
  </si>
  <si>
    <t>Selected Solo Works</t>
  </si>
  <si>
    <t>See You There</t>
  </si>
  <si>
    <t>Everything I Thought It Was</t>
  </si>
  <si>
    <t>Back To Black</t>
  </si>
  <si>
    <t>The High Road</t>
  </si>
  <si>
    <t>Gossip In The Grain (Expanded Edition)</t>
  </si>
  <si>
    <t>Let's Twist Again - 20 Twist &amp; Limbo Hits</t>
  </si>
  <si>
    <t>NKOTBSB</t>
  </si>
  <si>
    <t>Only Honest On The Weekend (Deluxe)</t>
  </si>
  <si>
    <t>So Far</t>
  </si>
  <si>
    <t>Justice (The Complete Edition)</t>
  </si>
  <si>
    <t>Yellow Tape 2 (Deluxe)</t>
  </si>
  <si>
    <t>I Cry When I Laugh</t>
  </si>
  <si>
    <t>100% Songwriter</t>
  </si>
  <si>
    <t>Live in NY, '99</t>
  </si>
  <si>
    <t>My Way (50th Anniversary Edition)</t>
  </si>
  <si>
    <t>Lost La's 1986-1987 Callin' All</t>
  </si>
  <si>
    <t>Leather Deluxe Edition</t>
  </si>
  <si>
    <t>reputation (Big Machine Radio Release Special)</t>
  </si>
  <si>
    <t>Between Us (The Mixers Edition)</t>
  </si>
  <si>
    <t>AMAR (Deluxe)</t>
  </si>
  <si>
    <t>Pretty Little Poison (Deluxe)</t>
  </si>
  <si>
    <t>The Diamond Collection (Deluxe)</t>
  </si>
  <si>
    <t>Summer Of '99</t>
  </si>
  <si>
    <t>The Lumineers (Deluxe Edition)</t>
  </si>
  <si>
    <t>Unreal Unearth: Unending</t>
  </si>
  <si>
    <t>Sublime (10th Anniversary Edition / Deluxe Edition)</t>
  </si>
  <si>
    <t>Crowded House (Deluxe)</t>
  </si>
  <si>
    <t>Marley (The Original Soundtrack)</t>
  </si>
  <si>
    <t>folklore: the long pond studio sessions (from the Disney+ special) [deluxe edition]</t>
  </si>
  <si>
    <t>Brat and it’s completely different but also still brat</t>
  </si>
  <si>
    <t>In A Tidal Wave of Mystery (Deluxe Edition)</t>
  </si>
  <si>
    <t>Austin (Boots Stop Workin')Dasha</t>
  </si>
  <si>
    <t>What Happens Now? (Deluxe)</t>
  </si>
  <si>
    <t>Austin (Boots Stop Workin')</t>
  </si>
  <si>
    <t>Live 2010 - Zenith Paris, 22.03.10</t>
  </si>
  <si>
    <t>Confessions (20th Anniversary Edition)</t>
  </si>
  <si>
    <t>2014 Forest Hills Drive (10 Year Anniversary Edition)</t>
  </si>
  <si>
    <t>THINK LATER</t>
  </si>
  <si>
    <t>Where I've Been, Isn't Where I'm Going</t>
  </si>
  <si>
    <t>Papercuts</t>
  </si>
  <si>
    <t>MAYHEM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</si>
</sst>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yy"/>
  </numFmts>
  <fonts count="2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rgb="FF000000"/>
      <name val="Menlo"/>
      <family val="2"/>
    </font>
    <font>
      <u/>
      <sz val="9"/>
      <color rgb="FF000000"/>
      <name val="Menlo"/>
      <family val="2"/>
    </font>
    <font>
      <u/>
      <sz val="9"/>
      <color rgb="FF000000"/>
      <name val="Arial"/>
      <family val="2"/>
    </font>
    <font>
      <sz val="10"/>
      <color theme="0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rgb="FF000000"/>
      <name val="&quot;Google Sans Mono&quot;"/>
    </font>
    <font>
      <sz val="10"/>
      <color theme="1"/>
      <name val="Arial"/>
      <family val="2"/>
      <scheme val="minor"/>
    </font>
    <font>
      <sz val="10"/>
      <color rgb="FF000000"/>
      <name val="&quot;Aptos Narrow&quot;"/>
    </font>
    <font>
      <sz val="10"/>
      <color rgb="FF05192D"/>
      <name val="JetBrainsMonoNL"/>
    </font>
    <font>
      <sz val="10"/>
      <color rgb="FF000000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rgb="FFFFFFFF"/>
      <name val="Aptos Narrow"/>
    </font>
    <font>
      <sz val="10"/>
      <color rgb="FF00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1" xfId="0" applyFont="1" applyBorder="1"/>
    <xf numFmtId="0" fontId="8" fillId="2" borderId="2" xfId="0" applyFont="1" applyFill="1" applyBorder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Border="1"/>
    <xf numFmtId="164" fontId="3" fillId="0" borderId="0" xfId="0" applyNumberFormat="1" applyFont="1"/>
    <xf numFmtId="0" fontId="10" fillId="2" borderId="0" xfId="0" applyFont="1" applyFill="1"/>
    <xf numFmtId="0" fontId="11" fillId="2" borderId="0" xfId="0" applyFont="1" applyFill="1"/>
    <xf numFmtId="165" fontId="11" fillId="2" borderId="0" xfId="0" applyNumberFormat="1" applyFont="1" applyFill="1"/>
    <xf numFmtId="0" fontId="10" fillId="0" borderId="0" xfId="0" applyFont="1"/>
    <xf numFmtId="0" fontId="3" fillId="0" borderId="1" xfId="0" applyFont="1" applyBorder="1"/>
    <xf numFmtId="0" fontId="3" fillId="0" borderId="4" xfId="0" applyFont="1" applyBorder="1"/>
    <xf numFmtId="165" fontId="3" fillId="0" borderId="0" xfId="0" applyNumberFormat="1" applyFont="1"/>
    <xf numFmtId="0" fontId="12" fillId="3" borderId="0" xfId="0" applyFont="1" applyFill="1"/>
    <xf numFmtId="0" fontId="13" fillId="0" borderId="0" xfId="0" applyFont="1"/>
    <xf numFmtId="0" fontId="0" fillId="3" borderId="0" xfId="0" applyFill="1"/>
    <xf numFmtId="0" fontId="3" fillId="0" borderId="2" xfId="0" applyFont="1" applyBorder="1"/>
    <xf numFmtId="0" fontId="14" fillId="0" borderId="0" xfId="0" applyFont="1"/>
    <xf numFmtId="0" fontId="1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9" fillId="0" borderId="0" xfId="0" applyNumberFormat="1" applyFont="1"/>
    <xf numFmtId="18" fontId="19" fillId="0" borderId="0" xfId="0" applyNumberFormat="1" applyFont="1"/>
    <xf numFmtId="0" fontId="8" fillId="2" borderId="0" xfId="0" applyFont="1" applyFill="1" applyAlignment="1">
      <alignment horizontal="center"/>
    </xf>
    <xf numFmtId="0" fontId="0" fillId="0" borderId="0" xfId="0"/>
    <xf numFmtId="0" fontId="10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4" fontId="16" fillId="0" borderId="0" xfId="0" applyNumberFormat="1" applyFont="1"/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en.spotify.com/wrapped/share/share-b0b2d0ed189745baadf534851ec0b0a0?si=6AdskQnGQs-dZg5gjmg_ng&amp;track-id=3aMDzPibtzIRWzASMH44JF" TargetMode="External"/><Relationship Id="rId21" Type="http://schemas.openxmlformats.org/officeDocument/2006/relationships/hyperlink" Target="https://open.spotify.com/wrapped/share/share-6bdcefc2e3cb4ba695cde6622686be72?si=syL-QIqPSay42CijFDMWcA&amp;track-id=1udKn1oNKYQSQ9OmiIWCMu" TargetMode="External"/><Relationship Id="rId63" Type="http://schemas.openxmlformats.org/officeDocument/2006/relationships/hyperlink" Target="https://open.spotify.com/wrapped/share/share-961de6821444419a83d209cd974e68ec?si=viSiW3JtSbO7VLfvIYU4sA&amp;track-id=5G2f63n7IPVPPjfNIGih7Q" TargetMode="External"/><Relationship Id="rId159" Type="http://schemas.openxmlformats.org/officeDocument/2006/relationships/hyperlink" Target="https://open.spotify.com/track/0VwTeYNjcl30DyQlt3GPe0?si=WjM1drVkQKah9azHKNb-fA&amp;context=spotify%3Aplaylist%3A37i9dQZF1FoyQGyinuuvRu" TargetMode="External"/><Relationship Id="rId170" Type="http://schemas.openxmlformats.org/officeDocument/2006/relationships/hyperlink" Target="https://open.spotify.com/track/1UHS8Rf6h5Ar3CDWRd3wjF?si=Xk-NN-eYTwWnN8ALcgPiqQ&amp;context=spotify%3Aplaylist%3A37i9dQZF1FoyQGyinuuvRu" TargetMode="External"/><Relationship Id="rId226" Type="http://schemas.openxmlformats.org/officeDocument/2006/relationships/hyperlink" Target="https://open.spotify.com/track/6k07Z7rd9og1FvRJD2n9E8?si=VCKv1Jf6QBaIygTdB4LbRA&amp;context=spotify%3Aplaylist%3A37i9dQZF1FoyQGyinuuvRu" TargetMode="External"/><Relationship Id="rId268" Type="http://schemas.openxmlformats.org/officeDocument/2006/relationships/hyperlink" Target="https://open.spotify.com/track/51eSHglvG1RJXtL3qI5trr?si=MaCYvFTtRNKTfATPyGqBFQ&amp;context=spotify%3Aplaylist%3A37i9dQZF1FoyQGyinuuvRu" TargetMode="External"/><Relationship Id="rId32" Type="http://schemas.openxmlformats.org/officeDocument/2006/relationships/hyperlink" Target="https://open.spotify.com/wrapped/share/share-967738ee10af489daebeb57c16298181?si=jKr0yUOoTiWbBIlUkD03VA&amp;track-id=4rlQza35DE4Prh5yonxnCs" TargetMode="External"/><Relationship Id="rId74" Type="http://schemas.openxmlformats.org/officeDocument/2006/relationships/hyperlink" Target="https://open.spotify.com/wrapped/share/share-47f528d65b34462e96a1d2690a8513a7?si=N0U-I_T-SS-52RQ0a1nyyg&amp;track-id=10QxsSJlNl8jrylYL5XGJO" TargetMode="External"/><Relationship Id="rId128" Type="http://schemas.openxmlformats.org/officeDocument/2006/relationships/hyperlink" Target="https://open.spotify.com/wrapped/share/share-38b684381ee94b2e899d1346a8eff09c?si=OVQy-Ns9RticA00WdG_x_Q&amp;track-id=19JPKFRxR6Kf90mQR3ixOi" TargetMode="External"/><Relationship Id="rId5" Type="http://schemas.openxmlformats.org/officeDocument/2006/relationships/hyperlink" Target="https://open.spotify.com/wrapped/share/share-b340053f554e466886c8b9aee60d4b7c?si=9WvCX72KSV-joKy-UNd1rg&amp;track-id=1DgtQlVNotingln271ZKCx" TargetMode="External"/><Relationship Id="rId181" Type="http://schemas.openxmlformats.org/officeDocument/2006/relationships/hyperlink" Target="https://open.spotify.com/track/7ob2RAHoWaQsIZ6XaoaEnG?si=x3F3Qa1kS12xtgRzIxCn7w&amp;context=spotify%3Aplaylist%3A37i9dQZF1FoyQGyinuuvRu" TargetMode="External"/><Relationship Id="rId237" Type="http://schemas.openxmlformats.org/officeDocument/2006/relationships/hyperlink" Target="https://open.spotify.com/track/2FQrifJ1N335Ljm3TjTVVf?si=fGUU_u1NTvKBwpwoQfhwwA&amp;context=spotify%3Aplaylist%3A37i9dQZF1FoyQGyinuuvRu" TargetMode="External"/><Relationship Id="rId279" Type="http://schemas.openxmlformats.org/officeDocument/2006/relationships/hyperlink" Target="https://open.spotify.com/track/2tHwzyyOLoWSFqYNjeVMzj?si=fDdZHnyUTjG1x6b1UrZBIw&amp;context=spotify%3Aplaylist%3A37i9dQZF1FoyQGyinuuvRu" TargetMode="External"/><Relationship Id="rId43" Type="http://schemas.openxmlformats.org/officeDocument/2006/relationships/hyperlink" Target="https://open.spotify.com/wrapped/share/share-3aa3102d922d48d3ad1884a453f7a5f1?si=2syiuE7mSViXmSAj6GSvMw&amp;track-id=5bLUk3nEJoFAmNMc8WHWIh" TargetMode="External"/><Relationship Id="rId139" Type="http://schemas.openxmlformats.org/officeDocument/2006/relationships/hyperlink" Target="https://open.spotify.com/wrapped/share/share-751f9180353243679d1ce6ca45d0f330?si=JDvvp-M9RpmyzlO8QHu_XQ&amp;feature=wrapped&amp;track-id=4GyZ7Cc8K7Es48vMyiOso2" TargetMode="External"/><Relationship Id="rId290" Type="http://schemas.openxmlformats.org/officeDocument/2006/relationships/hyperlink" Target="https://open.spotify.com/track/73CMRj62VK8nUS4ezD2wvi?si=tjL3mHKnQLiU5YAhCieGLA&amp;context=spotify%3Aplaylist%3A37i9dQZF1FoyQGyinuuvRu" TargetMode="External"/><Relationship Id="rId85" Type="http://schemas.openxmlformats.org/officeDocument/2006/relationships/hyperlink" Target="https://open.spotify.com/wrapped/share/share-269db85334cb4a4e9ee176e63163e656?si=4xK618j4Tv2mKnbmELPXkw&amp;track-id=6WxuJ0miXSbI56DbuxQODG" TargetMode="External"/><Relationship Id="rId150" Type="http://schemas.openxmlformats.org/officeDocument/2006/relationships/hyperlink" Target="https://open.spotify.com/wrapped/share/share-356c2b33f7964509bd36ee67907d1040?si=eyR18eSTSpGFoTKKiOFBHg&amp;feature=wrapped&amp;track-id=66OrNUst0atPTFTVeJsBOI" TargetMode="External"/><Relationship Id="rId192" Type="http://schemas.openxmlformats.org/officeDocument/2006/relationships/hyperlink" Target="https://open.spotify.com/track/0Mr9OCnxOxbnFpmmCa85x2?si=xB_RmWZSQ1iJnz-UKWOX-A&amp;context=spotify%3Aplaylist%3A37i9dQZF1FoyQGyinuuvRu" TargetMode="External"/><Relationship Id="rId206" Type="http://schemas.openxmlformats.org/officeDocument/2006/relationships/hyperlink" Target="https://open.spotify.com/track/0fsjGGhENGu1notSXZYU7m?si=npO4dEBNQDajFCgY0C7ZGw&amp;context=spotify%3Aplaylist%3A37i9dQZF1FoyQGyinuuvRu" TargetMode="External"/><Relationship Id="rId248" Type="http://schemas.openxmlformats.org/officeDocument/2006/relationships/hyperlink" Target="https://open.spotify.com/track/09Qrzf6qOsYDL1yz9tFUS0?si=r3z_oeV_SxWlWDb6JkCIMw&amp;context=spotify%3Aplaylist%3A37i9dQZF1FoyQGyinuuvRu" TargetMode="External"/><Relationship Id="rId12" Type="http://schemas.openxmlformats.org/officeDocument/2006/relationships/hyperlink" Target="https://open.spotify.com/wrapped/share/share-f5839ab27cf045ba8f8cba86b626295b?si=vXZdaeeoSeKukZ9Eyc41bg&amp;track-id=4w47YE9rjhmZUdtZjSCb82" TargetMode="External"/><Relationship Id="rId108" Type="http://schemas.openxmlformats.org/officeDocument/2006/relationships/hyperlink" Target="https://open.spotify.com/wrapped/share/share-26171319e5b44362aa96a8dd9916cc55?si=AFIAUaTJTwaGD6Ijj6aJpw&amp;track-id=7uUP4uaSx4zq5GnibE5gZR" TargetMode="External"/><Relationship Id="rId54" Type="http://schemas.openxmlformats.org/officeDocument/2006/relationships/hyperlink" Target="https://open.spotify.com/track/3dKFOqjSQ2nMaz0q08APjS?si=e0085c2ceeff4516" TargetMode="External"/><Relationship Id="rId75" Type="http://schemas.openxmlformats.org/officeDocument/2006/relationships/hyperlink" Target="https://open.spotify.com/wrapped/share/share-8f4af9c04aba46f4ab5bb6a2203cb3f3?si=483MhWzwTKa-IpB3X5CIxQ&amp;track-id=3tBZ60j1jQ7NJm8IjelyQe" TargetMode="External"/><Relationship Id="rId96" Type="http://schemas.openxmlformats.org/officeDocument/2006/relationships/hyperlink" Target="https://open.spotify.com/wrapped/share/share-de56673ab54c459a9e96d7d26dc8287f?si=n-2k4fFRTyGiFmmHYdRkpg&amp;track-id=5w40ZYhbBMAlHYNDaVJIUu" TargetMode="External"/><Relationship Id="rId140" Type="http://schemas.openxmlformats.org/officeDocument/2006/relationships/hyperlink" Target="https://open.spotify.com/wrapped/share/share-f61f8875aa654d2ca6ad8207af41a7d6?si=3eO8QanXSaKZeX0yPYbAIA&amp;feature=wrapped&amp;track-id=2r6rQc8mbPzWERVtdBR7lV" TargetMode="External"/><Relationship Id="rId161" Type="http://schemas.openxmlformats.org/officeDocument/2006/relationships/hyperlink" Target="https://open.spotify.com/track/7GVQS66ukm48XZVymA3ZUg?si=TTzsONC0Rw6CCjzbV9d9KQ&amp;context=spotify%3Aplaylist%3A37i9dQZF1FoyQGyinuuvRu" TargetMode="External"/><Relationship Id="rId182" Type="http://schemas.openxmlformats.org/officeDocument/2006/relationships/hyperlink" Target="https://open.spotify.com/track/6dOtVTDdiauQNBQEDOtlAB?si=eBxwdAy0TPaqK3xuLMpSXw&amp;context=spotify%3Aplaylist%3A37i9dQZF1FoyQGyinuuvRu" TargetMode="External"/><Relationship Id="rId217" Type="http://schemas.openxmlformats.org/officeDocument/2006/relationships/hyperlink" Target="https://open.spotify.com/track/2d8UxVNhJinc8uat9PoM9y?si=E6gGh2EHQHaE-zmP8WbOjA&amp;context=spotify%3Aplaylist%3A37i9dQZF1FoyQGyinuuvRu" TargetMode="External"/><Relationship Id="rId6" Type="http://schemas.openxmlformats.org/officeDocument/2006/relationships/hyperlink" Target="https://open.spotify.com/wrapped/share/share-9787c2e2dc15461e8d4ac25dfdbd24a1?si=2GuDu4VGT_amIbG4gHQDhg&amp;track-id=7ID5MLSB71awNzjI7jyojG" TargetMode="External"/><Relationship Id="rId238" Type="http://schemas.openxmlformats.org/officeDocument/2006/relationships/hyperlink" Target="https://open.spotify.com/track/42TtHTxWk782ZBiqyOi2d1?si=o5gEi1khT_q_4vbEJsQd1w&amp;context=spotify%3Aplaylist%3A37i9dQZF1FoyQGyinuuvRu" TargetMode="External"/><Relationship Id="rId259" Type="http://schemas.openxmlformats.org/officeDocument/2006/relationships/hyperlink" Target="https://open.spotify.com/track/5FQ77Cl1ndljtwwImdtjMy?si=UcJIYjNmT7aK88-AAAh6aA&amp;context=spotify%3Aplaylist%3A37i9dQZF1FoyQGyinuuvRu" TargetMode="External"/><Relationship Id="rId23" Type="http://schemas.openxmlformats.org/officeDocument/2006/relationships/hyperlink" Target="https://open.spotify.com/wrapped/share/share-51018164462b4db5a26e255892588b6c?si=6xflsZZdQayaUwXzKW7rQw&amp;track-id=4hfqe20vqkuRv1RDsA1LbQ" TargetMode="External"/><Relationship Id="rId119" Type="http://schemas.openxmlformats.org/officeDocument/2006/relationships/hyperlink" Target="https://open.spotify.com/wrapped/share/share-3ab2ff40009746d591f2a26f322c6518?si=wt8nogutSlSpn7j2hD0b1Q&amp;track-id=2BY7ALEWdloFHgQZG6VMLA" TargetMode="External"/><Relationship Id="rId270" Type="http://schemas.openxmlformats.org/officeDocument/2006/relationships/hyperlink" Target="https://open.spotify.com/track/2gyxAWHebV7xPYVxqoi86f?si=2j5c_51SQZWh6N9d1P639g&amp;context=spotify%3Aplaylist%3A37i9dQZF1FoyQGyinuuvRu" TargetMode="External"/><Relationship Id="rId291" Type="http://schemas.openxmlformats.org/officeDocument/2006/relationships/hyperlink" Target="https://open.spotify.com/track/5QPGnFslbDUQ7mDteKn3By?si=WC4zDV0VRw-uUe8Ee3xQfA&amp;context=spotify%3Aplaylist%3A37i9dQZF1FoyQGyinuuvRu" TargetMode="External"/><Relationship Id="rId44" Type="http://schemas.openxmlformats.org/officeDocument/2006/relationships/hyperlink" Target="https://open.spotify.com/wrapped/share/share-6de79410d0bd40eaab5d0d6aa3228c1c?si=VGaRQNPhQQSsJSDGx_Tmfg&amp;track-id=0so0moYLqkFWE6dquoCOsh" TargetMode="External"/><Relationship Id="rId65" Type="http://schemas.openxmlformats.org/officeDocument/2006/relationships/hyperlink" Target="https://open.spotify.com/wrapped/share/share-ec1caaa60e2c456a81fe19be28adb18a?si=nkJndC2jQIW_776dGsIiLg&amp;track-id=6GQLHDE3YwtVUdDcMv8xwf" TargetMode="External"/><Relationship Id="rId86" Type="http://schemas.openxmlformats.org/officeDocument/2006/relationships/hyperlink" Target="https://open.spotify.com/wrapped/share/share-f90297832a7348ffb95ba8e66e68e35c?si=kBBYxMaCRDa2gdhDobtBoQ&amp;track-id=4qNYl4NkngYRqf6DtTyD9I" TargetMode="External"/><Relationship Id="rId130" Type="http://schemas.openxmlformats.org/officeDocument/2006/relationships/hyperlink" Target="https://open.spotify.com/wrapped/share/share-e6a9952dafe446bb8ac938540080d71a?si=2ZxMt-a4SPKONy9JbB3mCg&amp;track-id=5j0McHPthKpOXRr3fBq8M0" TargetMode="External"/><Relationship Id="rId151" Type="http://schemas.openxmlformats.org/officeDocument/2006/relationships/hyperlink" Target="https://open.spotify.com/wrapped/share/share-255dbcf41e9248c0a81903591b1d503d?si=e5zwTRJlTsuygQp5Kz28hA&amp;feature=wrapped&amp;track-id=66rVt7PbwyKlu6CK6rxyAi" TargetMode="External"/><Relationship Id="rId172" Type="http://schemas.openxmlformats.org/officeDocument/2006/relationships/hyperlink" Target="https://open.spotify.com/track/5B6Kjha6RRIMWGN7zGsAaT?si=MPS1VcaMT7WAo2t0eLSIFQ&amp;context=spotify%3Aplaylist%3A37i9dQZF1FoyQGyinuuvRu" TargetMode="External"/><Relationship Id="rId193" Type="http://schemas.openxmlformats.org/officeDocument/2006/relationships/hyperlink" Target="https://open.spotify.com/track/3R47KOuGuGvmoeQqbODPa3?si=1R_gNafPTI-sxgSWP-mFOA&amp;context=spotify%3Aplaylist%3A37i9dQZF1FoyQGyinuuvRu" TargetMode="External"/><Relationship Id="rId207" Type="http://schemas.openxmlformats.org/officeDocument/2006/relationships/hyperlink" Target="https://open.spotify.com/track/2OzhQlSqBEmt7hmkYxfT6m?si=W4reNniCSr2Sv9_VfxtAbg&amp;context=spotify%3Aplaylist%3A37i9dQZF1FoyQGyinuuvRu" TargetMode="External"/><Relationship Id="rId228" Type="http://schemas.openxmlformats.org/officeDocument/2006/relationships/hyperlink" Target="https://open.spotify.com/track/7IL4oYjqU58OrarBeQnn0x?si=1T7P2xitS9ulScNnfoZ7aA&amp;context=spotify%3Aplaylist%3A37i9dQZF1FoyQGyinuuvRu" TargetMode="External"/><Relationship Id="rId249" Type="http://schemas.openxmlformats.org/officeDocument/2006/relationships/hyperlink" Target="https://open.spotify.com/track/7dI0mSvbdJTynUnEkWIom1?si=EkmObDmaTQqpv7wGZFx_Hg&amp;context=spotify%3Aplaylist%3A37i9dQZF1FoyQGyinuuvRu" TargetMode="External"/><Relationship Id="rId13" Type="http://schemas.openxmlformats.org/officeDocument/2006/relationships/hyperlink" Target="https://open.spotify.com/wrapped/share/share-5978ea46e25548baa7535e45204a50b5?si=KvFvB306SKu64KodSMfRnw&amp;track-id=5O4erNlJ74PIF6kGol1ZrC" TargetMode="External"/><Relationship Id="rId109" Type="http://schemas.openxmlformats.org/officeDocument/2006/relationships/hyperlink" Target="https://open.spotify.com/wrapped/share/share-11fb64dfccd64127b29044ce96c7a5a7?si=KWQ6Cb94S-CH35wgVSvK1w&amp;track-id=49oxuPnuWOL793zpF6zgLQ" TargetMode="External"/><Relationship Id="rId260" Type="http://schemas.openxmlformats.org/officeDocument/2006/relationships/hyperlink" Target="https://open.spotify.com/track/1YvT4ml5LQM8ZYcLvqsAkD?si=scaIyDmTSL2qLaGAg_O_sg&amp;context=spotify%3Aplaylist%3A37i9dQZF1FoyQGyinuuvRu" TargetMode="External"/><Relationship Id="rId281" Type="http://schemas.openxmlformats.org/officeDocument/2006/relationships/hyperlink" Target="https://open.spotify.com/track/0gucUyFMFRMlUiVn9US4YX?si=gHy8cOA7Ra2dR_n_GoBm9w&amp;context=spotify%3Aplaylist%3A37i9dQZF1FoyQGyinuuvRu" TargetMode="External"/><Relationship Id="rId34" Type="http://schemas.openxmlformats.org/officeDocument/2006/relationships/hyperlink" Target="https://open.spotify.com/wrapped/share/share-eeb994682f054d6f888d52e5eed794ba?si=AwRnhfgnRn2uXMeXE93IXA&amp;track-id=4ApqBh1Xnrpwx6EbhoUPgq" TargetMode="External"/><Relationship Id="rId55" Type="http://schemas.openxmlformats.org/officeDocument/2006/relationships/hyperlink" Target="https://open.spotify.com/wrapped/share/share-0380aaeff7284a3ab9b599a01af03251?si=EzjYGzUgSd-Xy6_3hVw3tQ&amp;track-id=5m4X2HQ0eiviwuKPoREanT" TargetMode="External"/><Relationship Id="rId76" Type="http://schemas.openxmlformats.org/officeDocument/2006/relationships/hyperlink" Target="https://open.spotify.com/wrapped/share/share-710ee80d2edd44fda3c7df3fa1febc34?si=uG067IIGTAiZu12B1HHClA&amp;track-id=4c6vZqYHFur11FbWATIJ9P" TargetMode="External"/><Relationship Id="rId97" Type="http://schemas.openxmlformats.org/officeDocument/2006/relationships/hyperlink" Target="https://open.spotify.com/wrapped/share/share-f21663e899d843258eaee660ea1c1ae5?si=qMPnSSgFRkK0bYK0TrjqkQ&amp;track-id=38BgRP0EX5p0sBj0fFhqN9" TargetMode="External"/><Relationship Id="rId120" Type="http://schemas.openxmlformats.org/officeDocument/2006/relationships/hyperlink" Target="https://open.spotify.com/track/169pWCmfvVazzcL4EXFPgL?si=wYyCUvhtTjKKX8gH6az9YQ&amp;context=spotify%3Aplaylist%3A37i9dQZF1FoyQGyinuuvRu" TargetMode="External"/><Relationship Id="rId141" Type="http://schemas.openxmlformats.org/officeDocument/2006/relationships/hyperlink" Target="https://open.spotify.com/wrapped/share/share-e3504cbe313641ac8eed623e39e01be2?si=VXMA8dLHRg6IztEX7Xo-cg&amp;feature=wrapped&amp;track-id=6c0G8K6G2LlIfJTsRLJjfs" TargetMode="External"/><Relationship Id="rId7" Type="http://schemas.openxmlformats.org/officeDocument/2006/relationships/hyperlink" Target="https://open.spotify.com/wrapped/share/share-9c59ff47c6ab4cf388e352551c7a01ae?si=WxLdd_oJTHm_2kU_7J39pg&amp;track-id=62E2nR0od0M5HYxuYLaDz7" TargetMode="External"/><Relationship Id="rId162" Type="http://schemas.openxmlformats.org/officeDocument/2006/relationships/hyperlink" Target="https://open.spotify.com/track/4d1WMnL8dMh37ZZnMGvG59?si=aPr5UOCDSEeDKd9dwCwM7Q&amp;context=spotify%3Aplaylist%3A37i9dQZF1FoyQGyinuuvRu" TargetMode="External"/><Relationship Id="rId183" Type="http://schemas.openxmlformats.org/officeDocument/2006/relationships/hyperlink" Target="https://open.spotify.com/track/4fCURHaPS3CQBcYsnTidvW?si=64Dr6MyQSTiwLN5XOS9MiA&amp;context=spotify%3Aplaylist%3A37i9dQZF1FoyQGyinuuvRu" TargetMode="External"/><Relationship Id="rId218" Type="http://schemas.openxmlformats.org/officeDocument/2006/relationships/hyperlink" Target="https://open.spotify.com/track/5HvDKyJlHWg42BdsE4ycSm?si=6NN1VY3rTR2PpfdHjVuuEw&amp;context=spotify%3Aplaylist%3A37i9dQZF1FoyQGyinuuvRu" TargetMode="External"/><Relationship Id="rId239" Type="http://schemas.openxmlformats.org/officeDocument/2006/relationships/hyperlink" Target="https://open.spotify.com/track/1ZY1PqizIl78geGM4xWlEA?si=9AnZigapTRqCTYKvjBYNLw&amp;context=spotify%3Aplaylist%3A37i9dQZF1FoyQGyinuuvRu" TargetMode="External"/><Relationship Id="rId250" Type="http://schemas.openxmlformats.org/officeDocument/2006/relationships/hyperlink" Target="https://open.spotify.com/track/4mIHgQ3ofK2RK34UdbqMbe?si=ziS7OrLtTyihPIzaGiXMSQ&amp;context=spotify%3Aplaylist%3A37i9dQZF1FoyQGyinuuvRu" TargetMode="External"/><Relationship Id="rId271" Type="http://schemas.openxmlformats.org/officeDocument/2006/relationships/hyperlink" Target="https://open.spotify.com/track/7Fzl7QaTu47WyP9R5S5mh5?si=e-IvDmWvQyqv8oZrjGywWw&amp;context=spotify%3Aplaylist%3A37i9dQZF1FoyQGyinuuvRu" TargetMode="External"/><Relationship Id="rId292" Type="http://schemas.openxmlformats.org/officeDocument/2006/relationships/hyperlink" Target="https://open.spotify.com/track/6sbXGUn9V9ZaLwLdOfpKRE?si=CE7MRkxgRGG2xlnJoYMAqQ&amp;context=spotify%3Aplaylist%3A37i9dQZF1FoyQGyinuuvRu" TargetMode="External"/><Relationship Id="rId24" Type="http://schemas.openxmlformats.org/officeDocument/2006/relationships/hyperlink" Target="https://open.spotify.com/wrapped/share/share-ead8ef09da7748aa8320f55b8872e502?si=kM9SwUE6Qty9rap52v6IbQ&amp;track-id=3TwtrR1yNLY1PMPsrGQpOp" TargetMode="External"/><Relationship Id="rId45" Type="http://schemas.openxmlformats.org/officeDocument/2006/relationships/hyperlink" Target="https://open.spotify.com/wrapped/share/share-71c0a670608940ffa1f572f97e3f68c0?si=mfkCC9kCScaxX5_M2sJWuA&amp;track-id=6ET9kf9riLETWs9lePUEAI" TargetMode="External"/><Relationship Id="rId66" Type="http://schemas.openxmlformats.org/officeDocument/2006/relationships/hyperlink" Target="https://open.spotify.com/wrapped/share/share-48274bfbafb14460aeb2750973ca016a?si=BYY8oVcyTHKVxmdT5-IkKw&amp;track-id=06qDEAG26TspT2yK2NLgEZ" TargetMode="External"/><Relationship Id="rId87" Type="http://schemas.openxmlformats.org/officeDocument/2006/relationships/hyperlink" Target="https://open.spotify.com/wrapped/share/share-f64e96957c514b408a2a584fd4b64da1?si=qRQRvJh4TveMAaMfKkiQ0g&amp;track-id=69m9WDPBvemwujQwdONslk" TargetMode="External"/><Relationship Id="rId110" Type="http://schemas.openxmlformats.org/officeDocument/2006/relationships/hyperlink" Target="https://open.spotify.com/wrapped/share/share-052e8048e1a64cc08fcbbd59cc99e9cd?si=ptsfyQsLSAum_lvk0KLyTQ&amp;track-id=1T4tQ4SSagbhAKpvcWg035" TargetMode="External"/><Relationship Id="rId131" Type="http://schemas.openxmlformats.org/officeDocument/2006/relationships/hyperlink" Target="https://open.spotify.com/wrapped/share/share-f434c45b72364497a257c8702c6a4125?si=m0WjZZY3RqSSYdB2-ROFrA&amp;track-id=6Y4rniIxibegzsg8cdWAWV" TargetMode="External"/><Relationship Id="rId152" Type="http://schemas.openxmlformats.org/officeDocument/2006/relationships/hyperlink" Target="https://open.spotify.com/wrapped/share/share-fb1226575e164272b4260537c6437602?si=8DQEnmJFRuOrKlLq18nNtw&amp;feature=wrapped&amp;track-id=3rUGC1vUpkDG9CZFHMur1t" TargetMode="External"/><Relationship Id="rId173" Type="http://schemas.openxmlformats.org/officeDocument/2006/relationships/hyperlink" Target="https://open.spotify.com/track/6CNKcu9SBPWKMkBvMkPRBT?si=wMFTjCVJRXC7B1Cvgvnb3g&amp;context=spotify%3Aplaylist%3A37i9dQZF1FoyQGyinuuvRu" TargetMode="External"/><Relationship Id="rId194" Type="http://schemas.openxmlformats.org/officeDocument/2006/relationships/hyperlink" Target="https://open.spotify.com/wrapped/share/share-ec9b8fc41e5e4d968e9d84d0d59eaf6d?si=13jsy7xwRH-gm5WggI4qRQ&amp;track-id=5JiU3gLHz9AvUnrhXgOmos" TargetMode="External"/><Relationship Id="rId208" Type="http://schemas.openxmlformats.org/officeDocument/2006/relationships/hyperlink" Target="https://open.spotify.com/track/51rfRCiUSvxXlCSCfIztBy?si=UYm6zHSZS4CCOxM4AhXoXA&amp;context=spotify%3Aplaylist%3A37i9dQZF1FoyQGyinuuvRu" TargetMode="External"/><Relationship Id="rId229" Type="http://schemas.openxmlformats.org/officeDocument/2006/relationships/hyperlink" Target="https://open.spotify.com/track/2HfbUxCrf9SWnQy3vndaC6?si=o3kkY9HYTm6rDiPca-pY9A&amp;context=spotify%3Aplaylist%3A37i9dQZF1FoyQGyinuuvRu" TargetMode="External"/><Relationship Id="rId240" Type="http://schemas.openxmlformats.org/officeDocument/2006/relationships/hyperlink" Target="https://open.spotify.com/track/0WbMK4wrZ1wFSty9F7FCgu?si=SgUFzfYtQaKx1oiI-Hi7HQ&amp;context=spotify%3Aplaylist%3A37i9dQZF1FoyQGyinuuvRu" TargetMode="External"/><Relationship Id="rId261" Type="http://schemas.openxmlformats.org/officeDocument/2006/relationships/hyperlink" Target="https://open.spotify.com/track/3Vr3zh0r7ALn8VLqCiRR10?si=Jhw-l2mwQp-SsbHWIrX4gA&amp;context=spotify%3Aplaylist%3A37i9dQZF1FoyQGyinuuvRu" TargetMode="External"/><Relationship Id="rId14" Type="http://schemas.openxmlformats.org/officeDocument/2006/relationships/hyperlink" Target="https://open.spotify.com/wrapped/share/share-05d515ff242b410b8c88c1b2fda6653e?si=qWsYsmMrRliKIkLaoSAtIQ&amp;track-id=7ByxizhA4GgEf7Sxomxhze" TargetMode="External"/><Relationship Id="rId35" Type="http://schemas.openxmlformats.org/officeDocument/2006/relationships/hyperlink" Target="https://open.spotify.com/wrapped/share/share-e3927665b37141c3a34789594f7c4a76?si=Fx8ni_URRzaeDs9VWzz1hA&amp;track-id=5pIVEk6Di7n1v5khOzJaJL" TargetMode="External"/><Relationship Id="rId56" Type="http://schemas.openxmlformats.org/officeDocument/2006/relationships/hyperlink" Target="https://open.spotify.com/wrapped/share/share-c959c60e21fb4f20a92c1ad19d75ea68?si=n65J6klzT3aEEkKIyPrT2A&amp;track-id=4Gmdm6oRVwJgsM8gYnwRoE" TargetMode="External"/><Relationship Id="rId77" Type="http://schemas.openxmlformats.org/officeDocument/2006/relationships/hyperlink" Target="https://open.spotify.com/wrapped/share/share-f2b9a100d2c34957b84d4f5893c6b1fc?si=PUmdpPYfROGNnrdi11NU1w&amp;track-id=69BWKQ0qeTnPHdk4lxuLcD" TargetMode="External"/><Relationship Id="rId100" Type="http://schemas.openxmlformats.org/officeDocument/2006/relationships/hyperlink" Target="https://open.spotify.com/wrapped/share/share-cce7a1a7a5884bbab3edaa7561a9ae23?si=aI5koJy0SZOC_tnJBpoZYw&amp;track-id=42T2QQv3xgBlpQxaSP7lnK" TargetMode="External"/><Relationship Id="rId282" Type="http://schemas.openxmlformats.org/officeDocument/2006/relationships/hyperlink" Target="https://open.spotify.com/track/0RfzQhbvtn5lOaKdhpAni7?si=VKJkF9CNQh6fOxMrxH1UJA&amp;context=spotify%3Aplaylist%3A37i9dQZF1FoyQGyinuuvRu" TargetMode="External"/><Relationship Id="rId8" Type="http://schemas.openxmlformats.org/officeDocument/2006/relationships/hyperlink" Target="https://open.spotify.com/wrapped/share/share-566b72ac458e41df84c44d0d3c2cab5c?si=eSsZFQQISv-3qYaSWYe32w&amp;track-id=0bILU0UiNDmA5Ff6whhb2R" TargetMode="External"/><Relationship Id="rId98" Type="http://schemas.openxmlformats.org/officeDocument/2006/relationships/hyperlink" Target="https://open.spotify.com/wrapped/share/share-a0252fb048884a7299fa13455dabe635?si=W_368vGGT9OiN8-kKH9GdQ&amp;track-id=2NVTpSoonYCVm7RE8zczEy" TargetMode="External"/><Relationship Id="rId121" Type="http://schemas.openxmlformats.org/officeDocument/2006/relationships/hyperlink" Target="https://open.spotify.com/wrapped/share/share-b1502391fb8d44059ec4a75379c18180?si=n_2qa4lgShKVgq2gM5aPmg&amp;track-id=7rFYrQfPCNVsZOY7ld2YVX" TargetMode="External"/><Relationship Id="rId142" Type="http://schemas.openxmlformats.org/officeDocument/2006/relationships/hyperlink" Target="https://open.spotify.com/track/5G2f63n7IPVPPjfNIGih7Q?si=YP6evg50QSq9F820sMJf2A&amp;context=spotify:playlist:37i9dQZF1FoyQGyinuuvRu" TargetMode="External"/><Relationship Id="rId163" Type="http://schemas.openxmlformats.org/officeDocument/2006/relationships/hyperlink" Target="https://open.spotify.com/track/5j0McHPthKpOXRr3fBq8M0?si=crQRjsyvRCOI8UwNkbGE5A&amp;context=spotify%3Aplaylist%3A37i9dQZF1FoyQGyinuuvRu" TargetMode="External"/><Relationship Id="rId184" Type="http://schemas.openxmlformats.org/officeDocument/2006/relationships/hyperlink" Target="https://open.spotify.com/track/7zBg6qxuNUz0mBdr85l6ng?si=yTddjAydTKafAqjF6-L9qg&amp;context=spotify%3Aplaylist%3A37i9dQZF1FoyQGyinuuvRu" TargetMode="External"/><Relationship Id="rId219" Type="http://schemas.openxmlformats.org/officeDocument/2006/relationships/hyperlink" Target="https://open.spotify.com/track/4TJUS843fKiqqIzycM74Oy?si=KytffOlUSrSE4A58yQhgog&amp;context=spotify%3Aplaylist%3A37i9dQZF1FoyQGyinuuvRu" TargetMode="External"/><Relationship Id="rId230" Type="http://schemas.openxmlformats.org/officeDocument/2006/relationships/hyperlink" Target="https://open.spotify.com/track/799KrpEbhZp0MHeiA8YK9P?si=CK-58iDxTQKzGcu2VbvDlQ&amp;context=spotify%3Aplaylist%3A37i9dQZF1FoyQGyinuuvRu" TargetMode="External"/><Relationship Id="rId251" Type="http://schemas.openxmlformats.org/officeDocument/2006/relationships/hyperlink" Target="https://open.spotify.com/track/4sNG6zQBmtq7M8aeeKJRMQ?si=cn9uaTI0Qnes4DOPQXbjLg&amp;context=spotify%3Aplaylist%3A37i9dQZF1FoyQGyinuuvRu" TargetMode="External"/><Relationship Id="rId25" Type="http://schemas.openxmlformats.org/officeDocument/2006/relationships/hyperlink" Target="https://open.spotify.com/wrapped/share/share-81fb01ef0b4d434d82fd06a235ce4129?si=FfHmQkrTRxy6xH16YyHHdg&amp;track-id=02srSkeu2pzybuVr2B9TJm" TargetMode="External"/><Relationship Id="rId46" Type="http://schemas.openxmlformats.org/officeDocument/2006/relationships/hyperlink" Target="https://open.spotify.com/wrapped/share/share-28129614283049229f429cba3129bd2c?si=TlYz5VJ6TaS3qwn5Zz--Qw&amp;track-id=68SYsp6XfIEnlDYMgMyxUv" TargetMode="External"/><Relationship Id="rId67" Type="http://schemas.openxmlformats.org/officeDocument/2006/relationships/hyperlink" Target="https://open.spotify.com/wrapped/share/share-4088cd035cb64b689ed33acb27ac2c07?si=6AVIwBu4QXabRoCtd0-kcQ&amp;track-id=0158TMiGmHyibaDeaUKayX" TargetMode="External"/><Relationship Id="rId272" Type="http://schemas.openxmlformats.org/officeDocument/2006/relationships/hyperlink" Target="https://open.spotify.com/track/2SGBEDwsOAOAHrrdAd304i?si=NSFoJZAxTaK5mu-5f_ADjg&amp;context=spotify%3Aplaylist%3A37i9dQZF1FoyQGyinuuvRu" TargetMode="External"/><Relationship Id="rId293" Type="http://schemas.openxmlformats.org/officeDocument/2006/relationships/hyperlink" Target="https://open.spotify.com/track/3CWq0pAKKTWb0K4yiglDc4?si=1LlJtysfRT2ZFJ2cLuAHRw&amp;context=spotify%3Aplaylist%3A37i9dQZF1FoyQGyinuuvRu" TargetMode="External"/><Relationship Id="rId88" Type="http://schemas.openxmlformats.org/officeDocument/2006/relationships/hyperlink" Target="https://open.spotify.com/wrapped/share/share-592709a3f97c4c69bb16dc932c8244a4?si=55goskcETdOsSG9Sm4Y5TA&amp;track-id=1jyddn36UN4tVsJGtaJfem" TargetMode="External"/><Relationship Id="rId111" Type="http://schemas.openxmlformats.org/officeDocument/2006/relationships/hyperlink" Target="https://open.spotify.com/wrapped/share/share-6cc652e6840141139c8510a31dbb471a?si=7-RT09KTTX6VKXfj-FprrQ&amp;track-id=2tznHmp70DxMyr2XhWLOW0" TargetMode="External"/><Relationship Id="rId132" Type="http://schemas.openxmlformats.org/officeDocument/2006/relationships/hyperlink" Target="https://open.spotify.com/track/43dcCpx19I0R4zLr4KH1UC?si=387c3143481548db" TargetMode="External"/><Relationship Id="rId153" Type="http://schemas.openxmlformats.org/officeDocument/2006/relationships/hyperlink" Target="https://open.spotify.com/wrapped/share/share-5191291ab1a440a786db7912b0caa371?si=k-vE4G3eRnm7xr7mVjnLiQ&amp;track-id=6Xw2FLih8m5ItDbyP992HH&amp;feature=wrapped" TargetMode="External"/><Relationship Id="rId174" Type="http://schemas.openxmlformats.org/officeDocument/2006/relationships/hyperlink" Target="https://open.spotify.com/track/3PRTKWFigJCi47YAEsBpiP?si=SzqUA7MpTGyv3Gp8NqBGBw&amp;context=spotify%3Aplaylist%3A37i9dQZF1FoyQGyinuuvRu" TargetMode="External"/><Relationship Id="rId195" Type="http://schemas.openxmlformats.org/officeDocument/2006/relationships/hyperlink" Target="https://open.spotify.com/track/3COk8dMEndoyUTFdCxHHN8?si=RLEKDgVbRy6GI_29vxqLMA&amp;context=spotify%3Aplaylist%3A37i9dQZF1FoyQGyinuuvRu" TargetMode="External"/><Relationship Id="rId209" Type="http://schemas.openxmlformats.org/officeDocument/2006/relationships/hyperlink" Target="https://open.spotify.com/track/0wXThIDxO3YRJCpPgnmbkw?si=jbcvElEwQU2_xkoBJuaKaQ&amp;context=spotify%3Aplaylist%3A37i9dQZF1FoyQGyinuuvRu" TargetMode="External"/><Relationship Id="rId220" Type="http://schemas.openxmlformats.org/officeDocument/2006/relationships/hyperlink" Target="https://open.spotify.com/track/2C86Vf9K43LG8GWCHObAzP?si=8VO_5GFRTWS61LNK2BPamQ&amp;context=spotify%3Aplaylist%3A37i9dQZF1FoyQGyinuuvRu" TargetMode="External"/><Relationship Id="rId241" Type="http://schemas.openxmlformats.org/officeDocument/2006/relationships/hyperlink" Target="https://open.spotify.com/track/4pkb8SbRGeHAvdb87v9rpf?si=g0rYJJKlShiLrE_FqGM4ZQ&amp;context=spotify%3Aplaylist%3A37i9dQZF1FoyQGyinuuvRu" TargetMode="External"/><Relationship Id="rId15" Type="http://schemas.openxmlformats.org/officeDocument/2006/relationships/hyperlink" Target="https://open.spotify.com/wrapped/share/share-f21fecb1282740d19b68cf473948fa83?si=JTgrNqQtT6-W1LOsoffeQw&amp;track-id=22VHOlVYBqytsrAqV8yXBK" TargetMode="External"/><Relationship Id="rId36" Type="http://schemas.openxmlformats.org/officeDocument/2006/relationships/hyperlink" Target="https://open.spotify.com/wrapped/share/share-3823578da88c422a90dd10a805f4b499?si=vXVou75nSvSWhUUUPqgFEw&amp;track-id=6kopmMZiyLmw7h66uXcXR7" TargetMode="External"/><Relationship Id="rId57" Type="http://schemas.openxmlformats.org/officeDocument/2006/relationships/hyperlink" Target="https://open.spotify.com/track/1c8gk2PeTE04A1pIDH9YMk?si=0af4bd4dcd934d74" TargetMode="External"/><Relationship Id="rId262" Type="http://schemas.openxmlformats.org/officeDocument/2006/relationships/hyperlink" Target="https://open.spotify.com/track/4kuPeLqTPXDkPB2injreCw?si=M4Q47d7qQY2Tl4huFg-AYw&amp;context=spotify%3Aplaylist%3A37i9dQZF1FoyQGyinuuvRu" TargetMode="External"/><Relationship Id="rId283" Type="http://schemas.openxmlformats.org/officeDocument/2006/relationships/hyperlink" Target="https://open.spotify.com/track/3ZTZiH8eOtaUPrEW4KxtOB?si=8T1VSjtHQ1ipfyzI6eQSCA&amp;context=spotify%3Aplaylist%3A37i9dQZF1FoyQGyinuuvRu" TargetMode="External"/><Relationship Id="rId78" Type="http://schemas.openxmlformats.org/officeDocument/2006/relationships/hyperlink" Target="https://open.spotify.com/wrapped/share/share-c7375478878f43409f5350e73575839d?si=Wk2apM1rSKil6IUBrQ6AeQ&amp;track-id=7k2nR2eTRVuzAMCXUj3HMv" TargetMode="External"/><Relationship Id="rId99" Type="http://schemas.openxmlformats.org/officeDocument/2006/relationships/hyperlink" Target="https://open.spotify.com/wrapped/share/share-31a59fdd850743feba4eb79bbbdf98e9?si=knz4nPvISf2XuaOWF0oaWQ&amp;track-id=0BjqRekzGWZ4es58rTkza9" TargetMode="External"/><Relationship Id="rId101" Type="http://schemas.openxmlformats.org/officeDocument/2006/relationships/hyperlink" Target="https://open.spotify.com/wrapped/share/share-fde5b7b526d143f3a9e72d05ce22ef53?si=-fpJcCqmTCyhAxHhW2wCrw&amp;track-id=0tgBtQ0ISnMQOKorrN9HLX" TargetMode="External"/><Relationship Id="rId122" Type="http://schemas.openxmlformats.org/officeDocument/2006/relationships/hyperlink" Target="https://open.spotify.com/wrapped/share/share-c3c57012b7e94a3b9dadb307287b1315?si=oXJy9julSmOO3V2_4xLw1Q&amp;track-id=7jPdqwZug0ovtDZsY5uK4T" TargetMode="External"/><Relationship Id="rId143" Type="http://schemas.openxmlformats.org/officeDocument/2006/relationships/hyperlink" Target="https://open.spotify.com/wrapped/share/share-c6105d71df3a4d2fbe51b4b3544ad42a?si=itlbf959TvmPjV3gw_l2Yg&amp;feature=wrapped&amp;track-id=1nrgBXtczBXNSlqIezjwbR" TargetMode="External"/><Relationship Id="rId164" Type="http://schemas.openxmlformats.org/officeDocument/2006/relationships/hyperlink" Target="https://open.spotify.com/track/7K3BhSpAxZBznislvUMVtn?si=Z8mMGLtyTsKWNs3NANNg7Q&amp;context=spotify%3Aplaylist%3A37i9dQZF1FoyQGyinuuvRu" TargetMode="External"/><Relationship Id="rId185" Type="http://schemas.openxmlformats.org/officeDocument/2006/relationships/hyperlink" Target="https://open.spotify.com/track/6mADjHs6FXdroPzEGW6KVJ?si=0w1VOcHmRJG7b9xRADdvZw&amp;context=spotify%3Aplaylist%3A37i9dQZF1FoyQGyinuuvRu" TargetMode="External"/><Relationship Id="rId9" Type="http://schemas.openxmlformats.org/officeDocument/2006/relationships/hyperlink" Target="https://open.spotify.com/wrapped/share/share-278ab9e59e114920bc5986d8cc996bdb?si=KobRENgqT1yp_BBbn1RP5Q&amp;track-id=5kHMfzgLZP95O9NBy0ku4v" TargetMode="External"/><Relationship Id="rId210" Type="http://schemas.openxmlformats.org/officeDocument/2006/relationships/hyperlink" Target="https://open.spotify.com/track/2at8MSHDZp9QTDo2mdHP4d?si=qC-592pbR1aRft9vdsqLvQ&amp;context=spotify%3Aplaylist%3A37i9dQZF1FoyQGyinuuvRu" TargetMode="External"/><Relationship Id="rId26" Type="http://schemas.openxmlformats.org/officeDocument/2006/relationships/hyperlink" Target="https://open.spotify.com/wrapped/share/share-99a0bf8f400145988fdb5d065fb6484f?si=Y6rZYSR5SnGx6S8D8-aD9Q&amp;track-id=6mQvaOgN76Q7qcwmwuEP2W" TargetMode="External"/><Relationship Id="rId231" Type="http://schemas.openxmlformats.org/officeDocument/2006/relationships/hyperlink" Target="https://open.spotify.com/track/47Xj8eIAp7hYOOqArmkqZE?si=-huw9h9yRseSTFE6SB9nUA&amp;context=spotify%3Aplaylist%3A37i9dQZF1FoyQGyinuuvRu" TargetMode="External"/><Relationship Id="rId252" Type="http://schemas.openxmlformats.org/officeDocument/2006/relationships/hyperlink" Target="https://open.spotify.com/track/4nHJcUtNSUVjXRnjdP29Bk?si=fcxwzfA6RsOyjuHP-SaZdg&amp;context=spotify%3Aplaylist%3A37i9dQZF1FoyQGyinuuvRu" TargetMode="External"/><Relationship Id="rId273" Type="http://schemas.openxmlformats.org/officeDocument/2006/relationships/hyperlink" Target="https://open.spotify.com/track/1KTemUlHzS0SvVtTjY1NTw?si=MgLFHh-1SuapuGdp01SaEA&amp;context=spotify%3Aplaylist%3A37i9dQZF1FoyQGyinuuvRu" TargetMode="External"/><Relationship Id="rId294" Type="http://schemas.openxmlformats.org/officeDocument/2006/relationships/hyperlink" Target="https://open.spotify.com/track/4OYGHze5MiMkgozardIRxU?si=RbvOJwdxTn-J6PcvZXrC8A&amp;context=spotify%3Aplaylist%3A37i9dQZF1FoyQGyinuuvRu" TargetMode="External"/><Relationship Id="rId47" Type="http://schemas.openxmlformats.org/officeDocument/2006/relationships/hyperlink" Target="https://open.spotify.com/wrapped/share/share-0299b1248514467d8b05ed19f8d4fbe2?si=KK_Z_YMeS4KTZjXBETVpEg&amp;track-id=6iUYqKyjgFBiHwRQPlltWn" TargetMode="External"/><Relationship Id="rId68" Type="http://schemas.openxmlformats.org/officeDocument/2006/relationships/hyperlink" Target="https://open.spotify.com/wrapped/share/share-799a496c07514c62a2e21415e4f5ffff?si=Wri_TZaoSyypvJ4oXuo1mA&amp;track-id=6J5sxraPPZ4b0CVOGAgpXj" TargetMode="External"/><Relationship Id="rId89" Type="http://schemas.openxmlformats.org/officeDocument/2006/relationships/hyperlink" Target="https://open.spotify.com/wrapped/share/share-a5036267f2c64c4db88321b04937ea3a?si=EZU8ipLkTKO3y-d7WEAe2Q&amp;track-id=5ya0TmUQw2wHMkq36rPsnd" TargetMode="External"/><Relationship Id="rId112" Type="http://schemas.openxmlformats.org/officeDocument/2006/relationships/hyperlink" Target="https://open.spotify.com/wrapped/share/share-055986bf84c04e718196f21805d66284?si=Vn5E-cu1TLmiI7AAUcYApw&amp;track-id=6q8nlNnBLSAn5tU6tH9Zlz" TargetMode="External"/><Relationship Id="rId133" Type="http://schemas.openxmlformats.org/officeDocument/2006/relationships/hyperlink" Target="https://open.spotify.com/wrapped/share/share-aba86ffa9e714657b94febfcdec64398?si=tCypo-TMQ0-IxAhNcHID8Q&amp;track-id=1LAlLBTGBUO0MDA8IbSysd" TargetMode="External"/><Relationship Id="rId154" Type="http://schemas.openxmlformats.org/officeDocument/2006/relationships/hyperlink" Target="https://open.spotify.com/wrapped/share/share-6cc405c1aee04a628bab23e0c60b4f61?si=ZR9gR_f6TVGYKWSpsOyswg&amp;track-id=6GG4yyk3UATdBfTHVgI8PB&amp;feature=wrapped" TargetMode="External"/><Relationship Id="rId175" Type="http://schemas.openxmlformats.org/officeDocument/2006/relationships/hyperlink" Target="https://open.spotify.com/track/7hR5toSPEgwFZ78jfHdANM?si=uc4zuiPgQvOlA5wENVitDQ&amp;context=spotify%3Aplaylist%3A37i9dQZF1FoyQGyinuuvRu" TargetMode="External"/><Relationship Id="rId196" Type="http://schemas.openxmlformats.org/officeDocument/2006/relationships/hyperlink" Target="https://open.spotify.com/track/2ap0aBgxnBfS2GZARlx1z7?si=vc5iccf3RR2DuBIW7my1sg&amp;context=spotify%3Aplaylist%3A37i9dQZF1FoyQGyinuuvRu" TargetMode="External"/><Relationship Id="rId200" Type="http://schemas.openxmlformats.org/officeDocument/2006/relationships/hyperlink" Target="https://open.spotify.com/track/6iCW2e9BR83fJLit5BFchl?si=uuSvipQcSdSdtW31pPP-Iw&amp;context=spotify%3Aplaylist%3A37i9dQZF1FoyQGyinuuvRu" TargetMode="External"/><Relationship Id="rId16" Type="http://schemas.openxmlformats.org/officeDocument/2006/relationships/hyperlink" Target="https://open.spotify.com/wrapped/share/share-bceecbac49564b779d4d95155842bf96?si=rtBNOEUqSa68cLC4yGcAIA&amp;track-id=5hviCr3lgg6LY6noG6DPKs" TargetMode="External"/><Relationship Id="rId221" Type="http://schemas.openxmlformats.org/officeDocument/2006/relationships/hyperlink" Target="https://open.spotify.com/track/3GFC8G5pFOpTCnPR9KFAj5?si=k_EL4ZDeTwuhvkcDb5Jiyw&amp;context=spotify%3Aplaylist%3A37i9dQZF1FoyQGyinuuvRu" TargetMode="External"/><Relationship Id="rId242" Type="http://schemas.openxmlformats.org/officeDocument/2006/relationships/hyperlink" Target="https://open.spotify.com/track/1ZozJfi8u9cO2Ob8KwiwNT?si=daa_ONnQQOaHjOwMhqWCbQ&amp;context=spotify%3Aplaylist%3A37i9dQZF1FoyQGyinuuvRu" TargetMode="External"/><Relationship Id="rId263" Type="http://schemas.openxmlformats.org/officeDocument/2006/relationships/hyperlink" Target="https://open.spotify.com/track/0hhzNPE68LWLfgZwdpxVdR?si=_CZCd9bmTMm_RhBnIihRaQ&amp;context=spotify%3Aplaylist%3A37i9dQZF1FoyQGyinuuvRu" TargetMode="External"/><Relationship Id="rId284" Type="http://schemas.openxmlformats.org/officeDocument/2006/relationships/hyperlink" Target="https://open.spotify.com/track/73zawW1ttszLRgT9By826D?si=XQxW292JRP6ZbyIOBITYqg&amp;context=spotify%3Aplaylist%3A37i9dQZF1FoyQGyinuuvRu" TargetMode="External"/><Relationship Id="rId37" Type="http://schemas.openxmlformats.org/officeDocument/2006/relationships/hyperlink" Target="https://open.spotify.com/wrapped/share/share-769f0d31b7c243029ac9dfb8d1fb53bf?si=b0ZY82J6Q3ecumzFM0ZQBA&amp;track-id=0Z57YWES04xGh3AImDz6Qr" TargetMode="External"/><Relationship Id="rId58" Type="http://schemas.openxmlformats.org/officeDocument/2006/relationships/hyperlink" Target="https://open.spotify.com/wrapped/share/share-03e9b19498a24859b92ccfaac3537caa?si=KfK5wua0QJ28f8dMEPpMRQ&amp;track-id=2rw5cbtHTyzy8iruujD28d" TargetMode="External"/><Relationship Id="rId79" Type="http://schemas.openxmlformats.org/officeDocument/2006/relationships/hyperlink" Target="https://open.spotify.com/wrapped/share/share-827aeac313c0455088e95a3e8f1838de?si=GAE8KvR3T7KdgXpP4tdLiQ&amp;track-id=2GzbeXhNYv3X1F588zT7vl" TargetMode="External"/><Relationship Id="rId102" Type="http://schemas.openxmlformats.org/officeDocument/2006/relationships/hyperlink" Target="https://open.spotify.com/wrapped/share/share-11ff2a2f03ef433baec27b2fa0a24bcc?si=OUFXwnohQBuiLWJcGfgTxA&amp;track-id=0B2SaH1ByxhJnoN3VlGnrn" TargetMode="External"/><Relationship Id="rId123" Type="http://schemas.openxmlformats.org/officeDocument/2006/relationships/hyperlink" Target="https://open.spotify.com/wrapped/share/share-9f7c32c8d7834bcd8df98a7e904a560d?si=0Q-EbJ_uQA2iQi-6fqkSWw&amp;track-id=6JWddKPdqvDc2WkPEi9grC" TargetMode="External"/><Relationship Id="rId144" Type="http://schemas.openxmlformats.org/officeDocument/2006/relationships/hyperlink" Target="https://open.spotify.com/wrapped/share/share-78678a74fbd34cc89817626f83469817?si=t9DHcWUrQCunMMhVQAXmmQ&amp;track-id=5JVbvCHX10U2pLa5DEqGav&amp;feature=wrapped" TargetMode="External"/><Relationship Id="rId90" Type="http://schemas.openxmlformats.org/officeDocument/2006/relationships/hyperlink" Target="https://open.spotify.com/wrapped/share/share-055b94e81db84d8db4ba73adde20a05e?si=Yi_yjNsxTcWWK6RRuMl7Tw&amp;track-id=7jvCeWOSnJs2N3spqobWnO" TargetMode="External"/><Relationship Id="rId165" Type="http://schemas.openxmlformats.org/officeDocument/2006/relationships/hyperlink" Target="https://open.spotify.com/track/3IvTwPCCjfZczCN2k4qPiH?si=n5hbVTZVQo-tDHfOWQN7WA&amp;context=spotify%3Aplaylist%3A37i9dQZF1FoyQGyinuuvRu" TargetMode="External"/><Relationship Id="rId186" Type="http://schemas.openxmlformats.org/officeDocument/2006/relationships/hyperlink" Target="https://open.spotify.com/track/4laAKIq9ZxBCwf99rauPYb?si=juHycChiStquoC55hoWihg&amp;context=spotify%3Aplaylist%3A37i9dQZF1FoyQGyinuuvRu" TargetMode="External"/><Relationship Id="rId211" Type="http://schemas.openxmlformats.org/officeDocument/2006/relationships/hyperlink" Target="https://open.spotify.com/track/7D97JnBT73FWUh9KmRvP9M?si=6N2uOkMBRzC2z5GEVPbz5w&amp;context=spotify%3Aplaylist%3A37i9dQZF1FoyQGyinuuvRu" TargetMode="External"/><Relationship Id="rId232" Type="http://schemas.openxmlformats.org/officeDocument/2006/relationships/hyperlink" Target="https://open.spotify.com/track/2FQrifJ1N335Ljm3TjTVVf?si=DXeF-ujAQCeAxnn3sB-mzg&amp;context=spotify%3Aplaylist%3A37i9dQZF1FoyQGyinuuvRu" TargetMode="External"/><Relationship Id="rId253" Type="http://schemas.openxmlformats.org/officeDocument/2006/relationships/hyperlink" Target="https://open.spotify.com/track/5CfsbLLaJ6GGzEuRjYFRhT?si=U4V2-lw-TieCchd3dzKbbg&amp;context=spotify%3Aplaylist%3A37i9dQZF1FoyQGyinuuvRu" TargetMode="External"/><Relationship Id="rId274" Type="http://schemas.openxmlformats.org/officeDocument/2006/relationships/hyperlink" Target="https://open.spotify.com/track/0V75hy6x3cToema5BdJaj9?si=arPUQZlCTUiqbJFjGCN9IQ&amp;context=spotify%3Aplaylist%3A37i9dQZF1FoyQGyinuuvRu" TargetMode="External"/><Relationship Id="rId295" Type="http://schemas.openxmlformats.org/officeDocument/2006/relationships/hyperlink" Target="https://open.spotify.com/track/1Qrg8KqiBpW07V7PNxwwwL?si=VzWQNVXqRtChK4_dyWlCUQ&amp;context=spotify%3Aplaylist%3A37i9dQZF1FoyQGyinuuvRu" TargetMode="External"/><Relationship Id="rId27" Type="http://schemas.openxmlformats.org/officeDocument/2006/relationships/hyperlink" Target="https://open.spotify.com/wrapped/share/share-5f27e125b6bb4960bed43fdc89a3a922?si=klpGlIwnTKelToFHvLD9Yw&amp;track-id=7G7tgVYORlDuVprcYHuFJh" TargetMode="External"/><Relationship Id="rId48" Type="http://schemas.openxmlformats.org/officeDocument/2006/relationships/hyperlink" Target="https://open.spotify.com/wrapped/share/share-c3f4aa03b42a4946a750f63c2350f083?si=8XF3ib7jSm2OA9Mr9fr7mg&amp;track-id=4uIjNF84ZbteunNMxr4Xc0" TargetMode="External"/><Relationship Id="rId69" Type="http://schemas.openxmlformats.org/officeDocument/2006/relationships/hyperlink" Target="https://open.spotify.com/wrapped/share/share-337e6c2787c641b5ad6dcc3392f8f505?si=7302CPG7QGiPPgsKnOVwBA&amp;track-id=0AZjGAFciL2GpwoBqDxgg9" TargetMode="External"/><Relationship Id="rId113" Type="http://schemas.openxmlformats.org/officeDocument/2006/relationships/hyperlink" Target="https://open.spotify.com/wrapped/share/share-b79821c7c4324c0990e7b034c0aefe8b?si=t1sBGq9VSB6ssbIHIsla0A&amp;track-id=27RDQ0TfxzWMlQFuKrPT11" TargetMode="External"/><Relationship Id="rId134" Type="http://schemas.openxmlformats.org/officeDocument/2006/relationships/hyperlink" Target="https://open.spotify.com/wrapped/share/share-e6bd04de895245fbbb04d16b51da0c31?si=IIdodGNlS0i_Mte4JE_AxQ&amp;track-id=3aMDzPibtzIRWzASMH44JF" TargetMode="External"/><Relationship Id="rId80" Type="http://schemas.openxmlformats.org/officeDocument/2006/relationships/hyperlink" Target="https://open.spotify.com/wrapped/share/share-8296ef8b477244e7bb763f1184f3be0c?si=s2oNewD9R6q0C0vicwwUVg&amp;track-id=6MzofobZt2dm0Kf1hTThFz" TargetMode="External"/><Relationship Id="rId155" Type="http://schemas.openxmlformats.org/officeDocument/2006/relationships/hyperlink" Target="https://open.spotify.com/wrapped/share/share-deb5e3e222f2418cb2854af942a31ed9?si=qyyvXqrvTgmACX_AJOAY2w&amp;feature=wrapped&amp;track-id=6gbiTbclnHlmSIPfmF2zEc" TargetMode="External"/><Relationship Id="rId176" Type="http://schemas.openxmlformats.org/officeDocument/2006/relationships/hyperlink" Target="https://open.spotify.com/track/6wf7Yu7cxBSPrRlWeSeK0Q?si=CiTlUCUiTP2D7arT10Aqow&amp;context=spotify%3Aplaylist%3A37i9dQZF1FoyQGyinuuvRu" TargetMode="External"/><Relationship Id="rId197" Type="http://schemas.openxmlformats.org/officeDocument/2006/relationships/hyperlink" Target="https://open.spotify.com/track/5Eh1nj7IjV9lwpcKAkidyY?si=_YSBxUbuTjixonlAwQ2TmA&amp;context=spotify%3Aplaylist%3A37i9dQZF1FoyQGyinuuvRu" TargetMode="External"/><Relationship Id="rId201" Type="http://schemas.openxmlformats.org/officeDocument/2006/relationships/hyperlink" Target="https://open.spotify.com/track/0WbMK4wrZ1wFSty9F7FCgu?si=eLLeCr-bRsKzkOg46oywLA&amp;context=spotify%3Aplaylist%3A37i9dQZF1FoyQGyinuuvRu" TargetMode="External"/><Relationship Id="rId222" Type="http://schemas.openxmlformats.org/officeDocument/2006/relationships/hyperlink" Target="https://open.spotify.com/track/2VSbEXqs6NbNiZSTcHlIDR?si=940WDbWXRwOPex8ALW9k8w&amp;context=spotify%3Aplaylist%3A37i9dQZF1FoyQGyinuuvRu" TargetMode="External"/><Relationship Id="rId243" Type="http://schemas.openxmlformats.org/officeDocument/2006/relationships/hyperlink" Target="https://open.spotify.com/track/5mIOsPuQdXchVY0jB5NO9Q?si=DEbJ3g69QrCaA7H3UuUYYw&amp;context=spotify%3Aplaylist%3A37i9dQZF1FoyQGyinuuvRu" TargetMode="External"/><Relationship Id="rId264" Type="http://schemas.openxmlformats.org/officeDocument/2006/relationships/hyperlink" Target="https://open.spotify.com/track/7kcApwUclbIw9B6MuVmqPc?si=uuOoYBvMTpahjCPM0Fbh4w&amp;context=spotify%3Aplaylist%3A37i9dQZF1FoyQGyinuuvRu" TargetMode="External"/><Relationship Id="rId285" Type="http://schemas.openxmlformats.org/officeDocument/2006/relationships/hyperlink" Target="https://open.spotify.com/track/0NZrY7Lc9g6V03hxRpfToV?si=bxl888YWT1yH0KQZ_4UOUQ&amp;context=spotify%3Aplaylist%3A37i9dQZF1FoyQGyinuuvRu" TargetMode="External"/><Relationship Id="rId17" Type="http://schemas.openxmlformats.org/officeDocument/2006/relationships/hyperlink" Target="https://open.spotify.com/wrapped/share/share-9037559b2ee946a6a44d5f0e5ec13d64?si=cc9oK_q4Tgi0xVVs67p2VA&amp;track-id=3xYJScVfxByb61dYHTwiby" TargetMode="External"/><Relationship Id="rId38" Type="http://schemas.openxmlformats.org/officeDocument/2006/relationships/hyperlink" Target="https://open.spotify.com/wrapped/share/share-c52f4c4a751a439aa5bd3c4fecc50bc7?si=ghT2LWiuTd6VcHbWu_3YEA&amp;track-id=333XFHKsHU0pOocFzBgrJi" TargetMode="External"/><Relationship Id="rId59" Type="http://schemas.openxmlformats.org/officeDocument/2006/relationships/hyperlink" Target="https://open.spotify.com/wrapped/share/share-1f6ffbb696194e07858ffcf55e5d7353?si=bi9sDo7ZT1S6Nb2TubLmdQ&amp;track-id=5wOWfWtfKJesbZSkWl4eRH" TargetMode="External"/><Relationship Id="rId103" Type="http://schemas.openxmlformats.org/officeDocument/2006/relationships/hyperlink" Target="https://open.spotify.com/wrapped/share/share-ed85b54534a947fbb5cdf8f77f855e21?si=LWLk99k2QoeVwAlBb-fqCQ&amp;track-id=0uimoUttVoJT9WV1j2LZqy" TargetMode="External"/><Relationship Id="rId124" Type="http://schemas.openxmlformats.org/officeDocument/2006/relationships/hyperlink" Target="https://open.spotify.com/wrapped/share/share-2a0b09f8954e4a31a81d9f0cc23c4cd1?si=zkDOCbUmTaaLHA4NQSoS0Q&amp;track-id=4wG82w1L31yQhgGiWt6gIb" TargetMode="External"/><Relationship Id="rId70" Type="http://schemas.openxmlformats.org/officeDocument/2006/relationships/hyperlink" Target="https://open.spotify.com/wrapped/share/share-5897417131b14e43a748650a6a4a29bc?si=99P9QZdkQkSUPlryAoQBMA&amp;track-id=5oIVNm56t6OIf9ZjdEG3ud" TargetMode="External"/><Relationship Id="rId91" Type="http://schemas.openxmlformats.org/officeDocument/2006/relationships/hyperlink" Target="https://open.spotify.com/wrapped/share/share-3627fc0652d246dd80e154958e1b155c?si=JdSFxnQ8TVyXiBtWjAXnPw&amp;track-id=1k2pQc5i348DCHwbn5KTdc" TargetMode="External"/><Relationship Id="rId145" Type="http://schemas.openxmlformats.org/officeDocument/2006/relationships/hyperlink" Target="https://open.spotify.com/wrapped/share/share-0000a41981ad4dac84654d2454e92327?si=QIlP1mC-RXK-A3yrONJrjQ&amp;feature=wrapped&amp;track-id=6D8y7Bck8h11byRY88Pt2z" TargetMode="External"/><Relationship Id="rId166" Type="http://schemas.openxmlformats.org/officeDocument/2006/relationships/hyperlink" Target="https://open.spotify.com/track/5Ts1DYOuouQLgzTaisxWYh?si=0CkRkXibTjy46LpujOeccw&amp;context=spotify%3Aplaylist%3A37i9dQZF1FoyQGyinuuvRu" TargetMode="External"/><Relationship Id="rId187" Type="http://schemas.openxmlformats.org/officeDocument/2006/relationships/hyperlink" Target="https://open.spotify.com/track/5tlXwZ4m7dbRZyG4natJZ1?si=tVg5KMzAQzeFd1B2gYj2sw" TargetMode="External"/><Relationship Id="rId1" Type="http://schemas.openxmlformats.org/officeDocument/2006/relationships/hyperlink" Target="https://open.spotify.com/wrapped/share/share-34963e5bef6c4398a8d8d6c211751420?si=vrqlE865RcyQJ3rOTG7SAw&amp;track-id=1VmR7aU6sK05IrpiPpyXRB" TargetMode="External"/><Relationship Id="rId212" Type="http://schemas.openxmlformats.org/officeDocument/2006/relationships/hyperlink" Target="https://open.spotify.com/track/2U3jOPfO4wZZFaaWS4Dcj6?si=Uqhji5dIRFCMcTnIMCuDPw&amp;context=spotify%3Aplaylist%3A37i9dQZF1FoyQGyinuuvRu" TargetMode="External"/><Relationship Id="rId233" Type="http://schemas.openxmlformats.org/officeDocument/2006/relationships/hyperlink" Target="https://open.spotify.com/track/49OMJ1prsRA7ZYgrAjz70c?si=shU4JSGYShWSCns2-sl0Hw&amp;context=spotify%3Aplaylist%3A37i9dQZF1FoyQGyinuuvRu" TargetMode="External"/><Relationship Id="rId254" Type="http://schemas.openxmlformats.org/officeDocument/2006/relationships/hyperlink" Target="https://open.spotify.com/track/1BxfuPKGuaTgP7aM0Bbdwr?si=FmWIwGLdQdGToDnDlO-bUg&amp;context=spotify%3Aplaylist%3A37i9dQZF1FoyQGyinuuvRu" TargetMode="External"/><Relationship Id="rId28" Type="http://schemas.openxmlformats.org/officeDocument/2006/relationships/hyperlink" Target="https://open.spotify.com/wrapped/share/share-1ed716b83dd441aa890c7b7ceb96326e?si=DVX8NMvbTWerqI-0KLZuNA&amp;track-id=2DL5cXb2F3nvggbyTiNhzc" TargetMode="External"/><Relationship Id="rId49" Type="http://schemas.openxmlformats.org/officeDocument/2006/relationships/hyperlink" Target="https://open.spotify.com/wrapped/share/share-def47223eadc41878b20bce7df92c84b?si=7Osgs2nRSk6WEUOSKTkxFA&amp;track-id=5wbg8kepMFoMzHOEuxiI0q" TargetMode="External"/><Relationship Id="rId114" Type="http://schemas.openxmlformats.org/officeDocument/2006/relationships/hyperlink" Target="https://open.spotify.com/wrapped/share/share-0c5d96e952314ab48352aa4d94f0b864?si=MF-Nx2lOT-S6sn6EjQBYCg&amp;track-id=68Dni7IE4VyPkTOH9mRWHr" TargetMode="External"/><Relationship Id="rId275" Type="http://schemas.openxmlformats.org/officeDocument/2006/relationships/hyperlink" Target="https://open.spotify.com/track/6FyWLxwCe1d1Fik2PZ3bGp?si=5CLK81-0RRi5-rJgHWDfTg&amp;context=spotify%3Aplaylist%3A37i9dQZF1FoyQGyinuuvRu" TargetMode="External"/><Relationship Id="rId296" Type="http://schemas.openxmlformats.org/officeDocument/2006/relationships/hyperlink" Target="https://open.spotify.com/track/7yXibbAYi4to5oQTeO738f?si=dQ73gsw0QzqQne-HYH9B2A&amp;context=spotify%3Aplaylist%3A37i9dQZF1FoyQGyinuuvRu" TargetMode="External"/><Relationship Id="rId60" Type="http://schemas.openxmlformats.org/officeDocument/2006/relationships/hyperlink" Target="https://open.spotify.com/wrapped/share/share-d936fe9d8d8c4b8a80037edcf6767ab2?si=2oEnlUlUTGSp6GzX5V25mA&amp;track-id=0unNLQbn2xlm2nPcB1pdjS" TargetMode="External"/><Relationship Id="rId81" Type="http://schemas.openxmlformats.org/officeDocument/2006/relationships/hyperlink" Target="https://open.spotify.com/wrapped/share/share-42a282610aae451aa0e274cef1b233a1?si=tX07DNovR2SX2PHNjnGOvg&amp;track-id=6rEcXviYlZCEx01m1z7qZv" TargetMode="External"/><Relationship Id="rId135" Type="http://schemas.openxmlformats.org/officeDocument/2006/relationships/hyperlink" Target="https://open.spotify.com/wrapped/share/share-e74f6a20bca542cd9f7b1448faad6b70?si=lqCNz_MQSxaGup_pq2xVSg&amp;track-id=4HfLQJtVT1KiX1eVedDyTm&amp;feature=wrapped" TargetMode="External"/><Relationship Id="rId156" Type="http://schemas.openxmlformats.org/officeDocument/2006/relationships/hyperlink" Target="https://open.spotify.com/wrapped/share/share-48d819e5623a4b72804075251fa5bb15?si=-z3_6AjCRd6PeCmNdHUx6g&amp;feature=wrapped&amp;track-id=0hhzNPE68LWLfgZwdpxVdR" TargetMode="External"/><Relationship Id="rId177" Type="http://schemas.openxmlformats.org/officeDocument/2006/relationships/hyperlink" Target="https://open.spotify.com/track/7hR22TOX3RorxJPcsz5Wbo?si=vnGKa9SRQ4KHjf6xcMnpvA" TargetMode="External"/><Relationship Id="rId198" Type="http://schemas.openxmlformats.org/officeDocument/2006/relationships/hyperlink" Target="https://open.spotify.com/track/4QMgEffJQuKtjCNvqfRZ0m?si=wpW4MRGvTOe13qpChtkBBw&amp;context=spotify%3Aplaylist%3A37i9dQZF1FoyQGyinuuvRu" TargetMode="External"/><Relationship Id="rId202" Type="http://schemas.openxmlformats.org/officeDocument/2006/relationships/hyperlink" Target="https://open.spotify.com/track/6bPF8VDAb12I4TG7IZjVeX?si=ftrU-7GnRuGCbOzO7-mFQQ&amp;context=spotify%3Aplaylist%3A37i9dQZF1FoyQGyinuuvRu" TargetMode="External"/><Relationship Id="rId223" Type="http://schemas.openxmlformats.org/officeDocument/2006/relationships/hyperlink" Target="https://open.spotify.com/track/5JnHzjo25FY1fMQMQVOawB?si=5Dy2dPSVQDmrkQmjK8ixpw&amp;context=spotify%3Aplaylist%3A37i9dQZF1FoyQGyinuuvRu" TargetMode="External"/><Relationship Id="rId244" Type="http://schemas.openxmlformats.org/officeDocument/2006/relationships/hyperlink" Target="https://open.spotify.com/track/0B1DzuAnGyav6VsGRYDrjM?si=HQ2J0_tATOuftPvFM3rr6g&amp;context=spotify%3Aplaylist%3A37i9dQZF1FoyQGyinuuvRu" TargetMode="External"/><Relationship Id="rId18" Type="http://schemas.openxmlformats.org/officeDocument/2006/relationships/hyperlink" Target="https://open.spotify.com/wrapped/share/share-5dd9df27633543d7941bdf36e6c89987?si=fjssl8GdRAKultM6G_l2BQ&amp;track-id=5XrfFo0JFOnWD9ZMNXGkQh" TargetMode="External"/><Relationship Id="rId39" Type="http://schemas.openxmlformats.org/officeDocument/2006/relationships/hyperlink" Target="https://open.spotify.com/wrapped/share/share-cce0de470d6a47f0881e0ebdc80aec0d?si=ta5yJ22TRkeoGXinn3TV_Q&amp;track-id=5rb9QrpfcKFHM1EUbSIurX" TargetMode="External"/><Relationship Id="rId265" Type="http://schemas.openxmlformats.org/officeDocument/2006/relationships/hyperlink" Target="https://open.spotify.com/track/2WnAKZefdRHxtBEkRjFOHC?si=nOq-T1D_T6qwh9aq0ag-8w&amp;context=spotify%3Aplaylist%3A37i9dQZF1FoyQGyinuuvRu" TargetMode="External"/><Relationship Id="rId286" Type="http://schemas.openxmlformats.org/officeDocument/2006/relationships/hyperlink" Target="https://open.spotify.com/track/7uGYWMwRy24dm7RUDDhUlD?si=hMCOVVwcRuSBtSojwC4N0g&amp;context=spotify%3Aplaylist%3A37i9dQZF1FoyQGyinuuvRu" TargetMode="External"/><Relationship Id="rId50" Type="http://schemas.openxmlformats.org/officeDocument/2006/relationships/hyperlink" Target="https://open.spotify.com/wrapped/share/share-33f13a0f1f9545d5ad026d180b49e2ec?si=rIGEdoQXTbilQ7gaTgXE4g&amp;track-id=20hTkA9oKKuxghkRptRczS" TargetMode="External"/><Relationship Id="rId104" Type="http://schemas.openxmlformats.org/officeDocument/2006/relationships/hyperlink" Target="https://open.spotify.com/wrapped/share/share-a48aaf9a8d454c4aa3b035434ee1f8db?si=7VtmbqY1QdyOs8-2k30LDg&amp;track-id=6b6IMqP565TbtFFZg9iFf3" TargetMode="External"/><Relationship Id="rId125" Type="http://schemas.openxmlformats.org/officeDocument/2006/relationships/hyperlink" Target="https://open.spotify.com/wrapped/share/share-ec9b8fc41e5e4d968e9d84d0d59eaf6d?si=13jsy7xwRH-gm5WggI4qRQ&amp;track-id=5JiU3gLHz9AvUnrhXgOmos" TargetMode="External"/><Relationship Id="rId146" Type="http://schemas.openxmlformats.org/officeDocument/2006/relationships/hyperlink" Target="https://open.spotify.com/wrapped/share/share-593ab4a3d2124b7cbc18ca9b146dcba2?si=YDMOMt4-ROuy08V3Kr0HXg&amp;track-id=3spdoTYpuCpmq19tuD0bOe&amp;feature=wrapped" TargetMode="External"/><Relationship Id="rId167" Type="http://schemas.openxmlformats.org/officeDocument/2006/relationships/hyperlink" Target="https://open.spotify.com/track/7Mts0OfPorF4iwOomvfqn1?si=F9-4TCLwQcaPGQrnY07ioQ&amp;context=spotify%3Aplaylist%3A37i9dQZF1FoyQGyinuuvRu" TargetMode="External"/><Relationship Id="rId188" Type="http://schemas.openxmlformats.org/officeDocument/2006/relationships/hyperlink" Target="https://open.spotify.com/track/1INWPr855fwWdAOeecbu0W?si=ed3Kq2yjQ5mNLbw7YbUvog&amp;context=spotify%3Aplaylist%3A37i9dQZF1FoyQGyinuuvRu" TargetMode="External"/><Relationship Id="rId71" Type="http://schemas.openxmlformats.org/officeDocument/2006/relationships/hyperlink" Target="https://open.spotify.com/wrapped/share/share-d2e3cae4c5c7418fa411a5159dacd66a?si=HO5v6W7bRfSJfv1FN91_Zw&amp;track-id=2nLtzopw4rPReszdYBJU6h" TargetMode="External"/><Relationship Id="rId92" Type="http://schemas.openxmlformats.org/officeDocument/2006/relationships/hyperlink" Target="https://open.spotify.com/wrapped/share/share-23cff67a1a354bd49e85a6074c7345c8?si=3xmYfBg2TPWUEgQQmXMjOQ&amp;track-id=0MIp9iBm1V41ERxkZnmSUG" TargetMode="External"/><Relationship Id="rId213" Type="http://schemas.openxmlformats.org/officeDocument/2006/relationships/hyperlink" Target="https://open.spotify.com/track/6206Kvrl6LTMvDomHgEDMH?si=Ipl9_ox4SWif4Xpk3_PVxA&amp;context=spotify%3Aplaylist%3A37i9dQZF1FoyQGyinuuvRu" TargetMode="External"/><Relationship Id="rId234" Type="http://schemas.openxmlformats.org/officeDocument/2006/relationships/hyperlink" Target="https://open.spotify.com/track/0lJNSfWnwJMIh94Dv9jQUt?si=P1U_eq7cT7WVQUQ01mq07Q&amp;context=spotify%3Aplaylist%3A37i9dQZF1FoyQGyinuuvRu" TargetMode="External"/><Relationship Id="rId2" Type="http://schemas.openxmlformats.org/officeDocument/2006/relationships/hyperlink" Target="https://open.spotify.com/wrapped/share/share-6e3aa2f971dd4aa2ba0d5b0402d854c7?si=LmP-fisvQKSesFPcxkBZmQ&amp;track-id=0DD4vkP9qDiej99eUCG4jC" TargetMode="External"/><Relationship Id="rId29" Type="http://schemas.openxmlformats.org/officeDocument/2006/relationships/hyperlink" Target="https://open.spotify.com/wrapped/share/share-05139bcce8e841528e88b4c641fac598?si=98Ea7nigShesXQNOErv9HQ&amp;track-id=7MfNoHB8JRNbSQ8P3eAfMQ" TargetMode="External"/><Relationship Id="rId255" Type="http://schemas.openxmlformats.org/officeDocument/2006/relationships/hyperlink" Target="https://open.spotify.com/track/2Zo1PcszsT9WQ0ANntJbID?si=-XVDUqJ6QPuHo8wiEwYAfA&amp;context=spotify%3Aplaylist%3A37i9dQZF1FoyQGyinuuvRu" TargetMode="External"/><Relationship Id="rId276" Type="http://schemas.openxmlformats.org/officeDocument/2006/relationships/hyperlink" Target="https://open.spotify.com/track/4CcSw8wQAHYf4XNckayPoc?si=K7vyFb-rTwSEb2S7aXUz6w&amp;context=spotify%3Aplaylist%3A37i9dQZF1FoyQGyinuuvRu" TargetMode="External"/><Relationship Id="rId297" Type="http://schemas.openxmlformats.org/officeDocument/2006/relationships/hyperlink" Target="https://open.spotify.com/track/0c34ovpXiMWWUbKX0IavIH?si=NAH_wrVVSaKnpLGTmu9-vg&amp;context=spotify%3Aplaylist%3A37i9dQZF1FoyQGyinuuvRu" TargetMode="External"/><Relationship Id="rId40" Type="http://schemas.openxmlformats.org/officeDocument/2006/relationships/hyperlink" Target="https://open.spotify.com/wrapped/share/share-d9599a43aaa14678b95a9d2bc200f521?si=nGaP_cj1S6-VMglEPUB8og&amp;track-id=7vgTNTaEz3CsBZ1N4YQalM" TargetMode="External"/><Relationship Id="rId115" Type="http://schemas.openxmlformats.org/officeDocument/2006/relationships/hyperlink" Target="https://open.spotify.com/wrapped/share/share-dc20ffebe15741a485dec5f48c2adac8?si=g0oUftgKQlmNy9fXgAR5oQ&amp;track-id=3jkdQNkDTxxXtjSO4l0o1H" TargetMode="External"/><Relationship Id="rId136" Type="http://schemas.openxmlformats.org/officeDocument/2006/relationships/hyperlink" Target="https://open.spotify.com/wrapped/share/share-fc38a41d573c47aa9cd9ac4517a99388?si=aPtCZOfBStKxa_IWl9rAlQ&amp;feature=wrapped&amp;track-id=3BH2a8rOc8nnB6tm0KJUhu" TargetMode="External"/><Relationship Id="rId157" Type="http://schemas.openxmlformats.org/officeDocument/2006/relationships/hyperlink" Target="https://open.spotify.com/wrapped/share/share-69edb21209b84662aff015b0baeca587?si=72joIgxrSSuWF751VJhHYg&amp;feature=wrapped&amp;track-id=08TjqEEAO32VuF002ePbTz" TargetMode="External"/><Relationship Id="rId178" Type="http://schemas.openxmlformats.org/officeDocument/2006/relationships/hyperlink" Target="https://open.spotify.com/track/4ioTh5Nrk0Vp8X3u1tHhob?si=DkUqrHY1TR-wVros8EMTSA&amp;context=spotify%3Aplaylist%3A37i9dQZF1FoyQGyinuuvRu" TargetMode="External"/><Relationship Id="rId61" Type="http://schemas.openxmlformats.org/officeDocument/2006/relationships/hyperlink" Target="https://open.spotify.com/wrapped/share/share-7d241bfa952f422e92c62a9ce9ee3e21?si=W_UliaBgQ7OgMv-9Yduwvw&amp;track-id=4pNApnaUWAL2J4KO2eqokq" TargetMode="External"/><Relationship Id="rId82" Type="http://schemas.openxmlformats.org/officeDocument/2006/relationships/hyperlink" Target="https://open.spotify.com/wrapped/share/share-d6f920297d4b485397baab0e4599c3ac?si=sF6mBv4kSBi_14qbC5vOSA&amp;track-id=698eQRku24PIYPQPHItKlA" TargetMode="External"/><Relationship Id="rId199" Type="http://schemas.openxmlformats.org/officeDocument/2006/relationships/hyperlink" Target="https://open.spotify.com/track/5q0EXnBYyeCdXD72FzJxH0?si=cuwBOZ79SNqA3VmY58CQVg&amp;context=spotify%3Aplaylist%3A37i9dQZF1FoyQGyinuuvRu" TargetMode="External"/><Relationship Id="rId203" Type="http://schemas.openxmlformats.org/officeDocument/2006/relationships/hyperlink" Target="https://open.spotify.com/track/7hR22TOX3RorxJPcsz5Wbo?si=LLt48yMQSoaFqyKZQxfPxw&amp;context=spotify%3Aplaylist%3A37i9dQZF1FoyQGyinuuvRu" TargetMode="External"/><Relationship Id="rId19" Type="http://schemas.openxmlformats.org/officeDocument/2006/relationships/hyperlink" Target="https://open.spotify.com/wrapped/share/share-b45f61a4da564b389edfa9b705b2f7f5?si=VYUl1GkdSg-szPZdqC-TKA&amp;track-id=09LrGvT9KsACH66RHYMDyR" TargetMode="External"/><Relationship Id="rId224" Type="http://schemas.openxmlformats.org/officeDocument/2006/relationships/hyperlink" Target="https://open.spotify.com/track/1wLN48gT4YmUWs4WMgnw2n?si=zoGruS-DSyC7M3wQgPVwAg&amp;context=spotify%3Aplaylist%3A37i9dQZF1FoyQGyinuuvRu" TargetMode="External"/><Relationship Id="rId245" Type="http://schemas.openxmlformats.org/officeDocument/2006/relationships/hyperlink" Target="https://open.spotify.com/track/3xkHsmpQCBMytMJNiDf3Ii?si=O-6X27VFTBKlid63a6pRYw&amp;context=spotify%3Aplaylist%3A37i9dQZF1FoyQGyinuuvRu" TargetMode="External"/><Relationship Id="rId266" Type="http://schemas.openxmlformats.org/officeDocument/2006/relationships/hyperlink" Target="https://open.spotify.com/track/30St98Bok3jJmXdkkHVPQe?si=ezWEvdxbRbe4pb2-linWzg&amp;context=spotify%3Aplaylist%3A37i9dQZF1FoyQGyinuuvRu" TargetMode="External"/><Relationship Id="rId287" Type="http://schemas.openxmlformats.org/officeDocument/2006/relationships/hyperlink" Target="https://open.spotify.com/track/0ewQUWupKrDmYFhhiyjqaA?si=qFjQuZLKS1yxrRKFbNNcTQ&amp;context=spotify%3Aplaylist%3A37i9dQZF1FoyQGyinuuvRu" TargetMode="External"/><Relationship Id="rId30" Type="http://schemas.openxmlformats.org/officeDocument/2006/relationships/hyperlink" Target="https://open.spotify.com/wrapped/share/share-fc8ccb1b989341c79fff1d193e82bc4d?si=yfuR6vSEQfGuad_bQIsKYw&amp;track-id=3CqT9ajcy6pY7TonEPiV4H" TargetMode="External"/><Relationship Id="rId105" Type="http://schemas.openxmlformats.org/officeDocument/2006/relationships/hyperlink" Target="https://open.spotify.com/wrapped/share/share-89046725371242848060e6327ed1720e?si=8a8jDhsISSG6OCBvGFVwaQ&amp;track-id=2SSdjwuUQlkO0s6Kb4II8x" TargetMode="External"/><Relationship Id="rId126" Type="http://schemas.openxmlformats.org/officeDocument/2006/relationships/hyperlink" Target="https://open.spotify.com/wrapped/share/share-0d3290396a994623905421b29ee8e422?si=xbykg1njQTmxPO_tSyt6aA&amp;track-id=5UsLjwBaTHBX4ektWIr4XX" TargetMode="External"/><Relationship Id="rId147" Type="http://schemas.openxmlformats.org/officeDocument/2006/relationships/hyperlink" Target="https://open.spotify.com/wrapped/share/share-9aa67d2a03e540e89804c2acd18876b8?si=r6GqAHR0R7ahPztBxRkV_g&amp;feature=wrapped&amp;track-id=57yL3161hUMuw06zzzUCHi" TargetMode="External"/><Relationship Id="rId168" Type="http://schemas.openxmlformats.org/officeDocument/2006/relationships/hyperlink" Target="https://open.spotify.com/track/1Lo0QY9cvc8sUB2vnIOxDT?si=yVyyd3bWQMiOnSH0JkXrkw&amp;context=spotify%3Aplaylist%3A37i9dQZF1FoyQGyinuuvRu" TargetMode="External"/><Relationship Id="rId51" Type="http://schemas.openxmlformats.org/officeDocument/2006/relationships/hyperlink" Target="https://open.spotify.com/wrapped/share/share-cbdbc080cbf647fd8d4d6b809c750e8c?si=J0R9v_crQbaSEu9jnHGXtA&amp;track-id=00syWkRGIVQvYsg2OwfBUw" TargetMode="External"/><Relationship Id="rId72" Type="http://schemas.openxmlformats.org/officeDocument/2006/relationships/hyperlink" Target="https://open.spotify.com/wrapped/share/share-d134a9b1231f4365b26a4616a0d28aeb?si=URvCC1xZT0umsegzlSdpqw&amp;track-id=04nN9vTH0g61TjyrM0nK2c" TargetMode="External"/><Relationship Id="rId93" Type="http://schemas.openxmlformats.org/officeDocument/2006/relationships/hyperlink" Target="https://open.spotify.com/wrapped/share/share-9bbe17ebc44d48f9b39ec5fc61b70739?si=E3-R9XVAQkKeR6LfCU-txw&amp;track-id=50Emgupm363qIrYBe20FR3" TargetMode="External"/><Relationship Id="rId189" Type="http://schemas.openxmlformats.org/officeDocument/2006/relationships/hyperlink" Target="https://open.spotify.com/track/5I9K1oVuO22OehDQZnxdr2?si=i9RFSTUlRJuvLT0ZW38jOw&amp;context=spotify%3Aplaylist%3A37i9dQZF1FoyQGyinuuvRu" TargetMode="External"/><Relationship Id="rId3" Type="http://schemas.openxmlformats.org/officeDocument/2006/relationships/hyperlink" Target="https://open.spotify.com/wrapped/share/share-ecaf56547e92450bafb20133d8426d29?si=PnGe6NyxSQ6ZD6vM7y3E2w&amp;track-id=215JYyyUnrJ98NK3KEwu6d" TargetMode="External"/><Relationship Id="rId214" Type="http://schemas.openxmlformats.org/officeDocument/2006/relationships/hyperlink" Target="https://open.spotify.com/track/1zeQjPT367QcGrkpIXYjuW?si=TkxFAfzaRf6qWa72jW4x1Q&amp;context=spotify%3Aplaylist%3A37i9dQZF1FoyQGyinuuvRu" TargetMode="External"/><Relationship Id="rId235" Type="http://schemas.openxmlformats.org/officeDocument/2006/relationships/hyperlink" Target="https://open.spotify.com/track/32mcz82FOIucA49qkynFVB?si=we4yXpZ6Ql63HdJ7gNY-Gw&amp;context=spotify%3Aplaylist%3A37i9dQZF1FoyQGyinuuvRu" TargetMode="External"/><Relationship Id="rId256" Type="http://schemas.openxmlformats.org/officeDocument/2006/relationships/hyperlink" Target="https://open.spotify.com/track/2kvlpIO6c9yvKAzk2KF0IS?si=gObzb2VYSYuzv4h_IEAzag&amp;context=spotify%3Aplaylist%3A37i9dQZF1FoyQGyinuuvRu" TargetMode="External"/><Relationship Id="rId277" Type="http://schemas.openxmlformats.org/officeDocument/2006/relationships/hyperlink" Target="https://open.spotify.com/track/0ZucyPms79Cydv0RMYV2Oi?si=ig__zaviTiium7IRfEq1_w&amp;context=spotify%3Aplaylist%3A37i9dQZF1FoyQGyinuuvRu" TargetMode="External"/><Relationship Id="rId298" Type="http://schemas.openxmlformats.org/officeDocument/2006/relationships/hyperlink" Target="https://open.spotify.com/track/3gxEZXUjrNbl3TlSrTGbR5?si=USrurweCQKG3Asj7gvS7iA&amp;context=spotify%3Aplaylist%3A37i9dQZF1FoyQGyinuuvRu" TargetMode="External"/><Relationship Id="rId116" Type="http://schemas.openxmlformats.org/officeDocument/2006/relationships/hyperlink" Target="https://open.spotify.com/wrapped/share/share-00cbda3bcd0e4be684abd98c35a345bd?si=hv3sviNXSHS87nRhrS-5oA&amp;track-id=5Jh1i0no3vJ9u4deXkb4aV" TargetMode="External"/><Relationship Id="rId137" Type="http://schemas.openxmlformats.org/officeDocument/2006/relationships/hyperlink" Target="https://open.spotify.com/wrapped/share/share-ea0d244867484a40ad80642bf737e0bc?si=5aT93KBtQnywxSZIdafgNQ&amp;feature=wrapped&amp;track-id=6H3kDe7CGoWYBabAeVWGiD" TargetMode="External"/><Relationship Id="rId158" Type="http://schemas.openxmlformats.org/officeDocument/2006/relationships/hyperlink" Target="https://open.spotify.com/wrapped/share/share-b6c390b3d03641be851270c460532338?si=y36EyTz1Sq-R1McWgEDwBA&amp;feature=wrapped&amp;track-id=7kDUspsoYfLkWnZR7qwHZl" TargetMode="External"/><Relationship Id="rId20" Type="http://schemas.openxmlformats.org/officeDocument/2006/relationships/hyperlink" Target="https://open.spotify.com/wrapped/share/share-8f2dfe397bbc48d59d4339415f093a9d?si=LH2_PpxYTo-btGPIOa5iPQ&amp;track-id=0NdTUS4UiNYCNn5FgVqKQY" TargetMode="External"/><Relationship Id="rId41" Type="http://schemas.openxmlformats.org/officeDocument/2006/relationships/hyperlink" Target="https://open.spotify.com/wrapped/share/share-899897a1cc22476ba76bd8ca1cc71f53?si=TKLfHdtjSnCR4k3Kl7MjTQ&amp;track-id=2tznHmp70DxMyr2XhWLOW0" TargetMode="External"/><Relationship Id="rId62" Type="http://schemas.openxmlformats.org/officeDocument/2006/relationships/hyperlink" Target="https://open.spotify.com/wrapped/share/share-60698f664a2f41e9ac034c7a63827bc4?si=kJcDRAHcSQ21lDuHPC1PSw&amp;track-id=0MIJFuEJpmgSjNjkbq29TQ" TargetMode="External"/><Relationship Id="rId83" Type="http://schemas.openxmlformats.org/officeDocument/2006/relationships/hyperlink" Target="https://open.spotify.com/wrapped/share/share-23285825735a4ce984eb2c609c987ab6?si=idKqIFKCT4m-r847GBZL6A&amp;track-id=3GKg5UKHIi1Tj2Noz5N0F5" TargetMode="External"/><Relationship Id="rId179" Type="http://schemas.openxmlformats.org/officeDocument/2006/relationships/hyperlink" Target="https://open.spotify.com/track/72PoJMDfdaw9gGECgA9kTZ?si=tagrmjnOSLy-dxqw2cNZNg&amp;context=spotify%3Aplaylist%3A37i9dQZF1FoyQGyinuuvRu" TargetMode="External"/><Relationship Id="rId190" Type="http://schemas.openxmlformats.org/officeDocument/2006/relationships/hyperlink" Target="https://open.spotify.com/track/45bMR5YEj1fsOVkcHbVW6s?si=v0a0iCQ9SnakypJSAKzXxA&amp;context=spotify%3Aplaylist%3A37i9dQZF1FoyQGyinuuvRu" TargetMode="External"/><Relationship Id="rId204" Type="http://schemas.openxmlformats.org/officeDocument/2006/relationships/hyperlink" Target="https://open.spotify.com/track/10vkYRKw6Jjr7try1ir50G?si=cnLHwfnYS6ahvZ6keRMe5g&amp;context=spotify%3Aplaylist%3A37i9dQZF1FoyQGyinuuvRu" TargetMode="External"/><Relationship Id="rId225" Type="http://schemas.openxmlformats.org/officeDocument/2006/relationships/hyperlink" Target="https://open.spotify.com/track/71fcNlXfJu1aWQmABFyZ2j?si=2-aTvsydSaqhNLl4Lbabfg&amp;context=spotify%3Aplaylist%3A37i9dQZF1FoyQGyinuuvRu" TargetMode="External"/><Relationship Id="rId246" Type="http://schemas.openxmlformats.org/officeDocument/2006/relationships/hyperlink" Target="https://open.spotify.com/track/1zU0kAJdEPyRs4x5gkQQER?si=iHWYBZ5XT6SB1vkozhWnAg&amp;context=spotify%3Aplaylist%3A37i9dQZF1FoyQGyinuuvRu" TargetMode="External"/><Relationship Id="rId267" Type="http://schemas.openxmlformats.org/officeDocument/2006/relationships/hyperlink" Target="https://open.spotify.com/track/1oWnDC5OoMPPosVY2cdXgT?si=R8yuMuZqTGaAzym5riMNDQ&amp;context=spotify%3Aplaylist%3A37i9dQZF1FoyQGyinuuvRu" TargetMode="External"/><Relationship Id="rId288" Type="http://schemas.openxmlformats.org/officeDocument/2006/relationships/hyperlink" Target="https://open.spotify.com/track/4faNMjNcWITplikCBbhK5z?si=mvF5AyKCTfKIgCg5qygVRQ&amp;context=spotify%3Aplaylist%3A37i9dQZF1FoyQGyinuuvRu" TargetMode="External"/><Relationship Id="rId106" Type="http://schemas.openxmlformats.org/officeDocument/2006/relationships/hyperlink" Target="https://open.spotify.com/wrapped/share/share-8db0e4cc04a3433cabdfa19b18d2b509?si=2d05_XahSVSfwyWDQ562XQ&amp;track-id=1EDPVGbyPKJPeGqATwXZvN" TargetMode="External"/><Relationship Id="rId127" Type="http://schemas.openxmlformats.org/officeDocument/2006/relationships/hyperlink" Target="https://open.spotify.com/wrapped/share/share-86ddd7bf9d1d442dbd426d5ba6def17f?si=TKpdHV9mSlKg_uQ2dBAzeg&amp;track-id=3hUxzQpSfdDqwM3ZTFQY0K" TargetMode="External"/><Relationship Id="rId10" Type="http://schemas.openxmlformats.org/officeDocument/2006/relationships/hyperlink" Target="https://open.spotify.com/wrapped/share/share-f2142461d05a49779967a43d7212f900?si=CKbwRjyZQ4aXEqKq3qYAqQ&amp;track-id=4qIYVoGM0KoG9kB4evd5h1" TargetMode="External"/><Relationship Id="rId31" Type="http://schemas.openxmlformats.org/officeDocument/2006/relationships/hyperlink" Target="https://open.spotify.com/wrapped/share/share-ce8515bc4d1849efac5814376f44478a?si=alP6CGtRT9mu8QPNH5lDxA&amp;track-id=33iv3wnGMrrDugd7GBso1z" TargetMode="External"/><Relationship Id="rId52" Type="http://schemas.openxmlformats.org/officeDocument/2006/relationships/hyperlink" Target="https://open.spotify.com/wrapped/share/share-64ead250586a410a80c462603f1abd05?si=5pguQEpaQpmNSSYbWrY68w&amp;track-id=6L6CPMkduYn5Ty1t1lx0sc" TargetMode="External"/><Relationship Id="rId73" Type="http://schemas.openxmlformats.org/officeDocument/2006/relationships/hyperlink" Target="https://open.spotify.com/wrapped/share/share-072eb46a2ca748f1939adf947d2b8860?si=Wfjszy7bTySilR7rbvUgEQ&amp;track-id=0qRR9d89hIS0MHRkQ0ejxX" TargetMode="External"/><Relationship Id="rId94" Type="http://schemas.openxmlformats.org/officeDocument/2006/relationships/hyperlink" Target="https://open.spotify.com/wrapped/share/share-1e28e31832db442ea3571620d924ac64?si=-FnwakoYQY-mZZOZ57fBvQ&amp;track-id=5Vrczz39CvlD3OGCa6utoA" TargetMode="External"/><Relationship Id="rId148" Type="http://schemas.openxmlformats.org/officeDocument/2006/relationships/hyperlink" Target="https://open.spotify.com/wrapped/share/share-8abcfeb7a7354c5d94093174d5db75fa?si=UGW3QfgGRSG3EZAeWt-j8Q&amp;track-id=6pamafD9p0K7FHfJPz6TYF&amp;feature=wrapped" TargetMode="External"/><Relationship Id="rId169" Type="http://schemas.openxmlformats.org/officeDocument/2006/relationships/hyperlink" Target="https://open.spotify.com/track/0k5hoseEJnCAbpRh38dNoI?si=Q3WUKGC5RbaaJkS18SPuvw&amp;context=spotify%3Aplaylist%3A37i9dQZF1FoyQGyinuuvRu" TargetMode="External"/><Relationship Id="rId4" Type="http://schemas.openxmlformats.org/officeDocument/2006/relationships/hyperlink" Target="https://open.spotify.com/wrapped/share/share-b53361aa154247a189b8839210695d5e?si=_-B8jMd1SS2NXi-ZssDZ5w&amp;track-id=4Zy6m1QjUivLl8Zt7E8uxr" TargetMode="External"/><Relationship Id="rId180" Type="http://schemas.openxmlformats.org/officeDocument/2006/relationships/hyperlink" Target="https://open.spotify.com/track/1Nl0nKMX15Q3c1CS5E3DSM?si=X81nLfTnTuSoPsdzP4oMCA&amp;context=spotify%3Aplaylist%3A37i9dQZF1FoyQGyinuuvRu" TargetMode="External"/><Relationship Id="rId215" Type="http://schemas.openxmlformats.org/officeDocument/2006/relationships/hyperlink" Target="https://open.spotify.com/track/4SEXboxQAkx6VzfxkEW0BA?si=tEjgmo6ARA-pZoCCkuH1RA&amp;context=spotify%3Aplaylist%3A37i9dQZF1FoyQGyinuuvRu" TargetMode="External"/><Relationship Id="rId236" Type="http://schemas.openxmlformats.org/officeDocument/2006/relationships/hyperlink" Target="https://open.spotify.com/track/6f2unaaUhIqTkbHsWMbGcm?si=l2947eYVQ567vTqQp3tl-w&amp;context=spotify%3Aplaylist%3A37i9dQZF1FoyQGyinuuvRu" TargetMode="External"/><Relationship Id="rId257" Type="http://schemas.openxmlformats.org/officeDocument/2006/relationships/hyperlink" Target="https://open.spotify.com/track/4xdBrk0nFZaP54vvZj0yx7?si=NMkws-ipRYWFOqgv-TyZWw&amp;context=spotify%3Aplaylist%3A37i9dQZF1FoyQGyinuuvRu" TargetMode="External"/><Relationship Id="rId278" Type="http://schemas.openxmlformats.org/officeDocument/2006/relationships/hyperlink" Target="https://open.spotify.com/track/4ZJ4vzLQekI0WntDbanNC7?si=Gt33S159RGiCbWLzzZgSmg&amp;context=spotify%3Aplaylist%3A37i9dQZF1FoyQGyinuuvRu" TargetMode="External"/><Relationship Id="rId42" Type="http://schemas.openxmlformats.org/officeDocument/2006/relationships/hyperlink" Target="https://open.spotify.com/wrapped/share/share-d96f6e2c28044303b4ec4d6ef62bfe7d?si=snL2ktdyQduV-2ur8RtRFQ&amp;track-id=0XTno2fRFMFGPJG95RxQSR" TargetMode="External"/><Relationship Id="rId84" Type="http://schemas.openxmlformats.org/officeDocument/2006/relationships/hyperlink" Target="https://open.spotify.com/wrapped/share/share-4606dc97dacf45d8bea43156c2ab8264?si=XKHDeianTZKRLXWBmjjbhg&amp;track-id=4MAxWahEbzU8m4bD6mSZg9" TargetMode="External"/><Relationship Id="rId138" Type="http://schemas.openxmlformats.org/officeDocument/2006/relationships/hyperlink" Target="https://open.spotify.com/wrapped/share/share-a11e838e52eb4ec6bf2f865438b356bf?si=Vag3E1IjQOaGg4o153JZXA&amp;track-id=7FOgcfdz9Nx5V9lCNXdBYv&amp;feature=wrapped" TargetMode="External"/><Relationship Id="rId191" Type="http://schemas.openxmlformats.org/officeDocument/2006/relationships/hyperlink" Target="https://open.spotify.com/track/1OYHXCuHdzHjpHqHlY1g1r?si=FL6C4Om6S4GnfgeySfny_Q&amp;context=spotify%3Aplaylist%3A37i9dQZF1FoyQGyinuuvRu" TargetMode="External"/><Relationship Id="rId205" Type="http://schemas.openxmlformats.org/officeDocument/2006/relationships/hyperlink" Target="https://open.spotify.com/track/353l8u2CCNBek7Nd3Q3Txa?si=sfpMmMynRKurfyl7zjPaIQ&amp;context=spotify%3Aplaylist%3A37i9dQZF1FoyQGyinuuvRu" TargetMode="External"/><Relationship Id="rId247" Type="http://schemas.openxmlformats.org/officeDocument/2006/relationships/hyperlink" Target="https://open.spotify.com/track/12q3V8ShACq2PSWINMc2rC?si=dEIYrVS7TsOZKA1L4UyWww&amp;context=spotify%3Aplaylist%3A37i9dQZF1FoyQGyinuuvRu" TargetMode="External"/><Relationship Id="rId107" Type="http://schemas.openxmlformats.org/officeDocument/2006/relationships/hyperlink" Target="https://open.spotify.com/wrapped/share/share-378b2ad050c746079fe3ef7df7dd4ce6?si=U1F6cGF6SlWQOeFdO0hvPA&amp;track-id=2hnMS47jN0etwvFPzYk11f" TargetMode="External"/><Relationship Id="rId289" Type="http://schemas.openxmlformats.org/officeDocument/2006/relationships/hyperlink" Target="https://open.spotify.com/track/0xAhbD6lCf5re1RXl5yiTm?si=yc0SJTqXSLufyQ4D3inTyw&amp;context=spotify%3Aplaylist%3A37i9dQZF1FoyQGyinuuvRu" TargetMode="External"/><Relationship Id="rId11" Type="http://schemas.openxmlformats.org/officeDocument/2006/relationships/hyperlink" Target="https://open.spotify.com/wrapped/share/share-aae404aaa0894a5b998944c0536dbfd0?si=OUGTARfbRuidV2IgEvwLxA&amp;track-id=2HRqTpkrJO5ggZyyK6NPWz" TargetMode="External"/><Relationship Id="rId53" Type="http://schemas.openxmlformats.org/officeDocument/2006/relationships/hyperlink" Target="https://open.spotify.com/wrapped/share/share-4b3bddd8d51f403888620d7d9aca0bb9?si=nKbYoeGISPKzBIw8-zVUwQ&amp;track-id=5ZFKYhcWTiBNeeE0ZHqJeL" TargetMode="External"/><Relationship Id="rId149" Type="http://schemas.openxmlformats.org/officeDocument/2006/relationships/hyperlink" Target="https://open.spotify.com/wrapped/share/share-e3cbbfdb0c7f4ada91ed707ba29d8e8b?si=_CmgLR18T0GgRSje99QZbQ&amp;track-id=7mFhyM0k5ZKG8jxcwmPVYl&amp;feature=wrapped" TargetMode="External"/><Relationship Id="rId95" Type="http://schemas.openxmlformats.org/officeDocument/2006/relationships/hyperlink" Target="https://open.spotify.com/wrapped/share/share-69368446f34c48c5aa2dd80c256a2d2f?si=jqPU5TLyQwKx_AUNcw6-Hw&amp;track-id=46kXlOq68HXFrhkxGV6qtI" TargetMode="External"/><Relationship Id="rId160" Type="http://schemas.openxmlformats.org/officeDocument/2006/relationships/hyperlink" Target="https://open.spotify.com/wrapped/share/share-8adea404ff2f4c5b9b0dffe52cd4523f?si=Wv1BDuSURDG-g4IDRWnkdQ&amp;track-id=5FdYRHYIyzYp8SDL3BrL81&amp;feature=wrapped" TargetMode="External"/><Relationship Id="rId216" Type="http://schemas.openxmlformats.org/officeDocument/2006/relationships/hyperlink" Target="https://open.spotify.com/track/2gyxAWHebV7xPYVxqoi86f?si=nl876CT6SJGeLwXBj_hJzA&amp;context=spotify%3Aplaylist%3A37i9dQZF1FoyQGyinuuvRu" TargetMode="External"/><Relationship Id="rId258" Type="http://schemas.openxmlformats.org/officeDocument/2006/relationships/hyperlink" Target="https://open.spotify.com/track/7b6sWLSnbZhSIeqNGrJ4py?si=gq4FYxUASB6IPVjTJm7gdA&amp;context=spotify%3Aplaylist%3A37i9dQZF1FoyQGyinuuvRu" TargetMode="External"/><Relationship Id="rId22" Type="http://schemas.openxmlformats.org/officeDocument/2006/relationships/hyperlink" Target="https://open.spotify.com/wrapped/share/share-1b2f918a40384f8da2ed24d37ad47980?si=p40dgWAbQdqrFObFIECqPw&amp;track-id=13xVnZKZDEGbmXkzBFpJDD" TargetMode="External"/><Relationship Id="rId64" Type="http://schemas.openxmlformats.org/officeDocument/2006/relationships/hyperlink" Target="https://open.spotify.com/wrapped/share/share-3cd96bf8843c49a6b1b370a7c7fc56a4?si=vYbCy9CYRWejArgqcb2dsw&amp;track-id=6WxuJ0miXSbI56DbuxQODG" TargetMode="External"/><Relationship Id="rId118" Type="http://schemas.openxmlformats.org/officeDocument/2006/relationships/hyperlink" Target="https://open.spotify.com/wrapped/share/share-de511763216f41ea80e0b73e4725ef60?si=Mf4xf7UETwStlZxliBMftw&amp;track-id=22H7neCMj03ifZXlix1B6h" TargetMode="External"/><Relationship Id="rId171" Type="http://schemas.openxmlformats.org/officeDocument/2006/relationships/hyperlink" Target="https://open.spotify.com/track/5TTyyKNJZHONhjtAiXL1nG?si=-RIvsEpARB-t6y9tbjHFPg" TargetMode="External"/><Relationship Id="rId227" Type="http://schemas.openxmlformats.org/officeDocument/2006/relationships/hyperlink" Target="https://open.spotify.com/track/2sHahlW8ib7C7GkuV39tKR?si=6H6t_oiBQLKPWAYeVdBFQg&amp;context=spotify%3Aplaylist%3A37i9dQZF1FoyQGyinuuvRu" TargetMode="External"/><Relationship Id="rId269" Type="http://schemas.openxmlformats.org/officeDocument/2006/relationships/hyperlink" Target="https://open.spotify.com/track/2F4FNcz68howQWD4zaGJSi?si=SuAHCLUiRKuLNeTxzjdpRg&amp;context=spotify%3Aplaylist%3A37i9dQZF1FoyQGyinuuvRu" TargetMode="External"/><Relationship Id="rId33" Type="http://schemas.openxmlformats.org/officeDocument/2006/relationships/hyperlink" Target="https://open.spotify.com/wrapped/share/share-994801cc8e304974884803f3d0b8e8e5?si=XQ4CuxU-QbSDap-N2DNftg&amp;track-id=5sR5RxaErPw0YtsB0MyQyn" TargetMode="External"/><Relationship Id="rId129" Type="http://schemas.openxmlformats.org/officeDocument/2006/relationships/hyperlink" Target="https://open.spotify.com/wrapped/share/share-c86c6ec3813041b1b7bd08ab7440c045?si=5aq3gpMRQbedOoQBzxpLAw&amp;track-id=0MpQPb1hrwk4dPiyWEGmer" TargetMode="External"/><Relationship Id="rId280" Type="http://schemas.openxmlformats.org/officeDocument/2006/relationships/hyperlink" Target="https://open.spotify.com/track/6L2uVVPJA9WcDc7zCZ4DHN?si=7pMxyXUOT7S5aNPnRRqsUw&amp;context=spotify%3Aplaylist%3A37i9dQZF1FoyQGyinuuvRu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en.spotify.com/wrapped/share/share-89046725371242848060e6327ed1720e?si=8a8jDhsISSG6OCBvGFVwaQ&amp;track-id=2SSdjwuUQlkO0s6Kb4II8x" TargetMode="External"/><Relationship Id="rId21" Type="http://schemas.openxmlformats.org/officeDocument/2006/relationships/hyperlink" Target="https://open.spotify.com/wrapped/share/share-9037559b2ee946a6a44d5f0e5ec13d64?si=cc9oK_q4Tgi0xVVs67p2VA&amp;track-id=3xYJScVfxByb61dYHTwiby" TargetMode="External"/><Relationship Id="rId42" Type="http://schemas.openxmlformats.org/officeDocument/2006/relationships/hyperlink" Target="https://open.spotify.com/wrapped/share/share-3823578da88c422a90dd10a805f4b499?si=vXVou75nSvSWhUUUPqgFEw&amp;track-id=6kopmMZiyLmw7h66uXcXR7" TargetMode="External"/><Relationship Id="rId63" Type="http://schemas.openxmlformats.org/officeDocument/2006/relationships/hyperlink" Target="https://open.spotify.com/track/1c8gk2PeTE04A1pIDH9YMk?si=0af4bd4dcd934d74" TargetMode="External"/><Relationship Id="rId84" Type="http://schemas.openxmlformats.org/officeDocument/2006/relationships/hyperlink" Target="https://open.spotify.com/wrapped/share/share-8f4af9c04aba46f4ab5bb6a2203cb3f3?si=483MhWzwTKa-IpB3X5CIxQ&amp;track-id=3tBZ60j1jQ7NJm8IjelyQe" TargetMode="External"/><Relationship Id="rId138" Type="http://schemas.openxmlformats.org/officeDocument/2006/relationships/hyperlink" Target="https://open.spotify.com/wrapped/share/share-0d3290396a994623905421b29ee8e422?si=xbykg1njQTmxPO_tSyt6aA&amp;track-id=5UsLjwBaTHBX4ektWIr4XX" TargetMode="External"/><Relationship Id="rId159" Type="http://schemas.openxmlformats.org/officeDocument/2006/relationships/hyperlink" Target="https://open.spotify.com/wrapped/share/share-0000a41981ad4dac84654d2454e92327?si=QIlP1mC-RXK-A3yrONJrjQ&amp;feature=wrapped&amp;track-id=6D8y7Bck8h11byRY88Pt2z" TargetMode="External"/><Relationship Id="rId170" Type="http://schemas.openxmlformats.org/officeDocument/2006/relationships/hyperlink" Target="https://open.spotify.com/wrapped/share/share-deb5e3e222f2418cb2854af942a31ed9?si=qyyvXqrvTgmACX_AJOAY2w&amp;feature=wrapped&amp;track-id=6gbiTbclnHlmSIPfmF2zEc" TargetMode="External"/><Relationship Id="rId107" Type="http://schemas.openxmlformats.org/officeDocument/2006/relationships/hyperlink" Target="https://open.spotify.com/wrapped/share/share-de56673ab54c459a9e96d7d26dc8287f?si=n-2k4fFRTyGiFmmHYdRkpg&amp;track-id=5w40ZYhbBMAlHYNDaVJIUu" TargetMode="External"/><Relationship Id="rId11" Type="http://schemas.openxmlformats.org/officeDocument/2006/relationships/hyperlink" Target="https://open.spotify.com/wrapped/share/share-278ab9e59e114920bc5986d8cc996bdb?si=KobRENgqT1yp_BBbn1RP5Q&amp;track-id=5kHMfzgLZP95O9NBy0ku4v" TargetMode="External"/><Relationship Id="rId32" Type="http://schemas.openxmlformats.org/officeDocument/2006/relationships/hyperlink" Target="https://open.spotify.com/wrapped/share/share-9f94ad6a7699432db21cca4d01837a37?si=lB599TNBTg6MtGmnhyDqUQ&amp;track-id=1bjeWoagtHmUKputLVyDxQ" TargetMode="External"/><Relationship Id="rId53" Type="http://schemas.openxmlformats.org/officeDocument/2006/relationships/hyperlink" Target="https://open.spotify.com/wrapped/share/share-0299b1248514467d8b05ed19f8d4fbe2?si=KK_Z_YMeS4KTZjXBETVpEg&amp;track-id=6iUYqKyjgFBiHwRQPlltWn" TargetMode="External"/><Relationship Id="rId74" Type="http://schemas.openxmlformats.org/officeDocument/2006/relationships/hyperlink" Target="https://open.spotify.com/wrapped/share/share-ec1caaa60e2c456a81fe19be28adb18a?si=nkJndC2jQIW_776dGsIiLg&amp;track-id=6GQLHDE3YwtVUdDcMv8xwf" TargetMode="External"/><Relationship Id="rId128" Type="http://schemas.openxmlformats.org/officeDocument/2006/relationships/hyperlink" Target="https://open.spotify.com/wrapped/share/share-00cbda3bcd0e4be684abd98c35a345bd?si=hv3sviNXSHS87nRhrS-5oA&amp;track-id=5Jh1i0no3vJ9u4deXkb4aV" TargetMode="External"/><Relationship Id="rId149" Type="http://schemas.openxmlformats.org/officeDocument/2006/relationships/hyperlink" Target="https://open.spotify.com/wrapped/share/share-fc38a41d573c47aa9cd9ac4517a99388?si=aPtCZOfBStKxa_IWl9rAlQ&amp;feature=wrapped&amp;track-id=3BH2a8rOc8nnB6tm0KJUhu" TargetMode="External"/><Relationship Id="rId5" Type="http://schemas.openxmlformats.org/officeDocument/2006/relationships/hyperlink" Target="https://open.spotify.com/wrapped/share/share-b53361aa154247a189b8839210695d5e?si=_-B8jMd1SS2NXi-ZssDZ5w&amp;track-id=4Zy6m1QjUivLl8Zt7E8uxr" TargetMode="External"/><Relationship Id="rId95" Type="http://schemas.openxmlformats.org/officeDocument/2006/relationships/hyperlink" Target="https://open.spotify.com/wrapped/share/share-269db85334cb4a4e9ee176e63163e656?si=4xK618j4Tv2mKnbmELPXkw&amp;track-id=6WxuJ0miXSbI56DbuxQODG" TargetMode="External"/><Relationship Id="rId160" Type="http://schemas.openxmlformats.org/officeDocument/2006/relationships/hyperlink" Target="https://open.spotify.com/wrapped/share/share-593ab4a3d2124b7cbc18ca9b146dcba2?si=YDMOMt4-ROuy08V3Kr0HXg&amp;track-id=3spdoTYpuCpmq19tuD0bOe&amp;feature=wrapped" TargetMode="External"/><Relationship Id="rId181" Type="http://schemas.openxmlformats.org/officeDocument/2006/relationships/hyperlink" Target="https://open.spotify.com/track/7K3BhSpAxZBznislvUMVtn?si=Z8mMGLtyTsKWNs3NANNg7Q&amp;context=spotify%3Aplaylist%3A37i9dQZF1FoyQGyinuuvRu" TargetMode="External"/><Relationship Id="rId22" Type="http://schemas.openxmlformats.org/officeDocument/2006/relationships/hyperlink" Target="https://open.spotify.com/wrapped/share/share-d94c3cfa094d4f1c85d137b1e5f83d2e?si=GMpNgDzWQciSEtLA3gbSFQ&amp;track-id=2p0VD8mwgVidhkioB1XNZm" TargetMode="External"/><Relationship Id="rId43" Type="http://schemas.openxmlformats.org/officeDocument/2006/relationships/hyperlink" Target="https://open.spotify.com/wrapped/share/share-769f0d31b7c243029ac9dfb8d1fb53bf?si=b0ZY82J6Q3ecumzFM0ZQBA&amp;track-id=0Z57YWES04xGh3AImDz6Qr" TargetMode="External"/><Relationship Id="rId64" Type="http://schemas.openxmlformats.org/officeDocument/2006/relationships/hyperlink" Target="https://open.spotify.com/wrapped/share/share-0187c611f33d4fde95b644764cb29cbd?si=cf9j8j7VT6y7k5oUw_3PQg&amp;track-id=6zuPQl2RVqQ4y5nAH61CFC" TargetMode="External"/><Relationship Id="rId118" Type="http://schemas.openxmlformats.org/officeDocument/2006/relationships/hyperlink" Target="https://open.spotify.com/wrapped/share/share-8db0e4cc04a3433cabdfa19b18d2b509?si=2d05_XahSVSfwyWDQ562XQ&amp;track-id=1EDPVGbyPKJPeGqATwXZvN" TargetMode="External"/><Relationship Id="rId139" Type="http://schemas.openxmlformats.org/officeDocument/2006/relationships/hyperlink" Target="https://open.spotify.com/wrapped/share/share-86ddd7bf9d1d442dbd426d5ba6def17f?si=TKpdHV9mSlKg_uQ2dBAzeg&amp;track-id=3hUxzQpSfdDqwM3ZTFQY0K" TargetMode="External"/><Relationship Id="rId85" Type="http://schemas.openxmlformats.org/officeDocument/2006/relationships/hyperlink" Target="https://open.spotify.com/wrapped/share/share-710ee80d2edd44fda3c7df3fa1febc34?si=uG067IIGTAiZu12B1HHClA&amp;track-id=4c6vZqYHFur11FbWATIJ9P" TargetMode="External"/><Relationship Id="rId150" Type="http://schemas.openxmlformats.org/officeDocument/2006/relationships/hyperlink" Target="https://open.spotify.com/wrapped/share/share-62f613c61ed84745aa6d0ad4d025eb06?si=NbsC3PHJT3ujZyKyeX8ROA&amp;track-id=5qqabIl2vWzo9ApSC317sa&amp;feature=wrapped" TargetMode="External"/><Relationship Id="rId171" Type="http://schemas.openxmlformats.org/officeDocument/2006/relationships/hyperlink" Target="https://open.spotify.com/wrapped/share/share-48d819e5623a4b72804075251fa5bb15?si=-z3_6AjCRd6PeCmNdHUx6g&amp;feature=wrapped&amp;track-id=0hhzNPE68LWLfgZwdpxVdR" TargetMode="External"/><Relationship Id="rId12" Type="http://schemas.openxmlformats.org/officeDocument/2006/relationships/hyperlink" Target="https://open.spotify.com/wrapped/share/share-f2142461d05a49779967a43d7212f900?si=CKbwRjyZQ4aXEqKq3qYAqQ&amp;track-id=4qIYVoGM0KoG9kB4evd5h1" TargetMode="External"/><Relationship Id="rId33" Type="http://schemas.openxmlformats.org/officeDocument/2006/relationships/hyperlink" Target="https://open.spotify.com/wrapped/share/share-5f27e125b6bb4960bed43fdc89a3a922?si=klpGlIwnTKelToFHvLD9Yw&amp;track-id=7G7tgVYORlDuVprcYHuFJh" TargetMode="External"/><Relationship Id="rId108" Type="http://schemas.openxmlformats.org/officeDocument/2006/relationships/hyperlink" Target="https://open.spotify.com/wrapped/share/share-f21663e899d843258eaee660ea1c1ae5?si=qMPnSSgFRkK0bYK0TrjqkQ&amp;track-id=38BgRP0EX5p0sBj0fFhqN9" TargetMode="External"/><Relationship Id="rId129" Type="http://schemas.openxmlformats.org/officeDocument/2006/relationships/hyperlink" Target="https://open.spotify.com/wrapped/share/share-b0b2d0ed189745baadf534851ec0b0a0?si=6AdskQnGQs-dZg5gjmg_ng&amp;track-id=3aMDzPibtzIRWzASMH44JF" TargetMode="External"/><Relationship Id="rId54" Type="http://schemas.openxmlformats.org/officeDocument/2006/relationships/hyperlink" Target="https://open.spotify.com/wrapped/share/share-c3f4aa03b42a4946a750f63c2350f083?si=8XF3ib7jSm2OA9Mr9fr7mg&amp;track-id=4uIjNF84ZbteunNMxr4Xc0" TargetMode="External"/><Relationship Id="rId75" Type="http://schemas.openxmlformats.org/officeDocument/2006/relationships/hyperlink" Target="https://open.spotify.com/wrapped/share/share-48274bfbafb14460aeb2750973ca016a?si=BYY8oVcyTHKVxmdT5-IkKw&amp;track-id=06qDEAG26TspT2yK2NLgEZ" TargetMode="External"/><Relationship Id="rId96" Type="http://schemas.openxmlformats.org/officeDocument/2006/relationships/hyperlink" Target="https://open.spotify.com/wrapped/share/share-f90297832a7348ffb95ba8e66e68e35c?si=kBBYxMaCRDa2gdhDobtBoQ&amp;track-id=4qNYl4NkngYRqf6DtTyD9I" TargetMode="External"/><Relationship Id="rId140" Type="http://schemas.openxmlformats.org/officeDocument/2006/relationships/hyperlink" Target="https://open.spotify.com/wrapped/share/share-38b684381ee94b2e899d1346a8eff09c?si=OVQy-Ns9RticA00WdG_x_Q&amp;track-id=19JPKFRxR6Kf90mQR3ixOi" TargetMode="External"/><Relationship Id="rId161" Type="http://schemas.openxmlformats.org/officeDocument/2006/relationships/hyperlink" Target="https://open.spotify.com/wrapped/share/share-9aa67d2a03e540e89804c2acd18876b8?si=r6GqAHR0R7ahPztBxRkV_g&amp;feature=wrapped&amp;track-id=57yL3161hUMuw06zzzUCHi" TargetMode="External"/><Relationship Id="rId182" Type="http://schemas.openxmlformats.org/officeDocument/2006/relationships/hyperlink" Target="https://open.spotify.com/track/3IvTwPCCjfZczCN2k4qPiH?si=n5hbVTZVQo-tDHfOWQN7WA&amp;context=spotify%3Aplaylist%3A37i9dQZF1FoyQGyinuuvRu" TargetMode="External"/><Relationship Id="rId6" Type="http://schemas.openxmlformats.org/officeDocument/2006/relationships/hyperlink" Target="https://open.spotify.com/wrapped/share/share-b340053f554e466886c8b9aee60d4b7c?si=9WvCX72KSV-joKy-UNd1rg&amp;track-id=1DgtQlVNotingln271ZKCx" TargetMode="External"/><Relationship Id="rId23" Type="http://schemas.openxmlformats.org/officeDocument/2006/relationships/hyperlink" Target="https://open.spotify.com/wrapped/share/share-5dd9df27633543d7941bdf36e6c89987?si=fjssl8GdRAKultM6G_l2BQ&amp;track-id=5XrfFo0JFOnWD9ZMNXGkQh" TargetMode="External"/><Relationship Id="rId119" Type="http://schemas.openxmlformats.org/officeDocument/2006/relationships/hyperlink" Target="https://open.spotify.com/wrapped/share/share-378b2ad050c746079fe3ef7df7dd4ce6?si=U1F6cGF6SlWQOeFdO0hvPA&amp;track-id=2hnMS47jN0etwvFPzYk11f" TargetMode="External"/><Relationship Id="rId44" Type="http://schemas.openxmlformats.org/officeDocument/2006/relationships/hyperlink" Target="https://open.spotify.com/wrapped/share/share-c52f4c4a751a439aa5bd3c4fecc50bc7?si=ghT2LWiuTd6VcHbWu_3YEA&amp;track-id=333XFHKsHU0pOocFzBgrJi" TargetMode="External"/><Relationship Id="rId60" Type="http://schemas.openxmlformats.org/officeDocument/2006/relationships/hyperlink" Target="https://open.spotify.com/track/3dKFOqjSQ2nMaz0q08APjS?si=e0085c2ceeff4516" TargetMode="External"/><Relationship Id="rId65" Type="http://schemas.openxmlformats.org/officeDocument/2006/relationships/hyperlink" Target="https://open.spotify.com/wrapped/share/share-03e9b19498a24859b92ccfaac3537caa?si=KfK5wua0QJ28f8dMEPpMRQ&amp;track-id=2rw5cbtHTyzy8iruujD28d" TargetMode="External"/><Relationship Id="rId81" Type="http://schemas.openxmlformats.org/officeDocument/2006/relationships/hyperlink" Target="https://open.spotify.com/wrapped/share/share-d134a9b1231f4365b26a4616a0d28aeb?si=URvCC1xZT0umsegzlSdpqw&amp;track-id=04nN9vTH0g61TjyrM0nK2c" TargetMode="External"/><Relationship Id="rId86" Type="http://schemas.openxmlformats.org/officeDocument/2006/relationships/hyperlink" Target="https://open.spotify.com/wrapped/share/share-f2b9a100d2c34957b84d4f5893c6b1fc?si=PUmdpPYfROGNnrdi11NU1w&amp;track-id=69BWKQ0qeTnPHdk4lxuLcD" TargetMode="External"/><Relationship Id="rId130" Type="http://schemas.openxmlformats.org/officeDocument/2006/relationships/hyperlink" Target="https://open.spotify.com/wrapped/share/share-de511763216f41ea80e0b73e4725ef60?si=Mf4xf7UETwStlZxliBMftw&amp;track-id=22H7neCMj03ifZXlix1B6h" TargetMode="External"/><Relationship Id="rId135" Type="http://schemas.openxmlformats.org/officeDocument/2006/relationships/hyperlink" Target="https://open.spotify.com/wrapped/share/share-9f7c32c8d7834bcd8df98a7e904a560d?si=0Q-EbJ_uQA2iQi-6fqkSWw&amp;track-id=6JWddKPdqvDc2WkPEi9grC" TargetMode="External"/><Relationship Id="rId151" Type="http://schemas.openxmlformats.org/officeDocument/2006/relationships/hyperlink" Target="https://open.spotify.com/wrapped/share/share-ea0d244867484a40ad80642bf737e0bc?si=5aT93KBtQnywxSZIdafgNQ&amp;feature=wrapped&amp;track-id=6H3kDe7CGoWYBabAeVWGiD" TargetMode="External"/><Relationship Id="rId156" Type="http://schemas.openxmlformats.org/officeDocument/2006/relationships/hyperlink" Target="https://open.spotify.com/track/5G2f63n7IPVPPjfNIGih7Q?si=YP6evg50QSq9F820sMJf2A&amp;context=spotify:playlist:37i9dQZF1FoyQGyinuuvRu" TargetMode="External"/><Relationship Id="rId177" Type="http://schemas.openxmlformats.org/officeDocument/2006/relationships/hyperlink" Target="https://open.spotify.com/track/7GVQS66ukm48XZVymA3ZUg?si=TTzsONC0Rw6CCjzbV9d9KQ&amp;context=spotify%3Aplaylist%3A37i9dQZF1FoyQGyinuuvRu" TargetMode="External"/><Relationship Id="rId172" Type="http://schemas.openxmlformats.org/officeDocument/2006/relationships/hyperlink" Target="https://open.spotify.com/wrapped/share/share-69edb21209b84662aff015b0baeca587?si=72joIgxrSSuWF751VJhHYg&amp;feature=wrapped&amp;track-id=08TjqEEAO32VuF002ePbTz" TargetMode="External"/><Relationship Id="rId13" Type="http://schemas.openxmlformats.org/officeDocument/2006/relationships/hyperlink" Target="https://open.spotify.com/wrapped/share/share-aae404aaa0894a5b998944c0536dbfd0?si=OUGTARfbRuidV2IgEvwLxA&amp;track-id=2HRqTpkrJO5ggZyyK6NPWz" TargetMode="External"/><Relationship Id="rId18" Type="http://schemas.openxmlformats.org/officeDocument/2006/relationships/hyperlink" Target="https://open.spotify.com/wrapped/share/share-e201e3b056c64c69a11c222fc2d31902?si=zIckeQqcRxejKIVhALrs2g&amp;track-id=0KakXD2XTaMwFkJBQcL8d8" TargetMode="External"/><Relationship Id="rId39" Type="http://schemas.openxmlformats.org/officeDocument/2006/relationships/hyperlink" Target="https://open.spotify.com/wrapped/share/share-994801cc8e304974884803f3d0b8e8e5?si=XQ4CuxU-QbSDap-N2DNftg&amp;track-id=5sR5RxaErPw0YtsB0MyQyn" TargetMode="External"/><Relationship Id="rId109" Type="http://schemas.openxmlformats.org/officeDocument/2006/relationships/hyperlink" Target="https://open.spotify.com/wrapped/share/share-a0252fb048884a7299fa13455dabe635?si=W_368vGGT9OiN8-kKH9GdQ&amp;track-id=2NVTpSoonYCVm7RE8zczEy" TargetMode="External"/><Relationship Id="rId34" Type="http://schemas.openxmlformats.org/officeDocument/2006/relationships/hyperlink" Target="https://open.spotify.com/wrapped/share/share-1ed716b83dd441aa890c7b7ceb96326e?si=DVX8NMvbTWerqI-0KLZuNA&amp;track-id=2DL5cXb2F3nvggbyTiNhzc" TargetMode="External"/><Relationship Id="rId50" Type="http://schemas.openxmlformats.org/officeDocument/2006/relationships/hyperlink" Target="https://open.spotify.com/wrapped/share/share-6de79410d0bd40eaab5d0d6aa3228c1c?si=VGaRQNPhQQSsJSDGx_Tmfg&amp;track-id=0so0moYLqkFWE6dquoCOsh" TargetMode="External"/><Relationship Id="rId55" Type="http://schemas.openxmlformats.org/officeDocument/2006/relationships/hyperlink" Target="https://open.spotify.com/wrapped/share/share-def47223eadc41878b20bce7df92c84b?si=7Osgs2nRSk6WEUOSKTkxFA&amp;track-id=5wbg8kepMFoMzHOEuxiI0q" TargetMode="External"/><Relationship Id="rId76" Type="http://schemas.openxmlformats.org/officeDocument/2006/relationships/hyperlink" Target="https://open.spotify.com/wrapped/share/share-4088cd035cb64b689ed33acb27ac2c07?si=6AVIwBu4QXabRoCtd0-kcQ&amp;track-id=0158TMiGmHyibaDeaUKayX" TargetMode="External"/><Relationship Id="rId97" Type="http://schemas.openxmlformats.org/officeDocument/2006/relationships/hyperlink" Target="https://open.spotify.com/wrapped/share/share-f64e96957c514b408a2a584fd4b64da1?si=qRQRvJh4TveMAaMfKkiQ0g&amp;track-id=69m9WDPBvemwujQwdONslk" TargetMode="External"/><Relationship Id="rId104" Type="http://schemas.openxmlformats.org/officeDocument/2006/relationships/hyperlink" Target="https://open.spotify.com/wrapped/share/share-9bbe17ebc44d48f9b39ec5fc61b70739?si=E3-R9XVAQkKeR6LfCU-txw&amp;track-id=50Emgupm363qIrYBe20FR3" TargetMode="External"/><Relationship Id="rId120" Type="http://schemas.openxmlformats.org/officeDocument/2006/relationships/hyperlink" Target="https://open.spotify.com/wrapped/share/share-26171319e5b44362aa96a8dd9916cc55?si=AFIAUaTJTwaGD6Ijj6aJpw&amp;track-id=7uUP4uaSx4zq5GnibE5gZR" TargetMode="External"/><Relationship Id="rId125" Type="http://schemas.openxmlformats.org/officeDocument/2006/relationships/hyperlink" Target="https://open.spotify.com/wrapped/share/share-b79821c7c4324c0990e7b034c0aefe8b?si=t1sBGq9VSB6ssbIHIsla0A&amp;track-id=27RDQ0TfxzWMlQFuKrPT11" TargetMode="External"/><Relationship Id="rId141" Type="http://schemas.openxmlformats.org/officeDocument/2006/relationships/hyperlink" Target="https://open.spotify.com/wrapped/share/share-c86c6ec3813041b1b7bd08ab7440c045?si=5aq3gpMRQbedOoQBzxpLAw&amp;track-id=0MpQPb1hrwk4dPiyWEGmer" TargetMode="External"/><Relationship Id="rId146" Type="http://schemas.openxmlformats.org/officeDocument/2006/relationships/hyperlink" Target="https://open.spotify.com/wrapped/share/share-e6bd04de895245fbbb04d16b51da0c31?si=IIdodGNlS0i_Mte4JE_AxQ&amp;track-id=3aMDzPibtzIRWzASMH44JF" TargetMode="External"/><Relationship Id="rId167" Type="http://schemas.openxmlformats.org/officeDocument/2006/relationships/hyperlink" Target="https://open.spotify.com/wrapped/share/share-fb1226575e164272b4260537c6437602?si=8DQEnmJFRuOrKlLq18nNtw&amp;feature=wrapped&amp;track-id=3rUGC1vUpkDG9CZFHMur1t" TargetMode="External"/><Relationship Id="rId7" Type="http://schemas.openxmlformats.org/officeDocument/2006/relationships/hyperlink" Target="https://open.spotify.com/wrapped/share/share-9787c2e2dc15461e8d4ac25dfdbd24a1?si=2GuDu4VGT_amIbG4gHQDhg&amp;track-id=7ID5MLSB71awNzjI7jyojG" TargetMode="External"/><Relationship Id="rId71" Type="http://schemas.openxmlformats.org/officeDocument/2006/relationships/hyperlink" Target="https://open.spotify.com/wrapped/share/share-60698f664a2f41e9ac034c7a63827bc4?si=kJcDRAHcSQ21lDuHPC1PSw&amp;track-id=0MIJFuEJpmgSjNjkbq29TQ" TargetMode="External"/><Relationship Id="rId92" Type="http://schemas.openxmlformats.org/officeDocument/2006/relationships/hyperlink" Target="https://open.spotify.com/wrapped/share/share-23285825735a4ce984eb2c609c987ab6?si=idKqIFKCT4m-r847GBZL6A&amp;track-id=3GKg5UKHIi1Tj2Noz5N0F5" TargetMode="External"/><Relationship Id="rId162" Type="http://schemas.openxmlformats.org/officeDocument/2006/relationships/hyperlink" Target="https://open.spotify.com/wrapped/share/share-8abcfeb7a7354c5d94093174d5db75fa?si=UGW3QfgGRSG3EZAeWt-j8Q&amp;track-id=6pamafD9p0K7FHfJPz6TYF&amp;feature=wrapped" TargetMode="External"/><Relationship Id="rId183" Type="http://schemas.openxmlformats.org/officeDocument/2006/relationships/hyperlink" Target="https://open.spotify.com/track/5Ts1DYOuouQLgzTaisxWYh?si=0CkRkXibTjy46LpujOeccw&amp;context=spotify%3Aplaylist%3A37i9dQZF1FoyQGyinuuvRu" TargetMode="External"/><Relationship Id="rId2" Type="http://schemas.openxmlformats.org/officeDocument/2006/relationships/hyperlink" Target="https://open.spotify.com/wrapped/share/share-6e3aa2f971dd4aa2ba0d5b0402d854c7?si=LmP-fisvQKSesFPcxkBZmQ&amp;track-id=0DD4vkP9qDiej99eUCG4jC" TargetMode="External"/><Relationship Id="rId29" Type="http://schemas.openxmlformats.org/officeDocument/2006/relationships/hyperlink" Target="https://open.spotify.com/wrapped/share/share-ead8ef09da7748aa8320f55b8872e502?si=kM9SwUE6Qty9rap52v6IbQ&amp;track-id=3TwtrR1yNLY1PMPsrGQpOp" TargetMode="External"/><Relationship Id="rId24" Type="http://schemas.openxmlformats.org/officeDocument/2006/relationships/hyperlink" Target="https://open.spotify.com/wrapped/share/share-b45f61a4da564b389edfa9b705b2f7f5?si=VYUl1GkdSg-szPZdqC-TKA&amp;track-id=09LrGvT9KsACH66RHYMDyR" TargetMode="External"/><Relationship Id="rId40" Type="http://schemas.openxmlformats.org/officeDocument/2006/relationships/hyperlink" Target="https://open.spotify.com/wrapped/share/share-eeb994682f054d6f888d52e5eed794ba?si=AwRnhfgnRn2uXMeXE93IXA&amp;track-id=4ApqBh1Xnrpwx6EbhoUPgq" TargetMode="External"/><Relationship Id="rId45" Type="http://schemas.openxmlformats.org/officeDocument/2006/relationships/hyperlink" Target="https://open.spotify.com/wrapped/share/share-cce0de470d6a47f0881e0ebdc80aec0d?si=ta5yJ22TRkeoGXinn3TV_Q&amp;track-id=5rb9QrpfcKFHM1EUbSIurX" TargetMode="External"/><Relationship Id="rId66" Type="http://schemas.openxmlformats.org/officeDocument/2006/relationships/hyperlink" Target="https://open.spotify.com/wrapped/share/share-26719ecab9bf4f729084d6bccb74dba3?si=Qz0gzfYDSA2N1g40n7udJQ&amp;track-id=0TVV2gFROJaB3kIZyCUvIY" TargetMode="External"/><Relationship Id="rId87" Type="http://schemas.openxmlformats.org/officeDocument/2006/relationships/hyperlink" Target="https://open.spotify.com/wrapped/share/share-c7375478878f43409f5350e73575839d?si=Wk2apM1rSKil6IUBrQ6AeQ&amp;track-id=7k2nR2eTRVuzAMCXUj3HMv" TargetMode="External"/><Relationship Id="rId110" Type="http://schemas.openxmlformats.org/officeDocument/2006/relationships/hyperlink" Target="https://open.spotify.com/wrapped/share/share-31a59fdd850743feba4eb79bbbdf98e9?si=knz4nPvISf2XuaOWF0oaWQ&amp;track-id=0BjqRekzGWZ4es58rTkza9" TargetMode="External"/><Relationship Id="rId115" Type="http://schemas.openxmlformats.org/officeDocument/2006/relationships/hyperlink" Target="https://open.spotify.com/wrapped/share/share-ed85b54534a947fbb5cdf8f77f855e21?si=LWLk99k2QoeVwAlBb-fqCQ&amp;track-id=0uimoUttVoJT9WV1j2LZqy" TargetMode="External"/><Relationship Id="rId131" Type="http://schemas.openxmlformats.org/officeDocument/2006/relationships/hyperlink" Target="https://open.spotify.com/wrapped/share/share-3ab2ff40009746d591f2a26f322c6518?si=wt8nogutSlSpn7j2hD0b1Q&amp;track-id=2BY7ALEWdloFHgQZG6VMLA" TargetMode="External"/><Relationship Id="rId136" Type="http://schemas.openxmlformats.org/officeDocument/2006/relationships/hyperlink" Target="https://open.spotify.com/wrapped/share/share-2a0b09f8954e4a31a81d9f0cc23c4cd1?si=zkDOCbUmTaaLHA4NQSoS0Q&amp;track-id=4wG82w1L31yQhgGiWt6gIb" TargetMode="External"/><Relationship Id="rId157" Type="http://schemas.openxmlformats.org/officeDocument/2006/relationships/hyperlink" Target="https://open.spotify.com/wrapped/share/share-c6105d71df3a4d2fbe51b4b3544ad42a?si=itlbf959TvmPjV3gw_l2Yg&amp;feature=wrapped&amp;track-id=1nrgBXtczBXNSlqIezjwbR" TargetMode="External"/><Relationship Id="rId178" Type="http://schemas.openxmlformats.org/officeDocument/2006/relationships/hyperlink" Target="https://open.spotify.com/track/4d1WMnL8dMh37ZZnMGvG59?si=aPr5UOCDSEeDKd9dwCwM7Q&amp;context=spotify%3Aplaylist%3A37i9dQZF1FoyQGyinuuvRu" TargetMode="External"/><Relationship Id="rId61" Type="http://schemas.openxmlformats.org/officeDocument/2006/relationships/hyperlink" Target="https://open.spotify.com/wrapped/share/share-0380aaeff7284a3ab9b599a01af03251?si=EzjYGzUgSd-Xy6_3hVw3tQ&amp;track-id=5m4X2HQ0eiviwuKPoREanT" TargetMode="External"/><Relationship Id="rId82" Type="http://schemas.openxmlformats.org/officeDocument/2006/relationships/hyperlink" Target="https://open.spotify.com/wrapped/share/share-072eb46a2ca748f1939adf947d2b8860?si=Wfjszy7bTySilR7rbvUgEQ&amp;track-id=0qRR9d89hIS0MHRkQ0ejxX" TargetMode="External"/><Relationship Id="rId152" Type="http://schemas.openxmlformats.org/officeDocument/2006/relationships/hyperlink" Target="https://open.spotify.com/wrapped/share/share-a11e838e52eb4ec6bf2f865438b356bf?si=Vag3E1IjQOaGg4o153JZXA&amp;track-id=7FOgcfdz9Nx5V9lCNXdBYv&amp;feature=wrapped" TargetMode="External"/><Relationship Id="rId173" Type="http://schemas.openxmlformats.org/officeDocument/2006/relationships/hyperlink" Target="https://open.spotify.com/wrapped/share/share-092e34f187ee41e6923364091ffe3b0a?si=s9LYl7MBTXC66n_MBrFhtQ&amp;feature=wrapped&amp;track-id=3Bjr9MzHM7KHk6zq7KvJRN" TargetMode="External"/><Relationship Id="rId19" Type="http://schemas.openxmlformats.org/officeDocument/2006/relationships/hyperlink" Target="https://open.spotify.com/wrapped/share/share-bceecbac49564b779d4d95155842bf96?si=rtBNOEUqSa68cLC4yGcAIA&amp;track-id=5hviCr3lgg6LY6noG6DPKs" TargetMode="External"/><Relationship Id="rId14" Type="http://schemas.openxmlformats.org/officeDocument/2006/relationships/hyperlink" Target="https://open.spotify.com/wrapped/share/share-f5839ab27cf045ba8f8cba86b626295b?si=vXZdaeeoSeKukZ9Eyc41bg&amp;track-id=4w47YE9rjhmZUdtZjSCb82" TargetMode="External"/><Relationship Id="rId30" Type="http://schemas.openxmlformats.org/officeDocument/2006/relationships/hyperlink" Target="https://open.spotify.com/wrapped/share/share-81fb01ef0b4d434d82fd06a235ce4129?si=FfHmQkrTRxy6xH16YyHHdg&amp;track-id=02srSkeu2pzybuVr2B9TJm" TargetMode="External"/><Relationship Id="rId35" Type="http://schemas.openxmlformats.org/officeDocument/2006/relationships/hyperlink" Target="https://open.spotify.com/wrapped/share/share-05139bcce8e841528e88b4c641fac598?si=98Ea7nigShesXQNOErv9HQ&amp;track-id=7MfNoHB8JRNbSQ8P3eAfMQ" TargetMode="External"/><Relationship Id="rId56" Type="http://schemas.openxmlformats.org/officeDocument/2006/relationships/hyperlink" Target="https://open.spotify.com/wrapped/share/share-33f13a0f1f9545d5ad026d180b49e2ec?si=rIGEdoQXTbilQ7gaTgXE4g&amp;track-id=20hTkA9oKKuxghkRptRczS" TargetMode="External"/><Relationship Id="rId77" Type="http://schemas.openxmlformats.org/officeDocument/2006/relationships/hyperlink" Target="https://open.spotify.com/wrapped/share/share-799a496c07514c62a2e21415e4f5ffff?si=Wri_TZaoSyypvJ4oXuo1mA&amp;track-id=6J5sxraPPZ4b0CVOGAgpXj" TargetMode="External"/><Relationship Id="rId100" Type="http://schemas.openxmlformats.org/officeDocument/2006/relationships/hyperlink" Target="https://open.spotify.com/wrapped/share/share-d5bb4e0058644c19816809f30e398982?si=uJe3-plCSXOz8wMCQQ8jTg&amp;track-id=399mh97iAmjU34de5MebHp" TargetMode="External"/><Relationship Id="rId105" Type="http://schemas.openxmlformats.org/officeDocument/2006/relationships/hyperlink" Target="https://open.spotify.com/wrapped/share/share-1e28e31832db442ea3571620d924ac64?si=-FnwakoYQY-mZZOZ57fBvQ&amp;track-id=5Vrczz39CvlD3OGCa6utoA" TargetMode="External"/><Relationship Id="rId126" Type="http://schemas.openxmlformats.org/officeDocument/2006/relationships/hyperlink" Target="https://open.spotify.com/wrapped/share/share-0c5d96e952314ab48352aa4d94f0b864?si=MF-Nx2lOT-S6sn6EjQBYCg&amp;track-id=68Dni7IE4VyPkTOH9mRWHr" TargetMode="External"/><Relationship Id="rId147" Type="http://schemas.openxmlformats.org/officeDocument/2006/relationships/hyperlink" Target="https://open.spotify.com/wrapped/share/share-e74f6a20bca542cd9f7b1448faad6b70?si=lqCNz_MQSxaGup_pq2xVSg&amp;track-id=4HfLQJtVT1KiX1eVedDyTm&amp;feature=wrapped" TargetMode="External"/><Relationship Id="rId168" Type="http://schemas.openxmlformats.org/officeDocument/2006/relationships/hyperlink" Target="https://open.spotify.com/wrapped/share/share-5191291ab1a440a786db7912b0caa371?si=k-vE4G3eRnm7xr7mVjnLiQ&amp;track-id=6Xw2FLih8m5ItDbyP992HH&amp;feature=wrapped" TargetMode="External"/><Relationship Id="rId8" Type="http://schemas.openxmlformats.org/officeDocument/2006/relationships/hyperlink" Target="https://open.spotify.com/wrapped/share/share-9c59ff47c6ab4cf388e352551c7a01ae?si=WxLdd_oJTHm_2kU_7J39pg&amp;track-id=62E2nR0od0M5HYxuYLaDz7" TargetMode="External"/><Relationship Id="rId51" Type="http://schemas.openxmlformats.org/officeDocument/2006/relationships/hyperlink" Target="https://open.spotify.com/wrapped/share/share-71c0a670608940ffa1f572f97e3f68c0?si=mfkCC9kCScaxX5_M2sJWuA&amp;track-id=6ET9kf9riLETWs9lePUEAI" TargetMode="External"/><Relationship Id="rId72" Type="http://schemas.openxmlformats.org/officeDocument/2006/relationships/hyperlink" Target="https://open.spotify.com/wrapped/share/share-961de6821444419a83d209cd974e68ec?si=viSiW3JtSbO7VLfvIYU4sA&amp;track-id=5G2f63n7IPVPPjfNIGih7Q" TargetMode="External"/><Relationship Id="rId93" Type="http://schemas.openxmlformats.org/officeDocument/2006/relationships/hyperlink" Target="https://open.spotify.com/wrapped/share/share-4606dc97dacf45d8bea43156c2ab8264?si=XKHDeianTZKRLXWBmjjbhg&amp;track-id=4MAxWahEbzU8m4bD6mSZg9" TargetMode="External"/><Relationship Id="rId98" Type="http://schemas.openxmlformats.org/officeDocument/2006/relationships/hyperlink" Target="https://open.spotify.com/wrapped/share/share-592709a3f97c4c69bb16dc932c8244a4?si=55goskcETdOsSG9Sm4Y5TA&amp;track-id=1jyddn36UN4tVsJGtaJfem" TargetMode="External"/><Relationship Id="rId121" Type="http://schemas.openxmlformats.org/officeDocument/2006/relationships/hyperlink" Target="https://open.spotify.com/wrapped/share/share-11fb64dfccd64127b29044ce96c7a5a7?si=KWQ6Cb94S-CH35wgVSvK1w&amp;track-id=49oxuPnuWOL793zpF6zgLQ" TargetMode="External"/><Relationship Id="rId142" Type="http://schemas.openxmlformats.org/officeDocument/2006/relationships/hyperlink" Target="https://open.spotify.com/wrapped/share/share-e6a9952dafe446bb8ac938540080d71a?si=2ZxMt-a4SPKONy9JbB3mCg&amp;track-id=5j0McHPthKpOXRr3fBq8M0" TargetMode="External"/><Relationship Id="rId163" Type="http://schemas.openxmlformats.org/officeDocument/2006/relationships/hyperlink" Target="https://open.spotify.com/wrapped/share/share-25fb41fe741644e2a71f7300ccba7fa3?si=hnZJEkUXR16E91_K5wGZnQ&amp;track-id=65T1aY3I9qfNUDVAnaM9bq&amp;feature=wrapped" TargetMode="External"/><Relationship Id="rId184" Type="http://schemas.openxmlformats.org/officeDocument/2006/relationships/hyperlink" Target="https://open.spotify.com/track/7Mts0OfPorF4iwOomvfqn1?si=F9-4TCLwQcaPGQrnY07ioQ&amp;context=spotify%3Aplaylist%3A37i9dQZF1FoyQGyinuuvRu" TargetMode="External"/><Relationship Id="rId3" Type="http://schemas.openxmlformats.org/officeDocument/2006/relationships/hyperlink" Target="https://open.spotify.com/wrapped/share/share-3e708cf501a34c98a8744888052d9b58?si=8xmVb__nSFuoT1MnvG4TLQ&amp;track-id=244AvzGQ4Ksa5637JQu5Gy" TargetMode="External"/><Relationship Id="rId25" Type="http://schemas.openxmlformats.org/officeDocument/2006/relationships/hyperlink" Target="https://open.spotify.com/wrapped/share/share-8f2dfe397bbc48d59d4339415f093a9d?si=LH2_PpxYTo-btGPIOa5iPQ&amp;track-id=0NdTUS4UiNYCNn5FgVqKQY" TargetMode="External"/><Relationship Id="rId46" Type="http://schemas.openxmlformats.org/officeDocument/2006/relationships/hyperlink" Target="https://open.spotify.com/wrapped/share/share-d9599a43aaa14678b95a9d2bc200f521?si=nGaP_cj1S6-VMglEPUB8og&amp;track-id=7vgTNTaEz3CsBZ1N4YQalM" TargetMode="External"/><Relationship Id="rId67" Type="http://schemas.openxmlformats.org/officeDocument/2006/relationships/hyperlink" Target="https://open.spotify.com/wrapped/share/share-1f6ffbb696194e07858ffcf55e5d7353?si=bi9sDo7ZT1S6Nb2TubLmdQ&amp;track-id=5wOWfWtfKJesbZSkWl4eRH" TargetMode="External"/><Relationship Id="rId116" Type="http://schemas.openxmlformats.org/officeDocument/2006/relationships/hyperlink" Target="https://open.spotify.com/wrapped/share/share-a48aaf9a8d454c4aa3b035434ee1f8db?si=7VtmbqY1QdyOs8-2k30LDg&amp;track-id=6b6IMqP565TbtFFZg9iFf3" TargetMode="External"/><Relationship Id="rId137" Type="http://schemas.openxmlformats.org/officeDocument/2006/relationships/hyperlink" Target="https://open.spotify.com/wrapped/share/share-ec9b8fc41e5e4d968e9d84d0d59eaf6d?si=13jsy7xwRH-gm5WggI4qRQ&amp;track-id=5JiU3gLHz9AvUnrhXgOmos" TargetMode="External"/><Relationship Id="rId158" Type="http://schemas.openxmlformats.org/officeDocument/2006/relationships/hyperlink" Target="https://open.spotify.com/wrapped/share/share-78678a74fbd34cc89817626f83469817?si=t9DHcWUrQCunMMhVQAXmmQ&amp;track-id=5JVbvCHX10U2pLa5DEqGav&amp;feature=wrapped" TargetMode="External"/><Relationship Id="rId20" Type="http://schemas.openxmlformats.org/officeDocument/2006/relationships/hyperlink" Target="https://open.spotify.com/wrapped/share/share-5bf46a64e05443ae93d9c1e10bad3b69?si=pITu5NsERJWI65230ZzTtQ&amp;track-id=0FZ9csVDfNZAvzw3pPBXkG" TargetMode="External"/><Relationship Id="rId41" Type="http://schemas.openxmlformats.org/officeDocument/2006/relationships/hyperlink" Target="https://open.spotify.com/wrapped/share/share-e3927665b37141c3a34789594f7c4a76?si=Fx8ni_URRzaeDs9VWzz1hA&amp;track-id=5pIVEk6Di7n1v5khOzJaJL" TargetMode="External"/><Relationship Id="rId62" Type="http://schemas.openxmlformats.org/officeDocument/2006/relationships/hyperlink" Target="https://open.spotify.com/wrapped/share/share-c959c60e21fb4f20a92c1ad19d75ea68?si=n65J6klzT3aEEkKIyPrT2A&amp;track-id=4Gmdm6oRVwJgsM8gYnwRoE" TargetMode="External"/><Relationship Id="rId83" Type="http://schemas.openxmlformats.org/officeDocument/2006/relationships/hyperlink" Target="https://open.spotify.com/wrapped/share/share-47f528d65b34462e96a1d2690a8513a7?si=N0U-I_T-SS-52RQ0a1nyyg&amp;track-id=10QxsSJlNl8jrylYL5XGJO" TargetMode="External"/><Relationship Id="rId88" Type="http://schemas.openxmlformats.org/officeDocument/2006/relationships/hyperlink" Target="https://open.spotify.com/wrapped/share/share-827aeac313c0455088e95a3e8f1838de?si=GAE8KvR3T7KdgXpP4tdLiQ&amp;track-id=2GzbeXhNYv3X1F588zT7vl" TargetMode="External"/><Relationship Id="rId111" Type="http://schemas.openxmlformats.org/officeDocument/2006/relationships/hyperlink" Target="https://open.spotify.com/wrapped/share/share-cce7a1a7a5884bbab3edaa7561a9ae23?si=aI5koJy0SZOC_tnJBpoZYw&amp;track-id=42T2QQv3xgBlpQxaSP7lnK" TargetMode="External"/><Relationship Id="rId132" Type="http://schemas.openxmlformats.org/officeDocument/2006/relationships/hyperlink" Target="https://open.spotify.com/track/169pWCmfvVazzcL4EXFPgL?si=wYyCUvhtTjKKX8gH6az9YQ&amp;context=spotify%3Aplaylist%3A37i9dQZF1FoyQGyinuuvRu" TargetMode="External"/><Relationship Id="rId153" Type="http://schemas.openxmlformats.org/officeDocument/2006/relationships/hyperlink" Target="https://open.spotify.com/wrapped/share/share-751f9180353243679d1ce6ca45d0f330?si=JDvvp-M9RpmyzlO8QHu_XQ&amp;feature=wrapped&amp;track-id=4GyZ7Cc8K7Es48vMyiOso2" TargetMode="External"/><Relationship Id="rId174" Type="http://schemas.openxmlformats.org/officeDocument/2006/relationships/hyperlink" Target="https://open.spotify.com/wrapped/share/share-b6c390b3d03641be851270c460532338?si=y36EyTz1Sq-R1McWgEDwBA&amp;feature=wrapped&amp;track-id=7kDUspsoYfLkWnZR7qwHZl" TargetMode="External"/><Relationship Id="rId179" Type="http://schemas.openxmlformats.org/officeDocument/2006/relationships/hyperlink" Target="https://open.spotify.com/track/5j0McHPthKpOXRr3fBq8M0?si=crQRjsyvRCOI8UwNkbGE5A&amp;context=spotify%3Aplaylist%3A37i9dQZF1FoyQGyinuuvRu" TargetMode="External"/><Relationship Id="rId15" Type="http://schemas.openxmlformats.org/officeDocument/2006/relationships/hyperlink" Target="https://open.spotify.com/wrapped/share/share-5978ea46e25548baa7535e45204a50b5?si=KvFvB306SKu64KodSMfRnw&amp;track-id=5O4erNlJ74PIF6kGol1ZrC" TargetMode="External"/><Relationship Id="rId36" Type="http://schemas.openxmlformats.org/officeDocument/2006/relationships/hyperlink" Target="https://open.spotify.com/wrapped/share/share-fc8ccb1b989341c79fff1d193e82bc4d?si=yfuR6vSEQfGuad_bQIsKYw&amp;track-id=3CqT9ajcy6pY7TonEPiV4H" TargetMode="External"/><Relationship Id="rId57" Type="http://schemas.openxmlformats.org/officeDocument/2006/relationships/hyperlink" Target="https://open.spotify.com/wrapped/share/share-cbdbc080cbf647fd8d4d6b809c750e8c?si=J0R9v_crQbaSEu9jnHGXtA&amp;track-id=00syWkRGIVQvYsg2OwfBUw" TargetMode="External"/><Relationship Id="rId106" Type="http://schemas.openxmlformats.org/officeDocument/2006/relationships/hyperlink" Target="https://open.spotify.com/wrapped/share/share-69368446f34c48c5aa2dd80c256a2d2f?si=jqPU5TLyQwKx_AUNcw6-Hw&amp;track-id=46kXlOq68HXFrhkxGV6qtI" TargetMode="External"/><Relationship Id="rId127" Type="http://schemas.openxmlformats.org/officeDocument/2006/relationships/hyperlink" Target="https://open.spotify.com/wrapped/share/share-dc20ffebe15741a485dec5f48c2adac8?si=g0oUftgKQlmNy9fXgAR5oQ&amp;track-id=3jkdQNkDTxxXtjSO4l0o1H" TargetMode="External"/><Relationship Id="rId10" Type="http://schemas.openxmlformats.org/officeDocument/2006/relationships/hyperlink" Target="https://open.spotify.com/wrapped/share/share-38e671975ff14554bf64d5e7ad1adf3c?si=ZDFd_U0WQq6B5MkxsCSBew&amp;track-id=1b7vg5T9YKR3NNqXfBYRF7" TargetMode="External"/><Relationship Id="rId31" Type="http://schemas.openxmlformats.org/officeDocument/2006/relationships/hyperlink" Target="https://open.spotify.com/wrapped/share/share-99a0bf8f400145988fdb5d065fb6484f?si=Y6rZYSR5SnGx6S8D8-aD9Q&amp;track-id=6mQvaOgN76Q7qcwmwuEP2W" TargetMode="External"/><Relationship Id="rId52" Type="http://schemas.openxmlformats.org/officeDocument/2006/relationships/hyperlink" Target="https://open.spotify.com/wrapped/share/share-28129614283049229f429cba3129bd2c?si=TlYz5VJ6TaS3qwn5Zz--Qw&amp;track-id=68SYsp6XfIEnlDYMgMyxUv" TargetMode="External"/><Relationship Id="rId73" Type="http://schemas.openxmlformats.org/officeDocument/2006/relationships/hyperlink" Target="https://open.spotify.com/wrapped/share/share-3cd96bf8843c49a6b1b370a7c7fc56a4?si=vYbCy9CYRWejArgqcb2dsw&amp;track-id=6WxuJ0miXSbI56DbuxQODG" TargetMode="External"/><Relationship Id="rId78" Type="http://schemas.openxmlformats.org/officeDocument/2006/relationships/hyperlink" Target="https://open.spotify.com/wrapped/share/share-337e6c2787c641b5ad6dcc3392f8f505?si=7302CPG7QGiPPgsKnOVwBA&amp;track-id=0AZjGAFciL2GpwoBqDxgg9" TargetMode="External"/><Relationship Id="rId94" Type="http://schemas.openxmlformats.org/officeDocument/2006/relationships/hyperlink" Target="https://open.spotify.com/wrapped/share/share-cf9645c90ae548b9a10da8bf45f000c5?si=JbuUrB1DQa24-KRZolta-g&amp;track-id=3iVmzeoFR0AZrn8EYFnEsB" TargetMode="External"/><Relationship Id="rId99" Type="http://schemas.openxmlformats.org/officeDocument/2006/relationships/hyperlink" Target="https://open.spotify.com/wrapped/share/share-a5036267f2c64c4db88321b04937ea3a?si=EZU8ipLkTKO3y-d7WEAe2Q&amp;track-id=5ya0TmUQw2wHMkq36rPsnd" TargetMode="External"/><Relationship Id="rId101" Type="http://schemas.openxmlformats.org/officeDocument/2006/relationships/hyperlink" Target="https://open.spotify.com/wrapped/share/share-055b94e81db84d8db4ba73adde20a05e?si=Yi_yjNsxTcWWK6RRuMl7Tw&amp;track-id=7jvCeWOSnJs2N3spqobWnO" TargetMode="External"/><Relationship Id="rId122" Type="http://schemas.openxmlformats.org/officeDocument/2006/relationships/hyperlink" Target="https://open.spotify.com/wrapped/share/share-052e8048e1a64cc08fcbbd59cc99e9cd?si=ptsfyQsLSAum_lvk0KLyTQ&amp;track-id=1T4tQ4SSagbhAKpvcWg035" TargetMode="External"/><Relationship Id="rId143" Type="http://schemas.openxmlformats.org/officeDocument/2006/relationships/hyperlink" Target="https://open.spotify.com/wrapped/share/share-f434c45b72364497a257c8702c6a4125?si=m0WjZZY3RqSSYdB2-ROFrA&amp;track-id=6Y4rniIxibegzsg8cdWAWV" TargetMode="External"/><Relationship Id="rId148" Type="http://schemas.openxmlformats.org/officeDocument/2006/relationships/hyperlink" Target="https://open.spotify.com/wrapped/share/share-ac5c42e1b26045ed833be1518e0e8013?si=Lts_PsxFRlCtcsNpEo-i7w&amp;track-id=23DXEXzuVjrPvqi2f1uMmX" TargetMode="External"/><Relationship Id="rId164" Type="http://schemas.openxmlformats.org/officeDocument/2006/relationships/hyperlink" Target="https://open.spotify.com/wrapped/share/share-e3cbbfdb0c7f4ada91ed707ba29d8e8b?si=_CmgLR18T0GgRSje99QZbQ&amp;track-id=7mFhyM0k5ZKG8jxcwmPVYl&amp;feature=wrapped" TargetMode="External"/><Relationship Id="rId169" Type="http://schemas.openxmlformats.org/officeDocument/2006/relationships/hyperlink" Target="https://open.spotify.com/wrapped/share/share-6cc405c1aee04a628bab23e0c60b4f61?si=ZR9gR_f6TVGYKWSpsOyswg&amp;track-id=6GG4yyk3UATdBfTHVgI8PB&amp;feature=wrapped" TargetMode="External"/><Relationship Id="rId4" Type="http://schemas.openxmlformats.org/officeDocument/2006/relationships/hyperlink" Target="https://open.spotify.com/wrapped/share/share-ecaf56547e92450bafb20133d8426d29?si=PnGe6NyxSQ6ZD6vM7y3E2w&amp;track-id=215JYyyUnrJ98NK3KEwu6d" TargetMode="External"/><Relationship Id="rId9" Type="http://schemas.openxmlformats.org/officeDocument/2006/relationships/hyperlink" Target="https://open.spotify.com/wrapped/share/share-566b72ac458e41df84c44d0d3c2cab5c?si=eSsZFQQISv-3qYaSWYe32w&amp;track-id=0bILU0UiNDmA5Ff6whhb2R" TargetMode="External"/><Relationship Id="rId180" Type="http://schemas.openxmlformats.org/officeDocument/2006/relationships/hyperlink" Target="https://open.spotify.com/track/6gPOwGszseqYL7w02opoy1?si=2SaHQJKkRJ20nybGHc56GQ&amp;context=spotify%3Aplaylist%3A37i9dQZF1FoyQGyinuuvRu" TargetMode="External"/><Relationship Id="rId26" Type="http://schemas.openxmlformats.org/officeDocument/2006/relationships/hyperlink" Target="https://open.spotify.com/wrapped/share/share-6bdcefc2e3cb4ba695cde6622686be72?si=syL-QIqPSay42CijFDMWcA&amp;track-id=1udKn1oNKYQSQ9OmiIWCMu" TargetMode="External"/><Relationship Id="rId47" Type="http://schemas.openxmlformats.org/officeDocument/2006/relationships/hyperlink" Target="https://open.spotify.com/wrapped/share/share-899897a1cc22476ba76bd8ca1cc71f53?si=TKLfHdtjSnCR4k3Kl7MjTQ&amp;track-id=2tznHmp70DxMyr2XhWLOW0" TargetMode="External"/><Relationship Id="rId68" Type="http://schemas.openxmlformats.org/officeDocument/2006/relationships/hyperlink" Target="https://open.spotify.com/wrapped/share/share-d936fe9d8d8c4b8a80037edcf6767ab2?si=2oEnlUlUTGSp6GzX5V25mA&amp;track-id=0unNLQbn2xlm2nPcB1pdjS" TargetMode="External"/><Relationship Id="rId89" Type="http://schemas.openxmlformats.org/officeDocument/2006/relationships/hyperlink" Target="https://open.spotify.com/wrapped/share/share-8296ef8b477244e7bb763f1184f3be0c?si=s2oNewD9R6q0C0vicwwUVg&amp;track-id=6MzofobZt2dm0Kf1hTThFz" TargetMode="External"/><Relationship Id="rId112" Type="http://schemas.openxmlformats.org/officeDocument/2006/relationships/hyperlink" Target="https://open.spotify.com/wrapped/share/share-fde5b7b526d143f3a9e72d05ce22ef53?si=-fpJcCqmTCyhAxHhW2wCrw&amp;track-id=0tgBtQ0ISnMQOKorrN9HLX" TargetMode="External"/><Relationship Id="rId133" Type="http://schemas.openxmlformats.org/officeDocument/2006/relationships/hyperlink" Target="https://open.spotify.com/wrapped/share/share-b1502391fb8d44059ec4a75379c18180?si=n_2qa4lgShKVgq2gM5aPmg&amp;track-id=7rFYrQfPCNVsZOY7ld2YVX" TargetMode="External"/><Relationship Id="rId154" Type="http://schemas.openxmlformats.org/officeDocument/2006/relationships/hyperlink" Target="https://open.spotify.com/wrapped/share/share-f61f8875aa654d2ca6ad8207af41a7d6?si=3eO8QanXSaKZeX0yPYbAIA&amp;feature=wrapped&amp;track-id=2r6rQc8mbPzWERVtdBR7lV" TargetMode="External"/><Relationship Id="rId175" Type="http://schemas.openxmlformats.org/officeDocument/2006/relationships/hyperlink" Target="https://open.spotify.com/track/0VwTeYNjcl30DyQlt3GPe0?si=WjM1drVkQKah9azHKNb-fA&amp;context=spotify%3Aplaylist%3A37i9dQZF1FoyQGyinuuvRu" TargetMode="External"/><Relationship Id="rId16" Type="http://schemas.openxmlformats.org/officeDocument/2006/relationships/hyperlink" Target="https://open.spotify.com/wrapped/share/share-05d515ff242b410b8c88c1b2fda6653e?si=qWsYsmMrRliKIkLaoSAtIQ&amp;track-id=7ByxizhA4GgEf7Sxomxhze" TargetMode="External"/><Relationship Id="rId37" Type="http://schemas.openxmlformats.org/officeDocument/2006/relationships/hyperlink" Target="https://open.spotify.com/wrapped/share/share-ce8515bc4d1849efac5814376f44478a?si=alP6CGtRT9mu8QPNH5lDxA&amp;track-id=33iv3wnGMrrDugd7GBso1z" TargetMode="External"/><Relationship Id="rId58" Type="http://schemas.openxmlformats.org/officeDocument/2006/relationships/hyperlink" Target="https://open.spotify.com/wrapped/share/share-64ead250586a410a80c462603f1abd05?si=5pguQEpaQpmNSSYbWrY68w&amp;track-id=6L6CPMkduYn5Ty1t1lx0sc" TargetMode="External"/><Relationship Id="rId79" Type="http://schemas.openxmlformats.org/officeDocument/2006/relationships/hyperlink" Target="https://open.spotify.com/wrapped/share/share-5897417131b14e43a748650a6a4a29bc?si=99P9QZdkQkSUPlryAoQBMA&amp;track-id=5oIVNm56t6OIf9ZjdEG3ud" TargetMode="External"/><Relationship Id="rId102" Type="http://schemas.openxmlformats.org/officeDocument/2006/relationships/hyperlink" Target="https://open.spotify.com/wrapped/share/share-3627fc0652d246dd80e154958e1b155c?si=JdSFxnQ8TVyXiBtWjAXnPw&amp;track-id=1k2pQc5i348DCHwbn5KTdc" TargetMode="External"/><Relationship Id="rId123" Type="http://schemas.openxmlformats.org/officeDocument/2006/relationships/hyperlink" Target="https://open.spotify.com/wrapped/share/share-6cc652e6840141139c8510a31dbb471a?si=7-RT09KTTX6VKXfj-FprrQ&amp;track-id=2tznHmp70DxMyr2XhWLOW0" TargetMode="External"/><Relationship Id="rId144" Type="http://schemas.openxmlformats.org/officeDocument/2006/relationships/hyperlink" Target="https://open.spotify.com/track/43dcCpx19I0R4zLr4KH1UC?si=387c3143481548db" TargetMode="External"/><Relationship Id="rId90" Type="http://schemas.openxmlformats.org/officeDocument/2006/relationships/hyperlink" Target="https://open.spotify.com/wrapped/share/share-42a282610aae451aa0e274cef1b233a1?si=tX07DNovR2SX2PHNjnGOvg&amp;track-id=6rEcXviYlZCEx01m1z7qZv" TargetMode="External"/><Relationship Id="rId165" Type="http://schemas.openxmlformats.org/officeDocument/2006/relationships/hyperlink" Target="https://open.spotify.com/wrapped/share/share-356c2b33f7964509bd36ee67907d1040?si=eyR18eSTSpGFoTKKiOFBHg&amp;feature=wrapped&amp;track-id=66OrNUst0atPTFTVeJsBOI" TargetMode="External"/><Relationship Id="rId27" Type="http://schemas.openxmlformats.org/officeDocument/2006/relationships/hyperlink" Target="https://open.spotify.com/wrapped/share/share-1b2f918a40384f8da2ed24d37ad47980?si=p40dgWAbQdqrFObFIECqPw&amp;track-id=13xVnZKZDEGbmXkzBFpJDD" TargetMode="External"/><Relationship Id="rId48" Type="http://schemas.openxmlformats.org/officeDocument/2006/relationships/hyperlink" Target="https://open.spotify.com/wrapped/share/share-d96f6e2c28044303b4ec4d6ef62bfe7d?si=snL2ktdyQduV-2ur8RtRFQ&amp;track-id=0XTno2fRFMFGPJG95RxQSR" TargetMode="External"/><Relationship Id="rId69" Type="http://schemas.openxmlformats.org/officeDocument/2006/relationships/hyperlink" Target="https://open.spotify.com/wrapped/share/share-eab76677e8154f48b253a3f9a7702f48?si=BhN08e1CSFqIMY7_8rgO9w&amp;track-id=3ebaeB2BdCEgZmwKv7p2r5" TargetMode="External"/><Relationship Id="rId113" Type="http://schemas.openxmlformats.org/officeDocument/2006/relationships/hyperlink" Target="https://open.spotify.com/wrapped/share/share-11ff2a2f03ef433baec27b2fa0a24bcc?si=OUFXwnohQBuiLWJcGfgTxA&amp;track-id=0B2SaH1ByxhJnoN3VlGnrn" TargetMode="External"/><Relationship Id="rId134" Type="http://schemas.openxmlformats.org/officeDocument/2006/relationships/hyperlink" Target="https://open.spotify.com/wrapped/share/share-c3c57012b7e94a3b9dadb307287b1315?si=oXJy9julSmOO3V2_4xLw1Q&amp;track-id=7jPdqwZug0ovtDZsY5uK4T" TargetMode="External"/><Relationship Id="rId80" Type="http://schemas.openxmlformats.org/officeDocument/2006/relationships/hyperlink" Target="https://open.spotify.com/wrapped/share/share-d2e3cae4c5c7418fa411a5159dacd66a?si=HO5v6W7bRfSJfv1FN91_Zw&amp;track-id=2nLtzopw4rPReszdYBJU6h" TargetMode="External"/><Relationship Id="rId155" Type="http://schemas.openxmlformats.org/officeDocument/2006/relationships/hyperlink" Target="https://open.spotify.com/wrapped/share/share-e3504cbe313641ac8eed623e39e01be2?si=VXMA8dLHRg6IztEX7Xo-cg&amp;feature=wrapped&amp;track-id=6c0G8K6G2LlIfJTsRLJjfs" TargetMode="External"/><Relationship Id="rId176" Type="http://schemas.openxmlformats.org/officeDocument/2006/relationships/hyperlink" Target="https://open.spotify.com/wrapped/share/share-8adea404ff2f4c5b9b0dffe52cd4523f?si=Wv1BDuSURDG-g4IDRWnkdQ&amp;track-id=5FdYRHYIyzYp8SDL3BrL81&amp;feature=wrapped" TargetMode="External"/><Relationship Id="rId17" Type="http://schemas.openxmlformats.org/officeDocument/2006/relationships/hyperlink" Target="https://open.spotify.com/wrapped/share/share-f21fecb1282740d19b68cf473948fa83?si=JTgrNqQtT6-W1LOsoffeQw&amp;track-id=22VHOlVYBqytsrAqV8yXBK" TargetMode="External"/><Relationship Id="rId38" Type="http://schemas.openxmlformats.org/officeDocument/2006/relationships/hyperlink" Target="https://open.spotify.com/wrapped/share/share-967738ee10af489daebeb57c16298181?si=jKr0yUOoTiWbBIlUkD03VA&amp;track-id=4rlQza35DE4Prh5yonxnCs" TargetMode="External"/><Relationship Id="rId59" Type="http://schemas.openxmlformats.org/officeDocument/2006/relationships/hyperlink" Target="https://open.spotify.com/wrapped/share/share-4b3bddd8d51f403888620d7d9aca0bb9?si=nKbYoeGISPKzBIw8-zVUwQ&amp;track-id=5ZFKYhcWTiBNeeE0ZHqJeL" TargetMode="External"/><Relationship Id="rId103" Type="http://schemas.openxmlformats.org/officeDocument/2006/relationships/hyperlink" Target="https://open.spotify.com/wrapped/share/share-23cff67a1a354bd49e85a6074c7345c8?si=3xmYfBg2TPWUEgQQmXMjOQ&amp;track-id=0MIp9iBm1V41ERxkZnmSUG" TargetMode="External"/><Relationship Id="rId124" Type="http://schemas.openxmlformats.org/officeDocument/2006/relationships/hyperlink" Target="https://open.spotify.com/wrapped/share/share-055986bf84c04e718196f21805d66284?si=Vn5E-cu1TLmiI7AAUcYApw&amp;track-id=6q8nlNnBLSAn5tU6tH9Zlz" TargetMode="External"/><Relationship Id="rId70" Type="http://schemas.openxmlformats.org/officeDocument/2006/relationships/hyperlink" Target="https://open.spotify.com/wrapped/share/share-7d241bfa952f422e92c62a9ce9ee3e21?si=W_UliaBgQ7OgMv-9Yduwvw&amp;track-id=4pNApnaUWAL2J4KO2eqokq" TargetMode="External"/><Relationship Id="rId91" Type="http://schemas.openxmlformats.org/officeDocument/2006/relationships/hyperlink" Target="https://open.spotify.com/wrapped/share/share-d6f920297d4b485397baab0e4599c3ac?si=sF6mBv4kSBi_14qbC5vOSA&amp;track-id=698eQRku24PIYPQPHItKlA" TargetMode="External"/><Relationship Id="rId145" Type="http://schemas.openxmlformats.org/officeDocument/2006/relationships/hyperlink" Target="https://open.spotify.com/wrapped/share/share-aba86ffa9e714657b94febfcdec64398?si=tCypo-TMQ0-IxAhNcHID8Q&amp;track-id=1LAlLBTGBUO0MDA8IbSysd" TargetMode="External"/><Relationship Id="rId166" Type="http://schemas.openxmlformats.org/officeDocument/2006/relationships/hyperlink" Target="https://open.spotify.com/wrapped/share/share-255dbcf41e9248c0a81903591b1d503d?si=e5zwTRJlTsuygQp5Kz28hA&amp;feature=wrapped&amp;track-id=66rVt7PbwyKlu6CK6rxyAi" TargetMode="External"/><Relationship Id="rId1" Type="http://schemas.openxmlformats.org/officeDocument/2006/relationships/hyperlink" Target="https://open.spotify.com/wrapped/share/share-34963e5bef6c4398a8d8d6c211751420?si=vrqlE865RcyQJ3rOTG7SAw&amp;track-id=1VmR7aU6sK05IrpiPpyXRB" TargetMode="External"/><Relationship Id="rId28" Type="http://schemas.openxmlformats.org/officeDocument/2006/relationships/hyperlink" Target="https://open.spotify.com/wrapped/share/share-51018164462b4db5a26e255892588b6c?si=6xflsZZdQayaUwXzKW7rQw&amp;track-id=4hfqe20vqkuRv1RDsA1LbQ" TargetMode="External"/><Relationship Id="rId49" Type="http://schemas.openxmlformats.org/officeDocument/2006/relationships/hyperlink" Target="https://open.spotify.com/wrapped/share/share-3aa3102d922d48d3ad1884a453f7a5f1?si=2syiuE7mSViXmSAj6GSvMw&amp;track-id=5bLUk3nEJoFAmNMc8WHWIh" TargetMode="External"/><Relationship Id="rId114" Type="http://schemas.openxmlformats.org/officeDocument/2006/relationships/hyperlink" Target="https://open.spotify.com/wrapped/share/share-cb06376a8e6a4337be5a74f575f48266?si=cLdrny0fTiKluYMw2H8WEw&amp;track-id=3cPoiK69oQ1SdbB2j2ulG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1"/>
  <sheetViews>
    <sheetView workbookViewId="0">
      <pane ySplit="1" topLeftCell="A2" activePane="bottomLeft" state="frozen"/>
      <selection pane="bottomLeft" activeCell="H19" sqref="H19"/>
    </sheetView>
  </sheetViews>
  <sheetFormatPr baseColWidth="10" defaultColWidth="12.6640625" defaultRowHeight="15.75" customHeight="1"/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customHeight="1">
      <c r="A2" s="2" t="s">
        <v>4</v>
      </c>
      <c r="B2" s="2" t="s">
        <v>5</v>
      </c>
      <c r="C2" s="3" t="s">
        <v>6</v>
      </c>
      <c r="D2" s="2" t="s">
        <v>7</v>
      </c>
      <c r="E2" s="3">
        <v>100</v>
      </c>
    </row>
    <row r="3" spans="1:5" ht="15.75" customHeight="1">
      <c r="A3" s="2" t="s">
        <v>8</v>
      </c>
      <c r="B3" s="2" t="s">
        <v>9</v>
      </c>
      <c r="C3" s="2" t="s">
        <v>10</v>
      </c>
      <c r="D3" s="2" t="s">
        <v>11</v>
      </c>
      <c r="E3" s="3">
        <v>99</v>
      </c>
    </row>
    <row r="4" spans="1:5" ht="15.75" customHeight="1">
      <c r="A4" s="2" t="s">
        <v>12</v>
      </c>
      <c r="B4" s="3" t="s">
        <v>13</v>
      </c>
      <c r="C4" s="2" t="s">
        <v>14</v>
      </c>
      <c r="D4" s="4" t="s">
        <v>15</v>
      </c>
      <c r="E4" s="3">
        <v>98</v>
      </c>
    </row>
    <row r="5" spans="1:5" ht="15.75" customHeight="1">
      <c r="A5" s="2" t="s">
        <v>16</v>
      </c>
      <c r="B5" s="2" t="s">
        <v>17</v>
      </c>
      <c r="C5" s="2" t="s">
        <v>18</v>
      </c>
      <c r="D5" s="2" t="s">
        <v>19</v>
      </c>
      <c r="E5" s="3">
        <v>97</v>
      </c>
    </row>
    <row r="6" spans="1:5" ht="15.75" customHeight="1">
      <c r="A6" s="2" t="s">
        <v>20</v>
      </c>
      <c r="B6" s="3" t="s">
        <v>21</v>
      </c>
      <c r="C6" s="2" t="s">
        <v>22</v>
      </c>
      <c r="D6" s="5" t="s">
        <v>23</v>
      </c>
      <c r="E6" s="3">
        <v>96</v>
      </c>
    </row>
    <row r="7" spans="1:5" ht="15.75" customHeight="1">
      <c r="A7" s="2" t="s">
        <v>24</v>
      </c>
      <c r="B7" s="3" t="s">
        <v>25</v>
      </c>
      <c r="C7" s="2" t="s">
        <v>26</v>
      </c>
      <c r="D7" s="2" t="s">
        <v>27</v>
      </c>
      <c r="E7" s="3">
        <v>95</v>
      </c>
    </row>
    <row r="8" spans="1:5" ht="15.75" customHeight="1">
      <c r="A8" s="2" t="s">
        <v>28</v>
      </c>
      <c r="B8" s="3" t="s">
        <v>29</v>
      </c>
      <c r="C8" s="2" t="s">
        <v>30</v>
      </c>
      <c r="D8" s="2" t="s">
        <v>31</v>
      </c>
      <c r="E8" s="3">
        <v>94</v>
      </c>
    </row>
    <row r="9" spans="1:5" ht="15.75" customHeight="1">
      <c r="A9" s="2" t="s">
        <v>32</v>
      </c>
      <c r="B9" s="2" t="s">
        <v>33</v>
      </c>
      <c r="C9" s="2" t="s">
        <v>34</v>
      </c>
      <c r="D9" s="2" t="s">
        <v>35</v>
      </c>
      <c r="E9" s="3">
        <v>93</v>
      </c>
    </row>
    <row r="10" spans="1:5" ht="15.75" customHeight="1">
      <c r="A10" s="3" t="s">
        <v>36</v>
      </c>
      <c r="B10" s="2" t="s">
        <v>37</v>
      </c>
      <c r="C10" s="2" t="s">
        <v>38</v>
      </c>
      <c r="D10" s="2" t="s">
        <v>39</v>
      </c>
      <c r="E10" s="3">
        <v>92</v>
      </c>
    </row>
    <row r="11" spans="1:5" ht="15.75" customHeight="1">
      <c r="A11" s="2" t="s">
        <v>40</v>
      </c>
      <c r="B11" s="2" t="s">
        <v>41</v>
      </c>
      <c r="C11" s="2" t="s">
        <v>42</v>
      </c>
      <c r="D11" s="2" t="s">
        <v>43</v>
      </c>
      <c r="E11" s="3">
        <v>91</v>
      </c>
    </row>
    <row r="12" spans="1:5" ht="15.75" customHeight="1">
      <c r="A12" s="2" t="s">
        <v>44</v>
      </c>
      <c r="B12" s="2" t="s">
        <v>45</v>
      </c>
      <c r="C12" s="2" t="s">
        <v>46</v>
      </c>
      <c r="D12" s="2" t="s">
        <v>47</v>
      </c>
      <c r="E12" s="3">
        <v>90</v>
      </c>
    </row>
    <row r="13" spans="1:5" ht="15.75" customHeight="1">
      <c r="A13" s="2" t="s">
        <v>48</v>
      </c>
      <c r="B13" s="2" t="s">
        <v>49</v>
      </c>
      <c r="C13" s="2" t="s">
        <v>50</v>
      </c>
      <c r="D13" s="2" t="s">
        <v>51</v>
      </c>
      <c r="E13" s="3">
        <v>89</v>
      </c>
    </row>
    <row r="14" spans="1:5" ht="15.75" customHeight="1">
      <c r="A14" s="2" t="s">
        <v>52</v>
      </c>
      <c r="B14" s="2" t="s">
        <v>53</v>
      </c>
      <c r="C14" s="2" t="s">
        <v>54</v>
      </c>
      <c r="D14" s="2" t="s">
        <v>55</v>
      </c>
      <c r="E14" s="3">
        <v>88</v>
      </c>
    </row>
    <row r="15" spans="1:5" ht="15.75" customHeight="1">
      <c r="A15" s="2" t="s">
        <v>56</v>
      </c>
      <c r="B15" s="2" t="s">
        <v>57</v>
      </c>
      <c r="C15" s="2" t="s">
        <v>58</v>
      </c>
      <c r="D15" s="2" t="s">
        <v>59</v>
      </c>
      <c r="E15" s="3">
        <v>87</v>
      </c>
    </row>
    <row r="16" spans="1:5" ht="15.75" customHeight="1">
      <c r="A16" s="2" t="s">
        <v>60</v>
      </c>
      <c r="B16" s="2" t="s">
        <v>61</v>
      </c>
      <c r="C16" s="2" t="s">
        <v>62</v>
      </c>
      <c r="D16" s="2" t="s">
        <v>63</v>
      </c>
      <c r="E16" s="3">
        <v>86</v>
      </c>
    </row>
    <row r="17" spans="1:6" ht="15.75" customHeight="1">
      <c r="A17" s="4" t="s">
        <v>64</v>
      </c>
      <c r="B17" s="2" t="s">
        <v>65</v>
      </c>
      <c r="C17" s="2" t="s">
        <v>66</v>
      </c>
      <c r="D17" s="4" t="s">
        <v>67</v>
      </c>
      <c r="E17" s="3">
        <v>85</v>
      </c>
    </row>
    <row r="18" spans="1:6" ht="15.75" customHeight="1">
      <c r="A18" s="5" t="s">
        <v>68</v>
      </c>
      <c r="B18" s="2" t="s">
        <v>69</v>
      </c>
      <c r="C18" s="5" t="s">
        <v>70</v>
      </c>
      <c r="D18" s="4" t="s">
        <v>71</v>
      </c>
      <c r="E18" s="3">
        <v>84</v>
      </c>
    </row>
    <row r="19" spans="1:6" ht="15.75" customHeight="1">
      <c r="A19" s="2" t="s">
        <v>72</v>
      </c>
      <c r="B19" s="5" t="s">
        <v>73</v>
      </c>
      <c r="C19" s="2" t="s">
        <v>74</v>
      </c>
      <c r="D19" s="2" t="s">
        <v>75</v>
      </c>
      <c r="E19" s="3">
        <v>83</v>
      </c>
    </row>
    <row r="20" spans="1:6" ht="15.75" customHeight="1">
      <c r="A20" s="2" t="s">
        <v>76</v>
      </c>
      <c r="B20" s="2" t="s">
        <v>77</v>
      </c>
      <c r="C20" s="2" t="s">
        <v>78</v>
      </c>
      <c r="D20" s="2" t="s">
        <v>79</v>
      </c>
      <c r="E20" s="3">
        <v>82</v>
      </c>
    </row>
    <row r="21" spans="1:6" ht="15.75" customHeight="1">
      <c r="A21" s="2" t="s">
        <v>80</v>
      </c>
      <c r="B21" s="2" t="s">
        <v>81</v>
      </c>
      <c r="C21" s="2" t="s">
        <v>82</v>
      </c>
      <c r="D21" s="2" t="s">
        <v>83</v>
      </c>
      <c r="E21" s="3">
        <v>81</v>
      </c>
    </row>
    <row r="22" spans="1:6" ht="15.75" customHeight="1">
      <c r="A22" s="2" t="s">
        <v>84</v>
      </c>
      <c r="B22" s="2" t="s">
        <v>85</v>
      </c>
      <c r="C22" s="2" t="s">
        <v>86</v>
      </c>
      <c r="D22" s="3" t="s">
        <v>87</v>
      </c>
      <c r="E22" s="3">
        <v>80</v>
      </c>
      <c r="F22" s="3"/>
    </row>
    <row r="23" spans="1:6" ht="15.75" customHeight="1">
      <c r="A23" s="2" t="s">
        <v>88</v>
      </c>
      <c r="B23" s="2" t="s">
        <v>89</v>
      </c>
      <c r="C23" s="2" t="s">
        <v>90</v>
      </c>
      <c r="D23" s="2" t="s">
        <v>91</v>
      </c>
      <c r="E23" s="3">
        <v>79</v>
      </c>
    </row>
    <row r="24" spans="1:6" ht="15.75" customHeight="1">
      <c r="A24" s="2" t="s">
        <v>92</v>
      </c>
      <c r="B24" s="2" t="s">
        <v>93</v>
      </c>
      <c r="C24" s="2" t="s">
        <v>94</v>
      </c>
      <c r="D24" s="2" t="s">
        <v>95</v>
      </c>
      <c r="E24" s="3">
        <v>78</v>
      </c>
    </row>
    <row r="25" spans="1:6" ht="15.75" customHeight="1">
      <c r="A25" s="2" t="s">
        <v>96</v>
      </c>
      <c r="B25" s="2" t="s">
        <v>97</v>
      </c>
      <c r="C25" s="2" t="s">
        <v>98</v>
      </c>
      <c r="D25" s="3" t="s">
        <v>99</v>
      </c>
      <c r="E25" s="3">
        <v>77</v>
      </c>
    </row>
    <row r="26" spans="1:6" ht="15.75" customHeight="1">
      <c r="A26" s="2" t="s">
        <v>100</v>
      </c>
      <c r="B26" s="2" t="s">
        <v>101</v>
      </c>
      <c r="C26" s="2" t="s">
        <v>102</v>
      </c>
      <c r="D26" s="2" t="s">
        <v>103</v>
      </c>
      <c r="E26" s="3">
        <v>76</v>
      </c>
    </row>
    <row r="27" spans="1:6" ht="15.75" customHeight="1">
      <c r="A27" s="2" t="s">
        <v>104</v>
      </c>
      <c r="B27" s="5" t="s">
        <v>105</v>
      </c>
      <c r="C27" s="2" t="s">
        <v>106</v>
      </c>
      <c r="D27" s="2" t="s">
        <v>107</v>
      </c>
      <c r="E27" s="3">
        <v>75</v>
      </c>
    </row>
    <row r="28" spans="1:6" ht="15.75" customHeight="1">
      <c r="A28" s="2" t="s">
        <v>108</v>
      </c>
      <c r="B28" s="2" t="s">
        <v>109</v>
      </c>
      <c r="C28" s="2" t="s">
        <v>110</v>
      </c>
      <c r="D28" s="2" t="s">
        <v>111</v>
      </c>
      <c r="E28" s="3">
        <v>74</v>
      </c>
    </row>
    <row r="29" spans="1:6" ht="15.75" customHeight="1">
      <c r="A29" s="2" t="s">
        <v>112</v>
      </c>
      <c r="B29" s="5" t="s">
        <v>113</v>
      </c>
      <c r="C29" s="2" t="s">
        <v>114</v>
      </c>
      <c r="D29" s="2" t="s">
        <v>115</v>
      </c>
      <c r="E29" s="3">
        <v>73</v>
      </c>
    </row>
    <row r="30" spans="1:6" ht="15.75" customHeight="1">
      <c r="A30" s="2" t="s">
        <v>116</v>
      </c>
      <c r="B30" s="2" t="s">
        <v>117</v>
      </c>
      <c r="C30" s="2" t="s">
        <v>118</v>
      </c>
      <c r="D30" s="2" t="s">
        <v>119</v>
      </c>
      <c r="E30" s="3">
        <v>72</v>
      </c>
    </row>
    <row r="31" spans="1:6" ht="15.75" customHeight="1">
      <c r="A31" s="3" t="s">
        <v>120</v>
      </c>
      <c r="B31" s="2" t="s">
        <v>121</v>
      </c>
      <c r="C31" s="2" t="s">
        <v>122</v>
      </c>
      <c r="D31" s="2" t="s">
        <v>123</v>
      </c>
      <c r="E31" s="3">
        <v>71</v>
      </c>
    </row>
    <row r="32" spans="1:6" ht="15.75" customHeight="1">
      <c r="A32" s="2" t="s">
        <v>124</v>
      </c>
      <c r="B32" s="3" t="s">
        <v>125</v>
      </c>
      <c r="C32" s="2" t="s">
        <v>126</v>
      </c>
      <c r="D32" s="2" t="s">
        <v>127</v>
      </c>
      <c r="E32" s="3">
        <v>70</v>
      </c>
    </row>
    <row r="33" spans="1:7" ht="15.75" customHeight="1">
      <c r="A33" s="2" t="s">
        <v>128</v>
      </c>
      <c r="B33" s="2" t="s">
        <v>129</v>
      </c>
      <c r="C33" s="2" t="s">
        <v>130</v>
      </c>
      <c r="D33" s="2" t="s">
        <v>131</v>
      </c>
      <c r="E33" s="3">
        <v>69</v>
      </c>
    </row>
    <row r="34" spans="1:7" ht="15.75" customHeight="1">
      <c r="A34" s="2" t="s">
        <v>132</v>
      </c>
      <c r="B34" s="2" t="s">
        <v>133</v>
      </c>
      <c r="C34" s="2" t="s">
        <v>134</v>
      </c>
      <c r="D34" s="2" t="s">
        <v>135</v>
      </c>
      <c r="E34" s="3">
        <v>68</v>
      </c>
    </row>
    <row r="35" spans="1:7" ht="15.75" customHeight="1">
      <c r="A35" s="2" t="s">
        <v>136</v>
      </c>
      <c r="B35" s="2" t="s">
        <v>137</v>
      </c>
      <c r="C35" s="2" t="s">
        <v>138</v>
      </c>
      <c r="D35" s="4" t="s">
        <v>139</v>
      </c>
      <c r="E35" s="3">
        <v>67</v>
      </c>
    </row>
    <row r="36" spans="1:7" ht="15.75" customHeight="1">
      <c r="A36" s="2" t="s">
        <v>140</v>
      </c>
      <c r="B36" s="2" t="s">
        <v>141</v>
      </c>
      <c r="C36" s="2" t="s">
        <v>142</v>
      </c>
      <c r="D36" s="2" t="s">
        <v>143</v>
      </c>
      <c r="E36" s="3">
        <v>66</v>
      </c>
    </row>
    <row r="37" spans="1:7" ht="15.75" customHeight="1">
      <c r="A37" s="2" t="s">
        <v>144</v>
      </c>
      <c r="B37" s="2" t="s">
        <v>145</v>
      </c>
      <c r="C37" s="2" t="s">
        <v>146</v>
      </c>
      <c r="D37" s="2" t="s">
        <v>147</v>
      </c>
      <c r="E37" s="3">
        <v>65</v>
      </c>
    </row>
    <row r="38" spans="1:7" ht="15.75" customHeight="1">
      <c r="A38" s="2" t="s">
        <v>148</v>
      </c>
      <c r="B38" s="2" t="s">
        <v>149</v>
      </c>
      <c r="C38" s="2" t="s">
        <v>150</v>
      </c>
      <c r="D38" s="4" t="s">
        <v>151</v>
      </c>
      <c r="E38" s="3">
        <v>64</v>
      </c>
    </row>
    <row r="39" spans="1:7" ht="15.75" customHeight="1">
      <c r="A39" s="2" t="s">
        <v>152</v>
      </c>
      <c r="B39" s="2" t="s">
        <v>153</v>
      </c>
      <c r="C39" s="4" t="s">
        <v>154</v>
      </c>
      <c r="D39" s="3" t="s">
        <v>155</v>
      </c>
      <c r="E39" s="3">
        <v>63</v>
      </c>
    </row>
    <row r="40" spans="1:7" ht="15.75" customHeight="1">
      <c r="A40" s="2" t="s">
        <v>156</v>
      </c>
      <c r="B40" s="5" t="s">
        <v>157</v>
      </c>
      <c r="C40" s="2" t="s">
        <v>158</v>
      </c>
      <c r="D40" s="4" t="s">
        <v>159</v>
      </c>
      <c r="E40" s="3">
        <v>62</v>
      </c>
    </row>
    <row r="41" spans="1:7" ht="15.75" customHeight="1">
      <c r="A41" s="2" t="s">
        <v>160</v>
      </c>
      <c r="B41" s="2" t="s">
        <v>161</v>
      </c>
      <c r="C41" s="2" t="s">
        <v>162</v>
      </c>
      <c r="D41" s="4" t="s">
        <v>163</v>
      </c>
      <c r="E41" s="3">
        <v>61</v>
      </c>
    </row>
    <row r="42" spans="1:7" ht="15.75" customHeight="1">
      <c r="A42" s="2" t="s">
        <v>164</v>
      </c>
      <c r="B42" s="4" t="s">
        <v>165</v>
      </c>
      <c r="C42" s="2" t="s">
        <v>166</v>
      </c>
      <c r="D42" s="4" t="s">
        <v>167</v>
      </c>
      <c r="E42" s="3">
        <v>60</v>
      </c>
    </row>
    <row r="43" spans="1:7" ht="15.75" customHeight="1">
      <c r="A43" s="2" t="s">
        <v>168</v>
      </c>
      <c r="B43" s="4" t="s">
        <v>169</v>
      </c>
      <c r="C43" s="3" t="s">
        <v>170</v>
      </c>
      <c r="D43" s="4" t="s">
        <v>171</v>
      </c>
      <c r="E43" s="3">
        <v>59</v>
      </c>
    </row>
    <row r="44" spans="1:7" ht="15.75" customHeight="1">
      <c r="A44" s="2" t="s">
        <v>172</v>
      </c>
      <c r="B44" s="2" t="s">
        <v>173</v>
      </c>
      <c r="C44" s="2" t="s">
        <v>174</v>
      </c>
      <c r="D44" s="4" t="s">
        <v>175</v>
      </c>
      <c r="E44" s="3">
        <v>58</v>
      </c>
    </row>
    <row r="45" spans="1:7" ht="15.75" customHeight="1">
      <c r="A45" s="4" t="s">
        <v>176</v>
      </c>
      <c r="B45" s="2" t="s">
        <v>177</v>
      </c>
      <c r="C45" s="2" t="s">
        <v>178</v>
      </c>
      <c r="D45" s="2" t="s">
        <v>179</v>
      </c>
      <c r="E45" s="3">
        <v>57</v>
      </c>
      <c r="G45" s="3"/>
    </row>
    <row r="46" spans="1:7" ht="15.75" customHeight="1">
      <c r="A46" s="3" t="s">
        <v>180</v>
      </c>
      <c r="B46" s="2" t="s">
        <v>181</v>
      </c>
      <c r="C46" s="4" t="s">
        <v>182</v>
      </c>
      <c r="D46" s="4" t="s">
        <v>183</v>
      </c>
      <c r="E46" s="3">
        <v>56</v>
      </c>
    </row>
    <row r="47" spans="1:7" ht="15.75" customHeight="1">
      <c r="A47" s="4" t="s">
        <v>184</v>
      </c>
      <c r="B47" s="4" t="s">
        <v>185</v>
      </c>
      <c r="C47" s="4" t="s">
        <v>186</v>
      </c>
      <c r="D47" s="5" t="s">
        <v>187</v>
      </c>
      <c r="E47" s="3">
        <v>55</v>
      </c>
    </row>
    <row r="48" spans="1:7" ht="15.75" customHeight="1">
      <c r="A48" s="4" t="s">
        <v>188</v>
      </c>
      <c r="B48" s="4" t="s">
        <v>189</v>
      </c>
      <c r="C48" s="4" t="s">
        <v>190</v>
      </c>
      <c r="D48" s="4" t="s">
        <v>191</v>
      </c>
      <c r="E48" s="3">
        <v>54</v>
      </c>
      <c r="G48" s="3"/>
    </row>
    <row r="49" spans="1:7" ht="15.75" customHeight="1">
      <c r="A49" s="2" t="s">
        <v>192</v>
      </c>
      <c r="B49" s="3" t="s">
        <v>193</v>
      </c>
      <c r="C49" s="2" t="s">
        <v>194</v>
      </c>
      <c r="D49" s="2" t="s">
        <v>195</v>
      </c>
      <c r="E49" s="3">
        <v>53</v>
      </c>
    </row>
    <row r="50" spans="1:7" ht="15.75" customHeight="1">
      <c r="A50" s="2" t="s">
        <v>196</v>
      </c>
      <c r="B50" s="3" t="s">
        <v>197</v>
      </c>
      <c r="C50" s="2" t="s">
        <v>198</v>
      </c>
      <c r="D50" s="2" t="s">
        <v>199</v>
      </c>
      <c r="E50" s="3">
        <v>52</v>
      </c>
      <c r="G50" s="3"/>
    </row>
    <row r="51" spans="1:7" ht="13">
      <c r="A51" s="3" t="s">
        <v>200</v>
      </c>
      <c r="B51" s="2" t="s">
        <v>201</v>
      </c>
      <c r="C51" s="2" t="s">
        <v>202</v>
      </c>
      <c r="D51" s="2" t="s">
        <v>203</v>
      </c>
      <c r="E51" s="3">
        <v>51</v>
      </c>
    </row>
    <row r="52" spans="1:7" ht="13">
      <c r="A52" s="2" t="s">
        <v>204</v>
      </c>
      <c r="B52" s="2" t="s">
        <v>205</v>
      </c>
      <c r="C52" s="2" t="s">
        <v>206</v>
      </c>
      <c r="D52" s="2" t="s">
        <v>207</v>
      </c>
      <c r="E52" s="3">
        <v>50</v>
      </c>
    </row>
    <row r="53" spans="1:7" ht="13">
      <c r="A53" s="2" t="s">
        <v>208</v>
      </c>
      <c r="B53" s="5" t="s">
        <v>209</v>
      </c>
      <c r="C53" s="2" t="s">
        <v>210</v>
      </c>
      <c r="D53" s="2" t="s">
        <v>211</v>
      </c>
      <c r="E53" s="3">
        <v>49</v>
      </c>
      <c r="G53" s="3"/>
    </row>
    <row r="54" spans="1:7" ht="13">
      <c r="A54" s="2" t="s">
        <v>212</v>
      </c>
      <c r="B54" s="2" t="s">
        <v>213</v>
      </c>
      <c r="C54" s="2" t="s">
        <v>214</v>
      </c>
      <c r="D54" s="3" t="s">
        <v>215</v>
      </c>
      <c r="E54" s="3">
        <v>48</v>
      </c>
    </row>
    <row r="55" spans="1:7" ht="13">
      <c r="A55" s="2" t="s">
        <v>216</v>
      </c>
      <c r="B55" s="2" t="s">
        <v>217</v>
      </c>
      <c r="C55" s="2" t="s">
        <v>218</v>
      </c>
      <c r="D55" s="2" t="s">
        <v>219</v>
      </c>
      <c r="E55" s="3">
        <v>47</v>
      </c>
    </row>
    <row r="56" spans="1:7" ht="13">
      <c r="A56" s="2" t="s">
        <v>220</v>
      </c>
      <c r="B56" s="2" t="s">
        <v>221</v>
      </c>
      <c r="C56" s="2" t="s">
        <v>222</v>
      </c>
      <c r="D56" s="2" t="s">
        <v>144</v>
      </c>
      <c r="E56" s="3">
        <v>46</v>
      </c>
    </row>
    <row r="57" spans="1:7" ht="13">
      <c r="A57" s="2" t="s">
        <v>223</v>
      </c>
      <c r="B57" s="2" t="s">
        <v>224</v>
      </c>
      <c r="C57" s="2" t="s">
        <v>225</v>
      </c>
      <c r="D57" s="2" t="s">
        <v>226</v>
      </c>
      <c r="E57" s="3">
        <v>45</v>
      </c>
    </row>
    <row r="58" spans="1:7" ht="13">
      <c r="A58" s="2" t="s">
        <v>227</v>
      </c>
      <c r="B58" s="2" t="s">
        <v>228</v>
      </c>
      <c r="C58" s="2" t="s">
        <v>229</v>
      </c>
      <c r="D58" s="2" t="s">
        <v>230</v>
      </c>
      <c r="E58" s="3">
        <v>44</v>
      </c>
    </row>
    <row r="59" spans="1:7" ht="13">
      <c r="A59" s="5" t="s">
        <v>231</v>
      </c>
      <c r="B59" s="2" t="s">
        <v>232</v>
      </c>
      <c r="C59" s="2" t="s">
        <v>233</v>
      </c>
      <c r="D59" s="2" t="s">
        <v>234</v>
      </c>
      <c r="E59" s="3">
        <v>43</v>
      </c>
    </row>
    <row r="60" spans="1:7" ht="13">
      <c r="A60" s="5" t="s">
        <v>235</v>
      </c>
      <c r="B60" s="2" t="s">
        <v>236</v>
      </c>
      <c r="C60" s="2" t="s">
        <v>237</v>
      </c>
      <c r="D60" s="2" t="s">
        <v>238</v>
      </c>
      <c r="E60" s="3">
        <v>42</v>
      </c>
    </row>
    <row r="61" spans="1:7" ht="13">
      <c r="A61" s="2" t="s">
        <v>239</v>
      </c>
      <c r="B61" s="2" t="s">
        <v>240</v>
      </c>
      <c r="C61" s="2" t="s">
        <v>241</v>
      </c>
      <c r="D61" s="2" t="s">
        <v>242</v>
      </c>
      <c r="E61" s="3">
        <v>41</v>
      </c>
    </row>
    <row r="62" spans="1:7" ht="13">
      <c r="A62" s="2" t="s">
        <v>243</v>
      </c>
      <c r="B62" s="5" t="s">
        <v>244</v>
      </c>
      <c r="C62" s="5" t="s">
        <v>245</v>
      </c>
      <c r="D62" s="2" t="s">
        <v>246</v>
      </c>
      <c r="E62" s="3">
        <v>40</v>
      </c>
    </row>
    <row r="63" spans="1:7" ht="13">
      <c r="A63" s="5" t="s">
        <v>247</v>
      </c>
      <c r="B63" s="2" t="s">
        <v>248</v>
      </c>
      <c r="C63" s="2" t="s">
        <v>249</v>
      </c>
      <c r="D63" s="2" t="s">
        <v>250</v>
      </c>
      <c r="E63" s="3">
        <v>39</v>
      </c>
    </row>
    <row r="64" spans="1:7" ht="13">
      <c r="A64" s="2" t="s">
        <v>251</v>
      </c>
      <c r="B64" s="2" t="s">
        <v>252</v>
      </c>
      <c r="C64" s="2" t="s">
        <v>253</v>
      </c>
      <c r="D64" s="2" t="s">
        <v>254</v>
      </c>
      <c r="E64" s="3">
        <v>38</v>
      </c>
    </row>
    <row r="65" spans="1:6" ht="13">
      <c r="A65" s="5" t="s">
        <v>255</v>
      </c>
      <c r="B65" s="2" t="s">
        <v>256</v>
      </c>
      <c r="C65" s="2" t="s">
        <v>257</v>
      </c>
      <c r="D65" s="2" t="s">
        <v>258</v>
      </c>
      <c r="E65" s="3">
        <v>37</v>
      </c>
    </row>
    <row r="66" spans="1:6" ht="13">
      <c r="A66" s="2" t="s">
        <v>259</v>
      </c>
      <c r="B66" s="2" t="s">
        <v>260</v>
      </c>
      <c r="C66" s="2" t="s">
        <v>261</v>
      </c>
      <c r="D66" s="2" t="s">
        <v>262</v>
      </c>
      <c r="E66" s="3">
        <v>36</v>
      </c>
    </row>
    <row r="67" spans="1:6" ht="13">
      <c r="A67" s="2" t="s">
        <v>263</v>
      </c>
      <c r="B67" s="5" t="s">
        <v>264</v>
      </c>
      <c r="C67" s="5" t="s">
        <v>265</v>
      </c>
      <c r="D67" s="2" t="s">
        <v>266</v>
      </c>
      <c r="E67" s="3">
        <v>35</v>
      </c>
    </row>
    <row r="68" spans="1:6" ht="13">
      <c r="A68" s="2" t="s">
        <v>267</v>
      </c>
      <c r="B68" s="2" t="s">
        <v>268</v>
      </c>
      <c r="C68" s="2" t="s">
        <v>269</v>
      </c>
      <c r="D68" s="5" t="s">
        <v>270</v>
      </c>
      <c r="E68" s="3">
        <v>34</v>
      </c>
    </row>
    <row r="69" spans="1:6" ht="13">
      <c r="A69" s="2" t="s">
        <v>271</v>
      </c>
      <c r="B69" s="2" t="s">
        <v>272</v>
      </c>
      <c r="C69" s="5" t="s">
        <v>273</v>
      </c>
      <c r="D69" s="2" t="s">
        <v>274</v>
      </c>
      <c r="E69" s="3">
        <v>33</v>
      </c>
    </row>
    <row r="70" spans="1:6" ht="13">
      <c r="A70" s="2" t="s">
        <v>275</v>
      </c>
      <c r="B70" s="2" t="s">
        <v>276</v>
      </c>
      <c r="C70" s="6" t="s">
        <v>277</v>
      </c>
      <c r="D70" s="2" t="s">
        <v>278</v>
      </c>
      <c r="E70" s="3">
        <v>32</v>
      </c>
      <c r="F70" s="3" t="s">
        <v>279</v>
      </c>
    </row>
    <row r="71" spans="1:6" ht="13">
      <c r="A71" s="2" t="s">
        <v>280</v>
      </c>
      <c r="B71" s="2" t="s">
        <v>281</v>
      </c>
      <c r="C71" s="2" t="s">
        <v>282</v>
      </c>
      <c r="D71" s="2" t="s">
        <v>283</v>
      </c>
      <c r="E71" s="3">
        <v>31</v>
      </c>
    </row>
    <row r="72" spans="1:6" ht="13">
      <c r="A72" s="2" t="s">
        <v>284</v>
      </c>
      <c r="B72" s="2" t="s">
        <v>285</v>
      </c>
      <c r="C72" s="2" t="s">
        <v>286</v>
      </c>
      <c r="D72" s="2" t="s">
        <v>287</v>
      </c>
      <c r="E72" s="3">
        <v>30</v>
      </c>
    </row>
    <row r="73" spans="1:6" ht="13">
      <c r="A73" s="2" t="s">
        <v>288</v>
      </c>
      <c r="B73" s="2" t="s">
        <v>289</v>
      </c>
      <c r="C73" s="2" t="s">
        <v>290</v>
      </c>
      <c r="D73" s="2" t="s">
        <v>291</v>
      </c>
      <c r="E73" s="3">
        <v>29</v>
      </c>
    </row>
    <row r="74" spans="1:6" ht="13">
      <c r="A74" s="5" t="s">
        <v>292</v>
      </c>
      <c r="B74" s="2" t="s">
        <v>293</v>
      </c>
      <c r="C74" s="2" t="s">
        <v>294</v>
      </c>
      <c r="D74" s="2" t="s">
        <v>295</v>
      </c>
      <c r="E74" s="3">
        <v>28</v>
      </c>
    </row>
    <row r="75" spans="1:6" ht="13">
      <c r="A75" s="2" t="s">
        <v>296</v>
      </c>
      <c r="B75" s="2" t="s">
        <v>297</v>
      </c>
      <c r="C75" s="2" t="s">
        <v>298</v>
      </c>
      <c r="D75" s="2" t="s">
        <v>299</v>
      </c>
      <c r="E75" s="3">
        <v>27</v>
      </c>
    </row>
    <row r="76" spans="1:6" ht="13">
      <c r="A76" s="2" t="s">
        <v>300</v>
      </c>
      <c r="B76" s="2" t="s">
        <v>301</v>
      </c>
      <c r="C76" s="2" t="s">
        <v>302</v>
      </c>
      <c r="D76" s="2" t="s">
        <v>303</v>
      </c>
      <c r="E76" s="3">
        <v>26</v>
      </c>
    </row>
    <row r="77" spans="1:6" ht="13">
      <c r="A77" s="2" t="s">
        <v>304</v>
      </c>
      <c r="B77" s="2" t="s">
        <v>305</v>
      </c>
      <c r="C77" s="2" t="s">
        <v>306</v>
      </c>
      <c r="D77" s="2" t="s">
        <v>307</v>
      </c>
      <c r="E77" s="3">
        <v>25</v>
      </c>
    </row>
    <row r="78" spans="1:6" ht="13">
      <c r="A78" s="2" t="s">
        <v>308</v>
      </c>
      <c r="B78" s="2" t="s">
        <v>309</v>
      </c>
      <c r="C78" s="5" t="s">
        <v>310</v>
      </c>
      <c r="D78" s="2" t="s">
        <v>311</v>
      </c>
      <c r="E78" s="3">
        <v>24</v>
      </c>
    </row>
    <row r="79" spans="1:6" ht="13">
      <c r="A79" s="2" t="s">
        <v>312</v>
      </c>
      <c r="B79" s="5" t="s">
        <v>313</v>
      </c>
      <c r="C79" s="2" t="s">
        <v>314</v>
      </c>
      <c r="D79" s="2" t="s">
        <v>315</v>
      </c>
      <c r="E79" s="3">
        <v>23</v>
      </c>
    </row>
    <row r="80" spans="1:6" ht="13">
      <c r="A80" s="2" t="s">
        <v>316</v>
      </c>
      <c r="B80" s="2" t="s">
        <v>317</v>
      </c>
      <c r="C80" s="2" t="s">
        <v>318</v>
      </c>
      <c r="D80" s="5" t="s">
        <v>273</v>
      </c>
      <c r="E80" s="3">
        <v>22</v>
      </c>
    </row>
    <row r="81" spans="1:6" ht="13">
      <c r="A81" s="2" t="s">
        <v>319</v>
      </c>
      <c r="B81" s="2" t="s">
        <v>320</v>
      </c>
      <c r="C81" s="7" t="s">
        <v>321</v>
      </c>
      <c r="D81" s="2" t="s">
        <v>322</v>
      </c>
      <c r="E81" s="3">
        <v>21</v>
      </c>
    </row>
    <row r="82" spans="1:6" ht="13">
      <c r="A82" s="2" t="s">
        <v>323</v>
      </c>
      <c r="B82" s="5" t="s">
        <v>324</v>
      </c>
      <c r="C82" s="2" t="s">
        <v>325</v>
      </c>
      <c r="D82" s="2" t="s">
        <v>326</v>
      </c>
      <c r="E82" s="3">
        <v>20</v>
      </c>
    </row>
    <row r="83" spans="1:6" ht="13">
      <c r="A83" s="2" t="s">
        <v>327</v>
      </c>
      <c r="B83" s="2" t="s">
        <v>328</v>
      </c>
      <c r="C83" s="5" t="s">
        <v>329</v>
      </c>
      <c r="D83" s="2" t="s">
        <v>330</v>
      </c>
      <c r="E83" s="3">
        <v>19</v>
      </c>
    </row>
    <row r="84" spans="1:6" ht="13">
      <c r="A84" s="2" t="s">
        <v>331</v>
      </c>
      <c r="B84" s="2" t="s">
        <v>332</v>
      </c>
      <c r="C84" s="2" t="s">
        <v>333</v>
      </c>
      <c r="D84" s="2" t="s">
        <v>334</v>
      </c>
      <c r="E84" s="3">
        <v>18</v>
      </c>
    </row>
    <row r="85" spans="1:6" ht="13">
      <c r="A85" s="2" t="s">
        <v>335</v>
      </c>
      <c r="B85" s="2" t="s">
        <v>336</v>
      </c>
      <c r="C85" s="2" t="s">
        <v>337</v>
      </c>
      <c r="D85" s="5" t="s">
        <v>338</v>
      </c>
      <c r="E85" s="3">
        <v>17</v>
      </c>
    </row>
    <row r="86" spans="1:6" ht="13">
      <c r="A86" s="5" t="s">
        <v>339</v>
      </c>
      <c r="B86" s="2" t="s">
        <v>340</v>
      </c>
      <c r="C86" s="2" t="s">
        <v>341</v>
      </c>
      <c r="D86" s="2" t="s">
        <v>342</v>
      </c>
      <c r="E86" s="3">
        <v>16</v>
      </c>
    </row>
    <row r="87" spans="1:6" ht="13">
      <c r="A87" s="5" t="s">
        <v>343</v>
      </c>
      <c r="B87" s="2" t="s">
        <v>344</v>
      </c>
      <c r="C87" s="5" t="s">
        <v>343</v>
      </c>
      <c r="D87" s="2" t="s">
        <v>345</v>
      </c>
      <c r="E87" s="3">
        <v>15</v>
      </c>
      <c r="F87" s="3" t="s">
        <v>279</v>
      </c>
    </row>
    <row r="88" spans="1:6" ht="13">
      <c r="A88" s="3"/>
      <c r="B88" s="3"/>
      <c r="C88" s="3"/>
      <c r="D88" s="3"/>
      <c r="E88" s="3">
        <v>14</v>
      </c>
    </row>
    <row r="89" spans="1:6" ht="13">
      <c r="A89" s="3"/>
      <c r="B89" s="3"/>
      <c r="C89" s="3"/>
      <c r="D89" s="3"/>
      <c r="E89" s="3">
        <v>13</v>
      </c>
    </row>
    <row r="90" spans="1:6" ht="13">
      <c r="A90" s="3"/>
      <c r="B90" s="3"/>
      <c r="C90" s="3"/>
      <c r="D90" s="3"/>
      <c r="E90" s="3">
        <v>12</v>
      </c>
    </row>
    <row r="91" spans="1:6" ht="13">
      <c r="A91" s="3"/>
      <c r="B91" s="3"/>
      <c r="C91" s="3"/>
      <c r="D91" s="3"/>
      <c r="E91" s="3">
        <v>11</v>
      </c>
    </row>
    <row r="92" spans="1:6" ht="13">
      <c r="A92" s="3"/>
      <c r="B92" s="3"/>
      <c r="C92" s="3"/>
      <c r="D92" s="3"/>
      <c r="E92" s="3">
        <v>10</v>
      </c>
    </row>
    <row r="93" spans="1:6" ht="13">
      <c r="A93" s="3"/>
      <c r="B93" s="3"/>
      <c r="C93" s="3"/>
      <c r="D93" s="3"/>
      <c r="E93" s="3">
        <v>9</v>
      </c>
    </row>
    <row r="94" spans="1:6" ht="13">
      <c r="A94" s="3"/>
      <c r="B94" s="3"/>
      <c r="C94" s="3"/>
      <c r="D94" s="3"/>
      <c r="E94" s="3">
        <v>8</v>
      </c>
    </row>
    <row r="95" spans="1:6" ht="13">
      <c r="A95" s="3"/>
      <c r="B95" s="3"/>
      <c r="C95" s="3"/>
      <c r="D95" s="3"/>
      <c r="E95" s="3">
        <v>7</v>
      </c>
    </row>
    <row r="96" spans="1:6" ht="13">
      <c r="A96" s="3"/>
      <c r="B96" s="3"/>
      <c r="C96" s="3"/>
      <c r="D96" s="3"/>
      <c r="E96" s="3">
        <v>6</v>
      </c>
    </row>
    <row r="97" spans="1:5" ht="13">
      <c r="A97" s="3"/>
      <c r="B97" s="3"/>
      <c r="C97" s="3"/>
      <c r="D97" s="3"/>
      <c r="E97" s="3">
        <v>5</v>
      </c>
    </row>
    <row r="98" spans="1:5" ht="13">
      <c r="A98" s="3"/>
      <c r="B98" s="3"/>
      <c r="C98" s="3"/>
      <c r="D98" s="3"/>
      <c r="E98" s="3">
        <v>4</v>
      </c>
    </row>
    <row r="99" spans="1:5" ht="13">
      <c r="A99" s="3"/>
      <c r="B99" s="3"/>
      <c r="C99" s="3"/>
      <c r="D99" s="3"/>
      <c r="E99" s="3">
        <v>3</v>
      </c>
    </row>
    <row r="100" spans="1:5" ht="13">
      <c r="A100" s="3"/>
      <c r="B100" s="3"/>
      <c r="C100" s="3"/>
      <c r="D100" s="3"/>
      <c r="E100" s="3">
        <v>2</v>
      </c>
    </row>
    <row r="101" spans="1:5" ht="13">
      <c r="A101" s="3"/>
      <c r="B101" s="3"/>
      <c r="C101" s="3"/>
      <c r="D101" s="3"/>
      <c r="E101" s="3">
        <v>1</v>
      </c>
    </row>
  </sheetData>
  <conditionalFormatting sqref="A2:D101 G48 G53">
    <cfRule type="notContainsBlanks" dxfId="8" priority="1">
      <formula>LEN(TRIM(A2))&gt;0</formula>
    </cfRule>
  </conditionalFormatting>
  <hyperlinks>
    <hyperlink ref="A2" r:id="rId1" xr:uid="{00000000-0004-0000-0000-000000000000}"/>
    <hyperlink ref="B2" r:id="rId2" xr:uid="{00000000-0004-0000-0000-000001000000}"/>
    <hyperlink ref="D2" r:id="rId3" xr:uid="{00000000-0004-0000-0000-000002000000}"/>
    <hyperlink ref="A3" r:id="rId4" xr:uid="{00000000-0004-0000-0000-000003000000}"/>
    <hyperlink ref="B3" r:id="rId5" xr:uid="{00000000-0004-0000-0000-000004000000}"/>
    <hyperlink ref="C3" r:id="rId6" xr:uid="{00000000-0004-0000-0000-000005000000}"/>
    <hyperlink ref="D3" r:id="rId7" xr:uid="{00000000-0004-0000-0000-000006000000}"/>
    <hyperlink ref="A4" r:id="rId8" xr:uid="{00000000-0004-0000-0000-000007000000}"/>
    <hyperlink ref="C4" r:id="rId9" xr:uid="{00000000-0004-0000-0000-000008000000}"/>
    <hyperlink ref="D4" r:id="rId10" xr:uid="{00000000-0004-0000-0000-000009000000}"/>
    <hyperlink ref="A5" r:id="rId11" xr:uid="{00000000-0004-0000-0000-00000A000000}"/>
    <hyperlink ref="B5" r:id="rId12" xr:uid="{00000000-0004-0000-0000-00000B000000}"/>
    <hyperlink ref="C5" r:id="rId13" xr:uid="{00000000-0004-0000-0000-00000C000000}"/>
    <hyperlink ref="D5" r:id="rId14" xr:uid="{00000000-0004-0000-0000-00000D000000}"/>
    <hyperlink ref="A6" r:id="rId15" xr:uid="{00000000-0004-0000-0000-00000E000000}"/>
    <hyperlink ref="C6" r:id="rId16" xr:uid="{00000000-0004-0000-0000-00000F000000}"/>
    <hyperlink ref="A7" r:id="rId17" xr:uid="{00000000-0004-0000-0000-000010000000}"/>
    <hyperlink ref="C7" r:id="rId18" xr:uid="{00000000-0004-0000-0000-000011000000}"/>
    <hyperlink ref="D7" r:id="rId19" xr:uid="{00000000-0004-0000-0000-000012000000}"/>
    <hyperlink ref="A8" r:id="rId20" xr:uid="{00000000-0004-0000-0000-000013000000}"/>
    <hyperlink ref="C8" r:id="rId21" xr:uid="{00000000-0004-0000-0000-000014000000}"/>
    <hyperlink ref="D8" r:id="rId22" xr:uid="{00000000-0004-0000-0000-000015000000}"/>
    <hyperlink ref="A9" r:id="rId23" xr:uid="{00000000-0004-0000-0000-000016000000}"/>
    <hyperlink ref="B9" r:id="rId24" xr:uid="{00000000-0004-0000-0000-000017000000}"/>
    <hyperlink ref="C9" r:id="rId25" xr:uid="{00000000-0004-0000-0000-000018000000}"/>
    <hyperlink ref="D9" r:id="rId26" xr:uid="{00000000-0004-0000-0000-000019000000}"/>
    <hyperlink ref="B10" r:id="rId27" xr:uid="{00000000-0004-0000-0000-00001A000000}"/>
    <hyperlink ref="C10" r:id="rId28" xr:uid="{00000000-0004-0000-0000-00001B000000}"/>
    <hyperlink ref="D10" r:id="rId29" xr:uid="{00000000-0004-0000-0000-00001C000000}"/>
    <hyperlink ref="A11" r:id="rId30" xr:uid="{00000000-0004-0000-0000-00001D000000}"/>
    <hyperlink ref="B11" r:id="rId31" xr:uid="{00000000-0004-0000-0000-00001E000000}"/>
    <hyperlink ref="C11" r:id="rId32" xr:uid="{00000000-0004-0000-0000-00001F000000}"/>
    <hyperlink ref="D11" r:id="rId33" xr:uid="{00000000-0004-0000-0000-000020000000}"/>
    <hyperlink ref="A12" r:id="rId34" xr:uid="{00000000-0004-0000-0000-000021000000}"/>
    <hyperlink ref="B12" r:id="rId35" xr:uid="{00000000-0004-0000-0000-000022000000}"/>
    <hyperlink ref="C12" r:id="rId36" xr:uid="{00000000-0004-0000-0000-000023000000}"/>
    <hyperlink ref="D12" r:id="rId37" xr:uid="{00000000-0004-0000-0000-000024000000}"/>
    <hyperlink ref="A13" r:id="rId38" xr:uid="{00000000-0004-0000-0000-000025000000}"/>
    <hyperlink ref="B13" r:id="rId39" xr:uid="{00000000-0004-0000-0000-000026000000}"/>
    <hyperlink ref="C13" r:id="rId40" xr:uid="{00000000-0004-0000-0000-000027000000}"/>
    <hyperlink ref="D13" r:id="rId41" xr:uid="{00000000-0004-0000-0000-000028000000}"/>
    <hyperlink ref="A14" r:id="rId42" xr:uid="{00000000-0004-0000-0000-000029000000}"/>
    <hyperlink ref="B14" r:id="rId43" xr:uid="{00000000-0004-0000-0000-00002A000000}"/>
    <hyperlink ref="C14" r:id="rId44" xr:uid="{00000000-0004-0000-0000-00002B000000}"/>
    <hyperlink ref="D14" r:id="rId45" xr:uid="{00000000-0004-0000-0000-00002C000000}"/>
    <hyperlink ref="A15" r:id="rId46" xr:uid="{00000000-0004-0000-0000-00002D000000}"/>
    <hyperlink ref="B15" r:id="rId47" xr:uid="{00000000-0004-0000-0000-00002E000000}"/>
    <hyperlink ref="C15" r:id="rId48" xr:uid="{00000000-0004-0000-0000-00002F000000}"/>
    <hyperlink ref="D15" r:id="rId49" xr:uid="{00000000-0004-0000-0000-000030000000}"/>
    <hyperlink ref="A16" r:id="rId50" xr:uid="{00000000-0004-0000-0000-000031000000}"/>
    <hyperlink ref="B16" r:id="rId51" xr:uid="{00000000-0004-0000-0000-000032000000}"/>
    <hyperlink ref="C16" r:id="rId52" xr:uid="{00000000-0004-0000-0000-000033000000}"/>
    <hyperlink ref="D16" r:id="rId53" xr:uid="{00000000-0004-0000-0000-000034000000}"/>
    <hyperlink ref="A17" r:id="rId54" xr:uid="{00000000-0004-0000-0000-000035000000}"/>
    <hyperlink ref="B17" r:id="rId55" xr:uid="{00000000-0004-0000-0000-000036000000}"/>
    <hyperlink ref="C17" r:id="rId56" xr:uid="{00000000-0004-0000-0000-000037000000}"/>
    <hyperlink ref="D17" r:id="rId57" xr:uid="{00000000-0004-0000-0000-000038000000}"/>
    <hyperlink ref="B18" r:id="rId58" xr:uid="{00000000-0004-0000-0000-000039000000}"/>
    <hyperlink ref="D18" r:id="rId59" xr:uid="{00000000-0004-0000-0000-00003A000000}"/>
    <hyperlink ref="A19" r:id="rId60" xr:uid="{00000000-0004-0000-0000-00003B000000}"/>
    <hyperlink ref="C19" r:id="rId61" xr:uid="{00000000-0004-0000-0000-00003C000000}"/>
    <hyperlink ref="D19" r:id="rId62" xr:uid="{00000000-0004-0000-0000-00003D000000}"/>
    <hyperlink ref="A20" r:id="rId63" xr:uid="{00000000-0004-0000-0000-00003E000000}"/>
    <hyperlink ref="B20" r:id="rId64" xr:uid="{00000000-0004-0000-0000-00003F000000}"/>
    <hyperlink ref="C20" r:id="rId65" xr:uid="{00000000-0004-0000-0000-000040000000}"/>
    <hyperlink ref="D20" r:id="rId66" xr:uid="{00000000-0004-0000-0000-000041000000}"/>
    <hyperlink ref="A21" r:id="rId67" xr:uid="{00000000-0004-0000-0000-000042000000}"/>
    <hyperlink ref="B21" r:id="rId68" xr:uid="{00000000-0004-0000-0000-000043000000}"/>
    <hyperlink ref="C21" r:id="rId69" xr:uid="{00000000-0004-0000-0000-000044000000}"/>
    <hyperlink ref="D21" r:id="rId70" xr:uid="{00000000-0004-0000-0000-000045000000}"/>
    <hyperlink ref="A22" r:id="rId71" xr:uid="{00000000-0004-0000-0000-000046000000}"/>
    <hyperlink ref="B22" r:id="rId72" xr:uid="{00000000-0004-0000-0000-000047000000}"/>
    <hyperlink ref="C22" r:id="rId73" xr:uid="{00000000-0004-0000-0000-000048000000}"/>
    <hyperlink ref="A23" r:id="rId74" xr:uid="{00000000-0004-0000-0000-000049000000}"/>
    <hyperlink ref="B23" r:id="rId75" xr:uid="{00000000-0004-0000-0000-00004A000000}"/>
    <hyperlink ref="C23" r:id="rId76" xr:uid="{00000000-0004-0000-0000-00004B000000}"/>
    <hyperlink ref="D23" r:id="rId77" xr:uid="{00000000-0004-0000-0000-00004C000000}"/>
    <hyperlink ref="A24" r:id="rId78" xr:uid="{00000000-0004-0000-0000-00004D000000}"/>
    <hyperlink ref="B24" r:id="rId79" xr:uid="{00000000-0004-0000-0000-00004E000000}"/>
    <hyperlink ref="C24" r:id="rId80" xr:uid="{00000000-0004-0000-0000-00004F000000}"/>
    <hyperlink ref="D24" r:id="rId81" xr:uid="{00000000-0004-0000-0000-000050000000}"/>
    <hyperlink ref="A25" r:id="rId82" xr:uid="{00000000-0004-0000-0000-000051000000}"/>
    <hyperlink ref="B25" r:id="rId83" xr:uid="{00000000-0004-0000-0000-000052000000}"/>
    <hyperlink ref="C25" r:id="rId84" xr:uid="{00000000-0004-0000-0000-000053000000}"/>
    <hyperlink ref="A26" r:id="rId85" xr:uid="{00000000-0004-0000-0000-000054000000}"/>
    <hyperlink ref="B26" r:id="rId86" xr:uid="{00000000-0004-0000-0000-000055000000}"/>
    <hyperlink ref="C26" r:id="rId87" xr:uid="{00000000-0004-0000-0000-000056000000}"/>
    <hyperlink ref="D26" r:id="rId88" xr:uid="{00000000-0004-0000-0000-000057000000}"/>
    <hyperlink ref="A27" r:id="rId89" xr:uid="{00000000-0004-0000-0000-000058000000}"/>
    <hyperlink ref="C27" r:id="rId90" xr:uid="{00000000-0004-0000-0000-000059000000}"/>
    <hyperlink ref="D27" r:id="rId91" xr:uid="{00000000-0004-0000-0000-00005A000000}"/>
    <hyperlink ref="A28" r:id="rId92" xr:uid="{00000000-0004-0000-0000-00005B000000}"/>
    <hyperlink ref="B28" r:id="rId93" xr:uid="{00000000-0004-0000-0000-00005C000000}"/>
    <hyperlink ref="C28" r:id="rId94" xr:uid="{00000000-0004-0000-0000-00005D000000}"/>
    <hyperlink ref="D28" r:id="rId95" xr:uid="{00000000-0004-0000-0000-00005E000000}"/>
    <hyperlink ref="A29" r:id="rId96" xr:uid="{00000000-0004-0000-0000-00005F000000}"/>
    <hyperlink ref="C29" r:id="rId97" xr:uid="{00000000-0004-0000-0000-000060000000}"/>
    <hyperlink ref="D29" r:id="rId98" xr:uid="{00000000-0004-0000-0000-000061000000}"/>
    <hyperlink ref="A30" r:id="rId99" xr:uid="{00000000-0004-0000-0000-000062000000}"/>
    <hyperlink ref="B30" r:id="rId100" xr:uid="{00000000-0004-0000-0000-000063000000}"/>
    <hyperlink ref="C30" r:id="rId101" xr:uid="{00000000-0004-0000-0000-000064000000}"/>
    <hyperlink ref="D30" r:id="rId102" xr:uid="{00000000-0004-0000-0000-000065000000}"/>
    <hyperlink ref="B31" r:id="rId103" xr:uid="{00000000-0004-0000-0000-000066000000}"/>
    <hyperlink ref="C31" r:id="rId104" xr:uid="{00000000-0004-0000-0000-000067000000}"/>
    <hyperlink ref="D31" r:id="rId105" xr:uid="{00000000-0004-0000-0000-000068000000}"/>
    <hyperlink ref="A32" r:id="rId106" xr:uid="{00000000-0004-0000-0000-000069000000}"/>
    <hyperlink ref="C32" r:id="rId107" xr:uid="{00000000-0004-0000-0000-00006A000000}"/>
    <hyperlink ref="D32" r:id="rId108" xr:uid="{00000000-0004-0000-0000-00006B000000}"/>
    <hyperlink ref="A33" r:id="rId109" xr:uid="{00000000-0004-0000-0000-00006C000000}"/>
    <hyperlink ref="B33" r:id="rId110" xr:uid="{00000000-0004-0000-0000-00006D000000}"/>
    <hyperlink ref="C33" r:id="rId111" xr:uid="{00000000-0004-0000-0000-00006E000000}"/>
    <hyperlink ref="D33" r:id="rId112" xr:uid="{00000000-0004-0000-0000-00006F000000}"/>
    <hyperlink ref="A34" r:id="rId113" xr:uid="{00000000-0004-0000-0000-000070000000}"/>
    <hyperlink ref="B34" r:id="rId114" xr:uid="{00000000-0004-0000-0000-000071000000}"/>
    <hyperlink ref="C34" r:id="rId115" xr:uid="{00000000-0004-0000-0000-000072000000}"/>
    <hyperlink ref="D34" r:id="rId116" xr:uid="{00000000-0004-0000-0000-000073000000}"/>
    <hyperlink ref="A35" r:id="rId117" xr:uid="{00000000-0004-0000-0000-000074000000}"/>
    <hyperlink ref="B35" r:id="rId118" xr:uid="{00000000-0004-0000-0000-000075000000}"/>
    <hyperlink ref="C35" r:id="rId119" xr:uid="{00000000-0004-0000-0000-000076000000}"/>
    <hyperlink ref="D35" r:id="rId120" xr:uid="{00000000-0004-0000-0000-000077000000}"/>
    <hyperlink ref="A36" r:id="rId121" xr:uid="{00000000-0004-0000-0000-000078000000}"/>
    <hyperlink ref="B36" r:id="rId122" xr:uid="{00000000-0004-0000-0000-000079000000}"/>
    <hyperlink ref="C36" r:id="rId123" xr:uid="{00000000-0004-0000-0000-00007A000000}"/>
    <hyperlink ref="D36" r:id="rId124" xr:uid="{00000000-0004-0000-0000-00007B000000}"/>
    <hyperlink ref="A37" r:id="rId125" xr:uid="{00000000-0004-0000-0000-00007C000000}"/>
    <hyperlink ref="B37" r:id="rId126" xr:uid="{00000000-0004-0000-0000-00007D000000}"/>
    <hyperlink ref="C37" r:id="rId127" xr:uid="{00000000-0004-0000-0000-00007E000000}"/>
    <hyperlink ref="D37" r:id="rId128" xr:uid="{00000000-0004-0000-0000-00007F000000}"/>
    <hyperlink ref="A38" r:id="rId129" xr:uid="{00000000-0004-0000-0000-000080000000}"/>
    <hyperlink ref="B38" r:id="rId130" xr:uid="{00000000-0004-0000-0000-000081000000}"/>
    <hyperlink ref="C38" r:id="rId131" xr:uid="{00000000-0004-0000-0000-000082000000}"/>
    <hyperlink ref="D38" r:id="rId132" xr:uid="{00000000-0004-0000-0000-000083000000}"/>
    <hyperlink ref="A39" r:id="rId133" xr:uid="{00000000-0004-0000-0000-000084000000}"/>
    <hyperlink ref="B39" r:id="rId134" xr:uid="{00000000-0004-0000-0000-000085000000}"/>
    <hyperlink ref="C39" r:id="rId135" xr:uid="{00000000-0004-0000-0000-000086000000}"/>
    <hyperlink ref="A40" r:id="rId136" xr:uid="{00000000-0004-0000-0000-000087000000}"/>
    <hyperlink ref="C40" r:id="rId137" xr:uid="{00000000-0004-0000-0000-000088000000}"/>
    <hyperlink ref="D40" r:id="rId138" xr:uid="{00000000-0004-0000-0000-000089000000}"/>
    <hyperlink ref="A41" r:id="rId139" xr:uid="{00000000-0004-0000-0000-00008A000000}"/>
    <hyperlink ref="B41" r:id="rId140" xr:uid="{00000000-0004-0000-0000-00008B000000}"/>
    <hyperlink ref="C41" r:id="rId141" xr:uid="{00000000-0004-0000-0000-00008C000000}"/>
    <hyperlink ref="D41" r:id="rId142" xr:uid="{00000000-0004-0000-0000-00008D000000}"/>
    <hyperlink ref="A42" r:id="rId143" xr:uid="{00000000-0004-0000-0000-00008E000000}"/>
    <hyperlink ref="B42" r:id="rId144" xr:uid="{00000000-0004-0000-0000-00008F000000}"/>
    <hyperlink ref="C42" r:id="rId145" xr:uid="{00000000-0004-0000-0000-000090000000}"/>
    <hyperlink ref="D42" r:id="rId146" xr:uid="{00000000-0004-0000-0000-000091000000}"/>
    <hyperlink ref="A43" r:id="rId147" xr:uid="{00000000-0004-0000-0000-000092000000}"/>
    <hyperlink ref="B43" r:id="rId148" xr:uid="{00000000-0004-0000-0000-000093000000}"/>
    <hyperlink ref="D43" r:id="rId149" xr:uid="{00000000-0004-0000-0000-000094000000}"/>
    <hyperlink ref="A44" r:id="rId150" xr:uid="{00000000-0004-0000-0000-000095000000}"/>
    <hyperlink ref="B44" r:id="rId151" xr:uid="{00000000-0004-0000-0000-000096000000}"/>
    <hyperlink ref="C44" r:id="rId152" xr:uid="{00000000-0004-0000-0000-000097000000}"/>
    <hyperlink ref="D44" r:id="rId153" xr:uid="{00000000-0004-0000-0000-000098000000}"/>
    <hyperlink ref="A45" r:id="rId154" xr:uid="{00000000-0004-0000-0000-000099000000}"/>
    <hyperlink ref="B45" r:id="rId155" xr:uid="{00000000-0004-0000-0000-00009A000000}"/>
    <hyperlink ref="C45" r:id="rId156" xr:uid="{00000000-0004-0000-0000-00009B000000}"/>
    <hyperlink ref="D45" r:id="rId157" xr:uid="{00000000-0004-0000-0000-00009C000000}"/>
    <hyperlink ref="B46" r:id="rId158" xr:uid="{00000000-0004-0000-0000-00009D000000}"/>
    <hyperlink ref="C46" r:id="rId159" xr:uid="{00000000-0004-0000-0000-00009E000000}"/>
    <hyperlink ref="D46" r:id="rId160" xr:uid="{00000000-0004-0000-0000-00009F000000}"/>
    <hyperlink ref="A47" r:id="rId161" xr:uid="{00000000-0004-0000-0000-0000A0000000}"/>
    <hyperlink ref="B47" r:id="rId162" xr:uid="{00000000-0004-0000-0000-0000A1000000}"/>
    <hyperlink ref="C47" r:id="rId163" xr:uid="{00000000-0004-0000-0000-0000A2000000}"/>
    <hyperlink ref="A48" r:id="rId164" xr:uid="{00000000-0004-0000-0000-0000A3000000}"/>
    <hyperlink ref="B48" r:id="rId165" xr:uid="{00000000-0004-0000-0000-0000A4000000}"/>
    <hyperlink ref="C48" r:id="rId166" xr:uid="{00000000-0004-0000-0000-0000A5000000}"/>
    <hyperlink ref="D48" r:id="rId167" xr:uid="{00000000-0004-0000-0000-0000A6000000}"/>
    <hyperlink ref="A49" r:id="rId168" xr:uid="{00000000-0004-0000-0000-0000A7000000}"/>
    <hyperlink ref="C49" r:id="rId169" xr:uid="{00000000-0004-0000-0000-0000A8000000}"/>
    <hyperlink ref="D49" r:id="rId170" xr:uid="{00000000-0004-0000-0000-0000A9000000}"/>
    <hyperlink ref="A50" r:id="rId171" xr:uid="{00000000-0004-0000-0000-0000AA000000}"/>
    <hyperlink ref="C50" r:id="rId172" xr:uid="{00000000-0004-0000-0000-0000AB000000}"/>
    <hyperlink ref="D50" r:id="rId173" xr:uid="{00000000-0004-0000-0000-0000AC000000}"/>
    <hyperlink ref="B51" r:id="rId174" xr:uid="{00000000-0004-0000-0000-0000AD000000}"/>
    <hyperlink ref="C51" r:id="rId175" xr:uid="{00000000-0004-0000-0000-0000AE000000}"/>
    <hyperlink ref="D51" r:id="rId176" xr:uid="{00000000-0004-0000-0000-0000AF000000}"/>
    <hyperlink ref="A52" r:id="rId177" xr:uid="{00000000-0004-0000-0000-0000B0000000}"/>
    <hyperlink ref="B52" r:id="rId178" xr:uid="{00000000-0004-0000-0000-0000B1000000}"/>
    <hyperlink ref="C52" r:id="rId179" xr:uid="{00000000-0004-0000-0000-0000B2000000}"/>
    <hyperlink ref="D52" r:id="rId180" xr:uid="{00000000-0004-0000-0000-0000B3000000}"/>
    <hyperlink ref="A53" r:id="rId181" xr:uid="{00000000-0004-0000-0000-0000B4000000}"/>
    <hyperlink ref="C53" r:id="rId182" xr:uid="{00000000-0004-0000-0000-0000B5000000}"/>
    <hyperlink ref="D53" r:id="rId183" xr:uid="{00000000-0004-0000-0000-0000B6000000}"/>
    <hyperlink ref="A54" r:id="rId184" xr:uid="{00000000-0004-0000-0000-0000B7000000}"/>
    <hyperlink ref="B54" r:id="rId185" xr:uid="{00000000-0004-0000-0000-0000B8000000}"/>
    <hyperlink ref="C54" r:id="rId186" xr:uid="{00000000-0004-0000-0000-0000B9000000}"/>
    <hyperlink ref="A55" r:id="rId187" xr:uid="{00000000-0004-0000-0000-0000BA000000}"/>
    <hyperlink ref="B55" r:id="rId188" xr:uid="{00000000-0004-0000-0000-0000BB000000}"/>
    <hyperlink ref="C55" r:id="rId189" xr:uid="{00000000-0004-0000-0000-0000BC000000}"/>
    <hyperlink ref="D55" r:id="rId190" xr:uid="{00000000-0004-0000-0000-0000BD000000}"/>
    <hyperlink ref="A56" r:id="rId191" xr:uid="{00000000-0004-0000-0000-0000BE000000}"/>
    <hyperlink ref="B56" r:id="rId192" xr:uid="{00000000-0004-0000-0000-0000BF000000}"/>
    <hyperlink ref="C56" r:id="rId193" xr:uid="{00000000-0004-0000-0000-0000C0000000}"/>
    <hyperlink ref="D56" r:id="rId194" xr:uid="{00000000-0004-0000-0000-0000C1000000}"/>
    <hyperlink ref="A57" r:id="rId195" xr:uid="{00000000-0004-0000-0000-0000C2000000}"/>
    <hyperlink ref="B57" r:id="rId196" xr:uid="{00000000-0004-0000-0000-0000C3000000}"/>
    <hyperlink ref="C57" r:id="rId197" xr:uid="{00000000-0004-0000-0000-0000C4000000}"/>
    <hyperlink ref="D57" r:id="rId198" xr:uid="{00000000-0004-0000-0000-0000C5000000}"/>
    <hyperlink ref="A58" r:id="rId199" xr:uid="{00000000-0004-0000-0000-0000C6000000}"/>
    <hyperlink ref="B58" r:id="rId200" xr:uid="{00000000-0004-0000-0000-0000C7000000}"/>
    <hyperlink ref="C58" r:id="rId201" xr:uid="{00000000-0004-0000-0000-0000C8000000}"/>
    <hyperlink ref="D58" r:id="rId202" xr:uid="{00000000-0004-0000-0000-0000C9000000}"/>
    <hyperlink ref="B59" r:id="rId203" xr:uid="{00000000-0004-0000-0000-0000CA000000}"/>
    <hyperlink ref="C59" r:id="rId204" xr:uid="{00000000-0004-0000-0000-0000CB000000}"/>
    <hyperlink ref="D59" r:id="rId205" xr:uid="{00000000-0004-0000-0000-0000CC000000}"/>
    <hyperlink ref="B60" r:id="rId206" xr:uid="{00000000-0004-0000-0000-0000CD000000}"/>
    <hyperlink ref="C60" r:id="rId207" xr:uid="{00000000-0004-0000-0000-0000CE000000}"/>
    <hyperlink ref="D60" r:id="rId208" xr:uid="{00000000-0004-0000-0000-0000CF000000}"/>
    <hyperlink ref="A61" r:id="rId209" xr:uid="{00000000-0004-0000-0000-0000D0000000}"/>
    <hyperlink ref="B61" r:id="rId210" xr:uid="{00000000-0004-0000-0000-0000D1000000}"/>
    <hyperlink ref="C61" r:id="rId211" xr:uid="{00000000-0004-0000-0000-0000D2000000}"/>
    <hyperlink ref="D61" r:id="rId212" xr:uid="{00000000-0004-0000-0000-0000D3000000}"/>
    <hyperlink ref="A62" r:id="rId213" xr:uid="{00000000-0004-0000-0000-0000D4000000}"/>
    <hyperlink ref="D62" r:id="rId214" xr:uid="{00000000-0004-0000-0000-0000D5000000}"/>
    <hyperlink ref="B63" r:id="rId215" xr:uid="{00000000-0004-0000-0000-0000D6000000}"/>
    <hyperlink ref="C63" r:id="rId216" xr:uid="{00000000-0004-0000-0000-0000D7000000}"/>
    <hyperlink ref="D63" r:id="rId217" xr:uid="{00000000-0004-0000-0000-0000D8000000}"/>
    <hyperlink ref="A64" r:id="rId218" xr:uid="{00000000-0004-0000-0000-0000D9000000}"/>
    <hyperlink ref="B64" r:id="rId219" xr:uid="{00000000-0004-0000-0000-0000DA000000}"/>
    <hyperlink ref="C64" r:id="rId220" xr:uid="{00000000-0004-0000-0000-0000DB000000}"/>
    <hyperlink ref="D64" r:id="rId221" xr:uid="{00000000-0004-0000-0000-0000DC000000}"/>
    <hyperlink ref="B65" r:id="rId222" xr:uid="{00000000-0004-0000-0000-0000DD000000}"/>
    <hyperlink ref="C65" r:id="rId223" xr:uid="{00000000-0004-0000-0000-0000DE000000}"/>
    <hyperlink ref="D65" r:id="rId224" xr:uid="{00000000-0004-0000-0000-0000DF000000}"/>
    <hyperlink ref="A66" r:id="rId225" xr:uid="{00000000-0004-0000-0000-0000E0000000}"/>
    <hyperlink ref="B66" r:id="rId226" xr:uid="{00000000-0004-0000-0000-0000E1000000}"/>
    <hyperlink ref="C66" r:id="rId227" xr:uid="{00000000-0004-0000-0000-0000E2000000}"/>
    <hyperlink ref="D66" r:id="rId228" xr:uid="{00000000-0004-0000-0000-0000E3000000}"/>
    <hyperlink ref="A67" r:id="rId229" xr:uid="{00000000-0004-0000-0000-0000E4000000}"/>
    <hyperlink ref="D67" r:id="rId230" xr:uid="{00000000-0004-0000-0000-0000E5000000}"/>
    <hyperlink ref="A68" r:id="rId231" xr:uid="{00000000-0004-0000-0000-0000E6000000}"/>
    <hyperlink ref="B68" r:id="rId232" xr:uid="{00000000-0004-0000-0000-0000E7000000}"/>
    <hyperlink ref="C68" r:id="rId233" xr:uid="{00000000-0004-0000-0000-0000E8000000}"/>
    <hyperlink ref="A69" r:id="rId234" xr:uid="{00000000-0004-0000-0000-0000E9000000}"/>
    <hyperlink ref="B69" r:id="rId235" xr:uid="{00000000-0004-0000-0000-0000EA000000}"/>
    <hyperlink ref="D69" r:id="rId236" xr:uid="{00000000-0004-0000-0000-0000EB000000}"/>
    <hyperlink ref="A70" r:id="rId237" xr:uid="{00000000-0004-0000-0000-0000EC000000}"/>
    <hyperlink ref="B70" r:id="rId238" xr:uid="{00000000-0004-0000-0000-0000ED000000}"/>
    <hyperlink ref="C70" r:id="rId239" xr:uid="{00000000-0004-0000-0000-0000EE000000}"/>
    <hyperlink ref="D70" r:id="rId240" xr:uid="{00000000-0004-0000-0000-0000EF000000}"/>
    <hyperlink ref="A71" r:id="rId241" xr:uid="{00000000-0004-0000-0000-0000F0000000}"/>
    <hyperlink ref="B71" r:id="rId242" xr:uid="{00000000-0004-0000-0000-0000F1000000}"/>
    <hyperlink ref="C71" r:id="rId243" xr:uid="{00000000-0004-0000-0000-0000F2000000}"/>
    <hyperlink ref="D71" r:id="rId244" xr:uid="{00000000-0004-0000-0000-0000F3000000}"/>
    <hyperlink ref="A72" r:id="rId245" xr:uid="{00000000-0004-0000-0000-0000F4000000}"/>
    <hyperlink ref="B72" r:id="rId246" xr:uid="{00000000-0004-0000-0000-0000F5000000}"/>
    <hyperlink ref="C72" r:id="rId247" xr:uid="{00000000-0004-0000-0000-0000F6000000}"/>
    <hyperlink ref="D72" r:id="rId248" xr:uid="{00000000-0004-0000-0000-0000F7000000}"/>
    <hyperlink ref="A73" r:id="rId249" xr:uid="{00000000-0004-0000-0000-0000F8000000}"/>
    <hyperlink ref="B73" r:id="rId250" xr:uid="{00000000-0004-0000-0000-0000F9000000}"/>
    <hyperlink ref="C73" r:id="rId251" xr:uid="{00000000-0004-0000-0000-0000FA000000}"/>
    <hyperlink ref="D73" r:id="rId252" xr:uid="{00000000-0004-0000-0000-0000FB000000}"/>
    <hyperlink ref="B74" r:id="rId253" xr:uid="{00000000-0004-0000-0000-0000FC000000}"/>
    <hyperlink ref="C74" r:id="rId254" xr:uid="{00000000-0004-0000-0000-0000FD000000}"/>
    <hyperlink ref="D74" r:id="rId255" xr:uid="{00000000-0004-0000-0000-0000FE000000}"/>
    <hyperlink ref="A75" r:id="rId256" xr:uid="{00000000-0004-0000-0000-0000FF000000}"/>
    <hyperlink ref="B75" r:id="rId257" xr:uid="{00000000-0004-0000-0000-000000010000}"/>
    <hyperlink ref="C75" r:id="rId258" xr:uid="{00000000-0004-0000-0000-000001010000}"/>
    <hyperlink ref="D75" r:id="rId259" xr:uid="{00000000-0004-0000-0000-000002010000}"/>
    <hyperlink ref="A76" r:id="rId260" xr:uid="{00000000-0004-0000-0000-000003010000}"/>
    <hyperlink ref="B76" r:id="rId261" xr:uid="{00000000-0004-0000-0000-000004010000}"/>
    <hyperlink ref="C76" r:id="rId262" xr:uid="{00000000-0004-0000-0000-000005010000}"/>
    <hyperlink ref="D76" r:id="rId263" xr:uid="{00000000-0004-0000-0000-000006010000}"/>
    <hyperlink ref="A77" r:id="rId264" xr:uid="{00000000-0004-0000-0000-000007010000}"/>
    <hyperlink ref="B77" r:id="rId265" xr:uid="{00000000-0004-0000-0000-000008010000}"/>
    <hyperlink ref="C77" r:id="rId266" xr:uid="{00000000-0004-0000-0000-000009010000}"/>
    <hyperlink ref="D77" r:id="rId267" xr:uid="{00000000-0004-0000-0000-00000A010000}"/>
    <hyperlink ref="A78" r:id="rId268" xr:uid="{00000000-0004-0000-0000-00000B010000}"/>
    <hyperlink ref="B78" r:id="rId269" xr:uid="{00000000-0004-0000-0000-00000C010000}"/>
    <hyperlink ref="D78" r:id="rId270" xr:uid="{00000000-0004-0000-0000-00000D010000}"/>
    <hyperlink ref="A79" r:id="rId271" xr:uid="{00000000-0004-0000-0000-00000E010000}"/>
    <hyperlink ref="C79" r:id="rId272" xr:uid="{00000000-0004-0000-0000-00000F010000}"/>
    <hyperlink ref="D79" r:id="rId273" xr:uid="{00000000-0004-0000-0000-000010010000}"/>
    <hyperlink ref="A80" r:id="rId274" xr:uid="{00000000-0004-0000-0000-000011010000}"/>
    <hyperlink ref="B80" r:id="rId275" xr:uid="{00000000-0004-0000-0000-000012010000}"/>
    <hyperlink ref="C80" r:id="rId276" xr:uid="{00000000-0004-0000-0000-000013010000}"/>
    <hyperlink ref="A81" r:id="rId277" xr:uid="{00000000-0004-0000-0000-000014010000}"/>
    <hyperlink ref="B81" r:id="rId278" xr:uid="{00000000-0004-0000-0000-000015010000}"/>
    <hyperlink ref="C81" r:id="rId279" xr:uid="{00000000-0004-0000-0000-000016010000}"/>
    <hyperlink ref="D81" r:id="rId280" xr:uid="{00000000-0004-0000-0000-000017010000}"/>
    <hyperlink ref="A82" r:id="rId281" xr:uid="{00000000-0004-0000-0000-000018010000}"/>
    <hyperlink ref="C82" r:id="rId282" xr:uid="{00000000-0004-0000-0000-000019010000}"/>
    <hyperlink ref="D82" r:id="rId283" xr:uid="{00000000-0004-0000-0000-00001A010000}"/>
    <hyperlink ref="A83" r:id="rId284" xr:uid="{00000000-0004-0000-0000-00001B010000}"/>
    <hyperlink ref="B83" r:id="rId285" xr:uid="{00000000-0004-0000-0000-00001C010000}"/>
    <hyperlink ref="D83" r:id="rId286" xr:uid="{00000000-0004-0000-0000-00001D010000}"/>
    <hyperlink ref="A84" r:id="rId287" xr:uid="{00000000-0004-0000-0000-00001E010000}"/>
    <hyperlink ref="B84" r:id="rId288" xr:uid="{00000000-0004-0000-0000-00001F010000}"/>
    <hyperlink ref="C84" r:id="rId289" xr:uid="{00000000-0004-0000-0000-000020010000}"/>
    <hyperlink ref="D84" r:id="rId290" xr:uid="{00000000-0004-0000-0000-000021010000}"/>
    <hyperlink ref="A85" r:id="rId291" xr:uid="{00000000-0004-0000-0000-000022010000}"/>
    <hyperlink ref="B85" r:id="rId292" xr:uid="{00000000-0004-0000-0000-000023010000}"/>
    <hyperlink ref="C85" r:id="rId293" xr:uid="{00000000-0004-0000-0000-000024010000}"/>
    <hyperlink ref="B86" r:id="rId294" xr:uid="{00000000-0004-0000-0000-000025010000}"/>
    <hyperlink ref="C86" r:id="rId295" xr:uid="{00000000-0004-0000-0000-000026010000}"/>
    <hyperlink ref="D86" r:id="rId296" xr:uid="{00000000-0004-0000-0000-000027010000}"/>
    <hyperlink ref="B87" r:id="rId297" xr:uid="{00000000-0004-0000-0000-000028010000}"/>
    <hyperlink ref="D87" r:id="rId298" xr:uid="{00000000-0004-0000-0000-000029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0"/>
  <sheetViews>
    <sheetView showGridLines="0" workbookViewId="0"/>
  </sheetViews>
  <sheetFormatPr baseColWidth="10" defaultColWidth="12.6640625" defaultRowHeight="15.75" customHeight="1"/>
  <cols>
    <col min="2" max="2" width="16.33203125" customWidth="1"/>
    <col min="10" max="10" width="26" customWidth="1"/>
    <col min="11" max="11" width="15.1640625" customWidth="1"/>
    <col min="12" max="12" width="7.1640625" hidden="1" customWidth="1"/>
    <col min="13" max="13" width="16.83203125" customWidth="1"/>
    <col min="14" max="14" width="27" customWidth="1"/>
    <col min="15" max="15" width="15.1640625" customWidth="1"/>
    <col min="17" max="17" width="8.6640625" customWidth="1"/>
    <col min="18" max="18" width="7.6640625" customWidth="1"/>
    <col min="19" max="19" width="6.5" hidden="1" customWidth="1"/>
    <col min="20" max="20" width="15.33203125" customWidth="1"/>
    <col min="21" max="21" width="28.6640625" customWidth="1"/>
  </cols>
  <sheetData>
    <row r="1" spans="1:22" ht="15.75" customHeight="1">
      <c r="A1" s="8" t="s">
        <v>346</v>
      </c>
      <c r="B1" s="9" t="s">
        <v>347</v>
      </c>
      <c r="C1" s="10" t="s">
        <v>0</v>
      </c>
      <c r="D1" s="10" t="s">
        <v>1</v>
      </c>
      <c r="E1" s="10" t="s">
        <v>2</v>
      </c>
      <c r="F1" s="10" t="s">
        <v>3</v>
      </c>
      <c r="G1" s="11" t="s">
        <v>348</v>
      </c>
      <c r="I1" s="39" t="s">
        <v>349</v>
      </c>
      <c r="J1" s="40"/>
      <c r="L1" s="12"/>
      <c r="M1" s="41" t="s">
        <v>350</v>
      </c>
      <c r="N1" s="40"/>
      <c r="O1" s="40"/>
      <c r="P1" s="40"/>
      <c r="Q1" s="11"/>
      <c r="R1" s="13"/>
      <c r="S1" s="12"/>
      <c r="T1" s="41" t="s">
        <v>351</v>
      </c>
      <c r="U1" s="40"/>
      <c r="V1" s="40"/>
    </row>
    <row r="2" spans="1:22" ht="15.75" customHeight="1">
      <c r="A2" s="8">
        <f>COUNT('2024 Full View'!B:B)</f>
        <v>94</v>
      </c>
      <c r="B2" s="3" t="s">
        <v>352</v>
      </c>
      <c r="C2" s="14">
        <f>IF(COUNTIFS('2024 Full View'!$K:$K,$B2,'2024 Full View'!B:B,"&lt;&gt;")+COUNTIFS('2024 Full View'!$F:$F,$B2,'2024 Full View'!B:B,"&lt;&gt;")=0,"",COUNTIFS('2024 Full View'!$K:$K,$B2,'2024 Full View'!B:B,"&lt;&gt;")+COUNTIFS('2024 Full View'!$F:$F,$B2,'2024 Full View'!B:B,"&lt;&gt;"))</f>
        <v>1</v>
      </c>
      <c r="D2" s="14">
        <f>IF(COUNTIFS('2024 Full View'!$K:$K,$B2,'2024 Full View'!C:C,"&lt;&gt;")+COUNTIFS('2024 Full View'!$F:$F,$B2,'2024 Full View'!C:C,"&lt;&gt;")=0,"",COUNTIFS('2024 Full View'!$K:$K,$B2,'2024 Full View'!C:C,"&lt;&gt;")+COUNTIFS('2024 Full View'!$F:$F,$B2,'2024 Full View'!C:C,"&lt;&gt;"))</f>
        <v>1</v>
      </c>
      <c r="E2" s="14">
        <f>IF(COUNTIFS('2024 Full View'!$K:$K,$B2,'2024 Full View'!D:D,"&lt;&gt;")+COUNTIFS('2024 Full View'!$F:$F,$B2,'2024 Full View'!D:D,"&lt;&gt;")=0,"",COUNTIFS('2024 Full View'!$K:$K,$B2,'2024 Full View'!D:D,"&lt;&gt;")+COUNTIFS('2024 Full View'!$F:$F,$B2,'2024 Full View'!D:D,"&lt;&gt;"))</f>
        <v>1</v>
      </c>
      <c r="F2" s="14">
        <f>IF(COUNTIFS('2024 Full View'!$K:$K,$B2,'2024 Full View'!E:E,"&lt;&gt;")+COUNTIFS('2024 Full View'!$F:$F,$B2,'2024 Full View'!E:E,"&lt;&gt;")=0,"",COUNTIFS('2024 Full View'!$K:$K,$B2,'2024 Full View'!E:E,"&lt;&gt;")+COUNTIFS('2024 Full View'!$F:$F,$B2,'2024 Full View'!E:E,"&lt;&gt;"))</f>
        <v>7</v>
      </c>
      <c r="G2" s="14">
        <f t="shared" ref="G2:G219" si="0">SUM(C2:F2)</f>
        <v>10</v>
      </c>
      <c r="I2" s="3" t="s">
        <v>0</v>
      </c>
      <c r="J2" s="15">
        <f>AVERAGEIF('2024 Full View'!B:B,"&lt;&gt;",'2024 Full View'!I:I)</f>
        <v>61.808510638297875</v>
      </c>
      <c r="L2" s="16" t="s">
        <v>353</v>
      </c>
      <c r="M2" s="17" t="str">
        <f ca="1">IFERROR(__xludf.DUMMYFUNCTION("FILTER('2023 Full View'!K:L,'2023 Full View'!O:O&lt;&gt;"""")"),"Artist")</f>
        <v>Artist</v>
      </c>
      <c r="N2" s="18" t="str">
        <f ca="1">IFERROR(__xludf.DUMMYFUNCTION("""COMPUTED_VALUE"""),"Song")</f>
        <v>Song</v>
      </c>
      <c r="O2" s="16" t="s">
        <v>354</v>
      </c>
      <c r="P2" s="16" t="s">
        <v>355</v>
      </c>
      <c r="Q2" s="11" t="s">
        <v>356</v>
      </c>
      <c r="R2" s="19"/>
      <c r="S2" s="16" t="s">
        <v>353</v>
      </c>
      <c r="T2" s="17" t="s">
        <v>357</v>
      </c>
      <c r="U2" s="18" t="s">
        <v>358</v>
      </c>
      <c r="V2" s="16" t="s">
        <v>355</v>
      </c>
    </row>
    <row r="3" spans="1:22" ht="15.75" customHeight="1">
      <c r="A3" s="20"/>
      <c r="B3" s="3" t="s">
        <v>359</v>
      </c>
      <c r="C3" s="21">
        <f>IF(COUNTIFS('2024 Full View'!$K:$K,$B3,'2024 Full View'!B:B,"&lt;&gt;")+COUNTIFS('2024 Full View'!$F:$F,$B3,'2024 Full View'!B:B,"&lt;&gt;")=0,"",COUNTIFS('2024 Full View'!$K:$K,$B3,'2024 Full View'!B:B,"&lt;&gt;")+COUNTIFS('2024 Full View'!$F:$F,$B3,'2024 Full View'!B:B,"&lt;&gt;"))</f>
        <v>1</v>
      </c>
      <c r="D3" s="21">
        <f>IF(COUNTIFS('2024 Full View'!$K:$K,$B3,'2024 Full View'!C:C,"&lt;&gt;")+COUNTIFS('2024 Full View'!$F:$F,$B3,'2024 Full View'!C:C,"&lt;&gt;")=0,"",COUNTIFS('2024 Full View'!$K:$K,$B3,'2024 Full View'!C:C,"&lt;&gt;")+COUNTIFS('2024 Full View'!$F:$F,$B3,'2024 Full View'!C:C,"&lt;&gt;"))</f>
        <v>1</v>
      </c>
      <c r="E3" s="21">
        <f>IF(COUNTIFS('2024 Full View'!$K:$K,$B3,'2024 Full View'!D:D,"&lt;&gt;")+COUNTIFS('2024 Full View'!$F:$F,$B3,'2024 Full View'!D:D,"&lt;&gt;")=0,"",COUNTIFS('2024 Full View'!$K:$K,$B3,'2024 Full View'!D:D,"&lt;&gt;")+COUNTIFS('2024 Full View'!$F:$F,$B3,'2024 Full View'!D:D,"&lt;&gt;"))</f>
        <v>1</v>
      </c>
      <c r="F3" s="21">
        <f>IF(COUNTIFS('2024 Full View'!$K:$K,$B3,'2024 Full View'!E:E,"&lt;&gt;")+COUNTIFS('2024 Full View'!$F:$F,$B3,'2024 Full View'!E:E,"&lt;&gt;")=0,"",COUNTIFS('2024 Full View'!$K:$K,$B3,'2024 Full View'!E:E,"&lt;&gt;")+COUNTIFS('2024 Full View'!$F:$F,$B3,'2024 Full View'!E:E,"&lt;&gt;"))</f>
        <v>3</v>
      </c>
      <c r="G3" s="21">
        <f t="shared" si="0"/>
        <v>6</v>
      </c>
      <c r="I3" s="3" t="s">
        <v>2</v>
      </c>
      <c r="J3" s="15">
        <f>AVERAGEIF('2024 Full View'!D:D,"&lt;&gt;",'2024 Full View'!I:I)</f>
        <v>62.968085106382979</v>
      </c>
      <c r="L3" s="3" t="str">
        <f ca="1">IFERROR(__xludf.DUMMYFUNCTION("FILTER('2023 Full View'!$O$2:$O$1000,'2023 Full View'!$O$2:$O$1000&lt;&gt;"""")"),"Taylor SwiftCruel Summer")</f>
        <v>Taylor SwiftCruel Summer</v>
      </c>
      <c r="M3" s="3" t="str">
        <f ca="1">IFERROR(__xludf.DUMMYFUNCTION("""COMPUTED_VALUE"""),"Taylor Swift")</f>
        <v>Taylor Swift</v>
      </c>
      <c r="N3" s="22" t="str">
        <f ca="1">IFERROR(__xludf.DUMMYFUNCTION("""COMPUTED_VALUE"""),"Cruel Summer")</f>
        <v>Cruel Summer</v>
      </c>
      <c r="O3" s="3" t="e">
        <f ca="1">VLOOKUP(L3,'2023 Full View'!A1:P366,16,0)</f>
        <v>#N/A</v>
      </c>
      <c r="P3" s="3" t="e">
        <f ca="1">VLOOKUP($L3,'2024 Full View'!$1:$999,16,0)</f>
        <v>#N/A</v>
      </c>
      <c r="Q3" s="3" t="b">
        <f t="shared" ref="Q3:Q58" ca="1" si="1">NOT(ISNUMBER(SEARCH(P3,O3)))</f>
        <v>1</v>
      </c>
      <c r="R3" s="23"/>
      <c r="S3" s="23" t="str">
        <f ca="1">IFERROR(__xludf.DUMMYFUNCTION("iferror(FILTER('2024 Full View'!$A$2:$A$999,'2024 Full View'!$N$2:$N$999),"""")"),"USHERLove in This Club (feat. Young Jeezy)")</f>
        <v>USHERLove in This Club (feat. Young Jeezy)</v>
      </c>
      <c r="T3" s="3" t="str">
        <f ca="1">IFERROR(__xludf.DUMMYFUNCTION("iferror(FILTER('2024 Full View'!K:L,'2024 Full View'!N:N),""No Overlaps...yet"")"),"USHER")</f>
        <v>USHER</v>
      </c>
      <c r="U3" s="3" t="str">
        <f ca="1">IFERROR(__xludf.DUMMYFUNCTION("""COMPUTED_VALUE"""),"Love in This Club (feat. Young Jeezy)")</f>
        <v>Love in This Club (feat. Young Jeezy)</v>
      </c>
      <c r="V3" s="3" t="str">
        <f ca="1">IFERROR(VLOOKUP(S3,'2024 Full View'!1:999,16,0),"")</f>
        <v/>
      </c>
    </row>
    <row r="4" spans="1:22" ht="15.75" customHeight="1">
      <c r="A4" s="20"/>
      <c r="B4" s="3" t="s">
        <v>360</v>
      </c>
      <c r="C4" s="21">
        <f>IF(COUNTIFS('2024 Full View'!$K:$K,$B4,'2024 Full View'!B:B,"&lt;&gt;")+COUNTIFS('2024 Full View'!$F:$F,$B4,'2024 Full View'!B:B,"&lt;&gt;")=0,"",COUNTIFS('2024 Full View'!$K:$K,$B4,'2024 Full View'!B:B,"&lt;&gt;")+COUNTIFS('2024 Full View'!$F:$F,$B4,'2024 Full View'!B:B,"&lt;&gt;"))</f>
        <v>1</v>
      </c>
      <c r="D4" s="21">
        <f>IF(COUNTIFS('2024 Full View'!$K:$K,$B4,'2024 Full View'!C:C,"&lt;&gt;")+COUNTIFS('2024 Full View'!$F:$F,$B4,'2024 Full View'!C:C,"&lt;&gt;")=0,"",COUNTIFS('2024 Full View'!$K:$K,$B4,'2024 Full View'!C:C,"&lt;&gt;")+COUNTIFS('2024 Full View'!$F:$F,$B4,'2024 Full View'!C:C,"&lt;&gt;"))</f>
        <v>2</v>
      </c>
      <c r="E4" s="21" t="str">
        <f>IF(COUNTIFS('2024 Full View'!$K:$K,$B4,'2024 Full View'!D:D,"&lt;&gt;")+COUNTIFS('2024 Full View'!$F:$F,$B4,'2024 Full View'!D:D,"&lt;&gt;")=0,"",COUNTIFS('2024 Full View'!$K:$K,$B4,'2024 Full View'!D:D,"&lt;&gt;")+COUNTIFS('2024 Full View'!$F:$F,$B4,'2024 Full View'!D:D,"&lt;&gt;"))</f>
        <v/>
      </c>
      <c r="F4" s="21" t="str">
        <f>IF(COUNTIFS('2024 Full View'!$K:$K,$B4,'2024 Full View'!E:E,"&lt;&gt;")+COUNTIFS('2024 Full View'!$F:$F,$B4,'2024 Full View'!E:E,"&lt;&gt;")=0,"",COUNTIFS('2024 Full View'!$K:$K,$B4,'2024 Full View'!E:E,"&lt;&gt;")+COUNTIFS('2024 Full View'!$F:$F,$B4,'2024 Full View'!E:E,"&lt;&gt;"))</f>
        <v/>
      </c>
      <c r="G4" s="21">
        <f t="shared" si="0"/>
        <v>3</v>
      </c>
      <c r="I4" s="3" t="s">
        <v>3</v>
      </c>
      <c r="J4" s="15">
        <f>AVERAGEIF('2024 Full View'!E:E,"&lt;&gt;",'2024 Full View'!I:I)</f>
        <v>58.712765957446805</v>
      </c>
      <c r="L4" s="3" t="str">
        <f ca="1">IFERROR(__xludf.DUMMYFUNCTION("""COMPUTED_VALUE"""),"Olivia Rodrigovampire")</f>
        <v>Olivia Rodrigovampire</v>
      </c>
      <c r="M4" s="3" t="str">
        <f ca="1">IFERROR(__xludf.DUMMYFUNCTION("""COMPUTED_VALUE"""),"Olivia Rodrigo")</f>
        <v>Olivia Rodrigo</v>
      </c>
      <c r="N4" s="22" t="str">
        <f ca="1">IFERROR(__xludf.DUMMYFUNCTION("""COMPUTED_VALUE"""),"vampire")</f>
        <v>vampire</v>
      </c>
      <c r="O4" s="3" t="e">
        <f ca="1">VLOOKUP(L4,'2023 Full View'!A2:P367,16,0)</f>
        <v>#N/A</v>
      </c>
      <c r="P4" s="3" t="e">
        <f ca="1">VLOOKUP($L4,'2024 Full View'!$1:$999,16,0)</f>
        <v>#N/A</v>
      </c>
      <c r="Q4" s="3" t="b">
        <f t="shared" ca="1" si="1"/>
        <v>1</v>
      </c>
      <c r="S4" s="3" t="str">
        <f ca="1">IFERROR(__xludf.DUMMYFUNCTION("""COMPUTED_VALUE"""),"Cage The ElephantCigarette Daydreams")</f>
        <v>Cage The ElephantCigarette Daydreams</v>
      </c>
      <c r="T4" s="3" t="str">
        <f ca="1">IFERROR(__xludf.DUMMYFUNCTION("""COMPUTED_VALUE"""),"Cage The Elephant")</f>
        <v>Cage The Elephant</v>
      </c>
      <c r="U4" s="3" t="str">
        <f ca="1">IFERROR(__xludf.DUMMYFUNCTION("""COMPUTED_VALUE"""),"Cigarette Daydreams")</f>
        <v>Cigarette Daydreams</v>
      </c>
      <c r="V4" s="3" t="str">
        <f ca="1">IFERROR(VLOOKUP(S4,'2024 Full View'!2:1000,16,0),"")</f>
        <v/>
      </c>
    </row>
    <row r="5" spans="1:22" ht="15.75" customHeight="1">
      <c r="A5" s="20"/>
      <c r="B5" s="3" t="s">
        <v>361</v>
      </c>
      <c r="C5" s="21">
        <f>IF(COUNTIFS('2024 Full View'!$K:$K,$B5,'2024 Full View'!B:B,"&lt;&gt;")+COUNTIFS('2024 Full View'!$F:$F,$B5,'2024 Full View'!B:B,"&lt;&gt;")=0,"",COUNTIFS('2024 Full View'!$K:$K,$B5,'2024 Full View'!B:B,"&lt;&gt;")+COUNTIFS('2024 Full View'!$F:$F,$B5,'2024 Full View'!B:B,"&lt;&gt;"))</f>
        <v>1</v>
      </c>
      <c r="D5" s="21">
        <f>IF(COUNTIFS('2024 Full View'!$K:$K,$B5,'2024 Full View'!C:C,"&lt;&gt;")+COUNTIFS('2024 Full View'!$F:$F,$B5,'2024 Full View'!C:C,"&lt;&gt;")=0,"",COUNTIFS('2024 Full View'!$K:$K,$B5,'2024 Full View'!C:C,"&lt;&gt;")+COUNTIFS('2024 Full View'!$F:$F,$B5,'2024 Full View'!C:C,"&lt;&gt;"))</f>
        <v>1</v>
      </c>
      <c r="E5" s="21" t="str">
        <f>IF(COUNTIFS('2024 Full View'!$K:$K,$B5,'2024 Full View'!D:D,"&lt;&gt;")+COUNTIFS('2024 Full View'!$F:$F,$B5,'2024 Full View'!D:D,"&lt;&gt;")=0,"",COUNTIFS('2024 Full View'!$K:$K,$B5,'2024 Full View'!D:D,"&lt;&gt;")+COUNTIFS('2024 Full View'!$F:$F,$B5,'2024 Full View'!D:D,"&lt;&gt;"))</f>
        <v/>
      </c>
      <c r="F5" s="21" t="str">
        <f>IF(COUNTIFS('2024 Full View'!$K:$K,$B5,'2024 Full View'!E:E,"&lt;&gt;")+COUNTIFS('2024 Full View'!$F:$F,$B5,'2024 Full View'!E:E,"&lt;&gt;")=0,"",COUNTIFS('2024 Full View'!$K:$K,$B5,'2024 Full View'!E:E,"&lt;&gt;")+COUNTIFS('2024 Full View'!$F:$F,$B5,'2024 Full View'!E:E,"&lt;&gt;"))</f>
        <v/>
      </c>
      <c r="G5" s="21">
        <f t="shared" si="0"/>
        <v>2</v>
      </c>
      <c r="I5" s="3" t="s">
        <v>1</v>
      </c>
      <c r="J5" s="15">
        <f>AVERAGEIF('2024 Full View'!C:C,"&lt;&gt;",'2024 Full View'!I:I)</f>
        <v>55.542553191489361</v>
      </c>
      <c r="L5" s="3" t="str">
        <f ca="1">IFERROR(__xludf.DUMMYFUNCTION("""COMPUTED_VALUE"""),"SZAKill Bill")</f>
        <v>SZAKill Bill</v>
      </c>
      <c r="M5" s="3" t="str">
        <f ca="1">IFERROR(__xludf.DUMMYFUNCTION("""COMPUTED_VALUE"""),"SZA")</f>
        <v>SZA</v>
      </c>
      <c r="N5" s="22" t="str">
        <f ca="1">IFERROR(__xludf.DUMMYFUNCTION("""COMPUTED_VALUE"""),"Kill Bill")</f>
        <v>Kill Bill</v>
      </c>
      <c r="O5" s="3" t="e">
        <f ca="1">VLOOKUP(L5,'2023 Full View'!A3:P368,16,0)</f>
        <v>#N/A</v>
      </c>
      <c r="P5" s="3" t="e">
        <f ca="1">VLOOKUP($L5,'2024 Full View'!$1:$999,16,0)</f>
        <v>#N/A</v>
      </c>
      <c r="Q5" s="3" t="b">
        <f t="shared" ca="1" si="1"/>
        <v>1</v>
      </c>
      <c r="S5" s="3" t="str">
        <f ca="1">IFERROR(__xludf.DUMMYFUNCTION("""COMPUTED_VALUE"""),"Kameron MarloweGirl On Fire")</f>
        <v>Kameron MarloweGirl On Fire</v>
      </c>
      <c r="T5" s="3" t="str">
        <f ca="1">IFERROR(__xludf.DUMMYFUNCTION("""COMPUTED_VALUE"""),"Kameron Marlowe")</f>
        <v>Kameron Marlowe</v>
      </c>
      <c r="U5" s="3" t="str">
        <f ca="1">IFERROR(__xludf.DUMMYFUNCTION("""COMPUTED_VALUE"""),"Girl On Fire")</f>
        <v>Girl On Fire</v>
      </c>
      <c r="V5" s="3" t="str">
        <f ca="1">IFERROR(VLOOKUP(S5,'2024 Full View'!3:1001,16,0),"")</f>
        <v/>
      </c>
    </row>
    <row r="6" spans="1:22" ht="15.75" customHeight="1">
      <c r="A6" s="20"/>
      <c r="B6" s="3" t="s">
        <v>362</v>
      </c>
      <c r="C6" s="21">
        <f>IF(COUNTIFS('2024 Full View'!$K:$K,$B6,'2024 Full View'!B:B,"&lt;&gt;")+COUNTIFS('2024 Full View'!$F:$F,$B6,'2024 Full View'!B:B,"&lt;&gt;")=0,"",COUNTIFS('2024 Full View'!$K:$K,$B6,'2024 Full View'!B:B,"&lt;&gt;")+COUNTIFS('2024 Full View'!$F:$F,$B6,'2024 Full View'!B:B,"&lt;&gt;"))</f>
        <v>1</v>
      </c>
      <c r="D6" s="21">
        <f>IF(COUNTIFS('2024 Full View'!$K:$K,$B6,'2024 Full View'!C:C,"&lt;&gt;")+COUNTIFS('2024 Full View'!$F:$F,$B6,'2024 Full View'!C:C,"&lt;&gt;")=0,"",COUNTIFS('2024 Full View'!$K:$K,$B6,'2024 Full View'!C:C,"&lt;&gt;")+COUNTIFS('2024 Full View'!$F:$F,$B6,'2024 Full View'!C:C,"&lt;&gt;"))</f>
        <v>1</v>
      </c>
      <c r="E6" s="21" t="str">
        <f>IF(COUNTIFS('2024 Full View'!$K:$K,$B6,'2024 Full View'!D:D,"&lt;&gt;")+COUNTIFS('2024 Full View'!$F:$F,$B6,'2024 Full View'!D:D,"&lt;&gt;")=0,"",COUNTIFS('2024 Full View'!$K:$K,$B6,'2024 Full View'!D:D,"&lt;&gt;")+COUNTIFS('2024 Full View'!$F:$F,$B6,'2024 Full View'!D:D,"&lt;&gt;"))</f>
        <v/>
      </c>
      <c r="F6" s="21" t="str">
        <f>IF(COUNTIFS('2024 Full View'!$K:$K,$B6,'2024 Full View'!E:E,"&lt;&gt;")+COUNTIFS('2024 Full View'!$F:$F,$B6,'2024 Full View'!E:E,"&lt;&gt;")=0,"",COUNTIFS('2024 Full View'!$K:$K,$B6,'2024 Full View'!E:E,"&lt;&gt;")+COUNTIFS('2024 Full View'!$F:$F,$B6,'2024 Full View'!E:E,"&lt;&gt;"))</f>
        <v/>
      </c>
      <c r="G6" s="21">
        <f t="shared" si="0"/>
        <v>2</v>
      </c>
      <c r="L6" s="3" t="str">
        <f ca="1">IFERROR(__xludf.DUMMYFUNCTION("""COMPUTED_VALUE"""),"Taylor Swiftaugust")</f>
        <v>Taylor Swiftaugust</v>
      </c>
      <c r="M6" s="3" t="str">
        <f ca="1">IFERROR(__xludf.DUMMYFUNCTION("""COMPUTED_VALUE"""),"Taylor Swift")</f>
        <v>Taylor Swift</v>
      </c>
      <c r="N6" s="22" t="str">
        <f ca="1">IFERROR(__xludf.DUMMYFUNCTION("""COMPUTED_VALUE"""),"august")</f>
        <v>august</v>
      </c>
      <c r="O6" s="3" t="e">
        <f ca="1">VLOOKUP(L6,'2023 Full View'!A4:P369,16,0)</f>
        <v>#N/A</v>
      </c>
      <c r="P6" s="3" t="e">
        <f ca="1">VLOOKUP($L6,'2024 Full View'!$1:$999,16,0)</f>
        <v>#N/A</v>
      </c>
      <c r="Q6" s="3" t="b">
        <f t="shared" ca="1" si="1"/>
        <v>1</v>
      </c>
      <c r="S6" s="3" t="str">
        <f ca="1">IFERROR(__xludf.DUMMYFUNCTION("""COMPUTED_VALUE"""),"Olivia Rodrigoget him back!")</f>
        <v>Olivia Rodrigoget him back!</v>
      </c>
      <c r="T6" s="3" t="str">
        <f ca="1">IFERROR(__xludf.DUMMYFUNCTION("""COMPUTED_VALUE"""),"Olivia Rodrigo")</f>
        <v>Olivia Rodrigo</v>
      </c>
      <c r="U6" s="3" t="str">
        <f ca="1">IFERROR(__xludf.DUMMYFUNCTION("""COMPUTED_VALUE"""),"get him back!")</f>
        <v>get him back!</v>
      </c>
      <c r="V6" s="3" t="str">
        <f ca="1">IFERROR(VLOOKUP(S6,'2024 Full View'!4:1002,16,0),"")</f>
        <v/>
      </c>
    </row>
    <row r="7" spans="1:22" ht="15.75" customHeight="1">
      <c r="A7" s="20"/>
      <c r="B7" s="3" t="s">
        <v>363</v>
      </c>
      <c r="C7" s="21">
        <f>IF(COUNTIFS('2024 Full View'!$K:$K,$B7,'2024 Full View'!B:B,"&lt;&gt;")+COUNTIFS('2024 Full View'!$F:$F,$B7,'2024 Full View'!B:B,"&lt;&gt;")=0,"",COUNTIFS('2024 Full View'!$K:$K,$B7,'2024 Full View'!B:B,"&lt;&gt;")+COUNTIFS('2024 Full View'!$F:$F,$B7,'2024 Full View'!B:B,"&lt;&gt;"))</f>
        <v>1</v>
      </c>
      <c r="D7" s="21">
        <f>IF(COUNTIFS('2024 Full View'!$K:$K,$B7,'2024 Full View'!C:C,"&lt;&gt;")+COUNTIFS('2024 Full View'!$F:$F,$B7,'2024 Full View'!C:C,"&lt;&gt;")=0,"",COUNTIFS('2024 Full View'!$K:$K,$B7,'2024 Full View'!C:C,"&lt;&gt;")+COUNTIFS('2024 Full View'!$F:$F,$B7,'2024 Full View'!C:C,"&lt;&gt;"))</f>
        <v>1</v>
      </c>
      <c r="E7" s="21" t="str">
        <f>IF(COUNTIFS('2024 Full View'!$K:$K,$B7,'2024 Full View'!D:D,"&lt;&gt;")+COUNTIFS('2024 Full View'!$F:$F,$B7,'2024 Full View'!D:D,"&lt;&gt;")=0,"",COUNTIFS('2024 Full View'!$K:$K,$B7,'2024 Full View'!D:D,"&lt;&gt;")+COUNTIFS('2024 Full View'!$F:$F,$B7,'2024 Full View'!D:D,"&lt;&gt;"))</f>
        <v/>
      </c>
      <c r="F7" s="21" t="str">
        <f>IF(COUNTIFS('2024 Full View'!$K:$K,$B7,'2024 Full View'!E:E,"&lt;&gt;")+COUNTIFS('2024 Full View'!$F:$F,$B7,'2024 Full View'!E:E,"&lt;&gt;")=0,"",COUNTIFS('2024 Full View'!$K:$K,$B7,'2024 Full View'!E:E,"&lt;&gt;")+COUNTIFS('2024 Full View'!$F:$F,$B7,'2024 Full View'!E:E,"&lt;&gt;"))</f>
        <v/>
      </c>
      <c r="G7" s="21">
        <f t="shared" si="0"/>
        <v>2</v>
      </c>
      <c r="I7" s="39" t="s">
        <v>364</v>
      </c>
      <c r="J7" s="40"/>
      <c r="L7" s="3" t="str">
        <f ca="1">IFERROR(__xludf.DUMMYFUNCTION("""COMPUTED_VALUE"""),"Luke CombsFast Car")</f>
        <v>Luke CombsFast Car</v>
      </c>
      <c r="M7" s="3" t="str">
        <f ca="1">IFERROR(__xludf.DUMMYFUNCTION("""COMPUTED_VALUE"""),"Luke Combs")</f>
        <v>Luke Combs</v>
      </c>
      <c r="N7" s="3" t="str">
        <f ca="1">IFERROR(__xludf.DUMMYFUNCTION("""COMPUTED_VALUE"""),"Fast Car")</f>
        <v>Fast Car</v>
      </c>
      <c r="O7" s="3" t="e">
        <f ca="1">VLOOKUP(L7,'2023 Full View'!A5:P370,16,0)</f>
        <v>#N/A</v>
      </c>
      <c r="P7" s="3" t="e">
        <f ca="1">VLOOKUP($L7,'2024 Full View'!$1:$999,16,0)</f>
        <v>#N/A</v>
      </c>
      <c r="Q7" s="3" t="b">
        <f t="shared" ca="1" si="1"/>
        <v>1</v>
      </c>
      <c r="S7" s="3" t="str">
        <f ca="1">IFERROR(__xludf.DUMMYFUNCTION("""COMPUTED_VALUE"""),"Chris StapletonWhite Horse")</f>
        <v>Chris StapletonWhite Horse</v>
      </c>
      <c r="T7" s="3" t="str">
        <f ca="1">IFERROR(__xludf.DUMMYFUNCTION("""COMPUTED_VALUE"""),"Chris Stapleton")</f>
        <v>Chris Stapleton</v>
      </c>
      <c r="U7" s="3" t="str">
        <f ca="1">IFERROR(__xludf.DUMMYFUNCTION("""COMPUTED_VALUE"""),"White Horse")</f>
        <v>White Horse</v>
      </c>
      <c r="V7" s="3" t="str">
        <f ca="1">IFERROR(VLOOKUP(S7,'2024 Full View'!5:1003,16,0),"")</f>
        <v/>
      </c>
    </row>
    <row r="8" spans="1:22" ht="15.75" customHeight="1">
      <c r="A8" s="20"/>
      <c r="B8" s="3" t="s">
        <v>365</v>
      </c>
      <c r="C8" s="21">
        <f>IF(COUNTIFS('2024 Full View'!$K:$K,$B8,'2024 Full View'!B:B,"&lt;&gt;")+COUNTIFS('2024 Full View'!$F:$F,$B8,'2024 Full View'!B:B,"&lt;&gt;")=0,"",COUNTIFS('2024 Full View'!$K:$K,$B8,'2024 Full View'!B:B,"&lt;&gt;")+COUNTIFS('2024 Full View'!$F:$F,$B8,'2024 Full View'!B:B,"&lt;&gt;"))</f>
        <v>1</v>
      </c>
      <c r="D8" s="21">
        <f>IF(COUNTIFS('2024 Full View'!$K:$K,$B8,'2024 Full View'!C:C,"&lt;&gt;")+COUNTIFS('2024 Full View'!$F:$F,$B8,'2024 Full View'!C:C,"&lt;&gt;")=0,"",COUNTIFS('2024 Full View'!$K:$K,$B8,'2024 Full View'!C:C,"&lt;&gt;")+COUNTIFS('2024 Full View'!$F:$F,$B8,'2024 Full View'!C:C,"&lt;&gt;"))</f>
        <v>1</v>
      </c>
      <c r="E8" s="21" t="str">
        <f>IF(COUNTIFS('2024 Full View'!$K:$K,$B8,'2024 Full View'!D:D,"&lt;&gt;")+COUNTIFS('2024 Full View'!$F:$F,$B8,'2024 Full View'!D:D,"&lt;&gt;")=0,"",COUNTIFS('2024 Full View'!$K:$K,$B8,'2024 Full View'!D:D,"&lt;&gt;")+COUNTIFS('2024 Full View'!$F:$F,$B8,'2024 Full View'!D:D,"&lt;&gt;"))</f>
        <v/>
      </c>
      <c r="F8" s="21" t="str">
        <f>IF(COUNTIFS('2024 Full View'!$K:$K,$B8,'2024 Full View'!E:E,"&lt;&gt;")+COUNTIFS('2024 Full View'!$F:$F,$B8,'2024 Full View'!E:E,"&lt;&gt;")=0,"",COUNTIFS('2024 Full View'!$K:$K,$B8,'2024 Full View'!E:E,"&lt;&gt;")+COUNTIFS('2024 Full View'!$F:$F,$B8,'2024 Full View'!E:E,"&lt;&gt;"))</f>
        <v/>
      </c>
      <c r="G8" s="21">
        <f t="shared" si="0"/>
        <v>2</v>
      </c>
      <c r="I8" s="3" t="s">
        <v>0</v>
      </c>
      <c r="J8" s="24">
        <f ca="1">IFERROR(__xludf.DUMMYFUNCTION("COUNTA(UNIQUE(FILTER('2024 Full View'!K:K, ISNUMBER('2024 Full View'!B:B))))"),49)</f>
        <v>49</v>
      </c>
      <c r="L8" s="3" t="str">
        <f ca="1">IFERROR(__xludf.DUMMYFUNCTION("""COMPUTED_VALUE"""),"Morgan WallenLast Night")</f>
        <v>Morgan WallenLast Night</v>
      </c>
      <c r="M8" s="3" t="str">
        <f ca="1">IFERROR(__xludf.DUMMYFUNCTION("""COMPUTED_VALUE"""),"Morgan Wallen")</f>
        <v>Morgan Wallen</v>
      </c>
      <c r="N8" s="3" t="str">
        <f ca="1">IFERROR(__xludf.DUMMYFUNCTION("""COMPUTED_VALUE"""),"Last Night")</f>
        <v>Last Night</v>
      </c>
      <c r="O8" s="3" t="e">
        <f ca="1">VLOOKUP(L8,'2023 Full View'!A6:P371,16,0)</f>
        <v>#N/A</v>
      </c>
      <c r="P8" s="3" t="e">
        <f ca="1">VLOOKUP($L8,'2024 Full View'!$1:$999,16,0)</f>
        <v>#N/A</v>
      </c>
      <c r="Q8" s="3" t="b">
        <f t="shared" ca="1" si="1"/>
        <v>1</v>
      </c>
      <c r="S8" s="3" t="str">
        <f ca="1">IFERROR(__xludf.DUMMYFUNCTION("""COMPUTED_VALUE"""),"Chappell RoanGood Luck, Babe!")</f>
        <v>Chappell RoanGood Luck, Babe!</v>
      </c>
      <c r="T8" s="3" t="str">
        <f ca="1">IFERROR(__xludf.DUMMYFUNCTION("""COMPUTED_VALUE"""),"Chappell Roan")</f>
        <v>Chappell Roan</v>
      </c>
      <c r="U8" s="3" t="str">
        <f ca="1">IFERROR(__xludf.DUMMYFUNCTION("""COMPUTED_VALUE"""),"Good Luck, Babe!")</f>
        <v>Good Luck, Babe!</v>
      </c>
      <c r="V8" s="3" t="str">
        <f ca="1">IFERROR(VLOOKUP(S8,'2024 Full View'!6:1004,16,0),"")</f>
        <v/>
      </c>
    </row>
    <row r="9" spans="1:22" ht="15.75" customHeight="1">
      <c r="A9" s="20"/>
      <c r="B9" s="3" t="s">
        <v>366</v>
      </c>
      <c r="C9" s="21">
        <f>IF(COUNTIFS('2024 Full View'!$K:$K,$B9,'2024 Full View'!B:B,"&lt;&gt;")+COUNTIFS('2024 Full View'!$F:$F,$B9,'2024 Full View'!B:B,"&lt;&gt;")=0,"",COUNTIFS('2024 Full View'!$K:$K,$B9,'2024 Full View'!B:B,"&lt;&gt;")+COUNTIFS('2024 Full View'!$F:$F,$B9,'2024 Full View'!B:B,"&lt;&gt;"))</f>
        <v>3</v>
      </c>
      <c r="D9" s="21">
        <f>IF(COUNTIFS('2024 Full View'!$K:$K,$B9,'2024 Full View'!C:C,"&lt;&gt;")+COUNTIFS('2024 Full View'!$F:$F,$B9,'2024 Full View'!C:C,"&lt;&gt;")=0,"",COUNTIFS('2024 Full View'!$K:$K,$B9,'2024 Full View'!C:C,"&lt;&gt;")+COUNTIFS('2024 Full View'!$F:$F,$B9,'2024 Full View'!C:C,"&lt;&gt;"))</f>
        <v>1</v>
      </c>
      <c r="E9" s="21">
        <f>IF(COUNTIFS('2024 Full View'!$K:$K,$B9,'2024 Full View'!D:D,"&lt;&gt;")+COUNTIFS('2024 Full View'!$F:$F,$B9,'2024 Full View'!D:D,"&lt;&gt;")=0,"",COUNTIFS('2024 Full View'!$K:$K,$B9,'2024 Full View'!D:D,"&lt;&gt;")+COUNTIFS('2024 Full View'!$F:$F,$B9,'2024 Full View'!D:D,"&lt;&gt;"))</f>
        <v>2</v>
      </c>
      <c r="F9" s="21">
        <f>IF(COUNTIFS('2024 Full View'!$K:$K,$B9,'2024 Full View'!E:E,"&lt;&gt;")+COUNTIFS('2024 Full View'!$F:$F,$B9,'2024 Full View'!E:E,"&lt;&gt;")=0,"",COUNTIFS('2024 Full View'!$K:$K,$B9,'2024 Full View'!E:E,"&lt;&gt;")+COUNTIFS('2024 Full View'!$F:$F,$B9,'2024 Full View'!E:E,"&lt;&gt;"))</f>
        <v>8</v>
      </c>
      <c r="G9" s="21">
        <f t="shared" si="0"/>
        <v>14</v>
      </c>
      <c r="I9" s="3" t="s">
        <v>2</v>
      </c>
      <c r="J9" s="25">
        <f ca="1">IFERROR(__xludf.DUMMYFUNCTION("COUNTA(UNIQUE(FILTER('2024 Full View'!K:K, ISNUMBER('2024 Full View'!C:C))))"),61)</f>
        <v>61</v>
      </c>
      <c r="L9" s="3" t="str">
        <f ca="1">IFERROR(__xludf.DUMMYFUNCTION("""COMPUTED_VALUE"""),"Noah KahanDial Drunk (with Post Malone)")</f>
        <v>Noah KahanDial Drunk (with Post Malone)</v>
      </c>
      <c r="M9" s="3" t="str">
        <f ca="1">IFERROR(__xludf.DUMMYFUNCTION("""COMPUTED_VALUE"""),"Noah Kahan")</f>
        <v>Noah Kahan</v>
      </c>
      <c r="N9" s="3" t="str">
        <f ca="1">IFERROR(__xludf.DUMMYFUNCTION("""COMPUTED_VALUE"""),"Dial Drunk (with Post Malone)")</f>
        <v>Dial Drunk (with Post Malone)</v>
      </c>
      <c r="O9" s="3" t="e">
        <f ca="1">VLOOKUP(L9,'2023 Full View'!A7:P372,16,0)</f>
        <v>#N/A</v>
      </c>
      <c r="P9" s="3" t="e">
        <f ca="1">VLOOKUP($L9,'2024 Full View'!$1:$999,16,0)</f>
        <v>#N/A</v>
      </c>
      <c r="Q9" s="3" t="b">
        <f t="shared" ca="1" si="1"/>
        <v>1</v>
      </c>
      <c r="S9" s="3" t="str">
        <f ca="1">IFERROR(__xludf.DUMMYFUNCTION("""COMPUTED_VALUE"""),"ShaboozeyA Bar Song (Tipsy)")</f>
        <v>ShaboozeyA Bar Song (Tipsy)</v>
      </c>
      <c r="T9" s="3" t="str">
        <f ca="1">IFERROR(__xludf.DUMMYFUNCTION("""COMPUTED_VALUE"""),"Shaboozey")</f>
        <v>Shaboozey</v>
      </c>
      <c r="U9" s="3" t="str">
        <f ca="1">IFERROR(__xludf.DUMMYFUNCTION("""COMPUTED_VALUE"""),"A Bar Song (Tipsy)")</f>
        <v>A Bar Song (Tipsy)</v>
      </c>
      <c r="V9" s="3" t="str">
        <f ca="1">IFERROR(VLOOKUP(S9,'2024 Full View'!7:1005,16,0),"")</f>
        <v/>
      </c>
    </row>
    <row r="10" spans="1:22" ht="15.75" customHeight="1">
      <c r="A10" s="20"/>
      <c r="B10" s="3" t="s">
        <v>367</v>
      </c>
      <c r="C10" s="21">
        <f>IF(COUNTIFS('2024 Full View'!$K:$K,$B10,'2024 Full View'!B:B,"&lt;&gt;")+COUNTIFS('2024 Full View'!$F:$F,$B10,'2024 Full View'!B:B,"&lt;&gt;")=0,"",COUNTIFS('2024 Full View'!$K:$K,$B10,'2024 Full View'!B:B,"&lt;&gt;")+COUNTIFS('2024 Full View'!$F:$F,$B10,'2024 Full View'!B:B,"&lt;&gt;"))</f>
        <v>2</v>
      </c>
      <c r="D10" s="21">
        <f>IF(COUNTIFS('2024 Full View'!$K:$K,$B10,'2024 Full View'!C:C,"&lt;&gt;")+COUNTIFS('2024 Full View'!$F:$F,$B10,'2024 Full View'!C:C,"&lt;&gt;")=0,"",COUNTIFS('2024 Full View'!$K:$K,$B10,'2024 Full View'!C:C,"&lt;&gt;")+COUNTIFS('2024 Full View'!$F:$F,$B10,'2024 Full View'!C:C,"&lt;&gt;"))</f>
        <v>1</v>
      </c>
      <c r="E10" s="21" t="str">
        <f>IF(COUNTIFS('2024 Full View'!$K:$K,$B10,'2024 Full View'!D:D,"&lt;&gt;")+COUNTIFS('2024 Full View'!$F:$F,$B10,'2024 Full View'!D:D,"&lt;&gt;")=0,"",COUNTIFS('2024 Full View'!$K:$K,$B10,'2024 Full View'!D:D,"&lt;&gt;")+COUNTIFS('2024 Full View'!$F:$F,$B10,'2024 Full View'!D:D,"&lt;&gt;"))</f>
        <v/>
      </c>
      <c r="F10" s="21" t="str">
        <f>IF(COUNTIFS('2024 Full View'!$K:$K,$B10,'2024 Full View'!E:E,"&lt;&gt;")+COUNTIFS('2024 Full View'!$F:$F,$B10,'2024 Full View'!E:E,"&lt;&gt;")=0,"",COUNTIFS('2024 Full View'!$K:$K,$B10,'2024 Full View'!E:E,"&lt;&gt;")+COUNTIFS('2024 Full View'!$F:$F,$B10,'2024 Full View'!E:E,"&lt;&gt;"))</f>
        <v/>
      </c>
      <c r="G10" s="21">
        <f t="shared" si="0"/>
        <v>3</v>
      </c>
      <c r="I10" s="3" t="s">
        <v>1</v>
      </c>
      <c r="J10" s="25">
        <f ca="1">IFERROR(__xludf.DUMMYFUNCTION("COUNTA(UNIQUE(FILTER('2024 Full View'!K:K, ISNUMBER('2024 Full View'!D:D))))"),72)</f>
        <v>72</v>
      </c>
      <c r="L10" s="3" t="str">
        <f ca="1">IFERROR(__xludf.DUMMYFUNCTION("""COMPUTED_VALUE"""),"Post MaloneChemical")</f>
        <v>Post MaloneChemical</v>
      </c>
      <c r="M10" s="3" t="str">
        <f ca="1">IFERROR(__xludf.DUMMYFUNCTION("""COMPUTED_VALUE"""),"Post Malone")</f>
        <v>Post Malone</v>
      </c>
      <c r="N10" s="3" t="str">
        <f ca="1">IFERROR(__xludf.DUMMYFUNCTION("""COMPUTED_VALUE"""),"Chemical")</f>
        <v>Chemical</v>
      </c>
      <c r="O10" s="3" t="e">
        <f ca="1">VLOOKUP(L10,'2023 Full View'!A8:P373,16,0)</f>
        <v>#N/A</v>
      </c>
      <c r="P10" s="3" t="e">
        <f ca="1">VLOOKUP($L10,'2024 Full View'!$1:$999,16,0)</f>
        <v>#N/A</v>
      </c>
      <c r="Q10" s="3" t="b">
        <f t="shared" ca="1" si="1"/>
        <v>1</v>
      </c>
      <c r="S10" s="3" t="str">
        <f ca="1">IFERROR(__xludf.DUMMYFUNCTION("""COMPUTED_VALUE"""),"Gracie AbramsRisk")</f>
        <v>Gracie AbramsRisk</v>
      </c>
      <c r="T10" s="3" t="str">
        <f ca="1">IFERROR(__xludf.DUMMYFUNCTION("""COMPUTED_VALUE"""),"Gracie Abrams")</f>
        <v>Gracie Abrams</v>
      </c>
      <c r="U10" s="3" t="str">
        <f ca="1">IFERROR(__xludf.DUMMYFUNCTION("""COMPUTED_VALUE"""),"Risk")</f>
        <v>Risk</v>
      </c>
      <c r="V10" s="3" t="str">
        <f ca="1">IFERROR(VLOOKUP(S10,'2024 Full View'!8:1006,16,0),"")</f>
        <v/>
      </c>
    </row>
    <row r="11" spans="1:22" ht="15.75" customHeight="1">
      <c r="A11" s="20"/>
      <c r="B11" s="3" t="s">
        <v>368</v>
      </c>
      <c r="C11" s="21">
        <f>IF(COUNTIFS('2024 Full View'!$K:$K,$B11,'2024 Full View'!B:B,"&lt;&gt;")+COUNTIFS('2024 Full View'!$F:$F,$B11,'2024 Full View'!B:B,"&lt;&gt;")=0,"",COUNTIFS('2024 Full View'!$K:$K,$B11,'2024 Full View'!B:B,"&lt;&gt;")+COUNTIFS('2024 Full View'!$F:$F,$B11,'2024 Full View'!B:B,"&lt;&gt;"))</f>
        <v>11</v>
      </c>
      <c r="D11" s="21">
        <f>IF(COUNTIFS('2024 Full View'!$K:$K,$B11,'2024 Full View'!C:C,"&lt;&gt;")+COUNTIFS('2024 Full View'!$F:$F,$B11,'2024 Full View'!C:C,"&lt;&gt;")=0,"",COUNTIFS('2024 Full View'!$K:$K,$B11,'2024 Full View'!C:C,"&lt;&gt;")+COUNTIFS('2024 Full View'!$F:$F,$B11,'2024 Full View'!C:C,"&lt;&gt;"))</f>
        <v>1</v>
      </c>
      <c r="E11" s="21">
        <f>IF(COUNTIFS('2024 Full View'!$K:$K,$B11,'2024 Full View'!D:D,"&lt;&gt;")+COUNTIFS('2024 Full View'!$F:$F,$B11,'2024 Full View'!D:D,"&lt;&gt;")=0,"",COUNTIFS('2024 Full View'!$K:$K,$B11,'2024 Full View'!D:D,"&lt;&gt;")+COUNTIFS('2024 Full View'!$F:$F,$B11,'2024 Full View'!D:D,"&lt;&gt;"))</f>
        <v>2</v>
      </c>
      <c r="F11" s="21" t="str">
        <f>IF(COUNTIFS('2024 Full View'!$K:$K,$B11,'2024 Full View'!E:E,"&lt;&gt;")+COUNTIFS('2024 Full View'!$F:$F,$B11,'2024 Full View'!E:E,"&lt;&gt;")=0,"",COUNTIFS('2024 Full View'!$K:$K,$B11,'2024 Full View'!E:E,"&lt;&gt;")+COUNTIFS('2024 Full View'!$F:$F,$B11,'2024 Full View'!E:E,"&lt;&gt;"))</f>
        <v/>
      </c>
      <c r="G11" s="21">
        <f t="shared" si="0"/>
        <v>14</v>
      </c>
      <c r="I11" s="3" t="s">
        <v>3</v>
      </c>
      <c r="J11" s="25">
        <f ca="1">IFERROR(__xludf.DUMMYFUNCTION("COUNTA(UNIQUE(FILTER('2024 Full View'!K:K, ISNUMBER('2024 Full View'!E:E))))"),42)</f>
        <v>42</v>
      </c>
      <c r="L11" s="3" t="str">
        <f ca="1">IFERROR(__xludf.DUMMYFUNCTION("""COMPUTED_VALUE"""),"Troye SivanOne Of Your Girls")</f>
        <v>Troye SivanOne Of Your Girls</v>
      </c>
      <c r="M11" s="3" t="str">
        <f ca="1">IFERROR(__xludf.DUMMYFUNCTION("""COMPUTED_VALUE"""),"Troye Sivan")</f>
        <v>Troye Sivan</v>
      </c>
      <c r="N11" s="3" t="str">
        <f ca="1">IFERROR(__xludf.DUMMYFUNCTION("""COMPUTED_VALUE"""),"One Of Your Girls")</f>
        <v>One Of Your Girls</v>
      </c>
      <c r="O11" s="3" t="e">
        <f ca="1">VLOOKUP(L11,'2023 Full View'!A9:P374,16,0)</f>
        <v>#N/A</v>
      </c>
      <c r="P11" s="3" t="e">
        <f ca="1">VLOOKUP($L11,'2024 Full View'!$1:$999,16,0)</f>
        <v>#N/A</v>
      </c>
      <c r="Q11" s="3" t="b">
        <f t="shared" ca="1" si="1"/>
        <v>1</v>
      </c>
      <c r="S11" s="3" t="str">
        <f ca="1">IFERROR(__xludf.DUMMYFUNCTION("""COMPUTED_VALUE"""),"Gracie Abramsus. (feat. Taylor Swift)")</f>
        <v>Gracie Abramsus. (feat. Taylor Swift)</v>
      </c>
      <c r="T11" s="3" t="str">
        <f ca="1">IFERROR(__xludf.DUMMYFUNCTION("""COMPUTED_VALUE"""),"Gracie Abrams")</f>
        <v>Gracie Abrams</v>
      </c>
      <c r="U11" s="3" t="str">
        <f ca="1">IFERROR(__xludf.DUMMYFUNCTION("""COMPUTED_VALUE"""),"us. (feat. Taylor Swift)")</f>
        <v>us. (feat. Taylor Swift)</v>
      </c>
      <c r="V11" s="3" t="str">
        <f ca="1">IFERROR(VLOOKUP(S11,'2024 Full View'!9:1007,16,0),"")</f>
        <v/>
      </c>
    </row>
    <row r="12" spans="1:22" ht="15.75" customHeight="1">
      <c r="A12" s="20"/>
      <c r="B12" s="3" t="s">
        <v>369</v>
      </c>
      <c r="C12" s="21" t="str">
        <f>IF(COUNTIFS('2024 Full View'!$K:$K,$B12,'2024 Full View'!B:B,"&lt;&gt;")+COUNTIFS('2024 Full View'!$F:$F,$B12,'2024 Full View'!B:B,"&lt;&gt;")=0,"",COUNTIFS('2024 Full View'!$K:$K,$B12,'2024 Full View'!B:B,"&lt;&gt;")+COUNTIFS('2024 Full View'!$F:$F,$B12,'2024 Full View'!B:B,"&lt;&gt;"))</f>
        <v/>
      </c>
      <c r="D12" s="21">
        <f>IF(COUNTIFS('2024 Full View'!$K:$K,$B12,'2024 Full View'!C:C,"&lt;&gt;")+COUNTIFS('2024 Full View'!$F:$F,$B12,'2024 Full View'!C:C,"&lt;&gt;")=0,"",COUNTIFS('2024 Full View'!$K:$K,$B12,'2024 Full View'!C:C,"&lt;&gt;")+COUNTIFS('2024 Full View'!$F:$F,$B12,'2024 Full View'!C:C,"&lt;&gt;"))</f>
        <v>1</v>
      </c>
      <c r="E12" s="21">
        <f>IF(COUNTIFS('2024 Full View'!$K:$K,$B12,'2024 Full View'!D:D,"&lt;&gt;")+COUNTIFS('2024 Full View'!$F:$F,$B12,'2024 Full View'!D:D,"&lt;&gt;")=0,"",COUNTIFS('2024 Full View'!$K:$K,$B12,'2024 Full View'!D:D,"&lt;&gt;")+COUNTIFS('2024 Full View'!$F:$F,$B12,'2024 Full View'!D:D,"&lt;&gt;"))</f>
        <v>3</v>
      </c>
      <c r="F12" s="21">
        <f>IF(COUNTIFS('2024 Full View'!$K:$K,$B12,'2024 Full View'!E:E,"&lt;&gt;")+COUNTIFS('2024 Full View'!$F:$F,$B12,'2024 Full View'!E:E,"&lt;&gt;")=0,"",COUNTIFS('2024 Full View'!$K:$K,$B12,'2024 Full View'!E:E,"&lt;&gt;")+COUNTIFS('2024 Full View'!$F:$F,$B12,'2024 Full View'!E:E,"&lt;&gt;"))</f>
        <v>3</v>
      </c>
      <c r="G12" s="21">
        <f t="shared" si="0"/>
        <v>7</v>
      </c>
      <c r="L12" s="3" t="str">
        <f ca="1">IFERROR(__xludf.DUMMYFUNCTION("""COMPUTED_VALUE"""),"Morgan WallenMan Made A Bar (feat. Eric Church)")</f>
        <v>Morgan WallenMan Made A Bar (feat. Eric Church)</v>
      </c>
      <c r="M12" s="3" t="str">
        <f ca="1">IFERROR(__xludf.DUMMYFUNCTION("""COMPUTED_VALUE"""),"Morgan Wallen")</f>
        <v>Morgan Wallen</v>
      </c>
      <c r="N12" s="3" t="str">
        <f ca="1">IFERROR(__xludf.DUMMYFUNCTION("""COMPUTED_VALUE"""),"Man Made A Bar (feat. Eric Church)")</f>
        <v>Man Made A Bar (feat. Eric Church)</v>
      </c>
      <c r="O12" s="3" t="e">
        <f ca="1">VLOOKUP(L12,'2023 Full View'!A10:P375,16,0)</f>
        <v>#N/A</v>
      </c>
      <c r="P12" s="3" t="e">
        <f ca="1">VLOOKUP($L12,'2024 Full View'!$1:$999,16,0)</f>
        <v>#N/A</v>
      </c>
      <c r="Q12" s="3" t="b">
        <f t="shared" ca="1" si="1"/>
        <v>1</v>
      </c>
      <c r="S12" s="3" t="str">
        <f ca="1">IFERROR(__xludf.DUMMYFUNCTION("""COMPUTED_VALUE"""),"HARDYHAPPY HOUR (feat. Knox)")</f>
        <v>HARDYHAPPY HOUR (feat. Knox)</v>
      </c>
      <c r="T12" s="3" t="str">
        <f ca="1">IFERROR(__xludf.DUMMYFUNCTION("""COMPUTED_VALUE"""),"HARDY")</f>
        <v>HARDY</v>
      </c>
      <c r="U12" s="3" t="str">
        <f ca="1">IFERROR(__xludf.DUMMYFUNCTION("""COMPUTED_VALUE"""),"HAPPY HOUR (feat. Knox)")</f>
        <v>HAPPY HOUR (feat. Knox)</v>
      </c>
      <c r="V12" s="3" t="str">
        <f ca="1">IFERROR(VLOOKUP(S12,'2024 Full View'!10:1008,16,0),"")</f>
        <v/>
      </c>
    </row>
    <row r="13" spans="1:22" ht="15.75" customHeight="1">
      <c r="A13" s="20"/>
      <c r="B13" s="3" t="s">
        <v>370</v>
      </c>
      <c r="C13" s="21" t="str">
        <f>IF(COUNTIFS('2024 Full View'!$K:$K,$B13,'2024 Full View'!B:B,"&lt;&gt;")+COUNTIFS('2024 Full View'!$F:$F,$B13,'2024 Full View'!B:B,"&lt;&gt;")=0,"",COUNTIFS('2024 Full View'!$K:$K,$B13,'2024 Full View'!B:B,"&lt;&gt;")+COUNTIFS('2024 Full View'!$F:$F,$B13,'2024 Full View'!B:B,"&lt;&gt;"))</f>
        <v/>
      </c>
      <c r="D13" s="21">
        <f>IF(COUNTIFS('2024 Full View'!$K:$K,$B13,'2024 Full View'!C:C,"&lt;&gt;")+COUNTIFS('2024 Full View'!$F:$F,$B13,'2024 Full View'!C:C,"&lt;&gt;")=0,"",COUNTIFS('2024 Full View'!$K:$K,$B13,'2024 Full View'!C:C,"&lt;&gt;")+COUNTIFS('2024 Full View'!$F:$F,$B13,'2024 Full View'!C:C,"&lt;&gt;"))</f>
        <v>1</v>
      </c>
      <c r="E13" s="21">
        <f>IF(COUNTIFS('2024 Full View'!$K:$K,$B13,'2024 Full View'!D:D,"&lt;&gt;")+COUNTIFS('2024 Full View'!$F:$F,$B13,'2024 Full View'!D:D,"&lt;&gt;")=0,"",COUNTIFS('2024 Full View'!$K:$K,$B13,'2024 Full View'!D:D,"&lt;&gt;")+COUNTIFS('2024 Full View'!$F:$F,$B13,'2024 Full View'!D:D,"&lt;&gt;"))</f>
        <v>2</v>
      </c>
      <c r="F13" s="21" t="str">
        <f>IF(COUNTIFS('2024 Full View'!$K:$K,$B13,'2024 Full View'!E:E,"&lt;&gt;")+COUNTIFS('2024 Full View'!$F:$F,$B13,'2024 Full View'!E:E,"&lt;&gt;")=0,"",COUNTIFS('2024 Full View'!$K:$K,$B13,'2024 Full View'!E:E,"&lt;&gt;")+COUNTIFS('2024 Full View'!$F:$F,$B13,'2024 Full View'!E:E,"&lt;&gt;"))</f>
        <v/>
      </c>
      <c r="G13" s="21">
        <f t="shared" si="0"/>
        <v>3</v>
      </c>
      <c r="I13" s="42" t="s">
        <v>371</v>
      </c>
      <c r="J13" s="40"/>
      <c r="L13" s="3" t="str">
        <f ca="1">IFERROR(__xludf.DUMMYFUNCTION("""COMPUTED_VALUE"""),"Bailey ZimmermanReligiously")</f>
        <v>Bailey ZimmermanReligiously</v>
      </c>
      <c r="M13" s="3" t="str">
        <f ca="1">IFERROR(__xludf.DUMMYFUNCTION("""COMPUTED_VALUE"""),"Bailey Zimmerman")</f>
        <v>Bailey Zimmerman</v>
      </c>
      <c r="N13" s="3" t="str">
        <f ca="1">IFERROR(__xludf.DUMMYFUNCTION("""COMPUTED_VALUE"""),"Religiously")</f>
        <v>Religiously</v>
      </c>
      <c r="O13" s="3" t="e">
        <f ca="1">VLOOKUP(L13,'2023 Full View'!A11:P376,16,0)</f>
        <v>#N/A</v>
      </c>
      <c r="P13" s="3" t="e">
        <f ca="1">VLOOKUP($L13,'2024 Full View'!$1:$999,16,0)</f>
        <v>#N/A</v>
      </c>
      <c r="Q13" s="3" t="b">
        <f t="shared" ca="1" si="1"/>
        <v>1</v>
      </c>
      <c r="S13" s="3" t="str">
        <f ca="1">IFERROR(__xludf.DUMMYFUNCTION("""COMPUTED_VALUE"""),"Post MalonePour Me A Drink (Feat. Blake Shelton)")</f>
        <v>Post MalonePour Me A Drink (Feat. Blake Shelton)</v>
      </c>
      <c r="T13" s="3" t="str">
        <f ca="1">IFERROR(__xludf.DUMMYFUNCTION("""COMPUTED_VALUE"""),"Post Malone")</f>
        <v>Post Malone</v>
      </c>
      <c r="U13" s="3" t="str">
        <f ca="1">IFERROR(__xludf.DUMMYFUNCTION("""COMPUTED_VALUE"""),"Pour Me A Drink (Feat. Blake Shelton)")</f>
        <v>Pour Me A Drink (Feat. Blake Shelton)</v>
      </c>
      <c r="V13" s="3" t="str">
        <f ca="1">IFERROR(VLOOKUP(S13,'2024 Full View'!11:1009,16,0),"")</f>
        <v/>
      </c>
    </row>
    <row r="14" spans="1:22" ht="15.75" customHeight="1">
      <c r="A14" s="20"/>
      <c r="B14" s="3" t="s">
        <v>372</v>
      </c>
      <c r="C14" s="21" t="str">
        <f>IF(COUNTIFS('2024 Full View'!$K:$K,$B14,'2024 Full View'!B:B,"&lt;&gt;")+COUNTIFS('2024 Full View'!$F:$F,$B14,'2024 Full View'!B:B,"&lt;&gt;")=0,"",COUNTIFS('2024 Full View'!$K:$K,$B14,'2024 Full View'!B:B,"&lt;&gt;")+COUNTIFS('2024 Full View'!$F:$F,$B14,'2024 Full View'!B:B,"&lt;&gt;"))</f>
        <v/>
      </c>
      <c r="D14" s="21">
        <f>IF(COUNTIFS('2024 Full View'!$K:$K,$B14,'2024 Full View'!C:C,"&lt;&gt;")+COUNTIFS('2024 Full View'!$F:$F,$B14,'2024 Full View'!C:C,"&lt;&gt;")=0,"",COUNTIFS('2024 Full View'!$K:$K,$B14,'2024 Full View'!C:C,"&lt;&gt;")+COUNTIFS('2024 Full View'!$F:$F,$B14,'2024 Full View'!C:C,"&lt;&gt;"))</f>
        <v>1</v>
      </c>
      <c r="E14" s="21" t="str">
        <f>IF(COUNTIFS('2024 Full View'!$K:$K,$B14,'2024 Full View'!D:D,"&lt;&gt;")+COUNTIFS('2024 Full View'!$F:$F,$B14,'2024 Full View'!D:D,"&lt;&gt;")=0,"",COUNTIFS('2024 Full View'!$K:$K,$B14,'2024 Full View'!D:D,"&lt;&gt;")+COUNTIFS('2024 Full View'!$F:$F,$B14,'2024 Full View'!D:D,"&lt;&gt;"))</f>
        <v/>
      </c>
      <c r="F14" s="21">
        <f>IF(COUNTIFS('2024 Full View'!$K:$K,$B14,'2024 Full View'!E:E,"&lt;&gt;")+COUNTIFS('2024 Full View'!$F:$F,$B14,'2024 Full View'!E:E,"&lt;&gt;")=0,"",COUNTIFS('2024 Full View'!$K:$K,$B14,'2024 Full View'!E:E,"&lt;&gt;")+COUNTIFS('2024 Full View'!$F:$F,$B14,'2024 Full View'!E:E,"&lt;&gt;"))</f>
        <v>1</v>
      </c>
      <c r="G14" s="21">
        <f t="shared" si="0"/>
        <v>2</v>
      </c>
      <c r="I14" s="3" t="s">
        <v>0</v>
      </c>
      <c r="J14" s="22">
        <f>AVERAGEIF('2024 Full View'!B:B,"&lt;&gt;",'2024 Full View'!H:H)</f>
        <v>44891.393617021276</v>
      </c>
      <c r="L14" s="3" t="str">
        <f ca="1">IFERROR(__xludf.DUMMYFUNCTION("""COMPUTED_VALUE"""),"Noah KahanAll My Love")</f>
        <v>Noah KahanAll My Love</v>
      </c>
      <c r="M14" s="3" t="str">
        <f ca="1">IFERROR(__xludf.DUMMYFUNCTION("""COMPUTED_VALUE"""),"Noah Kahan")</f>
        <v>Noah Kahan</v>
      </c>
      <c r="N14" s="3" t="str">
        <f ca="1">IFERROR(__xludf.DUMMYFUNCTION("""COMPUTED_VALUE"""),"All My Love")</f>
        <v>All My Love</v>
      </c>
      <c r="O14" s="3" t="e">
        <f ca="1">VLOOKUP(L14,'2023 Full View'!A12:P377,16,0)</f>
        <v>#N/A</v>
      </c>
      <c r="P14" s="3" t="e">
        <f ca="1">VLOOKUP($L14,'2024 Full View'!$1:$999,16,0)</f>
        <v>#N/A</v>
      </c>
      <c r="Q14" s="3" t="b">
        <f t="shared" ca="1" si="1"/>
        <v>1</v>
      </c>
      <c r="S14" s="3" t="str">
        <f ca="1">IFERROR(__xludf.DUMMYFUNCTION("""COMPUTED_VALUE"""),"Sabrina CarpenterEspresso")</f>
        <v>Sabrina CarpenterEspresso</v>
      </c>
      <c r="T14" s="3" t="str">
        <f ca="1">IFERROR(__xludf.DUMMYFUNCTION("""COMPUTED_VALUE"""),"Sabrina Carpenter")</f>
        <v>Sabrina Carpenter</v>
      </c>
      <c r="U14" s="3" t="str">
        <f ca="1">IFERROR(__xludf.DUMMYFUNCTION("""COMPUTED_VALUE"""),"Espresso")</f>
        <v>Espresso</v>
      </c>
      <c r="V14" s="3" t="str">
        <f ca="1">IFERROR(VLOOKUP(S14,'2024 Full View'!12:1010,16,0),"")</f>
        <v/>
      </c>
    </row>
    <row r="15" spans="1:22" ht="15.75" customHeight="1">
      <c r="A15" s="20"/>
      <c r="B15" s="3" t="s">
        <v>373</v>
      </c>
      <c r="C15" s="21" t="str">
        <f>IF(COUNTIFS('2024 Full View'!$K:$K,$B15,'2024 Full View'!B:B,"&lt;&gt;")+COUNTIFS('2024 Full View'!$F:$F,$B15,'2024 Full View'!B:B,"&lt;&gt;")=0,"",COUNTIFS('2024 Full View'!$K:$K,$B15,'2024 Full View'!B:B,"&lt;&gt;")+COUNTIFS('2024 Full View'!$F:$F,$B15,'2024 Full View'!B:B,"&lt;&gt;"))</f>
        <v/>
      </c>
      <c r="D15" s="21">
        <f>IF(COUNTIFS('2024 Full View'!$K:$K,$B15,'2024 Full View'!C:C,"&lt;&gt;")+COUNTIFS('2024 Full View'!$F:$F,$B15,'2024 Full View'!C:C,"&lt;&gt;")=0,"",COUNTIFS('2024 Full View'!$K:$K,$B15,'2024 Full View'!C:C,"&lt;&gt;")+COUNTIFS('2024 Full View'!$F:$F,$B15,'2024 Full View'!C:C,"&lt;&gt;"))</f>
        <v>1</v>
      </c>
      <c r="E15" s="21" t="str">
        <f>IF(COUNTIFS('2024 Full View'!$K:$K,$B15,'2024 Full View'!D:D,"&lt;&gt;")+COUNTIFS('2024 Full View'!$F:$F,$B15,'2024 Full View'!D:D,"&lt;&gt;")=0,"",COUNTIFS('2024 Full View'!$K:$K,$B15,'2024 Full View'!D:D,"&lt;&gt;")+COUNTIFS('2024 Full View'!$F:$F,$B15,'2024 Full View'!D:D,"&lt;&gt;"))</f>
        <v/>
      </c>
      <c r="F15" s="21">
        <f>IF(COUNTIFS('2024 Full View'!$K:$K,$B15,'2024 Full View'!E:E,"&lt;&gt;")+COUNTIFS('2024 Full View'!$F:$F,$B15,'2024 Full View'!E:E,"&lt;&gt;")=0,"",COUNTIFS('2024 Full View'!$K:$K,$B15,'2024 Full View'!E:E,"&lt;&gt;")+COUNTIFS('2024 Full View'!$F:$F,$B15,'2024 Full View'!E:E,"&lt;&gt;"))</f>
        <v>1</v>
      </c>
      <c r="G15" s="21">
        <f t="shared" si="0"/>
        <v>2</v>
      </c>
      <c r="I15" s="3" t="s">
        <v>2</v>
      </c>
      <c r="J15" s="22">
        <f>AVERAGEIF('2024 Full View'!D:D,"&lt;&gt;",'2024 Full View'!H:H)</f>
        <v>37577.393617021276</v>
      </c>
      <c r="L15" s="3" t="str">
        <f ca="1">IFERROR(__xludf.DUMMYFUNCTION("""COMPUTED_VALUE"""),"Bee GeesMore Than A Woman")</f>
        <v>Bee GeesMore Than A Woman</v>
      </c>
      <c r="M15" s="3" t="str">
        <f ca="1">IFERROR(__xludf.DUMMYFUNCTION("""COMPUTED_VALUE"""),"Bee Gees")</f>
        <v>Bee Gees</v>
      </c>
      <c r="N15" s="3" t="str">
        <f ca="1">IFERROR(__xludf.DUMMYFUNCTION("""COMPUTED_VALUE"""),"More Than A Woman")</f>
        <v>More Than A Woman</v>
      </c>
      <c r="O15" s="3" t="e">
        <f ca="1">VLOOKUP(L15,'2023 Full View'!A13:P378,16,0)</f>
        <v>#N/A</v>
      </c>
      <c r="P15" s="3" t="e">
        <f ca="1">VLOOKUP($L15,'2024 Full View'!$1:$999,16,0)</f>
        <v>#N/A</v>
      </c>
      <c r="Q15" s="3" t="b">
        <f t="shared" ca="1" si="1"/>
        <v>1</v>
      </c>
      <c r="S15" s="3" t="str">
        <f ca="1">IFERROR(__xludf.DUMMYFUNCTION("""COMPUTED_VALUE"""),"Sabrina CarpenterTaste")</f>
        <v>Sabrina CarpenterTaste</v>
      </c>
      <c r="T15" s="3" t="str">
        <f ca="1">IFERROR(__xludf.DUMMYFUNCTION("""COMPUTED_VALUE"""),"Sabrina Carpenter")</f>
        <v>Sabrina Carpenter</v>
      </c>
      <c r="U15" s="3" t="str">
        <f ca="1">IFERROR(__xludf.DUMMYFUNCTION("""COMPUTED_VALUE"""),"Taste")</f>
        <v>Taste</v>
      </c>
      <c r="V15" s="3" t="str">
        <f ca="1">IFERROR(VLOOKUP(S15,'2024 Full View'!13:1011,16,0),"")</f>
        <v/>
      </c>
    </row>
    <row r="16" spans="1:22" ht="15.75" customHeight="1">
      <c r="A16" s="20"/>
      <c r="B16" s="3" t="s">
        <v>374</v>
      </c>
      <c r="C16" s="21" t="str">
        <f>IF(COUNTIFS('2024 Full View'!$K:$K,$B16,'2024 Full View'!B:B,"&lt;&gt;")+COUNTIFS('2024 Full View'!$F:$F,$B16,'2024 Full View'!B:B,"&lt;&gt;")=0,"",COUNTIFS('2024 Full View'!$K:$K,$B16,'2024 Full View'!B:B,"&lt;&gt;")+COUNTIFS('2024 Full View'!$F:$F,$B16,'2024 Full View'!B:B,"&lt;&gt;"))</f>
        <v/>
      </c>
      <c r="D16" s="21">
        <f>IF(COUNTIFS('2024 Full View'!$K:$K,$B16,'2024 Full View'!C:C,"&lt;&gt;")+COUNTIFS('2024 Full View'!$F:$F,$B16,'2024 Full View'!C:C,"&lt;&gt;")=0,"",COUNTIFS('2024 Full View'!$K:$K,$B16,'2024 Full View'!C:C,"&lt;&gt;")+COUNTIFS('2024 Full View'!$F:$F,$B16,'2024 Full View'!C:C,"&lt;&gt;"))</f>
        <v>1</v>
      </c>
      <c r="E16" s="21">
        <f>IF(COUNTIFS('2024 Full View'!$K:$K,$B16,'2024 Full View'!D:D,"&lt;&gt;")+COUNTIFS('2024 Full View'!$F:$F,$B16,'2024 Full View'!D:D,"&lt;&gt;")=0,"",COUNTIFS('2024 Full View'!$K:$K,$B16,'2024 Full View'!D:D,"&lt;&gt;")+COUNTIFS('2024 Full View'!$F:$F,$B16,'2024 Full View'!D:D,"&lt;&gt;"))</f>
        <v>1</v>
      </c>
      <c r="F16" s="21" t="str">
        <f>IF(COUNTIFS('2024 Full View'!$K:$K,$B16,'2024 Full View'!E:E,"&lt;&gt;")+COUNTIFS('2024 Full View'!$F:$F,$B16,'2024 Full View'!E:E,"&lt;&gt;")=0,"",COUNTIFS('2024 Full View'!$K:$K,$B16,'2024 Full View'!E:E,"&lt;&gt;")+COUNTIFS('2024 Full View'!$F:$F,$B16,'2024 Full View'!E:E,"&lt;&gt;"))</f>
        <v/>
      </c>
      <c r="G16" s="21">
        <f t="shared" si="0"/>
        <v>2</v>
      </c>
      <c r="I16" s="3" t="s">
        <v>3</v>
      </c>
      <c r="J16" s="22">
        <f>AVERAGEIF('2024 Full View'!E:E,"&lt;&gt;",'2024 Full View'!H:H)</f>
        <v>43581.542553191488</v>
      </c>
      <c r="L16" s="3" t="str">
        <f ca="1">IFERROR(__xludf.DUMMYFUNCTION("""COMPUTED_VALUE"""),"Taylor SwiftHits Different")</f>
        <v>Taylor SwiftHits Different</v>
      </c>
      <c r="M16" s="3" t="str">
        <f ca="1">IFERROR(__xludf.DUMMYFUNCTION("""COMPUTED_VALUE"""),"Taylor Swift")</f>
        <v>Taylor Swift</v>
      </c>
      <c r="N16" s="3" t="str">
        <f ca="1">IFERROR(__xludf.DUMMYFUNCTION("""COMPUTED_VALUE"""),"Hits Different")</f>
        <v>Hits Different</v>
      </c>
      <c r="O16" s="3" t="e">
        <f ca="1">VLOOKUP(L16,'2023 Full View'!A14:P379,16,0)</f>
        <v>#N/A</v>
      </c>
      <c r="P16" s="3" t="str">
        <f ca="1">IFERROR(VLOOKUP($L16,'2024 Full View'!$1:$999,16,0),"")</f>
        <v/>
      </c>
      <c r="Q16" s="3" t="b">
        <f t="shared" ca="1" si="1"/>
        <v>1</v>
      </c>
      <c r="S16" s="3" t="str">
        <f ca="1">IFERROR(__xludf.DUMMYFUNCTION("""COMPUTED_VALUE"""),"Morgan WallenLove Somebody")</f>
        <v>Morgan WallenLove Somebody</v>
      </c>
      <c r="T16" s="3" t="str">
        <f ca="1">IFERROR(__xludf.DUMMYFUNCTION("""COMPUTED_VALUE"""),"Morgan Wallen")</f>
        <v>Morgan Wallen</v>
      </c>
      <c r="U16" s="3" t="str">
        <f ca="1">IFERROR(__xludf.DUMMYFUNCTION("""COMPUTED_VALUE"""),"Love Somebody")</f>
        <v>Love Somebody</v>
      </c>
      <c r="V16" s="3" t="str">
        <f ca="1">IFERROR(VLOOKUP(S16,'2024 Full View'!14:1012,16,0),"")</f>
        <v/>
      </c>
    </row>
    <row r="17" spans="1:17" ht="15.75" customHeight="1">
      <c r="A17" s="20"/>
      <c r="B17" s="3" t="s">
        <v>375</v>
      </c>
      <c r="C17" s="21" t="str">
        <f>IF(COUNTIFS('2024 Full View'!$K:$K,$B17,'2024 Full View'!B:B,"&lt;&gt;")+COUNTIFS('2024 Full View'!$F:$F,$B17,'2024 Full View'!B:B,"&lt;&gt;")=0,"",COUNTIFS('2024 Full View'!$K:$K,$B17,'2024 Full View'!B:B,"&lt;&gt;")+COUNTIFS('2024 Full View'!$F:$F,$B17,'2024 Full View'!B:B,"&lt;&gt;"))</f>
        <v/>
      </c>
      <c r="D17" s="21">
        <f>IF(COUNTIFS('2024 Full View'!$K:$K,$B17,'2024 Full View'!C:C,"&lt;&gt;")+COUNTIFS('2024 Full View'!$F:$F,$B17,'2024 Full View'!C:C,"&lt;&gt;")=0,"",COUNTIFS('2024 Full View'!$K:$K,$B17,'2024 Full View'!C:C,"&lt;&gt;")+COUNTIFS('2024 Full View'!$F:$F,$B17,'2024 Full View'!C:C,"&lt;&gt;"))</f>
        <v>1</v>
      </c>
      <c r="E17" s="21" t="str">
        <f>IF(COUNTIFS('2024 Full View'!$K:$K,$B17,'2024 Full View'!D:D,"&lt;&gt;")+COUNTIFS('2024 Full View'!$F:$F,$B17,'2024 Full View'!D:D,"&lt;&gt;")=0,"",COUNTIFS('2024 Full View'!$K:$K,$B17,'2024 Full View'!D:D,"&lt;&gt;")+COUNTIFS('2024 Full View'!$F:$F,$B17,'2024 Full View'!D:D,"&lt;&gt;"))</f>
        <v/>
      </c>
      <c r="F17" s="21" t="str">
        <f>IF(COUNTIFS('2024 Full View'!$K:$K,$B17,'2024 Full View'!E:E,"&lt;&gt;")+COUNTIFS('2024 Full View'!$F:$F,$B17,'2024 Full View'!E:E,"&lt;&gt;")=0,"",COUNTIFS('2024 Full View'!$K:$K,$B17,'2024 Full View'!E:E,"&lt;&gt;")+COUNTIFS('2024 Full View'!$F:$F,$B17,'2024 Full View'!E:E,"&lt;&gt;"))</f>
        <v/>
      </c>
      <c r="G17" s="21">
        <f t="shared" si="0"/>
        <v>1</v>
      </c>
      <c r="I17" s="3" t="s">
        <v>1</v>
      </c>
      <c r="J17" s="22">
        <f>AVERAGEIF('2024 Full View'!C:C,"&lt;&gt;",'2024 Full View'!H:H)</f>
        <v>42425.287234042553</v>
      </c>
      <c r="L17" s="3" t="str">
        <f ca="1">IFERROR(__xludf.DUMMYFUNCTION("""COMPUTED_VALUE"""),"Zach BryanFrom Austin")</f>
        <v>Zach BryanFrom Austin</v>
      </c>
      <c r="M17" s="3" t="str">
        <f ca="1">IFERROR(__xludf.DUMMYFUNCTION("""COMPUTED_VALUE"""),"Zach Bryan")</f>
        <v>Zach Bryan</v>
      </c>
      <c r="N17" s="3" t="str">
        <f ca="1">IFERROR(__xludf.DUMMYFUNCTION("""COMPUTED_VALUE"""),"From Austin")</f>
        <v>From Austin</v>
      </c>
      <c r="O17" s="3" t="e">
        <f ca="1">VLOOKUP(L17,'2023 Full View'!A15:P380,16,0)</f>
        <v>#N/A</v>
      </c>
      <c r="P17" s="3" t="str">
        <f ca="1">IFERROR(VLOOKUP($L17,'2024 Full View'!$1:$999,16,0),"")</f>
        <v/>
      </c>
      <c r="Q17" s="3" t="b">
        <f t="shared" ca="1" si="1"/>
        <v>1</v>
      </c>
    </row>
    <row r="18" spans="1:17" ht="15.75" customHeight="1">
      <c r="A18" s="20"/>
      <c r="B18" s="3" t="s">
        <v>376</v>
      </c>
      <c r="C18" s="21" t="str">
        <f>IF(COUNTIFS('2024 Full View'!$K:$K,$B18,'2024 Full View'!B:B,"&lt;&gt;")+COUNTIFS('2024 Full View'!$F:$F,$B18,'2024 Full View'!B:B,"&lt;&gt;")=0,"",COUNTIFS('2024 Full View'!$K:$K,$B18,'2024 Full View'!B:B,"&lt;&gt;")+COUNTIFS('2024 Full View'!$F:$F,$B18,'2024 Full View'!B:B,"&lt;&gt;"))</f>
        <v/>
      </c>
      <c r="D18" s="21">
        <f>IF(COUNTIFS('2024 Full View'!$K:$K,$B18,'2024 Full View'!C:C,"&lt;&gt;")+COUNTIFS('2024 Full View'!$F:$F,$B18,'2024 Full View'!C:C,"&lt;&gt;")=0,"",COUNTIFS('2024 Full View'!$K:$K,$B18,'2024 Full View'!C:C,"&lt;&gt;")+COUNTIFS('2024 Full View'!$F:$F,$B18,'2024 Full View'!C:C,"&lt;&gt;"))</f>
        <v>1</v>
      </c>
      <c r="E18" s="21" t="str">
        <f>IF(COUNTIFS('2024 Full View'!$K:$K,$B18,'2024 Full View'!D:D,"&lt;&gt;")+COUNTIFS('2024 Full View'!$F:$F,$B18,'2024 Full View'!D:D,"&lt;&gt;")=0,"",COUNTIFS('2024 Full View'!$K:$K,$B18,'2024 Full View'!D:D,"&lt;&gt;")+COUNTIFS('2024 Full View'!$F:$F,$B18,'2024 Full View'!D:D,"&lt;&gt;"))</f>
        <v/>
      </c>
      <c r="F18" s="21" t="str">
        <f>IF(COUNTIFS('2024 Full View'!$K:$K,$B18,'2024 Full View'!E:E,"&lt;&gt;")+COUNTIFS('2024 Full View'!$F:$F,$B18,'2024 Full View'!E:E,"&lt;&gt;")=0,"",COUNTIFS('2024 Full View'!$K:$K,$B18,'2024 Full View'!E:E,"&lt;&gt;")+COUNTIFS('2024 Full View'!$F:$F,$B18,'2024 Full View'!E:E,"&lt;&gt;"))</f>
        <v/>
      </c>
      <c r="G18" s="21">
        <f t="shared" si="0"/>
        <v>1</v>
      </c>
      <c r="L18" s="3" t="str">
        <f ca="1">IFERROR(__xludf.DUMMYFUNCTION("""COMPUTED_VALUE"""),"Chris StapletonWhite Horse")</f>
        <v>Chris StapletonWhite Horse</v>
      </c>
      <c r="M18" s="3" t="str">
        <f ca="1">IFERROR(__xludf.DUMMYFUNCTION("""COMPUTED_VALUE"""),"Chris Stapleton")</f>
        <v>Chris Stapleton</v>
      </c>
      <c r="N18" s="3" t="str">
        <f ca="1">IFERROR(__xludf.DUMMYFUNCTION("""COMPUTED_VALUE"""),"White Horse")</f>
        <v>White Horse</v>
      </c>
      <c r="O18" s="3" t="e">
        <f ca="1">VLOOKUP(L18,'2023 Full View'!A16:P381,16,0)</f>
        <v>#N/A</v>
      </c>
      <c r="P18" s="3" t="str">
        <f ca="1">IFERROR(VLOOKUP($L18,'2024 Full View'!$1:$999,16,0),"")</f>
        <v/>
      </c>
      <c r="Q18" s="3" t="b">
        <f t="shared" ca="1" si="1"/>
        <v>1</v>
      </c>
    </row>
    <row r="19" spans="1:17" ht="15.75" customHeight="1">
      <c r="A19" s="20"/>
      <c r="B19" s="3" t="s">
        <v>377</v>
      </c>
      <c r="C19" s="21" t="str">
        <f>IF(COUNTIFS('2024 Full View'!$K:$K,$B19,'2024 Full View'!B:B,"&lt;&gt;")+COUNTIFS('2024 Full View'!$F:$F,$B19,'2024 Full View'!B:B,"&lt;&gt;")=0,"",COUNTIFS('2024 Full View'!$K:$K,$B19,'2024 Full View'!B:B,"&lt;&gt;")+COUNTIFS('2024 Full View'!$F:$F,$B19,'2024 Full View'!B:B,"&lt;&gt;"))</f>
        <v/>
      </c>
      <c r="D19" s="21">
        <f>IF(COUNTIFS('2024 Full View'!$K:$K,$B19,'2024 Full View'!C:C,"&lt;&gt;")+COUNTIFS('2024 Full View'!$F:$F,$B19,'2024 Full View'!C:C,"&lt;&gt;")=0,"",COUNTIFS('2024 Full View'!$K:$K,$B19,'2024 Full View'!C:C,"&lt;&gt;")+COUNTIFS('2024 Full View'!$F:$F,$B19,'2024 Full View'!C:C,"&lt;&gt;"))</f>
        <v>1</v>
      </c>
      <c r="E19" s="21" t="str">
        <f>IF(COUNTIFS('2024 Full View'!$K:$K,$B19,'2024 Full View'!D:D,"&lt;&gt;")+COUNTIFS('2024 Full View'!$F:$F,$B19,'2024 Full View'!D:D,"&lt;&gt;")=0,"",COUNTIFS('2024 Full View'!$K:$K,$B19,'2024 Full View'!D:D,"&lt;&gt;")+COUNTIFS('2024 Full View'!$F:$F,$B19,'2024 Full View'!D:D,"&lt;&gt;"))</f>
        <v/>
      </c>
      <c r="F19" s="21" t="str">
        <f>IF(COUNTIFS('2024 Full View'!$K:$K,$B19,'2024 Full View'!E:E,"&lt;&gt;")+COUNTIFS('2024 Full View'!$F:$F,$B19,'2024 Full View'!E:E,"&lt;&gt;")=0,"",COUNTIFS('2024 Full View'!$K:$K,$B19,'2024 Full View'!E:E,"&lt;&gt;")+COUNTIFS('2024 Full View'!$F:$F,$B19,'2024 Full View'!E:E,"&lt;&gt;"))</f>
        <v/>
      </c>
      <c r="G19" s="21">
        <f t="shared" si="0"/>
        <v>1</v>
      </c>
      <c r="L19" s="3" t="str">
        <f ca="1">IFERROR(__xludf.DUMMYFUNCTION("""COMPUTED_VALUE"""),"Mt. JoySilver Lining")</f>
        <v>Mt. JoySilver Lining</v>
      </c>
      <c r="M19" s="3" t="str">
        <f ca="1">IFERROR(__xludf.DUMMYFUNCTION("""COMPUTED_VALUE"""),"Mt. Joy")</f>
        <v>Mt. Joy</v>
      </c>
      <c r="N19" s="3" t="str">
        <f ca="1">IFERROR(__xludf.DUMMYFUNCTION("""COMPUTED_VALUE"""),"Silver Lining")</f>
        <v>Silver Lining</v>
      </c>
      <c r="O19" s="3" t="e">
        <f ca="1">VLOOKUP(L19,'2023 Full View'!A17:P382,16,0)</f>
        <v>#N/A</v>
      </c>
      <c r="P19" s="3" t="str">
        <f ca="1">IFERROR(VLOOKUP($L19,'2024 Full View'!$1:$999,16,0),"")</f>
        <v/>
      </c>
      <c r="Q19" s="3" t="b">
        <f t="shared" ca="1" si="1"/>
        <v>1</v>
      </c>
    </row>
    <row r="20" spans="1:17" ht="15.75" customHeight="1">
      <c r="A20" s="20"/>
      <c r="B20" s="3" t="s">
        <v>378</v>
      </c>
      <c r="C20" s="21" t="str">
        <f>IF(COUNTIFS('2024 Full View'!$K:$K,$B20,'2024 Full View'!B:B,"&lt;&gt;")+COUNTIFS('2024 Full View'!$F:$F,$B20,'2024 Full View'!B:B,"&lt;&gt;")=0,"",COUNTIFS('2024 Full View'!$K:$K,$B20,'2024 Full View'!B:B,"&lt;&gt;")+COUNTIFS('2024 Full View'!$F:$F,$B20,'2024 Full View'!B:B,"&lt;&gt;"))</f>
        <v/>
      </c>
      <c r="D20" s="21">
        <f>IF(COUNTIFS('2024 Full View'!$K:$K,$B20,'2024 Full View'!C:C,"&lt;&gt;")+COUNTIFS('2024 Full View'!$F:$F,$B20,'2024 Full View'!C:C,"&lt;&gt;")=0,"",COUNTIFS('2024 Full View'!$K:$K,$B20,'2024 Full View'!C:C,"&lt;&gt;")+COUNTIFS('2024 Full View'!$F:$F,$B20,'2024 Full View'!C:C,"&lt;&gt;"))</f>
        <v>1</v>
      </c>
      <c r="E20" s="21" t="str">
        <f>IF(COUNTIFS('2024 Full View'!$K:$K,$B20,'2024 Full View'!D:D,"&lt;&gt;")+COUNTIFS('2024 Full View'!$F:$F,$B20,'2024 Full View'!D:D,"&lt;&gt;")=0,"",COUNTIFS('2024 Full View'!$K:$K,$B20,'2024 Full View'!D:D,"&lt;&gt;")+COUNTIFS('2024 Full View'!$F:$F,$B20,'2024 Full View'!D:D,"&lt;&gt;"))</f>
        <v/>
      </c>
      <c r="F20" s="21" t="str">
        <f>IF(COUNTIFS('2024 Full View'!$K:$K,$B20,'2024 Full View'!E:E,"&lt;&gt;")+COUNTIFS('2024 Full View'!$F:$F,$B20,'2024 Full View'!E:E,"&lt;&gt;")=0,"",COUNTIFS('2024 Full View'!$K:$K,$B20,'2024 Full View'!E:E,"&lt;&gt;")+COUNTIFS('2024 Full View'!$F:$F,$B20,'2024 Full View'!E:E,"&lt;&gt;"))</f>
        <v/>
      </c>
      <c r="G20" s="21">
        <f t="shared" si="0"/>
        <v>1</v>
      </c>
      <c r="L20" s="3" t="str">
        <f ca="1">IFERROR(__xludf.DUMMYFUNCTION("""COMPUTED_VALUE"""),"Niall HoranHeaven")</f>
        <v>Niall HoranHeaven</v>
      </c>
      <c r="M20" s="3" t="str">
        <f ca="1">IFERROR(__xludf.DUMMYFUNCTION("""COMPUTED_VALUE"""),"Niall Horan")</f>
        <v>Niall Horan</v>
      </c>
      <c r="N20" s="3" t="str">
        <f ca="1">IFERROR(__xludf.DUMMYFUNCTION("""COMPUTED_VALUE"""),"Heaven")</f>
        <v>Heaven</v>
      </c>
      <c r="O20" s="3" t="e">
        <f ca="1">VLOOKUP(L20,'2023 Full View'!A18:P383,16,0)</f>
        <v>#N/A</v>
      </c>
      <c r="P20" s="3" t="str">
        <f ca="1">IFERROR(VLOOKUP($L20,'2024 Full View'!$1:$999,16,0),"")</f>
        <v/>
      </c>
      <c r="Q20" s="3" t="b">
        <f t="shared" ca="1" si="1"/>
        <v>1</v>
      </c>
    </row>
    <row r="21" spans="1:17" ht="15.75" customHeight="1">
      <c r="A21" s="20"/>
      <c r="B21" s="3" t="s">
        <v>379</v>
      </c>
      <c r="C21" s="21" t="str">
        <f>IF(COUNTIFS('2024 Full View'!$K:$K,$B21,'2024 Full View'!B:B,"&lt;&gt;")+COUNTIFS('2024 Full View'!$F:$F,$B21,'2024 Full View'!B:B,"&lt;&gt;")=0,"",COUNTIFS('2024 Full View'!$K:$K,$B21,'2024 Full View'!B:B,"&lt;&gt;")+COUNTIFS('2024 Full View'!$F:$F,$B21,'2024 Full View'!B:B,"&lt;&gt;"))</f>
        <v/>
      </c>
      <c r="D21" s="21">
        <f>IF(COUNTIFS('2024 Full View'!$K:$K,$B21,'2024 Full View'!C:C,"&lt;&gt;")+COUNTIFS('2024 Full View'!$F:$F,$B21,'2024 Full View'!C:C,"&lt;&gt;")=0,"",COUNTIFS('2024 Full View'!$K:$K,$B21,'2024 Full View'!C:C,"&lt;&gt;")+COUNTIFS('2024 Full View'!$F:$F,$B21,'2024 Full View'!C:C,"&lt;&gt;"))</f>
        <v>1</v>
      </c>
      <c r="E21" s="21" t="str">
        <f>IF(COUNTIFS('2024 Full View'!$K:$K,$B21,'2024 Full View'!D:D,"&lt;&gt;")+COUNTIFS('2024 Full View'!$F:$F,$B21,'2024 Full View'!D:D,"&lt;&gt;")=0,"",COUNTIFS('2024 Full View'!$K:$K,$B21,'2024 Full View'!D:D,"&lt;&gt;")+COUNTIFS('2024 Full View'!$F:$F,$B21,'2024 Full View'!D:D,"&lt;&gt;"))</f>
        <v/>
      </c>
      <c r="F21" s="21" t="str">
        <f>IF(COUNTIFS('2024 Full View'!$K:$K,$B21,'2024 Full View'!E:E,"&lt;&gt;")+COUNTIFS('2024 Full View'!$F:$F,$B21,'2024 Full View'!E:E,"&lt;&gt;")=0,"",COUNTIFS('2024 Full View'!$K:$K,$B21,'2024 Full View'!E:E,"&lt;&gt;")+COUNTIFS('2024 Full View'!$F:$F,$B21,'2024 Full View'!E:E,"&lt;&gt;"))</f>
        <v/>
      </c>
      <c r="G21" s="21">
        <f t="shared" si="0"/>
        <v>1</v>
      </c>
      <c r="L21" s="3" t="str">
        <f ca="1">IFERROR(__xludf.DUMMYFUNCTION("""COMPUTED_VALUE"""),"The Rolling StonesGimme Shelter")</f>
        <v>The Rolling StonesGimme Shelter</v>
      </c>
      <c r="M21" s="3" t="str">
        <f ca="1">IFERROR(__xludf.DUMMYFUNCTION("""COMPUTED_VALUE"""),"The Rolling Stones")</f>
        <v>The Rolling Stones</v>
      </c>
      <c r="N21" s="3" t="str">
        <f ca="1">IFERROR(__xludf.DUMMYFUNCTION("""COMPUTED_VALUE"""),"Gimme Shelter")</f>
        <v>Gimme Shelter</v>
      </c>
      <c r="O21" s="3" t="e">
        <f ca="1">VLOOKUP(L21,'2023 Full View'!A19:P384,16,0)</f>
        <v>#N/A</v>
      </c>
      <c r="P21" s="3" t="str">
        <f ca="1">IFERROR(VLOOKUP($L21,'2024 Full View'!$1:$999,16,0),"")</f>
        <v/>
      </c>
      <c r="Q21" s="3" t="b">
        <f t="shared" ca="1" si="1"/>
        <v>1</v>
      </c>
    </row>
    <row r="22" spans="1:17" ht="15.75" customHeight="1">
      <c r="A22" s="20"/>
      <c r="B22" s="3" t="s">
        <v>380</v>
      </c>
      <c r="C22" s="21" t="str">
        <f>IF(COUNTIFS('2024 Full View'!$K:$K,$B22,'2024 Full View'!B:B,"&lt;&gt;")+COUNTIFS('2024 Full View'!$F:$F,$B22,'2024 Full View'!B:B,"&lt;&gt;")=0,"",COUNTIFS('2024 Full View'!$K:$K,$B22,'2024 Full View'!B:B,"&lt;&gt;")+COUNTIFS('2024 Full View'!$F:$F,$B22,'2024 Full View'!B:B,"&lt;&gt;"))</f>
        <v/>
      </c>
      <c r="D22" s="21">
        <f>IF(COUNTIFS('2024 Full View'!$K:$K,$B22,'2024 Full View'!C:C,"&lt;&gt;")+COUNTIFS('2024 Full View'!$F:$F,$B22,'2024 Full View'!C:C,"&lt;&gt;")=0,"",COUNTIFS('2024 Full View'!$K:$K,$B22,'2024 Full View'!C:C,"&lt;&gt;")+COUNTIFS('2024 Full View'!$F:$F,$B22,'2024 Full View'!C:C,"&lt;&gt;"))</f>
        <v>1</v>
      </c>
      <c r="E22" s="21" t="str">
        <f>IF(COUNTIFS('2024 Full View'!$K:$K,$B22,'2024 Full View'!D:D,"&lt;&gt;")+COUNTIFS('2024 Full View'!$F:$F,$B22,'2024 Full View'!D:D,"&lt;&gt;")=0,"",COUNTIFS('2024 Full View'!$K:$K,$B22,'2024 Full View'!D:D,"&lt;&gt;")+COUNTIFS('2024 Full View'!$F:$F,$B22,'2024 Full View'!D:D,"&lt;&gt;"))</f>
        <v/>
      </c>
      <c r="F22" s="21" t="str">
        <f>IF(COUNTIFS('2024 Full View'!$K:$K,$B22,'2024 Full View'!E:E,"&lt;&gt;")+COUNTIFS('2024 Full View'!$F:$F,$B22,'2024 Full View'!E:E,"&lt;&gt;")=0,"",COUNTIFS('2024 Full View'!$K:$K,$B22,'2024 Full View'!E:E,"&lt;&gt;")+COUNTIFS('2024 Full View'!$F:$F,$B22,'2024 Full View'!E:E,"&lt;&gt;"))</f>
        <v/>
      </c>
      <c r="G22" s="21">
        <f t="shared" si="0"/>
        <v>1</v>
      </c>
      <c r="L22" s="3" t="str">
        <f ca="1">IFERROR(__xludf.DUMMYFUNCTION("""COMPUTED_VALUE"""),"mgkmy ex's best friend (with blackbear)")</f>
        <v>mgkmy ex's best friend (with blackbear)</v>
      </c>
      <c r="M22" s="3" t="str">
        <f ca="1">IFERROR(__xludf.DUMMYFUNCTION("""COMPUTED_VALUE"""),"mgk")</f>
        <v>mgk</v>
      </c>
      <c r="N22" s="3" t="str">
        <f ca="1">IFERROR(__xludf.DUMMYFUNCTION("""COMPUTED_VALUE"""),"my ex's best friend (with blackbear)")</f>
        <v>my ex's best friend (with blackbear)</v>
      </c>
      <c r="O22" s="3" t="e">
        <f ca="1">VLOOKUP(L22,'2023 Full View'!A20:P385,16,0)</f>
        <v>#N/A</v>
      </c>
      <c r="P22" s="3" t="str">
        <f ca="1">IFERROR(VLOOKUP($L22,'2024 Full View'!$1:$999,16,0),"")</f>
        <v/>
      </c>
      <c r="Q22" s="3" t="b">
        <f t="shared" ca="1" si="1"/>
        <v>1</v>
      </c>
    </row>
    <row r="23" spans="1:17" ht="15.75" customHeight="1">
      <c r="A23" s="20"/>
      <c r="B23" s="3" t="s">
        <v>381</v>
      </c>
      <c r="C23" s="21" t="str">
        <f>IF(COUNTIFS('2024 Full View'!$K:$K,$B23,'2024 Full View'!B:B,"&lt;&gt;")+COUNTIFS('2024 Full View'!$F:$F,$B23,'2024 Full View'!B:B,"&lt;&gt;")=0,"",COUNTIFS('2024 Full View'!$K:$K,$B23,'2024 Full View'!B:B,"&lt;&gt;")+COUNTIFS('2024 Full View'!$F:$F,$B23,'2024 Full View'!B:B,"&lt;&gt;"))</f>
        <v/>
      </c>
      <c r="D23" s="21">
        <f>IF(COUNTIFS('2024 Full View'!$K:$K,$B23,'2024 Full View'!C:C,"&lt;&gt;")+COUNTIFS('2024 Full View'!$F:$F,$B23,'2024 Full View'!C:C,"&lt;&gt;")=0,"",COUNTIFS('2024 Full View'!$K:$K,$B23,'2024 Full View'!C:C,"&lt;&gt;")+COUNTIFS('2024 Full View'!$F:$F,$B23,'2024 Full View'!C:C,"&lt;&gt;"))</f>
        <v>1</v>
      </c>
      <c r="E23" s="21" t="str">
        <f>IF(COUNTIFS('2024 Full View'!$K:$K,$B23,'2024 Full View'!D:D,"&lt;&gt;")+COUNTIFS('2024 Full View'!$F:$F,$B23,'2024 Full View'!D:D,"&lt;&gt;")=0,"",COUNTIFS('2024 Full View'!$K:$K,$B23,'2024 Full View'!D:D,"&lt;&gt;")+COUNTIFS('2024 Full View'!$F:$F,$B23,'2024 Full View'!D:D,"&lt;&gt;"))</f>
        <v/>
      </c>
      <c r="F23" s="21" t="str">
        <f>IF(COUNTIFS('2024 Full View'!$K:$K,$B23,'2024 Full View'!E:E,"&lt;&gt;")+COUNTIFS('2024 Full View'!$F:$F,$B23,'2024 Full View'!E:E,"&lt;&gt;")=0,"",COUNTIFS('2024 Full View'!$K:$K,$B23,'2024 Full View'!E:E,"&lt;&gt;")+COUNTIFS('2024 Full View'!$F:$F,$B23,'2024 Full View'!E:E,"&lt;&gt;"))</f>
        <v/>
      </c>
      <c r="G23" s="21">
        <f t="shared" si="0"/>
        <v>1</v>
      </c>
      <c r="L23" s="3" t="str">
        <f ca="1">IFERROR(__xludf.DUMMYFUNCTION("""COMPUTED_VALUE"""),"Becky HillRemember")</f>
        <v>Becky HillRemember</v>
      </c>
      <c r="M23" s="3" t="str">
        <f ca="1">IFERROR(__xludf.DUMMYFUNCTION("""COMPUTED_VALUE"""),"Becky Hill")</f>
        <v>Becky Hill</v>
      </c>
      <c r="N23" s="3" t="str">
        <f ca="1">IFERROR(__xludf.DUMMYFUNCTION("""COMPUTED_VALUE"""),"Remember")</f>
        <v>Remember</v>
      </c>
      <c r="O23" s="3" t="e">
        <f ca="1">VLOOKUP(L23,'2023 Full View'!A21:P386,16,0)</f>
        <v>#N/A</v>
      </c>
      <c r="P23" s="3" t="str">
        <f ca="1">IFERROR(VLOOKUP($L23,'2024 Full View'!$1:$999,16,0),"")</f>
        <v/>
      </c>
      <c r="Q23" s="3" t="b">
        <f t="shared" ca="1" si="1"/>
        <v>1</v>
      </c>
    </row>
    <row r="24" spans="1:17" ht="15.75" customHeight="1">
      <c r="A24" s="20"/>
      <c r="B24" s="3" t="s">
        <v>382</v>
      </c>
      <c r="C24" s="21" t="str">
        <f>IF(COUNTIFS('2024 Full View'!$K:$K,$B24,'2024 Full View'!B:B,"&lt;&gt;")+COUNTIFS('2024 Full View'!$F:$F,$B24,'2024 Full View'!B:B,"&lt;&gt;")=0,"",COUNTIFS('2024 Full View'!$K:$K,$B24,'2024 Full View'!B:B,"&lt;&gt;")+COUNTIFS('2024 Full View'!$F:$F,$B24,'2024 Full View'!B:B,"&lt;&gt;"))</f>
        <v/>
      </c>
      <c r="D24" s="21">
        <f>IF(COUNTIFS('2024 Full View'!$K:$K,$B24,'2024 Full View'!C:C,"&lt;&gt;")+COUNTIFS('2024 Full View'!$F:$F,$B24,'2024 Full View'!C:C,"&lt;&gt;")=0,"",COUNTIFS('2024 Full View'!$K:$K,$B24,'2024 Full View'!C:C,"&lt;&gt;")+COUNTIFS('2024 Full View'!$F:$F,$B24,'2024 Full View'!C:C,"&lt;&gt;"))</f>
        <v>1</v>
      </c>
      <c r="E24" s="21" t="str">
        <f>IF(COUNTIFS('2024 Full View'!$K:$K,$B24,'2024 Full View'!D:D,"&lt;&gt;")+COUNTIFS('2024 Full View'!$F:$F,$B24,'2024 Full View'!D:D,"&lt;&gt;")=0,"",COUNTIFS('2024 Full View'!$K:$K,$B24,'2024 Full View'!D:D,"&lt;&gt;")+COUNTIFS('2024 Full View'!$F:$F,$B24,'2024 Full View'!D:D,"&lt;&gt;"))</f>
        <v/>
      </c>
      <c r="F24" s="21" t="str">
        <f>IF(COUNTIFS('2024 Full View'!$K:$K,$B24,'2024 Full View'!E:E,"&lt;&gt;")+COUNTIFS('2024 Full View'!$F:$F,$B24,'2024 Full View'!E:E,"&lt;&gt;")=0,"",COUNTIFS('2024 Full View'!$K:$K,$B24,'2024 Full View'!E:E,"&lt;&gt;")+COUNTIFS('2024 Full View'!$F:$F,$B24,'2024 Full View'!E:E,"&lt;&gt;"))</f>
        <v/>
      </c>
      <c r="G24" s="21">
        <f t="shared" si="0"/>
        <v>1</v>
      </c>
      <c r="L24" s="3" t="str">
        <f ca="1">IFERROR(__xludf.DUMMYFUNCTION("""COMPUTED_VALUE"""),"Looking GlassBrandy (You're a Fine Girl)")</f>
        <v>Looking GlassBrandy (You're a Fine Girl)</v>
      </c>
      <c r="M24" s="3" t="str">
        <f ca="1">IFERROR(__xludf.DUMMYFUNCTION("""COMPUTED_VALUE"""),"Looking Glass")</f>
        <v>Looking Glass</v>
      </c>
      <c r="N24" s="3" t="str">
        <f ca="1">IFERROR(__xludf.DUMMYFUNCTION("""COMPUTED_VALUE"""),"Brandy (You're a Fine Girl)")</f>
        <v>Brandy (You're a Fine Girl)</v>
      </c>
      <c r="O24" s="3" t="e">
        <f ca="1">VLOOKUP(L24,'2023 Full View'!A22:P387,16,0)</f>
        <v>#N/A</v>
      </c>
      <c r="P24" s="3" t="str">
        <f ca="1">IFERROR(VLOOKUP($L24,'2024 Full View'!$1:$999,16,0),"")</f>
        <v/>
      </c>
      <c r="Q24" s="3" t="b">
        <f t="shared" ca="1" si="1"/>
        <v>1</v>
      </c>
    </row>
    <row r="25" spans="1:17" ht="15.75" customHeight="1">
      <c r="A25" s="20"/>
      <c r="B25" s="3" t="s">
        <v>383</v>
      </c>
      <c r="C25" s="21" t="str">
        <f>IF(COUNTIFS('2024 Full View'!$K:$K,$B25,'2024 Full View'!B:B,"&lt;&gt;")+COUNTIFS('2024 Full View'!$F:$F,$B25,'2024 Full View'!B:B,"&lt;&gt;")=0,"",COUNTIFS('2024 Full View'!$K:$K,$B25,'2024 Full View'!B:B,"&lt;&gt;")+COUNTIFS('2024 Full View'!$F:$F,$B25,'2024 Full View'!B:B,"&lt;&gt;"))</f>
        <v/>
      </c>
      <c r="D25" s="21">
        <f>IF(COUNTIFS('2024 Full View'!$K:$K,$B25,'2024 Full View'!C:C,"&lt;&gt;")+COUNTIFS('2024 Full View'!$F:$F,$B25,'2024 Full View'!C:C,"&lt;&gt;")=0,"",COUNTIFS('2024 Full View'!$K:$K,$B25,'2024 Full View'!C:C,"&lt;&gt;")+COUNTIFS('2024 Full View'!$F:$F,$B25,'2024 Full View'!C:C,"&lt;&gt;"))</f>
        <v>1</v>
      </c>
      <c r="E25" s="21" t="str">
        <f>IF(COUNTIFS('2024 Full View'!$K:$K,$B25,'2024 Full View'!D:D,"&lt;&gt;")+COUNTIFS('2024 Full View'!$F:$F,$B25,'2024 Full View'!D:D,"&lt;&gt;")=0,"",COUNTIFS('2024 Full View'!$K:$K,$B25,'2024 Full View'!D:D,"&lt;&gt;")+COUNTIFS('2024 Full View'!$F:$F,$B25,'2024 Full View'!D:D,"&lt;&gt;"))</f>
        <v/>
      </c>
      <c r="F25" s="21" t="str">
        <f>IF(COUNTIFS('2024 Full View'!$K:$K,$B25,'2024 Full View'!E:E,"&lt;&gt;")+COUNTIFS('2024 Full View'!$F:$F,$B25,'2024 Full View'!E:E,"&lt;&gt;")=0,"",COUNTIFS('2024 Full View'!$K:$K,$B25,'2024 Full View'!E:E,"&lt;&gt;")+COUNTIFS('2024 Full View'!$F:$F,$B25,'2024 Full View'!E:E,"&lt;&gt;"))</f>
        <v/>
      </c>
      <c r="G25" s="21">
        <f t="shared" si="0"/>
        <v>1</v>
      </c>
      <c r="L25" s="3" t="str">
        <f ca="1">IFERROR(__xludf.DUMMYFUNCTION("""COMPUTED_VALUE"""),"The LumineersStubborn Love")</f>
        <v>The LumineersStubborn Love</v>
      </c>
      <c r="M25" s="3" t="str">
        <f ca="1">IFERROR(__xludf.DUMMYFUNCTION("""COMPUTED_VALUE"""),"The Lumineers")</f>
        <v>The Lumineers</v>
      </c>
      <c r="N25" s="3" t="str">
        <f ca="1">IFERROR(__xludf.DUMMYFUNCTION("""COMPUTED_VALUE"""),"Stubborn Love")</f>
        <v>Stubborn Love</v>
      </c>
      <c r="O25" s="3" t="e">
        <f ca="1">VLOOKUP(L25,'2023 Full View'!A23:P388,16,0)</f>
        <v>#N/A</v>
      </c>
      <c r="P25" s="3" t="str">
        <f ca="1">IFERROR(VLOOKUP($L25,'2024 Full View'!$1:$999,16,0),"")</f>
        <v/>
      </c>
      <c r="Q25" s="3" t="b">
        <f t="shared" ca="1" si="1"/>
        <v>1</v>
      </c>
    </row>
    <row r="26" spans="1:17" ht="15.75" customHeight="1">
      <c r="A26" s="20"/>
      <c r="B26" s="3" t="s">
        <v>384</v>
      </c>
      <c r="C26" s="21" t="str">
        <f>IF(COUNTIFS('2024 Full View'!$K:$K,$B26,'2024 Full View'!B:B,"&lt;&gt;")+COUNTIFS('2024 Full View'!$F:$F,$B26,'2024 Full View'!B:B,"&lt;&gt;")=0,"",COUNTIFS('2024 Full View'!$K:$K,$B26,'2024 Full View'!B:B,"&lt;&gt;")+COUNTIFS('2024 Full View'!$F:$F,$B26,'2024 Full View'!B:B,"&lt;&gt;"))</f>
        <v/>
      </c>
      <c r="D26" s="21">
        <f>IF(COUNTIFS('2024 Full View'!$K:$K,$B26,'2024 Full View'!C:C,"&lt;&gt;")+COUNTIFS('2024 Full View'!$F:$F,$B26,'2024 Full View'!C:C,"&lt;&gt;")=0,"",COUNTIFS('2024 Full View'!$K:$K,$B26,'2024 Full View'!C:C,"&lt;&gt;")+COUNTIFS('2024 Full View'!$F:$F,$B26,'2024 Full View'!C:C,"&lt;&gt;"))</f>
        <v>1</v>
      </c>
      <c r="E26" s="21" t="str">
        <f>IF(COUNTIFS('2024 Full View'!$K:$K,$B26,'2024 Full View'!D:D,"&lt;&gt;")+COUNTIFS('2024 Full View'!$F:$F,$B26,'2024 Full View'!D:D,"&lt;&gt;")=0,"",COUNTIFS('2024 Full View'!$K:$K,$B26,'2024 Full View'!D:D,"&lt;&gt;")+COUNTIFS('2024 Full View'!$F:$F,$B26,'2024 Full View'!D:D,"&lt;&gt;"))</f>
        <v/>
      </c>
      <c r="F26" s="21" t="str">
        <f>IF(COUNTIFS('2024 Full View'!$K:$K,$B26,'2024 Full View'!E:E,"&lt;&gt;")+COUNTIFS('2024 Full View'!$F:$F,$B26,'2024 Full View'!E:E,"&lt;&gt;")=0,"",COUNTIFS('2024 Full View'!$K:$K,$B26,'2024 Full View'!E:E,"&lt;&gt;")+COUNTIFS('2024 Full View'!$F:$F,$B26,'2024 Full View'!E:E,"&lt;&gt;"))</f>
        <v/>
      </c>
      <c r="G26" s="21">
        <f t="shared" si="0"/>
        <v>1</v>
      </c>
      <c r="L26" s="3" t="str">
        <f ca="1">IFERROR(__xludf.DUMMYFUNCTION("""COMPUTED_VALUE"""),"Little MixLove Me Like You")</f>
        <v>Little MixLove Me Like You</v>
      </c>
      <c r="M26" s="3" t="str">
        <f ca="1">IFERROR(__xludf.DUMMYFUNCTION("""COMPUTED_VALUE"""),"Little Mix")</f>
        <v>Little Mix</v>
      </c>
      <c r="N26" s="3" t="str">
        <f ca="1">IFERROR(__xludf.DUMMYFUNCTION("""COMPUTED_VALUE"""),"Love Me Like You")</f>
        <v>Love Me Like You</v>
      </c>
      <c r="O26" s="3" t="e">
        <f ca="1">VLOOKUP(L26,'2023 Full View'!A24:P389,16,0)</f>
        <v>#N/A</v>
      </c>
      <c r="P26" s="3" t="str">
        <f ca="1">IFERROR(VLOOKUP($L26,'2024 Full View'!$1:$999,16,0),"")</f>
        <v/>
      </c>
      <c r="Q26" s="3" t="b">
        <f t="shared" ca="1" si="1"/>
        <v>1</v>
      </c>
    </row>
    <row r="27" spans="1:17" ht="15.75" customHeight="1">
      <c r="A27" s="20"/>
      <c r="B27" s="3" t="s">
        <v>385</v>
      </c>
      <c r="C27" s="21" t="str">
        <f>IF(COUNTIFS('2024 Full View'!$K:$K,$B27,'2024 Full View'!B:B,"&lt;&gt;")+COUNTIFS('2024 Full View'!$F:$F,$B27,'2024 Full View'!B:B,"&lt;&gt;")=0,"",COUNTIFS('2024 Full View'!$K:$K,$B27,'2024 Full View'!B:B,"&lt;&gt;")+COUNTIFS('2024 Full View'!$F:$F,$B27,'2024 Full View'!B:B,"&lt;&gt;"))</f>
        <v/>
      </c>
      <c r="D27" s="21">
        <f>IF(COUNTIFS('2024 Full View'!$K:$K,$B27,'2024 Full View'!C:C,"&lt;&gt;")+COUNTIFS('2024 Full View'!$F:$F,$B27,'2024 Full View'!C:C,"&lt;&gt;")=0,"",COUNTIFS('2024 Full View'!$K:$K,$B27,'2024 Full View'!C:C,"&lt;&gt;")+COUNTIFS('2024 Full View'!$F:$F,$B27,'2024 Full View'!C:C,"&lt;&gt;"))</f>
        <v>1</v>
      </c>
      <c r="E27" s="21" t="str">
        <f>IF(COUNTIFS('2024 Full View'!$K:$K,$B27,'2024 Full View'!D:D,"&lt;&gt;")+COUNTIFS('2024 Full View'!$F:$F,$B27,'2024 Full View'!D:D,"&lt;&gt;")=0,"",COUNTIFS('2024 Full View'!$K:$K,$B27,'2024 Full View'!D:D,"&lt;&gt;")+COUNTIFS('2024 Full View'!$F:$F,$B27,'2024 Full View'!D:D,"&lt;&gt;"))</f>
        <v/>
      </c>
      <c r="F27" s="21" t="str">
        <f>IF(COUNTIFS('2024 Full View'!$K:$K,$B27,'2024 Full View'!E:E,"&lt;&gt;")+COUNTIFS('2024 Full View'!$F:$F,$B27,'2024 Full View'!E:E,"&lt;&gt;")=0,"",COUNTIFS('2024 Full View'!$K:$K,$B27,'2024 Full View'!E:E,"&lt;&gt;")+COUNTIFS('2024 Full View'!$F:$F,$B27,'2024 Full View'!E:E,"&lt;&gt;"))</f>
        <v/>
      </c>
      <c r="G27" s="21">
        <f t="shared" si="0"/>
        <v>1</v>
      </c>
      <c r="L27" s="3" t="str">
        <f ca="1">IFERROR(__xludf.DUMMYFUNCTION("""COMPUTED_VALUE"""),"Carole KingIt's Too Late")</f>
        <v>Carole KingIt's Too Late</v>
      </c>
      <c r="M27" s="3" t="str">
        <f ca="1">IFERROR(__xludf.DUMMYFUNCTION("""COMPUTED_VALUE"""),"Carole King")</f>
        <v>Carole King</v>
      </c>
      <c r="N27" s="3" t="str">
        <f ca="1">IFERROR(__xludf.DUMMYFUNCTION("""COMPUTED_VALUE"""),"It's Too Late")</f>
        <v>It's Too Late</v>
      </c>
      <c r="O27" s="3" t="e">
        <f ca="1">VLOOKUP(L27,'2023 Full View'!A25:P390,16,0)</f>
        <v>#N/A</v>
      </c>
      <c r="P27" s="3" t="str">
        <f ca="1">IFERROR(VLOOKUP($L27,'2024 Full View'!$1:$999,16,0),"")</f>
        <v/>
      </c>
      <c r="Q27" s="3" t="b">
        <f t="shared" ca="1" si="1"/>
        <v>1</v>
      </c>
    </row>
    <row r="28" spans="1:17" ht="15.75" customHeight="1">
      <c r="A28" s="20"/>
      <c r="B28" s="3" t="s">
        <v>386</v>
      </c>
      <c r="C28" s="21" t="str">
        <f>IF(COUNTIFS('2024 Full View'!$K:$K,$B28,'2024 Full View'!B:B,"&lt;&gt;")+COUNTIFS('2024 Full View'!$F:$F,$B28,'2024 Full View'!B:B,"&lt;&gt;")=0,"",COUNTIFS('2024 Full View'!$K:$K,$B28,'2024 Full View'!B:B,"&lt;&gt;")+COUNTIFS('2024 Full View'!$F:$F,$B28,'2024 Full View'!B:B,"&lt;&gt;"))</f>
        <v/>
      </c>
      <c r="D28" s="21">
        <f>IF(COUNTIFS('2024 Full View'!$K:$K,$B28,'2024 Full View'!C:C,"&lt;&gt;")+COUNTIFS('2024 Full View'!$F:$F,$B28,'2024 Full View'!C:C,"&lt;&gt;")=0,"",COUNTIFS('2024 Full View'!$K:$K,$B28,'2024 Full View'!C:C,"&lt;&gt;")+COUNTIFS('2024 Full View'!$F:$F,$B28,'2024 Full View'!C:C,"&lt;&gt;"))</f>
        <v>1</v>
      </c>
      <c r="E28" s="21" t="str">
        <f>IF(COUNTIFS('2024 Full View'!$K:$K,$B28,'2024 Full View'!D:D,"&lt;&gt;")+COUNTIFS('2024 Full View'!$F:$F,$B28,'2024 Full View'!D:D,"&lt;&gt;")=0,"",COUNTIFS('2024 Full View'!$K:$K,$B28,'2024 Full View'!D:D,"&lt;&gt;")+COUNTIFS('2024 Full View'!$F:$F,$B28,'2024 Full View'!D:D,"&lt;&gt;"))</f>
        <v/>
      </c>
      <c r="F28" s="21" t="str">
        <f>IF(COUNTIFS('2024 Full View'!$K:$K,$B28,'2024 Full View'!E:E,"&lt;&gt;")+COUNTIFS('2024 Full View'!$F:$F,$B28,'2024 Full View'!E:E,"&lt;&gt;")=0,"",COUNTIFS('2024 Full View'!$K:$K,$B28,'2024 Full View'!E:E,"&lt;&gt;")+COUNTIFS('2024 Full View'!$F:$F,$B28,'2024 Full View'!E:E,"&lt;&gt;"))</f>
        <v/>
      </c>
      <c r="G28" s="21">
        <f t="shared" si="0"/>
        <v>1</v>
      </c>
      <c r="L28" s="3" t="str">
        <f ca="1">IFERROR(__xludf.DUMMYFUNCTION("""COMPUTED_VALUE"""),"mgkbloody valentine")</f>
        <v>mgkbloody valentine</v>
      </c>
      <c r="M28" s="3" t="str">
        <f ca="1">IFERROR(__xludf.DUMMYFUNCTION("""COMPUTED_VALUE"""),"mgk")</f>
        <v>mgk</v>
      </c>
      <c r="N28" s="3" t="str">
        <f ca="1">IFERROR(__xludf.DUMMYFUNCTION("""COMPUTED_VALUE"""),"bloody valentine")</f>
        <v>bloody valentine</v>
      </c>
      <c r="O28" s="3" t="e">
        <f ca="1">VLOOKUP(L28,'2023 Full View'!A26:P391,16,0)</f>
        <v>#N/A</v>
      </c>
      <c r="P28" s="3" t="str">
        <f ca="1">IFERROR(VLOOKUP($L28,'2024 Full View'!$1:$999,16,0),"")</f>
        <v/>
      </c>
      <c r="Q28" s="3" t="b">
        <f t="shared" ca="1" si="1"/>
        <v>1</v>
      </c>
    </row>
    <row r="29" spans="1:17" ht="15.75" customHeight="1">
      <c r="A29" s="20"/>
      <c r="B29" s="3" t="s">
        <v>387</v>
      </c>
      <c r="C29" s="21" t="str">
        <f>IF(COUNTIFS('2024 Full View'!$K:$K,$B29,'2024 Full View'!B:B,"&lt;&gt;")+COUNTIFS('2024 Full View'!$F:$F,$B29,'2024 Full View'!B:B,"&lt;&gt;")=0,"",COUNTIFS('2024 Full View'!$K:$K,$B29,'2024 Full View'!B:B,"&lt;&gt;")+COUNTIFS('2024 Full View'!$F:$F,$B29,'2024 Full View'!B:B,"&lt;&gt;"))</f>
        <v/>
      </c>
      <c r="D29" s="21">
        <f>IF(COUNTIFS('2024 Full View'!$K:$K,$B29,'2024 Full View'!C:C,"&lt;&gt;")+COUNTIFS('2024 Full View'!$F:$F,$B29,'2024 Full View'!C:C,"&lt;&gt;")=0,"",COUNTIFS('2024 Full View'!$K:$K,$B29,'2024 Full View'!C:C,"&lt;&gt;")+COUNTIFS('2024 Full View'!$F:$F,$B29,'2024 Full View'!C:C,"&lt;&gt;"))</f>
        <v>1</v>
      </c>
      <c r="E29" s="21" t="str">
        <f>IF(COUNTIFS('2024 Full View'!$K:$K,$B29,'2024 Full View'!D:D,"&lt;&gt;")+COUNTIFS('2024 Full View'!$F:$F,$B29,'2024 Full View'!D:D,"&lt;&gt;")=0,"",COUNTIFS('2024 Full View'!$K:$K,$B29,'2024 Full View'!D:D,"&lt;&gt;")+COUNTIFS('2024 Full View'!$F:$F,$B29,'2024 Full View'!D:D,"&lt;&gt;"))</f>
        <v/>
      </c>
      <c r="F29" s="21" t="str">
        <f>IF(COUNTIFS('2024 Full View'!$K:$K,$B29,'2024 Full View'!E:E,"&lt;&gt;")+COUNTIFS('2024 Full View'!$F:$F,$B29,'2024 Full View'!E:E,"&lt;&gt;")=0,"",COUNTIFS('2024 Full View'!$K:$K,$B29,'2024 Full View'!E:E,"&lt;&gt;")+COUNTIFS('2024 Full View'!$F:$F,$B29,'2024 Full View'!E:E,"&lt;&gt;"))</f>
        <v/>
      </c>
      <c r="G29" s="21">
        <f t="shared" si="0"/>
        <v>1</v>
      </c>
      <c r="L29" s="3" t="str">
        <f ca="1">IFERROR(__xludf.DUMMYFUNCTION("""COMPUTED_VALUE"""),"Nate SmithWhiskey On You")</f>
        <v>Nate SmithWhiskey On You</v>
      </c>
      <c r="M29" s="3" t="str">
        <f ca="1">IFERROR(__xludf.DUMMYFUNCTION("""COMPUTED_VALUE"""),"Nate Smith")</f>
        <v>Nate Smith</v>
      </c>
      <c r="N29" s="3" t="str">
        <f ca="1">IFERROR(__xludf.DUMMYFUNCTION("""COMPUTED_VALUE"""),"Whiskey On You")</f>
        <v>Whiskey On You</v>
      </c>
      <c r="O29" s="3" t="e">
        <f ca="1">VLOOKUP(L29,'2023 Full View'!A27:P392,16,0)</f>
        <v>#N/A</v>
      </c>
      <c r="P29" s="3" t="str">
        <f ca="1">IFERROR(VLOOKUP($L29,'2024 Full View'!$1:$999,16,0),"")</f>
        <v/>
      </c>
      <c r="Q29" s="3" t="b">
        <f t="shared" ca="1" si="1"/>
        <v>1</v>
      </c>
    </row>
    <row r="30" spans="1:17" ht="15.75" customHeight="1">
      <c r="A30" s="20"/>
      <c r="B30" s="3" t="s">
        <v>388</v>
      </c>
      <c r="C30" s="21" t="str">
        <f>IF(COUNTIFS('2024 Full View'!$K:$K,$B30,'2024 Full View'!B:B,"&lt;&gt;")+COUNTIFS('2024 Full View'!$F:$F,$B30,'2024 Full View'!B:B,"&lt;&gt;")=0,"",COUNTIFS('2024 Full View'!$K:$K,$B30,'2024 Full View'!B:B,"&lt;&gt;")+COUNTIFS('2024 Full View'!$F:$F,$B30,'2024 Full View'!B:B,"&lt;&gt;"))</f>
        <v/>
      </c>
      <c r="D30" s="21">
        <f>IF(COUNTIFS('2024 Full View'!$K:$K,$B30,'2024 Full View'!C:C,"&lt;&gt;")+COUNTIFS('2024 Full View'!$F:$F,$B30,'2024 Full View'!C:C,"&lt;&gt;")=0,"",COUNTIFS('2024 Full View'!$K:$K,$B30,'2024 Full View'!C:C,"&lt;&gt;")+COUNTIFS('2024 Full View'!$F:$F,$B30,'2024 Full View'!C:C,"&lt;&gt;"))</f>
        <v>1</v>
      </c>
      <c r="E30" s="21" t="str">
        <f>IF(COUNTIFS('2024 Full View'!$K:$K,$B30,'2024 Full View'!D:D,"&lt;&gt;")+COUNTIFS('2024 Full View'!$F:$F,$B30,'2024 Full View'!D:D,"&lt;&gt;")=0,"",COUNTIFS('2024 Full View'!$K:$K,$B30,'2024 Full View'!D:D,"&lt;&gt;")+COUNTIFS('2024 Full View'!$F:$F,$B30,'2024 Full View'!D:D,"&lt;&gt;"))</f>
        <v/>
      </c>
      <c r="F30" s="21" t="str">
        <f>IF(COUNTIFS('2024 Full View'!$K:$K,$B30,'2024 Full View'!E:E,"&lt;&gt;")+COUNTIFS('2024 Full View'!$F:$F,$B30,'2024 Full View'!E:E,"&lt;&gt;")=0,"",COUNTIFS('2024 Full View'!$K:$K,$B30,'2024 Full View'!E:E,"&lt;&gt;")+COUNTIFS('2024 Full View'!$F:$F,$B30,'2024 Full View'!E:E,"&lt;&gt;"))</f>
        <v/>
      </c>
      <c r="G30" s="21">
        <f t="shared" si="0"/>
        <v>1</v>
      </c>
      <c r="L30" s="3" t="str">
        <f ca="1">IFERROR(__xludf.DUMMYFUNCTION("""COMPUTED_VALUE"""),"Zach BryanOpen the Gate")</f>
        <v>Zach BryanOpen the Gate</v>
      </c>
      <c r="M30" s="3" t="str">
        <f ca="1">IFERROR(__xludf.DUMMYFUNCTION("""COMPUTED_VALUE"""),"Zach Bryan")</f>
        <v>Zach Bryan</v>
      </c>
      <c r="N30" s="3" t="str">
        <f ca="1">IFERROR(__xludf.DUMMYFUNCTION("""COMPUTED_VALUE"""),"Open the Gate")</f>
        <v>Open the Gate</v>
      </c>
      <c r="O30" s="3" t="e">
        <f ca="1">VLOOKUP(L30,'2023 Full View'!A28:P393,16,0)</f>
        <v>#N/A</v>
      </c>
      <c r="P30" s="3" t="str">
        <f ca="1">IFERROR(VLOOKUP($L30,'2024 Full View'!$1:$999,16,0),"")</f>
        <v/>
      </c>
      <c r="Q30" s="3" t="b">
        <f t="shared" ca="1" si="1"/>
        <v>1</v>
      </c>
    </row>
    <row r="31" spans="1:17" ht="15.75" customHeight="1">
      <c r="A31" s="20"/>
      <c r="B31" s="3" t="s">
        <v>389</v>
      </c>
      <c r="C31" s="21" t="str">
        <f>IF(COUNTIFS('2024 Full View'!$K:$K,$B31,'2024 Full View'!B:B,"&lt;&gt;")+COUNTIFS('2024 Full View'!$F:$F,$B31,'2024 Full View'!B:B,"&lt;&gt;")=0,"",COUNTIFS('2024 Full View'!$K:$K,$B31,'2024 Full View'!B:B,"&lt;&gt;")+COUNTIFS('2024 Full View'!$F:$F,$B31,'2024 Full View'!B:B,"&lt;&gt;"))</f>
        <v/>
      </c>
      <c r="D31" s="21">
        <f>IF(COUNTIFS('2024 Full View'!$K:$K,$B31,'2024 Full View'!C:C,"&lt;&gt;")+COUNTIFS('2024 Full View'!$F:$F,$B31,'2024 Full View'!C:C,"&lt;&gt;")=0,"",COUNTIFS('2024 Full View'!$K:$K,$B31,'2024 Full View'!C:C,"&lt;&gt;")+COUNTIFS('2024 Full View'!$F:$F,$B31,'2024 Full View'!C:C,"&lt;&gt;"))</f>
        <v>1</v>
      </c>
      <c r="E31" s="21" t="str">
        <f>IF(COUNTIFS('2024 Full View'!$K:$K,$B31,'2024 Full View'!D:D,"&lt;&gt;")+COUNTIFS('2024 Full View'!$F:$F,$B31,'2024 Full View'!D:D,"&lt;&gt;")=0,"",COUNTIFS('2024 Full View'!$K:$K,$B31,'2024 Full View'!D:D,"&lt;&gt;")+COUNTIFS('2024 Full View'!$F:$F,$B31,'2024 Full View'!D:D,"&lt;&gt;"))</f>
        <v/>
      </c>
      <c r="F31" s="21" t="str">
        <f>IF(COUNTIFS('2024 Full View'!$K:$K,$B31,'2024 Full View'!E:E,"&lt;&gt;")+COUNTIFS('2024 Full View'!$F:$F,$B31,'2024 Full View'!E:E,"&lt;&gt;")=0,"",COUNTIFS('2024 Full View'!$K:$K,$B31,'2024 Full View'!E:E,"&lt;&gt;")+COUNTIFS('2024 Full View'!$F:$F,$B31,'2024 Full View'!E:E,"&lt;&gt;"))</f>
        <v/>
      </c>
      <c r="G31" s="21">
        <f t="shared" si="0"/>
        <v>1</v>
      </c>
      <c r="L31" s="3" t="str">
        <f ca="1">IFERROR(__xludf.DUMMYFUNCTION("""COMPUTED_VALUE"""),"Old DominionMemory Lane")</f>
        <v>Old DominionMemory Lane</v>
      </c>
      <c r="M31" s="3" t="str">
        <f ca="1">IFERROR(__xludf.DUMMYFUNCTION("""COMPUTED_VALUE"""),"Old Dominion")</f>
        <v>Old Dominion</v>
      </c>
      <c r="N31" s="3" t="str">
        <f ca="1">IFERROR(__xludf.DUMMYFUNCTION("""COMPUTED_VALUE"""),"Memory Lane")</f>
        <v>Memory Lane</v>
      </c>
      <c r="O31" s="3" t="e">
        <f ca="1">VLOOKUP(L31,'2023 Full View'!A29:P394,16,0)</f>
        <v>#N/A</v>
      </c>
      <c r="P31" s="3" t="str">
        <f ca="1">IFERROR(VLOOKUP($L31,'2024 Full View'!$1:$999,16,0),"")</f>
        <v/>
      </c>
      <c r="Q31" s="3" t="b">
        <f t="shared" ca="1" si="1"/>
        <v>1</v>
      </c>
    </row>
    <row r="32" spans="1:17" ht="15.75" customHeight="1">
      <c r="A32" s="20"/>
      <c r="B32" s="3" t="s">
        <v>390</v>
      </c>
      <c r="C32" s="21" t="str">
        <f>IF(COUNTIFS('2024 Full View'!$K:$K,$B32,'2024 Full View'!B:B,"&lt;&gt;")+COUNTIFS('2024 Full View'!$F:$F,$B32,'2024 Full View'!B:B,"&lt;&gt;")=0,"",COUNTIFS('2024 Full View'!$K:$K,$B32,'2024 Full View'!B:B,"&lt;&gt;")+COUNTIFS('2024 Full View'!$F:$F,$B32,'2024 Full View'!B:B,"&lt;&gt;"))</f>
        <v/>
      </c>
      <c r="D32" s="21">
        <f>IF(COUNTIFS('2024 Full View'!$K:$K,$B32,'2024 Full View'!C:C,"&lt;&gt;")+COUNTIFS('2024 Full View'!$F:$F,$B32,'2024 Full View'!C:C,"&lt;&gt;")=0,"",COUNTIFS('2024 Full View'!$K:$K,$B32,'2024 Full View'!C:C,"&lt;&gt;")+COUNTIFS('2024 Full View'!$F:$F,$B32,'2024 Full View'!C:C,"&lt;&gt;"))</f>
        <v>1</v>
      </c>
      <c r="E32" s="21" t="str">
        <f>IF(COUNTIFS('2024 Full View'!$K:$K,$B32,'2024 Full View'!D:D,"&lt;&gt;")+COUNTIFS('2024 Full View'!$F:$F,$B32,'2024 Full View'!D:D,"&lt;&gt;")=0,"",COUNTIFS('2024 Full View'!$K:$K,$B32,'2024 Full View'!D:D,"&lt;&gt;")+COUNTIFS('2024 Full View'!$F:$F,$B32,'2024 Full View'!D:D,"&lt;&gt;"))</f>
        <v/>
      </c>
      <c r="F32" s="21" t="str">
        <f>IF(COUNTIFS('2024 Full View'!$K:$K,$B32,'2024 Full View'!E:E,"&lt;&gt;")+COUNTIFS('2024 Full View'!$F:$F,$B32,'2024 Full View'!E:E,"&lt;&gt;")=0,"",COUNTIFS('2024 Full View'!$K:$K,$B32,'2024 Full View'!E:E,"&lt;&gt;")+COUNTIFS('2024 Full View'!$F:$F,$B32,'2024 Full View'!E:E,"&lt;&gt;"))</f>
        <v/>
      </c>
      <c r="G32" s="21">
        <f t="shared" si="0"/>
        <v>1</v>
      </c>
      <c r="L32" s="3" t="str">
        <f ca="1">IFERROR(__xludf.DUMMYFUNCTION("""COMPUTED_VALUE"""),"mgkemo girl (feat. WILLOW)")</f>
        <v>mgkemo girl (feat. WILLOW)</v>
      </c>
      <c r="M32" s="3" t="str">
        <f ca="1">IFERROR(__xludf.DUMMYFUNCTION("""COMPUTED_VALUE"""),"mgk")</f>
        <v>mgk</v>
      </c>
      <c r="N32" s="3" t="str">
        <f ca="1">IFERROR(__xludf.DUMMYFUNCTION("""COMPUTED_VALUE"""),"emo girl (feat. WILLOW)")</f>
        <v>emo girl (feat. WILLOW)</v>
      </c>
      <c r="O32" s="3" t="e">
        <f ca="1">VLOOKUP(L32,'2023 Full View'!A30:P395,16,0)</f>
        <v>#N/A</v>
      </c>
      <c r="P32" s="3" t="str">
        <f ca="1">IFERROR(VLOOKUP($L32,'2024 Full View'!$1:$999,16,0),"")</f>
        <v/>
      </c>
      <c r="Q32" s="3" t="b">
        <f t="shared" ca="1" si="1"/>
        <v>1</v>
      </c>
    </row>
    <row r="33" spans="1:17" ht="15.75" customHeight="1">
      <c r="A33" s="20"/>
      <c r="B33" s="3" t="s">
        <v>391</v>
      </c>
      <c r="C33" s="21" t="str">
        <f>IF(COUNTIFS('2024 Full View'!$K:$K,$B33,'2024 Full View'!B:B,"&lt;&gt;")+COUNTIFS('2024 Full View'!$F:$F,$B33,'2024 Full View'!B:B,"&lt;&gt;")=0,"",COUNTIFS('2024 Full View'!$K:$K,$B33,'2024 Full View'!B:B,"&lt;&gt;")+COUNTIFS('2024 Full View'!$F:$F,$B33,'2024 Full View'!B:B,"&lt;&gt;"))</f>
        <v/>
      </c>
      <c r="D33" s="21">
        <f>IF(COUNTIFS('2024 Full View'!$K:$K,$B33,'2024 Full View'!C:C,"&lt;&gt;")+COUNTIFS('2024 Full View'!$F:$F,$B33,'2024 Full View'!C:C,"&lt;&gt;")=0,"",COUNTIFS('2024 Full View'!$K:$K,$B33,'2024 Full View'!C:C,"&lt;&gt;")+COUNTIFS('2024 Full View'!$F:$F,$B33,'2024 Full View'!C:C,"&lt;&gt;"))</f>
        <v>1</v>
      </c>
      <c r="E33" s="21" t="str">
        <f>IF(COUNTIFS('2024 Full View'!$K:$K,$B33,'2024 Full View'!D:D,"&lt;&gt;")+COUNTIFS('2024 Full View'!$F:$F,$B33,'2024 Full View'!D:D,"&lt;&gt;")=0,"",COUNTIFS('2024 Full View'!$K:$K,$B33,'2024 Full View'!D:D,"&lt;&gt;")+COUNTIFS('2024 Full View'!$F:$F,$B33,'2024 Full View'!D:D,"&lt;&gt;"))</f>
        <v/>
      </c>
      <c r="F33" s="21" t="str">
        <f>IF(COUNTIFS('2024 Full View'!$K:$K,$B33,'2024 Full View'!E:E,"&lt;&gt;")+COUNTIFS('2024 Full View'!$F:$F,$B33,'2024 Full View'!E:E,"&lt;&gt;")=0,"",COUNTIFS('2024 Full View'!$K:$K,$B33,'2024 Full View'!E:E,"&lt;&gt;")+COUNTIFS('2024 Full View'!$F:$F,$B33,'2024 Full View'!E:E,"&lt;&gt;"))</f>
        <v/>
      </c>
      <c r="G33" s="21">
        <f t="shared" si="0"/>
        <v>1</v>
      </c>
      <c r="L33" s="3" t="str">
        <f ca="1">IFERROR(__xludf.DUMMYFUNCTION("""COMPUTED_VALUE"""),"HoundmouthSedona")</f>
        <v>HoundmouthSedona</v>
      </c>
      <c r="M33" s="3" t="str">
        <f ca="1">IFERROR(__xludf.DUMMYFUNCTION("""COMPUTED_VALUE"""),"Houndmouth")</f>
        <v>Houndmouth</v>
      </c>
      <c r="N33" s="3" t="str">
        <f ca="1">IFERROR(__xludf.DUMMYFUNCTION("""COMPUTED_VALUE"""),"Sedona")</f>
        <v>Sedona</v>
      </c>
      <c r="O33" s="3" t="e">
        <f ca="1">VLOOKUP(L33,'2023 Full View'!A31:P396,16,0)</f>
        <v>#N/A</v>
      </c>
      <c r="P33" s="3" t="str">
        <f ca="1">IFERROR(VLOOKUP($L33,'2024 Full View'!$1:$999,16,0),"")</f>
        <v/>
      </c>
      <c r="Q33" s="3" t="b">
        <f t="shared" ca="1" si="1"/>
        <v>1</v>
      </c>
    </row>
    <row r="34" spans="1:17" ht="15.75" customHeight="1">
      <c r="A34" s="20"/>
      <c r="B34" s="3" t="s">
        <v>392</v>
      </c>
      <c r="C34" s="21" t="str">
        <f>IF(COUNTIFS('2024 Full View'!$K:$K,$B34,'2024 Full View'!B:B,"&lt;&gt;")+COUNTIFS('2024 Full View'!$F:$F,$B34,'2024 Full View'!B:B,"&lt;&gt;")=0,"",COUNTIFS('2024 Full View'!$K:$K,$B34,'2024 Full View'!B:B,"&lt;&gt;")+COUNTIFS('2024 Full View'!$F:$F,$B34,'2024 Full View'!B:B,"&lt;&gt;"))</f>
        <v/>
      </c>
      <c r="D34" s="21">
        <f>IF(COUNTIFS('2024 Full View'!$K:$K,$B34,'2024 Full View'!C:C,"&lt;&gt;")+COUNTIFS('2024 Full View'!$F:$F,$B34,'2024 Full View'!C:C,"&lt;&gt;")=0,"",COUNTIFS('2024 Full View'!$K:$K,$B34,'2024 Full View'!C:C,"&lt;&gt;")+COUNTIFS('2024 Full View'!$F:$F,$B34,'2024 Full View'!C:C,"&lt;&gt;"))</f>
        <v>1</v>
      </c>
      <c r="E34" s="21" t="str">
        <f>IF(COUNTIFS('2024 Full View'!$K:$K,$B34,'2024 Full View'!D:D,"&lt;&gt;")+COUNTIFS('2024 Full View'!$F:$F,$B34,'2024 Full View'!D:D,"&lt;&gt;")=0,"",COUNTIFS('2024 Full View'!$K:$K,$B34,'2024 Full View'!D:D,"&lt;&gt;")+COUNTIFS('2024 Full View'!$F:$F,$B34,'2024 Full View'!D:D,"&lt;&gt;"))</f>
        <v/>
      </c>
      <c r="F34" s="21" t="str">
        <f>IF(COUNTIFS('2024 Full View'!$K:$K,$B34,'2024 Full View'!E:E,"&lt;&gt;")+COUNTIFS('2024 Full View'!$F:$F,$B34,'2024 Full View'!E:E,"&lt;&gt;")=0,"",COUNTIFS('2024 Full View'!$K:$K,$B34,'2024 Full View'!E:E,"&lt;&gt;")+COUNTIFS('2024 Full View'!$F:$F,$B34,'2024 Full View'!E:E,"&lt;&gt;"))</f>
        <v/>
      </c>
      <c r="G34" s="21">
        <f t="shared" si="0"/>
        <v>1</v>
      </c>
      <c r="L34" s="3" t="str">
        <f ca="1">IFERROR(__xludf.DUMMYFUNCTION("""COMPUTED_VALUE"""),"Morgan WallenMe To Me")</f>
        <v>Morgan WallenMe To Me</v>
      </c>
      <c r="M34" s="3" t="str">
        <f ca="1">IFERROR(__xludf.DUMMYFUNCTION("""COMPUTED_VALUE"""),"Morgan Wallen")</f>
        <v>Morgan Wallen</v>
      </c>
      <c r="N34" s="3" t="str">
        <f ca="1">IFERROR(__xludf.DUMMYFUNCTION("""COMPUTED_VALUE"""),"Me To Me")</f>
        <v>Me To Me</v>
      </c>
      <c r="O34" s="3" t="e">
        <f ca="1">VLOOKUP(L34,'2023 Full View'!A32:P397,16,0)</f>
        <v>#N/A</v>
      </c>
      <c r="P34" s="3" t="str">
        <f ca="1">IFERROR(VLOOKUP($L34,'2024 Full View'!$1:$999,16,0),"")</f>
        <v/>
      </c>
      <c r="Q34" s="3" t="b">
        <f t="shared" ca="1" si="1"/>
        <v>1</v>
      </c>
    </row>
    <row r="35" spans="1:17" ht="15.75" customHeight="1">
      <c r="A35" s="20"/>
      <c r="B35" s="3" t="s">
        <v>393</v>
      </c>
      <c r="C35" s="21" t="str">
        <f>IF(COUNTIFS('2024 Full View'!$K:$K,$B35,'2024 Full View'!B:B,"&lt;&gt;")+COUNTIFS('2024 Full View'!$F:$F,$B35,'2024 Full View'!B:B,"&lt;&gt;")=0,"",COUNTIFS('2024 Full View'!$K:$K,$B35,'2024 Full View'!B:B,"&lt;&gt;")+COUNTIFS('2024 Full View'!$F:$F,$B35,'2024 Full View'!B:B,"&lt;&gt;"))</f>
        <v/>
      </c>
      <c r="D35" s="21">
        <f>IF(COUNTIFS('2024 Full View'!$K:$K,$B35,'2024 Full View'!C:C,"&lt;&gt;")+COUNTIFS('2024 Full View'!$F:$F,$B35,'2024 Full View'!C:C,"&lt;&gt;")=0,"",COUNTIFS('2024 Full View'!$K:$K,$B35,'2024 Full View'!C:C,"&lt;&gt;")+COUNTIFS('2024 Full View'!$F:$F,$B35,'2024 Full View'!C:C,"&lt;&gt;"))</f>
        <v>1</v>
      </c>
      <c r="E35" s="21" t="str">
        <f>IF(COUNTIFS('2024 Full View'!$K:$K,$B35,'2024 Full View'!D:D,"&lt;&gt;")+COUNTIFS('2024 Full View'!$F:$F,$B35,'2024 Full View'!D:D,"&lt;&gt;")=0,"",COUNTIFS('2024 Full View'!$K:$K,$B35,'2024 Full View'!D:D,"&lt;&gt;")+COUNTIFS('2024 Full View'!$F:$F,$B35,'2024 Full View'!D:D,"&lt;&gt;"))</f>
        <v/>
      </c>
      <c r="F35" s="21" t="str">
        <f>IF(COUNTIFS('2024 Full View'!$K:$K,$B35,'2024 Full View'!E:E,"&lt;&gt;")+COUNTIFS('2024 Full View'!$F:$F,$B35,'2024 Full View'!E:E,"&lt;&gt;")=0,"",COUNTIFS('2024 Full View'!$K:$K,$B35,'2024 Full View'!E:E,"&lt;&gt;")+COUNTIFS('2024 Full View'!$F:$F,$B35,'2024 Full View'!E:E,"&lt;&gt;"))</f>
        <v/>
      </c>
      <c r="G35" s="21">
        <f t="shared" si="0"/>
        <v>1</v>
      </c>
      <c r="L35" s="3" t="str">
        <f ca="1">IFERROR(__xludf.DUMMYFUNCTION("""COMPUTED_VALUE"""),"GIMSJ'me tire")</f>
        <v>GIMSJ'me tire</v>
      </c>
      <c r="M35" s="3" t="str">
        <f ca="1">IFERROR(__xludf.DUMMYFUNCTION("""COMPUTED_VALUE"""),"GIMS")</f>
        <v>GIMS</v>
      </c>
      <c r="N35" s="3" t="str">
        <f ca="1">IFERROR(__xludf.DUMMYFUNCTION("""COMPUTED_VALUE"""),"J'me tire")</f>
        <v>J'me tire</v>
      </c>
      <c r="O35" s="3" t="e">
        <f ca="1">VLOOKUP(L35,'2023 Full View'!A33:P398,16,0)</f>
        <v>#N/A</v>
      </c>
      <c r="P35" s="3" t="str">
        <f ca="1">IFERROR(VLOOKUP($L35,'2024 Full View'!$1:$999,16,0),"")</f>
        <v/>
      </c>
      <c r="Q35" s="3" t="b">
        <f t="shared" ca="1" si="1"/>
        <v>1</v>
      </c>
    </row>
    <row r="36" spans="1:17" ht="15.75" customHeight="1">
      <c r="A36" s="20"/>
      <c r="B36" s="3" t="s">
        <v>394</v>
      </c>
      <c r="C36" s="21" t="str">
        <f>IF(COUNTIFS('2024 Full View'!$K:$K,$B36,'2024 Full View'!B:B,"&lt;&gt;")+COUNTIFS('2024 Full View'!$F:$F,$B36,'2024 Full View'!B:B,"&lt;&gt;")=0,"",COUNTIFS('2024 Full View'!$K:$K,$B36,'2024 Full View'!B:B,"&lt;&gt;")+COUNTIFS('2024 Full View'!$F:$F,$B36,'2024 Full View'!B:B,"&lt;&gt;"))</f>
        <v/>
      </c>
      <c r="D36" s="21">
        <f>IF(COUNTIFS('2024 Full View'!$K:$K,$B36,'2024 Full View'!C:C,"&lt;&gt;")+COUNTIFS('2024 Full View'!$F:$F,$B36,'2024 Full View'!C:C,"&lt;&gt;")=0,"",COUNTIFS('2024 Full View'!$K:$K,$B36,'2024 Full View'!C:C,"&lt;&gt;")+COUNTIFS('2024 Full View'!$F:$F,$B36,'2024 Full View'!C:C,"&lt;&gt;"))</f>
        <v>1</v>
      </c>
      <c r="E36" s="21" t="str">
        <f>IF(COUNTIFS('2024 Full View'!$K:$K,$B36,'2024 Full View'!D:D,"&lt;&gt;")+COUNTIFS('2024 Full View'!$F:$F,$B36,'2024 Full View'!D:D,"&lt;&gt;")=0,"",COUNTIFS('2024 Full View'!$K:$K,$B36,'2024 Full View'!D:D,"&lt;&gt;")+COUNTIFS('2024 Full View'!$F:$F,$B36,'2024 Full View'!D:D,"&lt;&gt;"))</f>
        <v/>
      </c>
      <c r="F36" s="21" t="str">
        <f>IF(COUNTIFS('2024 Full View'!$K:$K,$B36,'2024 Full View'!E:E,"&lt;&gt;")+COUNTIFS('2024 Full View'!$F:$F,$B36,'2024 Full View'!E:E,"&lt;&gt;")=0,"",COUNTIFS('2024 Full View'!$K:$K,$B36,'2024 Full View'!E:E,"&lt;&gt;")+COUNTIFS('2024 Full View'!$F:$F,$B36,'2024 Full View'!E:E,"&lt;&gt;"))</f>
        <v/>
      </c>
      <c r="G36" s="21">
        <f t="shared" si="0"/>
        <v>1</v>
      </c>
      <c r="L36" s="3" t="str">
        <f ca="1">IFERROR(__xludf.DUMMYFUNCTION("""COMPUTED_VALUE"""),"mgkay! (feat. Lil Wayne)")</f>
        <v>mgkay! (feat. Lil Wayne)</v>
      </c>
      <c r="M36" s="3" t="str">
        <f ca="1">IFERROR(__xludf.DUMMYFUNCTION("""COMPUTED_VALUE"""),"mgk")</f>
        <v>mgk</v>
      </c>
      <c r="N36" s="3" t="str">
        <f ca="1">IFERROR(__xludf.DUMMYFUNCTION("""COMPUTED_VALUE"""),"ay! (feat. Lil Wayne)")</f>
        <v>ay! (feat. Lil Wayne)</v>
      </c>
      <c r="O36" s="3" t="e">
        <f ca="1">VLOOKUP(L36,'2023 Full View'!A34:P399,16,0)</f>
        <v>#N/A</v>
      </c>
      <c r="P36" s="3" t="str">
        <f ca="1">IFERROR(VLOOKUP($L36,'2024 Full View'!$1:$999,16,0),"")</f>
        <v/>
      </c>
      <c r="Q36" s="3" t="b">
        <f t="shared" ca="1" si="1"/>
        <v>1</v>
      </c>
    </row>
    <row r="37" spans="1:17" ht="15.75" customHeight="1">
      <c r="A37" s="20"/>
      <c r="B37" s="3" t="s">
        <v>395</v>
      </c>
      <c r="C37" s="21" t="str">
        <f>IF(COUNTIFS('2024 Full View'!$K:$K,$B37,'2024 Full View'!B:B,"&lt;&gt;")+COUNTIFS('2024 Full View'!$F:$F,$B37,'2024 Full View'!B:B,"&lt;&gt;")=0,"",COUNTIFS('2024 Full View'!$K:$K,$B37,'2024 Full View'!B:B,"&lt;&gt;")+COUNTIFS('2024 Full View'!$F:$F,$B37,'2024 Full View'!B:B,"&lt;&gt;"))</f>
        <v/>
      </c>
      <c r="D37" s="21">
        <f>IF(COUNTIFS('2024 Full View'!$K:$K,$B37,'2024 Full View'!C:C,"&lt;&gt;")+COUNTIFS('2024 Full View'!$F:$F,$B37,'2024 Full View'!C:C,"&lt;&gt;")=0,"",COUNTIFS('2024 Full View'!$K:$K,$B37,'2024 Full View'!C:C,"&lt;&gt;")+COUNTIFS('2024 Full View'!$F:$F,$B37,'2024 Full View'!C:C,"&lt;&gt;"))</f>
        <v>1</v>
      </c>
      <c r="E37" s="21" t="str">
        <f>IF(COUNTIFS('2024 Full View'!$K:$K,$B37,'2024 Full View'!D:D,"&lt;&gt;")+COUNTIFS('2024 Full View'!$F:$F,$B37,'2024 Full View'!D:D,"&lt;&gt;")=0,"",COUNTIFS('2024 Full View'!$K:$K,$B37,'2024 Full View'!D:D,"&lt;&gt;")+COUNTIFS('2024 Full View'!$F:$F,$B37,'2024 Full View'!D:D,"&lt;&gt;"))</f>
        <v/>
      </c>
      <c r="F37" s="21" t="str">
        <f>IF(COUNTIFS('2024 Full View'!$K:$K,$B37,'2024 Full View'!E:E,"&lt;&gt;")+COUNTIFS('2024 Full View'!$F:$F,$B37,'2024 Full View'!E:E,"&lt;&gt;")=0,"",COUNTIFS('2024 Full View'!$K:$K,$B37,'2024 Full View'!E:E,"&lt;&gt;")+COUNTIFS('2024 Full View'!$F:$F,$B37,'2024 Full View'!E:E,"&lt;&gt;"))</f>
        <v/>
      </c>
      <c r="G37" s="21">
        <f t="shared" si="0"/>
        <v>1</v>
      </c>
      <c r="L37" s="3" t="str">
        <f ca="1">IFERROR(__xludf.DUMMYFUNCTION("""COMPUTED_VALUE"""),"Glen CampbellRhinestone Cowboy")</f>
        <v>Glen CampbellRhinestone Cowboy</v>
      </c>
      <c r="M37" s="3" t="str">
        <f ca="1">IFERROR(__xludf.DUMMYFUNCTION("""COMPUTED_VALUE"""),"Glen Campbell")</f>
        <v>Glen Campbell</v>
      </c>
      <c r="N37" s="3" t="str">
        <f ca="1">IFERROR(__xludf.DUMMYFUNCTION("""COMPUTED_VALUE"""),"Rhinestone Cowboy")</f>
        <v>Rhinestone Cowboy</v>
      </c>
      <c r="O37" s="3" t="e">
        <f ca="1">VLOOKUP(L37,'2023 Full View'!A35:P400,16,0)</f>
        <v>#N/A</v>
      </c>
      <c r="P37" s="3" t="str">
        <f ca="1">IFERROR(VLOOKUP($L37,'2024 Full View'!$1:$999,16,0),"")</f>
        <v/>
      </c>
      <c r="Q37" s="3" t="b">
        <f t="shared" ca="1" si="1"/>
        <v>1</v>
      </c>
    </row>
    <row r="38" spans="1:17" ht="15.75" customHeight="1">
      <c r="A38" s="20"/>
      <c r="B38" s="3" t="s">
        <v>396</v>
      </c>
      <c r="C38" s="21" t="str">
        <f>IF(COUNTIFS('2024 Full View'!$K:$K,$B38,'2024 Full View'!B:B,"&lt;&gt;")+COUNTIFS('2024 Full View'!$F:$F,$B38,'2024 Full View'!B:B,"&lt;&gt;")=0,"",COUNTIFS('2024 Full View'!$K:$K,$B38,'2024 Full View'!B:B,"&lt;&gt;")+COUNTIFS('2024 Full View'!$F:$F,$B38,'2024 Full View'!B:B,"&lt;&gt;"))</f>
        <v/>
      </c>
      <c r="D38" s="21">
        <f>IF(COUNTIFS('2024 Full View'!$K:$K,$B38,'2024 Full View'!C:C,"&lt;&gt;")+COUNTIFS('2024 Full View'!$F:$F,$B38,'2024 Full View'!C:C,"&lt;&gt;")=0,"",COUNTIFS('2024 Full View'!$K:$K,$B38,'2024 Full View'!C:C,"&lt;&gt;")+COUNTIFS('2024 Full View'!$F:$F,$B38,'2024 Full View'!C:C,"&lt;&gt;"))</f>
        <v>1</v>
      </c>
      <c r="E38" s="21" t="str">
        <f>IF(COUNTIFS('2024 Full View'!$K:$K,$B38,'2024 Full View'!D:D,"&lt;&gt;")+COUNTIFS('2024 Full View'!$F:$F,$B38,'2024 Full View'!D:D,"&lt;&gt;")=0,"",COUNTIFS('2024 Full View'!$K:$K,$B38,'2024 Full View'!D:D,"&lt;&gt;")+COUNTIFS('2024 Full View'!$F:$F,$B38,'2024 Full View'!D:D,"&lt;&gt;"))</f>
        <v/>
      </c>
      <c r="F38" s="21" t="str">
        <f>IF(COUNTIFS('2024 Full View'!$K:$K,$B38,'2024 Full View'!E:E,"&lt;&gt;")+COUNTIFS('2024 Full View'!$F:$F,$B38,'2024 Full View'!E:E,"&lt;&gt;")=0,"",COUNTIFS('2024 Full View'!$K:$K,$B38,'2024 Full View'!E:E,"&lt;&gt;")+COUNTIFS('2024 Full View'!$F:$F,$B38,'2024 Full View'!E:E,"&lt;&gt;"))</f>
        <v/>
      </c>
      <c r="G38" s="21">
        <f t="shared" si="0"/>
        <v>1</v>
      </c>
      <c r="L38" s="3" t="str">
        <f ca="1">IFERROR(__xludf.DUMMYFUNCTION("""COMPUTED_VALUE"""),"John MayerHalf of My Heart")</f>
        <v>John MayerHalf of My Heart</v>
      </c>
      <c r="M38" s="3" t="str">
        <f ca="1">IFERROR(__xludf.DUMMYFUNCTION("""COMPUTED_VALUE"""),"John Mayer")</f>
        <v>John Mayer</v>
      </c>
      <c r="N38" s="3" t="str">
        <f ca="1">IFERROR(__xludf.DUMMYFUNCTION("""COMPUTED_VALUE"""),"Half of My Heart")</f>
        <v>Half of My Heart</v>
      </c>
      <c r="O38" s="3" t="e">
        <f ca="1">VLOOKUP(L38,'2023 Full View'!A36:P401,16,0)</f>
        <v>#N/A</v>
      </c>
      <c r="P38" s="3" t="str">
        <f ca="1">IFERROR(VLOOKUP($L38,'2024 Full View'!$1:$999,16,0),"")</f>
        <v/>
      </c>
      <c r="Q38" s="3" t="b">
        <f t="shared" ca="1" si="1"/>
        <v>1</v>
      </c>
    </row>
    <row r="39" spans="1:17" ht="15.75" customHeight="1">
      <c r="A39" s="20"/>
      <c r="B39" s="3" t="s">
        <v>397</v>
      </c>
      <c r="C39" s="21" t="str">
        <f>IF(COUNTIFS('2024 Full View'!$K:$K,$B39,'2024 Full View'!B:B,"&lt;&gt;")+COUNTIFS('2024 Full View'!$F:$F,$B39,'2024 Full View'!B:B,"&lt;&gt;")=0,"",COUNTIFS('2024 Full View'!$K:$K,$B39,'2024 Full View'!B:B,"&lt;&gt;")+COUNTIFS('2024 Full View'!$F:$F,$B39,'2024 Full View'!B:B,"&lt;&gt;"))</f>
        <v/>
      </c>
      <c r="D39" s="21">
        <f>IF(COUNTIFS('2024 Full View'!$K:$K,$B39,'2024 Full View'!C:C,"&lt;&gt;")+COUNTIFS('2024 Full View'!$F:$F,$B39,'2024 Full View'!C:C,"&lt;&gt;")=0,"",COUNTIFS('2024 Full View'!$K:$K,$B39,'2024 Full View'!C:C,"&lt;&gt;")+COUNTIFS('2024 Full View'!$F:$F,$B39,'2024 Full View'!C:C,"&lt;&gt;"))</f>
        <v>1</v>
      </c>
      <c r="E39" s="21" t="str">
        <f>IF(COUNTIFS('2024 Full View'!$K:$K,$B39,'2024 Full View'!D:D,"&lt;&gt;")+COUNTIFS('2024 Full View'!$F:$F,$B39,'2024 Full View'!D:D,"&lt;&gt;")=0,"",COUNTIFS('2024 Full View'!$K:$K,$B39,'2024 Full View'!D:D,"&lt;&gt;")+COUNTIFS('2024 Full View'!$F:$F,$B39,'2024 Full View'!D:D,"&lt;&gt;"))</f>
        <v/>
      </c>
      <c r="F39" s="21" t="str">
        <f>IF(COUNTIFS('2024 Full View'!$K:$K,$B39,'2024 Full View'!E:E,"&lt;&gt;")+COUNTIFS('2024 Full View'!$F:$F,$B39,'2024 Full View'!E:E,"&lt;&gt;")=0,"",COUNTIFS('2024 Full View'!$K:$K,$B39,'2024 Full View'!E:E,"&lt;&gt;")+COUNTIFS('2024 Full View'!$F:$F,$B39,'2024 Full View'!E:E,"&lt;&gt;"))</f>
        <v/>
      </c>
      <c r="G39" s="21">
        <f t="shared" si="0"/>
        <v>1</v>
      </c>
      <c r="L39" s="3" t="str">
        <f ca="1">IFERROR(__xludf.DUMMYFUNCTION("""COMPUTED_VALUE"""),"Sheryl CrowIf It Makes You Happy")</f>
        <v>Sheryl CrowIf It Makes You Happy</v>
      </c>
      <c r="M39" s="3" t="str">
        <f ca="1">IFERROR(__xludf.DUMMYFUNCTION("""COMPUTED_VALUE"""),"Sheryl Crow")</f>
        <v>Sheryl Crow</v>
      </c>
      <c r="N39" s="3" t="str">
        <f ca="1">IFERROR(__xludf.DUMMYFUNCTION("""COMPUTED_VALUE"""),"If It Makes You Happy")</f>
        <v>If It Makes You Happy</v>
      </c>
      <c r="O39" s="3" t="e">
        <f ca="1">VLOOKUP(L39,'2023 Full View'!A37:P402,16,0)</f>
        <v>#N/A</v>
      </c>
      <c r="P39" s="3" t="str">
        <f ca="1">IFERROR(VLOOKUP($L39,'2024 Full View'!$1:$999,16,0),"")</f>
        <v/>
      </c>
      <c r="Q39" s="3" t="b">
        <f t="shared" ca="1" si="1"/>
        <v>1</v>
      </c>
    </row>
    <row r="40" spans="1:17" ht="15.75" customHeight="1">
      <c r="A40" s="20"/>
      <c r="B40" s="3" t="s">
        <v>398</v>
      </c>
      <c r="C40" s="21" t="str">
        <f>IF(COUNTIFS('2024 Full View'!$K:$K,$B40,'2024 Full View'!B:B,"&lt;&gt;")+COUNTIFS('2024 Full View'!$F:$F,$B40,'2024 Full View'!B:B,"&lt;&gt;")=0,"",COUNTIFS('2024 Full View'!$K:$K,$B40,'2024 Full View'!B:B,"&lt;&gt;")+COUNTIFS('2024 Full View'!$F:$F,$B40,'2024 Full View'!B:B,"&lt;&gt;"))</f>
        <v/>
      </c>
      <c r="D40" s="21">
        <f>IF(COUNTIFS('2024 Full View'!$K:$K,$B40,'2024 Full View'!C:C,"&lt;&gt;")+COUNTIFS('2024 Full View'!$F:$F,$B40,'2024 Full View'!C:C,"&lt;&gt;")=0,"",COUNTIFS('2024 Full View'!$K:$K,$B40,'2024 Full View'!C:C,"&lt;&gt;")+COUNTIFS('2024 Full View'!$F:$F,$B40,'2024 Full View'!C:C,"&lt;&gt;"))</f>
        <v>1</v>
      </c>
      <c r="E40" s="21" t="str">
        <f>IF(COUNTIFS('2024 Full View'!$K:$K,$B40,'2024 Full View'!D:D,"&lt;&gt;")+COUNTIFS('2024 Full View'!$F:$F,$B40,'2024 Full View'!D:D,"&lt;&gt;")=0,"",COUNTIFS('2024 Full View'!$K:$K,$B40,'2024 Full View'!D:D,"&lt;&gt;")+COUNTIFS('2024 Full View'!$F:$F,$B40,'2024 Full View'!D:D,"&lt;&gt;"))</f>
        <v/>
      </c>
      <c r="F40" s="21" t="str">
        <f>IF(COUNTIFS('2024 Full View'!$K:$K,$B40,'2024 Full View'!E:E,"&lt;&gt;")+COUNTIFS('2024 Full View'!$F:$F,$B40,'2024 Full View'!E:E,"&lt;&gt;")=0,"",COUNTIFS('2024 Full View'!$K:$K,$B40,'2024 Full View'!E:E,"&lt;&gt;")+COUNTIFS('2024 Full View'!$F:$F,$B40,'2024 Full View'!E:E,"&lt;&gt;"))</f>
        <v/>
      </c>
      <c r="G40" s="21">
        <f t="shared" si="0"/>
        <v>1</v>
      </c>
      <c r="L40" s="3" t="str">
        <f ca="1">IFERROR(__xludf.DUMMYFUNCTION("""COMPUTED_VALUE"""),"Kameron MarloweGirl On Fire")</f>
        <v>Kameron MarloweGirl On Fire</v>
      </c>
      <c r="M40" s="3" t="str">
        <f ca="1">IFERROR(__xludf.DUMMYFUNCTION("""COMPUTED_VALUE"""),"Kameron Marlowe")</f>
        <v>Kameron Marlowe</v>
      </c>
      <c r="N40" s="3" t="str">
        <f ca="1">IFERROR(__xludf.DUMMYFUNCTION("""COMPUTED_VALUE"""),"Girl On Fire")</f>
        <v>Girl On Fire</v>
      </c>
      <c r="O40" s="3" t="e">
        <f ca="1">VLOOKUP(L40,'2023 Full View'!A38:P403,16,0)</f>
        <v>#N/A</v>
      </c>
      <c r="P40" s="3" t="str">
        <f ca="1">IFERROR(VLOOKUP($L40,'2024 Full View'!$1:$999,16,0),"")</f>
        <v/>
      </c>
      <c r="Q40" s="3" t="b">
        <f t="shared" ca="1" si="1"/>
        <v>1</v>
      </c>
    </row>
    <row r="41" spans="1:17" ht="15.75" customHeight="1">
      <c r="A41" s="20"/>
      <c r="B41" s="3" t="s">
        <v>399</v>
      </c>
      <c r="C41" s="21" t="str">
        <f>IF(COUNTIFS('2024 Full View'!$K:$K,$B41,'2024 Full View'!B:B,"&lt;&gt;")+COUNTIFS('2024 Full View'!$F:$F,$B41,'2024 Full View'!B:B,"&lt;&gt;")=0,"",COUNTIFS('2024 Full View'!$K:$K,$B41,'2024 Full View'!B:B,"&lt;&gt;")+COUNTIFS('2024 Full View'!$F:$F,$B41,'2024 Full View'!B:B,"&lt;&gt;"))</f>
        <v/>
      </c>
      <c r="D41" s="21">
        <f>IF(COUNTIFS('2024 Full View'!$K:$K,$B41,'2024 Full View'!C:C,"&lt;&gt;")+COUNTIFS('2024 Full View'!$F:$F,$B41,'2024 Full View'!C:C,"&lt;&gt;")=0,"",COUNTIFS('2024 Full View'!$K:$K,$B41,'2024 Full View'!C:C,"&lt;&gt;")+COUNTIFS('2024 Full View'!$F:$F,$B41,'2024 Full View'!C:C,"&lt;&gt;"))</f>
        <v>1</v>
      </c>
      <c r="E41" s="21" t="str">
        <f>IF(COUNTIFS('2024 Full View'!$K:$K,$B41,'2024 Full View'!D:D,"&lt;&gt;")+COUNTIFS('2024 Full View'!$F:$F,$B41,'2024 Full View'!D:D,"&lt;&gt;")=0,"",COUNTIFS('2024 Full View'!$K:$K,$B41,'2024 Full View'!D:D,"&lt;&gt;")+COUNTIFS('2024 Full View'!$F:$F,$B41,'2024 Full View'!D:D,"&lt;&gt;"))</f>
        <v/>
      </c>
      <c r="F41" s="21" t="str">
        <f>IF(COUNTIFS('2024 Full View'!$K:$K,$B41,'2024 Full View'!E:E,"&lt;&gt;")+COUNTIFS('2024 Full View'!$F:$F,$B41,'2024 Full View'!E:E,"&lt;&gt;")=0,"",COUNTIFS('2024 Full View'!$K:$K,$B41,'2024 Full View'!E:E,"&lt;&gt;")+COUNTIFS('2024 Full View'!$F:$F,$B41,'2024 Full View'!E:E,"&lt;&gt;"))</f>
        <v/>
      </c>
      <c r="G41" s="21">
        <f t="shared" si="0"/>
        <v>1</v>
      </c>
      <c r="L41" s="3" t="str">
        <f ca="1">IFERROR(__xludf.DUMMYFUNCTION("""COMPUTED_VALUE"""),"The Three DegreesWhen Will I See You Again")</f>
        <v>The Three DegreesWhen Will I See You Again</v>
      </c>
      <c r="M41" s="3" t="str">
        <f ca="1">IFERROR(__xludf.DUMMYFUNCTION("""COMPUTED_VALUE"""),"The Three Degrees")</f>
        <v>The Three Degrees</v>
      </c>
      <c r="N41" s="3" t="str">
        <f ca="1">IFERROR(__xludf.DUMMYFUNCTION("""COMPUTED_VALUE"""),"When Will I See You Again")</f>
        <v>When Will I See You Again</v>
      </c>
      <c r="O41" s="3" t="e">
        <f ca="1">VLOOKUP(L41,'2023 Full View'!A39:P404,16,0)</f>
        <v>#N/A</v>
      </c>
      <c r="P41" s="3" t="str">
        <f ca="1">IFERROR(VLOOKUP($L41,'2024 Full View'!$1:$999,16,0),"")</f>
        <v/>
      </c>
      <c r="Q41" s="3" t="b">
        <f t="shared" ca="1" si="1"/>
        <v>1</v>
      </c>
    </row>
    <row r="42" spans="1:17" ht="15.75" customHeight="1">
      <c r="A42" s="20"/>
      <c r="B42" s="3" t="s">
        <v>400</v>
      </c>
      <c r="C42" s="21" t="str">
        <f>IF(COUNTIFS('2024 Full View'!$K:$K,$B42,'2024 Full View'!B:B,"&lt;&gt;")+COUNTIFS('2024 Full View'!$F:$F,$B42,'2024 Full View'!B:B,"&lt;&gt;")=0,"",COUNTIFS('2024 Full View'!$K:$K,$B42,'2024 Full View'!B:B,"&lt;&gt;")+COUNTIFS('2024 Full View'!$F:$F,$B42,'2024 Full View'!B:B,"&lt;&gt;"))</f>
        <v/>
      </c>
      <c r="D42" s="21">
        <f>IF(COUNTIFS('2024 Full View'!$K:$K,$B42,'2024 Full View'!C:C,"&lt;&gt;")+COUNTIFS('2024 Full View'!$F:$F,$B42,'2024 Full View'!C:C,"&lt;&gt;")=0,"",COUNTIFS('2024 Full View'!$K:$K,$B42,'2024 Full View'!C:C,"&lt;&gt;")+COUNTIFS('2024 Full View'!$F:$F,$B42,'2024 Full View'!C:C,"&lt;&gt;"))</f>
        <v>1</v>
      </c>
      <c r="E42" s="21" t="str">
        <f>IF(COUNTIFS('2024 Full View'!$K:$K,$B42,'2024 Full View'!D:D,"&lt;&gt;")+COUNTIFS('2024 Full View'!$F:$F,$B42,'2024 Full View'!D:D,"&lt;&gt;")=0,"",COUNTIFS('2024 Full View'!$K:$K,$B42,'2024 Full View'!D:D,"&lt;&gt;")+COUNTIFS('2024 Full View'!$F:$F,$B42,'2024 Full View'!D:D,"&lt;&gt;"))</f>
        <v/>
      </c>
      <c r="F42" s="21" t="str">
        <f>IF(COUNTIFS('2024 Full View'!$K:$K,$B42,'2024 Full View'!E:E,"&lt;&gt;")+COUNTIFS('2024 Full View'!$F:$F,$B42,'2024 Full View'!E:E,"&lt;&gt;")=0,"",COUNTIFS('2024 Full View'!$K:$K,$B42,'2024 Full View'!E:E,"&lt;&gt;")+COUNTIFS('2024 Full View'!$F:$F,$B42,'2024 Full View'!E:E,"&lt;&gt;"))</f>
        <v/>
      </c>
      <c r="G42" s="21">
        <f t="shared" si="0"/>
        <v>1</v>
      </c>
      <c r="L42" s="3" t="str">
        <f ca="1">IFERROR(__xludf.DUMMYFUNCTION("""COMPUTED_VALUE"""),"Billy PrestonNothing From Nothing")</f>
        <v>Billy PrestonNothing From Nothing</v>
      </c>
      <c r="M42" s="3" t="str">
        <f ca="1">IFERROR(__xludf.DUMMYFUNCTION("""COMPUTED_VALUE"""),"Billy Preston")</f>
        <v>Billy Preston</v>
      </c>
      <c r="N42" s="3" t="str">
        <f ca="1">IFERROR(__xludf.DUMMYFUNCTION("""COMPUTED_VALUE"""),"Nothing From Nothing")</f>
        <v>Nothing From Nothing</v>
      </c>
      <c r="O42" s="3" t="e">
        <f ca="1">VLOOKUP(L42,'2023 Full View'!A40:P405,16,0)</f>
        <v>#N/A</v>
      </c>
      <c r="P42" s="3" t="str">
        <f ca="1">IFERROR(VLOOKUP($L42,'2024 Full View'!$1:$999,16,0),"")</f>
        <v/>
      </c>
      <c r="Q42" s="3" t="b">
        <f t="shared" ca="1" si="1"/>
        <v>1</v>
      </c>
    </row>
    <row r="43" spans="1:17" ht="15.75" customHeight="1">
      <c r="A43" s="20"/>
      <c r="B43" s="3" t="s">
        <v>401</v>
      </c>
      <c r="C43" s="21" t="str">
        <f>IF(COUNTIFS('2024 Full View'!$K:$K,$B43,'2024 Full View'!B:B,"&lt;&gt;")+COUNTIFS('2024 Full View'!$F:$F,$B43,'2024 Full View'!B:B,"&lt;&gt;")=0,"",COUNTIFS('2024 Full View'!$K:$K,$B43,'2024 Full View'!B:B,"&lt;&gt;")+COUNTIFS('2024 Full View'!$F:$F,$B43,'2024 Full View'!B:B,"&lt;&gt;"))</f>
        <v/>
      </c>
      <c r="D43" s="21">
        <f>IF(COUNTIFS('2024 Full View'!$K:$K,$B43,'2024 Full View'!C:C,"&lt;&gt;")+COUNTIFS('2024 Full View'!$F:$F,$B43,'2024 Full View'!C:C,"&lt;&gt;")=0,"",COUNTIFS('2024 Full View'!$K:$K,$B43,'2024 Full View'!C:C,"&lt;&gt;")+COUNTIFS('2024 Full View'!$F:$F,$B43,'2024 Full View'!C:C,"&lt;&gt;"))</f>
        <v>1</v>
      </c>
      <c r="E43" s="21" t="str">
        <f>IF(COUNTIFS('2024 Full View'!$K:$K,$B43,'2024 Full View'!D:D,"&lt;&gt;")+COUNTIFS('2024 Full View'!$F:$F,$B43,'2024 Full View'!D:D,"&lt;&gt;")=0,"",COUNTIFS('2024 Full View'!$K:$K,$B43,'2024 Full View'!D:D,"&lt;&gt;")+COUNTIFS('2024 Full View'!$F:$F,$B43,'2024 Full View'!D:D,"&lt;&gt;"))</f>
        <v/>
      </c>
      <c r="F43" s="21" t="str">
        <f>IF(COUNTIFS('2024 Full View'!$K:$K,$B43,'2024 Full View'!E:E,"&lt;&gt;")+COUNTIFS('2024 Full View'!$F:$F,$B43,'2024 Full View'!E:E,"&lt;&gt;")=0,"",COUNTIFS('2024 Full View'!$K:$K,$B43,'2024 Full View'!E:E,"&lt;&gt;")+COUNTIFS('2024 Full View'!$F:$F,$B43,'2024 Full View'!E:E,"&lt;&gt;"))</f>
        <v/>
      </c>
      <c r="G43" s="21">
        <f t="shared" si="0"/>
        <v>1</v>
      </c>
      <c r="L43" s="3" t="str">
        <f ca="1">IFERROR(__xludf.DUMMYFUNCTION("""COMPUTED_VALUE"""),"Maddie &amp; TaeEvery Night Every Morning")</f>
        <v>Maddie &amp; TaeEvery Night Every Morning</v>
      </c>
      <c r="M43" s="3" t="str">
        <f ca="1">IFERROR(__xludf.DUMMYFUNCTION("""COMPUTED_VALUE"""),"Maddie &amp; Tae")</f>
        <v>Maddie &amp; Tae</v>
      </c>
      <c r="N43" s="3" t="str">
        <f ca="1">IFERROR(__xludf.DUMMYFUNCTION("""COMPUTED_VALUE"""),"Every Night Every Morning")</f>
        <v>Every Night Every Morning</v>
      </c>
      <c r="O43" s="3" t="e">
        <f ca="1">VLOOKUP(L43,'2023 Full View'!A41:P406,16,0)</f>
        <v>#N/A</v>
      </c>
      <c r="P43" s="3" t="str">
        <f ca="1">IFERROR(VLOOKUP($L43,'2024 Full View'!$1:$999,16,0),"")</f>
        <v/>
      </c>
      <c r="Q43" s="3" t="b">
        <f t="shared" ca="1" si="1"/>
        <v>1</v>
      </c>
    </row>
    <row r="44" spans="1:17" ht="15.75" customHeight="1">
      <c r="A44" s="20"/>
      <c r="B44" s="3" t="s">
        <v>402</v>
      </c>
      <c r="C44" s="21" t="str">
        <f>IF(COUNTIFS('2024 Full View'!$K:$K,$B44,'2024 Full View'!B:B,"&lt;&gt;")+COUNTIFS('2024 Full View'!$F:$F,$B44,'2024 Full View'!B:B,"&lt;&gt;")=0,"",COUNTIFS('2024 Full View'!$K:$K,$B44,'2024 Full View'!B:B,"&lt;&gt;")+COUNTIFS('2024 Full View'!$F:$F,$B44,'2024 Full View'!B:B,"&lt;&gt;"))</f>
        <v/>
      </c>
      <c r="D44" s="21">
        <f>IF(COUNTIFS('2024 Full View'!$K:$K,$B44,'2024 Full View'!C:C,"&lt;&gt;")+COUNTIFS('2024 Full View'!$F:$F,$B44,'2024 Full View'!C:C,"&lt;&gt;")=0,"",COUNTIFS('2024 Full View'!$K:$K,$B44,'2024 Full View'!C:C,"&lt;&gt;")+COUNTIFS('2024 Full View'!$F:$F,$B44,'2024 Full View'!C:C,"&lt;&gt;"))</f>
        <v>1</v>
      </c>
      <c r="E44" s="21" t="str">
        <f>IF(COUNTIFS('2024 Full View'!$K:$K,$B44,'2024 Full View'!D:D,"&lt;&gt;")+COUNTIFS('2024 Full View'!$F:$F,$B44,'2024 Full View'!D:D,"&lt;&gt;")=0,"",COUNTIFS('2024 Full View'!$K:$K,$B44,'2024 Full View'!D:D,"&lt;&gt;")+COUNTIFS('2024 Full View'!$F:$F,$B44,'2024 Full View'!D:D,"&lt;&gt;"))</f>
        <v/>
      </c>
      <c r="F44" s="21" t="str">
        <f>IF(COUNTIFS('2024 Full View'!$K:$K,$B44,'2024 Full View'!E:E,"&lt;&gt;")+COUNTIFS('2024 Full View'!$F:$F,$B44,'2024 Full View'!E:E,"&lt;&gt;")=0,"",COUNTIFS('2024 Full View'!$K:$K,$B44,'2024 Full View'!E:E,"&lt;&gt;")+COUNTIFS('2024 Full View'!$F:$F,$B44,'2024 Full View'!E:E,"&lt;&gt;"))</f>
        <v/>
      </c>
      <c r="G44" s="21">
        <f t="shared" si="0"/>
        <v>1</v>
      </c>
      <c r="L44" s="3" t="str">
        <f ca="1">IFERROR(__xludf.DUMMYFUNCTION("""COMPUTED_VALUE"""),"Luke CombsTattoo on a Sunburn")</f>
        <v>Luke CombsTattoo on a Sunburn</v>
      </c>
      <c r="M44" s="3" t="str">
        <f ca="1">IFERROR(__xludf.DUMMYFUNCTION("""COMPUTED_VALUE"""),"Luke Combs")</f>
        <v>Luke Combs</v>
      </c>
      <c r="N44" s="3" t="str">
        <f ca="1">IFERROR(__xludf.DUMMYFUNCTION("""COMPUTED_VALUE"""),"Tattoo on a Sunburn")</f>
        <v>Tattoo on a Sunburn</v>
      </c>
      <c r="O44" s="3" t="e">
        <f ca="1">VLOOKUP(L44,'2023 Full View'!A42:P407,16,0)</f>
        <v>#N/A</v>
      </c>
      <c r="P44" s="3" t="str">
        <f ca="1">IFERROR(VLOOKUP($L44,'2024 Full View'!$1:$999,16,0),"")</f>
        <v/>
      </c>
      <c r="Q44" s="3" t="b">
        <f t="shared" ca="1" si="1"/>
        <v>1</v>
      </c>
    </row>
    <row r="45" spans="1:17" ht="15.75" customHeight="1">
      <c r="A45" s="20"/>
      <c r="B45" s="3" t="s">
        <v>403</v>
      </c>
      <c r="C45" s="21" t="str">
        <f>IF(COUNTIFS('2024 Full View'!$K:$K,$B45,'2024 Full View'!B:B,"&lt;&gt;")+COUNTIFS('2024 Full View'!$F:$F,$B45,'2024 Full View'!B:B,"&lt;&gt;")=0,"",COUNTIFS('2024 Full View'!$K:$K,$B45,'2024 Full View'!B:B,"&lt;&gt;")+COUNTIFS('2024 Full View'!$F:$F,$B45,'2024 Full View'!B:B,"&lt;&gt;"))</f>
        <v/>
      </c>
      <c r="D45" s="21">
        <f>IF(COUNTIFS('2024 Full View'!$K:$K,$B45,'2024 Full View'!C:C,"&lt;&gt;")+COUNTIFS('2024 Full View'!$F:$F,$B45,'2024 Full View'!C:C,"&lt;&gt;")=0,"",COUNTIFS('2024 Full View'!$K:$K,$B45,'2024 Full View'!C:C,"&lt;&gt;")+COUNTIFS('2024 Full View'!$F:$F,$B45,'2024 Full View'!C:C,"&lt;&gt;"))</f>
        <v>1</v>
      </c>
      <c r="E45" s="21" t="str">
        <f>IF(COUNTIFS('2024 Full View'!$K:$K,$B45,'2024 Full View'!D:D,"&lt;&gt;")+COUNTIFS('2024 Full View'!$F:$F,$B45,'2024 Full View'!D:D,"&lt;&gt;")=0,"",COUNTIFS('2024 Full View'!$K:$K,$B45,'2024 Full View'!D:D,"&lt;&gt;")+COUNTIFS('2024 Full View'!$F:$F,$B45,'2024 Full View'!D:D,"&lt;&gt;"))</f>
        <v/>
      </c>
      <c r="F45" s="21" t="str">
        <f>IF(COUNTIFS('2024 Full View'!$K:$K,$B45,'2024 Full View'!E:E,"&lt;&gt;")+COUNTIFS('2024 Full View'!$F:$F,$B45,'2024 Full View'!E:E,"&lt;&gt;")=0,"",COUNTIFS('2024 Full View'!$K:$K,$B45,'2024 Full View'!E:E,"&lt;&gt;")+COUNTIFS('2024 Full View'!$F:$F,$B45,'2024 Full View'!E:E,"&lt;&gt;"))</f>
        <v/>
      </c>
      <c r="G45" s="21">
        <f t="shared" si="0"/>
        <v>1</v>
      </c>
      <c r="L45" s="3" t="str">
        <f ca="1">IFERROR(__xludf.DUMMYFUNCTION("""COMPUTED_VALUE"""),"TrousdaleWouldn't Come Back")</f>
        <v>TrousdaleWouldn't Come Back</v>
      </c>
      <c r="M45" s="3" t="str">
        <f ca="1">IFERROR(__xludf.DUMMYFUNCTION("""COMPUTED_VALUE"""),"Trousdale")</f>
        <v>Trousdale</v>
      </c>
      <c r="N45" s="3" t="str">
        <f ca="1">IFERROR(__xludf.DUMMYFUNCTION("""COMPUTED_VALUE"""),"Wouldn't Come Back")</f>
        <v>Wouldn't Come Back</v>
      </c>
      <c r="O45" s="3" t="e">
        <f ca="1">VLOOKUP(L45,'2023 Full View'!A43:P408,16,0)</f>
        <v>#N/A</v>
      </c>
      <c r="P45" s="3" t="str">
        <f ca="1">IFERROR(VLOOKUP($L45,'2024 Full View'!$1:$999,16,0),"")</f>
        <v/>
      </c>
      <c r="Q45" s="3" t="b">
        <f t="shared" ca="1" si="1"/>
        <v>1</v>
      </c>
    </row>
    <row r="46" spans="1:17" ht="15.75" customHeight="1">
      <c r="A46" s="20"/>
      <c r="B46" s="3" t="s">
        <v>404</v>
      </c>
      <c r="C46" s="21" t="str">
        <f>IF(COUNTIFS('2024 Full View'!$K:$K,$B46,'2024 Full View'!B:B,"&lt;&gt;")+COUNTIFS('2024 Full View'!$F:$F,$B46,'2024 Full View'!B:B,"&lt;&gt;")=0,"",COUNTIFS('2024 Full View'!$K:$K,$B46,'2024 Full View'!B:B,"&lt;&gt;")+COUNTIFS('2024 Full View'!$F:$F,$B46,'2024 Full View'!B:B,"&lt;&gt;"))</f>
        <v/>
      </c>
      <c r="D46" s="21">
        <f>IF(COUNTIFS('2024 Full View'!$K:$K,$B46,'2024 Full View'!C:C,"&lt;&gt;")+COUNTIFS('2024 Full View'!$F:$F,$B46,'2024 Full View'!C:C,"&lt;&gt;")=0,"",COUNTIFS('2024 Full View'!$K:$K,$B46,'2024 Full View'!C:C,"&lt;&gt;")+COUNTIFS('2024 Full View'!$F:$F,$B46,'2024 Full View'!C:C,"&lt;&gt;"))</f>
        <v>1</v>
      </c>
      <c r="E46" s="21" t="str">
        <f>IF(COUNTIFS('2024 Full View'!$K:$K,$B46,'2024 Full View'!D:D,"&lt;&gt;")+COUNTIFS('2024 Full View'!$F:$F,$B46,'2024 Full View'!D:D,"&lt;&gt;")=0,"",COUNTIFS('2024 Full View'!$K:$K,$B46,'2024 Full View'!D:D,"&lt;&gt;")+COUNTIFS('2024 Full View'!$F:$F,$B46,'2024 Full View'!D:D,"&lt;&gt;"))</f>
        <v/>
      </c>
      <c r="F46" s="21" t="str">
        <f>IF(COUNTIFS('2024 Full View'!$K:$K,$B46,'2024 Full View'!E:E,"&lt;&gt;")+COUNTIFS('2024 Full View'!$F:$F,$B46,'2024 Full View'!E:E,"&lt;&gt;")=0,"",COUNTIFS('2024 Full View'!$K:$K,$B46,'2024 Full View'!E:E,"&lt;&gt;")+COUNTIFS('2024 Full View'!$F:$F,$B46,'2024 Full View'!E:E,"&lt;&gt;"))</f>
        <v/>
      </c>
      <c r="G46" s="21">
        <f t="shared" si="0"/>
        <v>1</v>
      </c>
      <c r="L46" s="3" t="str">
        <f ca="1">IFERROR(__xludf.DUMMYFUNCTION("""COMPUTED_VALUE"""),"Bruce SpringsteenTenth Avenue Freeze-Out")</f>
        <v>Bruce SpringsteenTenth Avenue Freeze-Out</v>
      </c>
      <c r="M46" s="3" t="str">
        <f ca="1">IFERROR(__xludf.DUMMYFUNCTION("""COMPUTED_VALUE"""),"Bruce Springsteen")</f>
        <v>Bruce Springsteen</v>
      </c>
      <c r="N46" s="3" t="str">
        <f ca="1">IFERROR(__xludf.DUMMYFUNCTION("""COMPUTED_VALUE"""),"Tenth Avenue Freeze-Out")</f>
        <v>Tenth Avenue Freeze-Out</v>
      </c>
      <c r="O46" s="3" t="e">
        <f ca="1">VLOOKUP(L46,'2023 Full View'!A44:P409,16,0)</f>
        <v>#N/A</v>
      </c>
      <c r="P46" s="3" t="str">
        <f ca="1">IFERROR(VLOOKUP($L46,'2024 Full View'!$1:$999,16,0),"")</f>
        <v/>
      </c>
      <c r="Q46" s="3" t="b">
        <f t="shared" ca="1" si="1"/>
        <v>1</v>
      </c>
    </row>
    <row r="47" spans="1:17" ht="15.75" customHeight="1">
      <c r="A47" s="20"/>
      <c r="B47" s="3" t="s">
        <v>405</v>
      </c>
      <c r="C47" s="21" t="str">
        <f>IF(COUNTIFS('2024 Full View'!$K:$K,$B47,'2024 Full View'!B:B,"&lt;&gt;")+COUNTIFS('2024 Full View'!$F:$F,$B47,'2024 Full View'!B:B,"&lt;&gt;")=0,"",COUNTIFS('2024 Full View'!$K:$K,$B47,'2024 Full View'!B:B,"&lt;&gt;")+COUNTIFS('2024 Full View'!$F:$F,$B47,'2024 Full View'!B:B,"&lt;&gt;"))</f>
        <v/>
      </c>
      <c r="D47" s="21">
        <f>IF(COUNTIFS('2024 Full View'!$K:$K,$B47,'2024 Full View'!C:C,"&lt;&gt;")+COUNTIFS('2024 Full View'!$F:$F,$B47,'2024 Full View'!C:C,"&lt;&gt;")=0,"",COUNTIFS('2024 Full View'!$K:$K,$B47,'2024 Full View'!C:C,"&lt;&gt;")+COUNTIFS('2024 Full View'!$F:$F,$B47,'2024 Full View'!C:C,"&lt;&gt;"))</f>
        <v>1</v>
      </c>
      <c r="E47" s="21" t="str">
        <f>IF(COUNTIFS('2024 Full View'!$K:$K,$B47,'2024 Full View'!D:D,"&lt;&gt;")+COUNTIFS('2024 Full View'!$F:$F,$B47,'2024 Full View'!D:D,"&lt;&gt;")=0,"",COUNTIFS('2024 Full View'!$K:$K,$B47,'2024 Full View'!D:D,"&lt;&gt;")+COUNTIFS('2024 Full View'!$F:$F,$B47,'2024 Full View'!D:D,"&lt;&gt;"))</f>
        <v/>
      </c>
      <c r="F47" s="21" t="str">
        <f>IF(COUNTIFS('2024 Full View'!$K:$K,$B47,'2024 Full View'!E:E,"&lt;&gt;")+COUNTIFS('2024 Full View'!$F:$F,$B47,'2024 Full View'!E:E,"&lt;&gt;")=0,"",COUNTIFS('2024 Full View'!$K:$K,$B47,'2024 Full View'!E:E,"&lt;&gt;")+COUNTIFS('2024 Full View'!$F:$F,$B47,'2024 Full View'!E:E,"&lt;&gt;"))</f>
        <v/>
      </c>
      <c r="G47" s="21">
        <f t="shared" si="0"/>
        <v>1</v>
      </c>
      <c r="L47" s="3" t="str">
        <f ca="1">IFERROR(__xludf.DUMMYFUNCTION("""COMPUTED_VALUE"""),"GIMSMon coeur avait raison - Pilule bleue")</f>
        <v>GIMSMon coeur avait raison - Pilule bleue</v>
      </c>
      <c r="M47" s="3" t="str">
        <f ca="1">IFERROR(__xludf.DUMMYFUNCTION("""COMPUTED_VALUE"""),"GIMS")</f>
        <v>GIMS</v>
      </c>
      <c r="N47" s="3" t="str">
        <f ca="1">IFERROR(__xludf.DUMMYFUNCTION("""COMPUTED_VALUE"""),"Mon coeur avait raison - Pilule bleue")</f>
        <v>Mon coeur avait raison - Pilule bleue</v>
      </c>
      <c r="O47" s="3" t="e">
        <f ca="1">VLOOKUP(L47,'2023 Full View'!A45:P410,16,0)</f>
        <v>#N/A</v>
      </c>
      <c r="P47" s="3" t="str">
        <f ca="1">IFERROR(VLOOKUP($L47,'2024 Full View'!$1:$999,16,0),"")</f>
        <v/>
      </c>
      <c r="Q47" s="3" t="b">
        <f t="shared" ca="1" si="1"/>
        <v>1</v>
      </c>
    </row>
    <row r="48" spans="1:17" ht="15.75" customHeight="1">
      <c r="A48" s="20"/>
      <c r="B48" s="3" t="s">
        <v>406</v>
      </c>
      <c r="C48" s="21" t="str">
        <f>IF(COUNTIFS('2024 Full View'!$K:$K,$B48,'2024 Full View'!B:B,"&lt;&gt;")+COUNTIFS('2024 Full View'!$F:$F,$B48,'2024 Full View'!B:B,"&lt;&gt;")=0,"",COUNTIFS('2024 Full View'!$K:$K,$B48,'2024 Full View'!B:B,"&lt;&gt;")+COUNTIFS('2024 Full View'!$F:$F,$B48,'2024 Full View'!B:B,"&lt;&gt;"))</f>
        <v/>
      </c>
      <c r="D48" s="21">
        <f>IF(COUNTIFS('2024 Full View'!$K:$K,$B48,'2024 Full View'!C:C,"&lt;&gt;")+COUNTIFS('2024 Full View'!$F:$F,$B48,'2024 Full View'!C:C,"&lt;&gt;")=0,"",COUNTIFS('2024 Full View'!$K:$K,$B48,'2024 Full View'!C:C,"&lt;&gt;")+COUNTIFS('2024 Full View'!$F:$F,$B48,'2024 Full View'!C:C,"&lt;&gt;"))</f>
        <v>1</v>
      </c>
      <c r="E48" s="21" t="str">
        <f>IF(COUNTIFS('2024 Full View'!$K:$K,$B48,'2024 Full View'!D:D,"&lt;&gt;")+COUNTIFS('2024 Full View'!$F:$F,$B48,'2024 Full View'!D:D,"&lt;&gt;")=0,"",COUNTIFS('2024 Full View'!$K:$K,$B48,'2024 Full View'!D:D,"&lt;&gt;")+COUNTIFS('2024 Full View'!$F:$F,$B48,'2024 Full View'!D:D,"&lt;&gt;"))</f>
        <v/>
      </c>
      <c r="F48" s="21" t="str">
        <f>IF(COUNTIFS('2024 Full View'!$K:$K,$B48,'2024 Full View'!E:E,"&lt;&gt;")+COUNTIFS('2024 Full View'!$F:$F,$B48,'2024 Full View'!E:E,"&lt;&gt;")=0,"",COUNTIFS('2024 Full View'!$K:$K,$B48,'2024 Full View'!E:E,"&lt;&gt;")+COUNTIFS('2024 Full View'!$F:$F,$B48,'2024 Full View'!E:E,"&lt;&gt;"))</f>
        <v/>
      </c>
      <c r="G48" s="21">
        <f t="shared" si="0"/>
        <v>1</v>
      </c>
      <c r="L48" s="3" t="str">
        <f ca="1">IFERROR(__xludf.DUMMYFUNCTION("""COMPUTED_VALUE"""),"SARA'HOn pourrait")</f>
        <v>SARA'HOn pourrait</v>
      </c>
      <c r="M48" s="3" t="str">
        <f ca="1">IFERROR(__xludf.DUMMYFUNCTION("""COMPUTED_VALUE"""),"SARA'H")</f>
        <v>SARA'H</v>
      </c>
      <c r="N48" s="3" t="str">
        <f ca="1">IFERROR(__xludf.DUMMYFUNCTION("""COMPUTED_VALUE"""),"On pourrait")</f>
        <v>On pourrait</v>
      </c>
      <c r="O48" s="3" t="e">
        <f ca="1">VLOOKUP(L48,'2023 Full View'!A46:P411,16,0)</f>
        <v>#N/A</v>
      </c>
      <c r="P48" s="3" t="str">
        <f ca="1">IFERROR(VLOOKUP($L48,'2024 Full View'!$1:$999,16,0),"")</f>
        <v/>
      </c>
      <c r="Q48" s="3" t="b">
        <f t="shared" ca="1" si="1"/>
        <v>1</v>
      </c>
    </row>
    <row r="49" spans="1:17" ht="13">
      <c r="A49" s="20"/>
      <c r="B49" s="3" t="s">
        <v>407</v>
      </c>
      <c r="C49" s="21" t="str">
        <f>IF(COUNTIFS('2024 Full View'!$K:$K,$B49,'2024 Full View'!B:B,"&lt;&gt;")+COUNTIFS('2024 Full View'!$F:$F,$B49,'2024 Full View'!B:B,"&lt;&gt;")=0,"",COUNTIFS('2024 Full View'!$K:$K,$B49,'2024 Full View'!B:B,"&lt;&gt;")+COUNTIFS('2024 Full View'!$F:$F,$B49,'2024 Full View'!B:B,"&lt;&gt;"))</f>
        <v/>
      </c>
      <c r="D49" s="21">
        <f>IF(COUNTIFS('2024 Full View'!$K:$K,$B49,'2024 Full View'!C:C,"&lt;&gt;")+COUNTIFS('2024 Full View'!$F:$F,$B49,'2024 Full View'!C:C,"&lt;&gt;")=0,"",COUNTIFS('2024 Full View'!$K:$K,$B49,'2024 Full View'!C:C,"&lt;&gt;")+COUNTIFS('2024 Full View'!$F:$F,$B49,'2024 Full View'!C:C,"&lt;&gt;"))</f>
        <v>1</v>
      </c>
      <c r="E49" s="21" t="str">
        <f>IF(COUNTIFS('2024 Full View'!$K:$K,$B49,'2024 Full View'!D:D,"&lt;&gt;")+COUNTIFS('2024 Full View'!$F:$F,$B49,'2024 Full View'!D:D,"&lt;&gt;")=0,"",COUNTIFS('2024 Full View'!$K:$K,$B49,'2024 Full View'!D:D,"&lt;&gt;")+COUNTIFS('2024 Full View'!$F:$F,$B49,'2024 Full View'!D:D,"&lt;&gt;"))</f>
        <v/>
      </c>
      <c r="F49" s="21" t="str">
        <f>IF(COUNTIFS('2024 Full View'!$K:$K,$B49,'2024 Full View'!E:E,"&lt;&gt;")+COUNTIFS('2024 Full View'!$F:$F,$B49,'2024 Full View'!E:E,"&lt;&gt;")=0,"",COUNTIFS('2024 Full View'!$K:$K,$B49,'2024 Full View'!E:E,"&lt;&gt;")+COUNTIFS('2024 Full View'!$F:$F,$B49,'2024 Full View'!E:E,"&lt;&gt;"))</f>
        <v/>
      </c>
      <c r="G49" s="21">
        <f t="shared" si="0"/>
        <v>1</v>
      </c>
      <c r="L49" s="3" t="str">
        <f ca="1">IFERROR(__xludf.DUMMYFUNCTION("""COMPUTED_VALUE"""),"Grand Funk RailroadBad Time - Remastered 2002")</f>
        <v>Grand Funk RailroadBad Time - Remastered 2002</v>
      </c>
      <c r="M49" s="3" t="str">
        <f ca="1">IFERROR(__xludf.DUMMYFUNCTION("""COMPUTED_VALUE"""),"Grand Funk Railroad")</f>
        <v>Grand Funk Railroad</v>
      </c>
      <c r="N49" s="3" t="str">
        <f ca="1">IFERROR(__xludf.DUMMYFUNCTION("""COMPUTED_VALUE"""),"Bad Time - Remastered 2002")</f>
        <v>Bad Time - Remastered 2002</v>
      </c>
      <c r="O49" s="3" t="e">
        <f ca="1">VLOOKUP(L49,'2023 Full View'!A47:P412,16,0)</f>
        <v>#N/A</v>
      </c>
      <c r="P49" s="3" t="str">
        <f ca="1">IFERROR(VLOOKUP($L49,'2024 Full View'!$1:$999,16,0),"")</f>
        <v/>
      </c>
      <c r="Q49" s="3" t="b">
        <f t="shared" ca="1" si="1"/>
        <v>1</v>
      </c>
    </row>
    <row r="50" spans="1:17" ht="13">
      <c r="A50" s="20"/>
      <c r="B50" s="3" t="s">
        <v>408</v>
      </c>
      <c r="C50" s="21" t="str">
        <f>IF(COUNTIFS('2024 Full View'!$K:$K,$B50,'2024 Full View'!B:B,"&lt;&gt;")+COUNTIFS('2024 Full View'!$F:$F,$B50,'2024 Full View'!B:B,"&lt;&gt;")=0,"",COUNTIFS('2024 Full View'!$K:$K,$B50,'2024 Full View'!B:B,"&lt;&gt;")+COUNTIFS('2024 Full View'!$F:$F,$B50,'2024 Full View'!B:B,"&lt;&gt;"))</f>
        <v/>
      </c>
      <c r="D50" s="21">
        <f>IF(COUNTIFS('2024 Full View'!$K:$K,$B50,'2024 Full View'!C:C,"&lt;&gt;")+COUNTIFS('2024 Full View'!$F:$F,$B50,'2024 Full View'!C:C,"&lt;&gt;")=0,"",COUNTIFS('2024 Full View'!$K:$K,$B50,'2024 Full View'!C:C,"&lt;&gt;")+COUNTIFS('2024 Full View'!$F:$F,$B50,'2024 Full View'!C:C,"&lt;&gt;"))</f>
        <v>1</v>
      </c>
      <c r="E50" s="21" t="str">
        <f>IF(COUNTIFS('2024 Full View'!$K:$K,$B50,'2024 Full View'!D:D,"&lt;&gt;")+COUNTIFS('2024 Full View'!$F:$F,$B50,'2024 Full View'!D:D,"&lt;&gt;")=0,"",COUNTIFS('2024 Full View'!$K:$K,$B50,'2024 Full View'!D:D,"&lt;&gt;")+COUNTIFS('2024 Full View'!$F:$F,$B50,'2024 Full View'!D:D,"&lt;&gt;"))</f>
        <v/>
      </c>
      <c r="F50" s="21" t="str">
        <f>IF(COUNTIFS('2024 Full View'!$K:$K,$B50,'2024 Full View'!E:E,"&lt;&gt;")+COUNTIFS('2024 Full View'!$F:$F,$B50,'2024 Full View'!E:E,"&lt;&gt;")=0,"",COUNTIFS('2024 Full View'!$K:$K,$B50,'2024 Full View'!E:E,"&lt;&gt;")+COUNTIFS('2024 Full View'!$F:$F,$B50,'2024 Full View'!E:E,"&lt;&gt;"))</f>
        <v/>
      </c>
      <c r="G50" s="21">
        <f t="shared" si="0"/>
        <v>1</v>
      </c>
      <c r="L50" s="3" t="str">
        <f ca="1">IFERROR(__xludf.DUMMYFUNCTION("""COMPUTED_VALUE"""),"M. PokoraTombé")</f>
        <v>M. PokoraTombé</v>
      </c>
      <c r="M50" s="3" t="str">
        <f ca="1">IFERROR(__xludf.DUMMYFUNCTION("""COMPUTED_VALUE"""),"M. Pokora")</f>
        <v>M. Pokora</v>
      </c>
      <c r="N50" s="3" t="str">
        <f ca="1">IFERROR(__xludf.DUMMYFUNCTION("""COMPUTED_VALUE"""),"Tombé")</f>
        <v>Tombé</v>
      </c>
      <c r="O50" s="3" t="e">
        <f ca="1">VLOOKUP(L50,'2023 Full View'!A48:P413,16,0)</f>
        <v>#N/A</v>
      </c>
      <c r="P50" s="3" t="str">
        <f ca="1">IFERROR(VLOOKUP($L50,'2024 Full View'!$1:$999,16,0),"")</f>
        <v/>
      </c>
      <c r="Q50" s="3" t="b">
        <f t="shared" ca="1" si="1"/>
        <v>1</v>
      </c>
    </row>
    <row r="51" spans="1:17" ht="13">
      <c r="A51" s="20"/>
      <c r="B51" s="3" t="s">
        <v>409</v>
      </c>
      <c r="C51" s="21" t="str">
        <f>IF(COUNTIFS('2024 Full View'!$K:$K,$B51,'2024 Full View'!B:B,"&lt;&gt;")+COUNTIFS('2024 Full View'!$F:$F,$B51,'2024 Full View'!B:B,"&lt;&gt;")=0,"",COUNTIFS('2024 Full View'!$K:$K,$B51,'2024 Full View'!B:B,"&lt;&gt;")+COUNTIFS('2024 Full View'!$F:$F,$B51,'2024 Full View'!B:B,"&lt;&gt;"))</f>
        <v/>
      </c>
      <c r="D51" s="21">
        <f>IF(COUNTIFS('2024 Full View'!$K:$K,$B51,'2024 Full View'!C:C,"&lt;&gt;")+COUNTIFS('2024 Full View'!$F:$F,$B51,'2024 Full View'!C:C,"&lt;&gt;")=0,"",COUNTIFS('2024 Full View'!$K:$K,$B51,'2024 Full View'!C:C,"&lt;&gt;")+COUNTIFS('2024 Full View'!$F:$F,$B51,'2024 Full View'!C:C,"&lt;&gt;"))</f>
        <v>1</v>
      </c>
      <c r="E51" s="21" t="str">
        <f>IF(COUNTIFS('2024 Full View'!$K:$K,$B51,'2024 Full View'!D:D,"&lt;&gt;")+COUNTIFS('2024 Full View'!$F:$F,$B51,'2024 Full View'!D:D,"&lt;&gt;")=0,"",COUNTIFS('2024 Full View'!$K:$K,$B51,'2024 Full View'!D:D,"&lt;&gt;")+COUNTIFS('2024 Full View'!$F:$F,$B51,'2024 Full View'!D:D,"&lt;&gt;"))</f>
        <v/>
      </c>
      <c r="F51" s="21" t="str">
        <f>IF(COUNTIFS('2024 Full View'!$K:$K,$B51,'2024 Full View'!E:E,"&lt;&gt;")+COUNTIFS('2024 Full View'!$F:$F,$B51,'2024 Full View'!E:E,"&lt;&gt;")=0,"",COUNTIFS('2024 Full View'!$K:$K,$B51,'2024 Full View'!E:E,"&lt;&gt;")+COUNTIFS('2024 Full View'!$F:$F,$B51,'2024 Full View'!E:E,"&lt;&gt;"))</f>
        <v/>
      </c>
      <c r="G51" s="21">
        <f t="shared" si="0"/>
        <v>1</v>
      </c>
      <c r="L51" s="3" t="str">
        <f ca="1">IFERROR(__xludf.DUMMYFUNCTION("""COMPUTED_VALUE"""),"TrousdaleIf I'm Honest")</f>
        <v>TrousdaleIf I'm Honest</v>
      </c>
      <c r="M51" s="3" t="str">
        <f ca="1">IFERROR(__xludf.DUMMYFUNCTION("""COMPUTED_VALUE"""),"Trousdale")</f>
        <v>Trousdale</v>
      </c>
      <c r="N51" s="3" t="str">
        <f ca="1">IFERROR(__xludf.DUMMYFUNCTION("""COMPUTED_VALUE"""),"If I'm Honest")</f>
        <v>If I'm Honest</v>
      </c>
      <c r="O51" s="3" t="e">
        <f ca="1">VLOOKUP(L51,'2023 Full View'!A49:P414,16,0)</f>
        <v>#N/A</v>
      </c>
      <c r="P51" s="3" t="str">
        <f ca="1">IFERROR(VLOOKUP($L51,'2024 Full View'!$1:$999,16,0),"")</f>
        <v/>
      </c>
      <c r="Q51" s="3" t="b">
        <f t="shared" ca="1" si="1"/>
        <v>1</v>
      </c>
    </row>
    <row r="52" spans="1:17" ht="13">
      <c r="A52" s="20"/>
      <c r="B52" s="3" t="s">
        <v>410</v>
      </c>
      <c r="C52" s="21" t="str">
        <f>IF(COUNTIFS('2024 Full View'!$K:$K,$B52,'2024 Full View'!B:B,"&lt;&gt;")+COUNTIFS('2024 Full View'!$F:$F,$B52,'2024 Full View'!B:B,"&lt;&gt;")=0,"",COUNTIFS('2024 Full View'!$K:$K,$B52,'2024 Full View'!B:B,"&lt;&gt;")+COUNTIFS('2024 Full View'!$F:$F,$B52,'2024 Full View'!B:B,"&lt;&gt;"))</f>
        <v/>
      </c>
      <c r="D52" s="21">
        <f>IF(COUNTIFS('2024 Full View'!$K:$K,$B52,'2024 Full View'!C:C,"&lt;&gt;")+COUNTIFS('2024 Full View'!$F:$F,$B52,'2024 Full View'!C:C,"&lt;&gt;")=0,"",COUNTIFS('2024 Full View'!$K:$K,$B52,'2024 Full View'!C:C,"&lt;&gt;")+COUNTIFS('2024 Full View'!$F:$F,$B52,'2024 Full View'!C:C,"&lt;&gt;"))</f>
        <v>1</v>
      </c>
      <c r="E52" s="21" t="str">
        <f>IF(COUNTIFS('2024 Full View'!$K:$K,$B52,'2024 Full View'!D:D,"&lt;&gt;")+COUNTIFS('2024 Full View'!$F:$F,$B52,'2024 Full View'!D:D,"&lt;&gt;")=0,"",COUNTIFS('2024 Full View'!$K:$K,$B52,'2024 Full View'!D:D,"&lt;&gt;")+COUNTIFS('2024 Full View'!$F:$F,$B52,'2024 Full View'!D:D,"&lt;&gt;"))</f>
        <v/>
      </c>
      <c r="F52" s="21" t="str">
        <f>IF(COUNTIFS('2024 Full View'!$K:$K,$B52,'2024 Full View'!E:E,"&lt;&gt;")+COUNTIFS('2024 Full View'!$F:$F,$B52,'2024 Full View'!E:E,"&lt;&gt;")=0,"",COUNTIFS('2024 Full View'!$K:$K,$B52,'2024 Full View'!E:E,"&lt;&gt;")+COUNTIFS('2024 Full View'!$F:$F,$B52,'2024 Full View'!E:E,"&lt;&gt;"))</f>
        <v/>
      </c>
      <c r="G52" s="21">
        <f t="shared" si="0"/>
        <v>1</v>
      </c>
      <c r="L52" s="3" t="str">
        <f ca="1">IFERROR(__xludf.DUMMYFUNCTION("""COMPUTED_VALUE"""),"Keen' VRien qu'une fois")</f>
        <v>Keen' VRien qu'une fois</v>
      </c>
      <c r="M52" s="3" t="str">
        <f ca="1">IFERROR(__xludf.DUMMYFUNCTION("""COMPUTED_VALUE"""),"Keen' V")</f>
        <v>Keen' V</v>
      </c>
      <c r="N52" s="3" t="str">
        <f ca="1">IFERROR(__xludf.DUMMYFUNCTION("""COMPUTED_VALUE"""),"Rien qu'une fois")</f>
        <v>Rien qu'une fois</v>
      </c>
      <c r="O52" s="3" t="e">
        <f ca="1">VLOOKUP(L52,'2023 Full View'!A50:P415,16,0)</f>
        <v>#N/A</v>
      </c>
      <c r="P52" s="3" t="str">
        <f ca="1">IFERROR(VLOOKUP($L52,'2024 Full View'!$1:$999,16,0),"")</f>
        <v/>
      </c>
      <c r="Q52" s="3" t="b">
        <f t="shared" ca="1" si="1"/>
        <v>1</v>
      </c>
    </row>
    <row r="53" spans="1:17" ht="13">
      <c r="A53" s="20"/>
      <c r="B53" s="3" t="s">
        <v>411</v>
      </c>
      <c r="C53" s="21" t="str">
        <f>IF(COUNTIFS('2024 Full View'!$K:$K,$B53,'2024 Full View'!B:B,"&lt;&gt;")+COUNTIFS('2024 Full View'!$F:$F,$B53,'2024 Full View'!B:B,"&lt;&gt;")=0,"",COUNTIFS('2024 Full View'!$K:$K,$B53,'2024 Full View'!B:B,"&lt;&gt;")+COUNTIFS('2024 Full View'!$F:$F,$B53,'2024 Full View'!B:B,"&lt;&gt;"))</f>
        <v/>
      </c>
      <c r="D53" s="21">
        <f>IF(COUNTIFS('2024 Full View'!$K:$K,$B53,'2024 Full View'!C:C,"&lt;&gt;")+COUNTIFS('2024 Full View'!$F:$F,$B53,'2024 Full View'!C:C,"&lt;&gt;")=0,"",COUNTIFS('2024 Full View'!$K:$K,$B53,'2024 Full View'!C:C,"&lt;&gt;")+COUNTIFS('2024 Full View'!$F:$F,$B53,'2024 Full View'!C:C,"&lt;&gt;"))</f>
        <v>1</v>
      </c>
      <c r="E53" s="21" t="str">
        <f>IF(COUNTIFS('2024 Full View'!$K:$K,$B53,'2024 Full View'!D:D,"&lt;&gt;")+COUNTIFS('2024 Full View'!$F:$F,$B53,'2024 Full View'!D:D,"&lt;&gt;")=0,"",COUNTIFS('2024 Full View'!$K:$K,$B53,'2024 Full View'!D:D,"&lt;&gt;")+COUNTIFS('2024 Full View'!$F:$F,$B53,'2024 Full View'!D:D,"&lt;&gt;"))</f>
        <v/>
      </c>
      <c r="F53" s="21" t="str">
        <f>IF(COUNTIFS('2024 Full View'!$K:$K,$B53,'2024 Full View'!E:E,"&lt;&gt;")+COUNTIFS('2024 Full View'!$F:$F,$B53,'2024 Full View'!E:E,"&lt;&gt;")=0,"",COUNTIFS('2024 Full View'!$K:$K,$B53,'2024 Full View'!E:E,"&lt;&gt;")+COUNTIFS('2024 Full View'!$F:$F,$B53,'2024 Full View'!E:E,"&lt;&gt;"))</f>
        <v/>
      </c>
      <c r="G53" s="21">
        <f t="shared" si="0"/>
        <v>1</v>
      </c>
      <c r="L53" s="3" t="str">
        <f ca="1">IFERROR(__xludf.DUMMYFUNCTION("""COMPUTED_VALUE"""),"TrousdaleBad Blood")</f>
        <v>TrousdaleBad Blood</v>
      </c>
      <c r="M53" s="3" t="str">
        <f ca="1">IFERROR(__xludf.DUMMYFUNCTION("""COMPUTED_VALUE"""),"Trousdale")</f>
        <v>Trousdale</v>
      </c>
      <c r="N53" s="3" t="str">
        <f ca="1">IFERROR(__xludf.DUMMYFUNCTION("""COMPUTED_VALUE"""),"Bad Blood")</f>
        <v>Bad Blood</v>
      </c>
      <c r="O53" s="3" t="e">
        <f ca="1">VLOOKUP(L53,'2023 Full View'!A51:P416,16,0)</f>
        <v>#N/A</v>
      </c>
      <c r="P53" s="3" t="str">
        <f ca="1">IFERROR(VLOOKUP($L53,'2024 Full View'!$1:$999,16,0),"")</f>
        <v/>
      </c>
      <c r="Q53" s="3" t="b">
        <f t="shared" ca="1" si="1"/>
        <v>1</v>
      </c>
    </row>
    <row r="54" spans="1:17" ht="13">
      <c r="A54" s="20"/>
      <c r="B54" s="3" t="s">
        <v>412</v>
      </c>
      <c r="C54" s="21" t="str">
        <f>IF(COUNTIFS('2024 Full View'!$K:$K,$B54,'2024 Full View'!B:B,"&lt;&gt;")+COUNTIFS('2024 Full View'!$F:$F,$B54,'2024 Full View'!B:B,"&lt;&gt;")=0,"",COUNTIFS('2024 Full View'!$K:$K,$B54,'2024 Full View'!B:B,"&lt;&gt;")+COUNTIFS('2024 Full View'!$F:$F,$B54,'2024 Full View'!B:B,"&lt;&gt;"))</f>
        <v/>
      </c>
      <c r="D54" s="21">
        <f>IF(COUNTIFS('2024 Full View'!$K:$K,$B54,'2024 Full View'!C:C,"&lt;&gt;")+COUNTIFS('2024 Full View'!$F:$F,$B54,'2024 Full View'!C:C,"&lt;&gt;")=0,"",COUNTIFS('2024 Full View'!$K:$K,$B54,'2024 Full View'!C:C,"&lt;&gt;")+COUNTIFS('2024 Full View'!$F:$F,$B54,'2024 Full View'!C:C,"&lt;&gt;"))</f>
        <v>1</v>
      </c>
      <c r="E54" s="21" t="str">
        <f>IF(COUNTIFS('2024 Full View'!$K:$K,$B54,'2024 Full View'!D:D,"&lt;&gt;")+COUNTIFS('2024 Full View'!$F:$F,$B54,'2024 Full View'!D:D,"&lt;&gt;")=0,"",COUNTIFS('2024 Full View'!$K:$K,$B54,'2024 Full View'!D:D,"&lt;&gt;")+COUNTIFS('2024 Full View'!$F:$F,$B54,'2024 Full View'!D:D,"&lt;&gt;"))</f>
        <v/>
      </c>
      <c r="F54" s="21" t="str">
        <f>IF(COUNTIFS('2024 Full View'!$K:$K,$B54,'2024 Full View'!E:E,"&lt;&gt;")+COUNTIFS('2024 Full View'!$F:$F,$B54,'2024 Full View'!E:E,"&lt;&gt;")=0,"",COUNTIFS('2024 Full View'!$K:$K,$B54,'2024 Full View'!E:E,"&lt;&gt;")+COUNTIFS('2024 Full View'!$F:$F,$B54,'2024 Full View'!E:E,"&lt;&gt;"))</f>
        <v/>
      </c>
      <c r="G54" s="21">
        <f t="shared" si="0"/>
        <v>1</v>
      </c>
      <c r="L54" s="3" t="str">
        <f ca="1">IFERROR(__xludf.DUMMYFUNCTION("""COMPUTED_VALUE"""),"VianneyEmma")</f>
        <v>VianneyEmma</v>
      </c>
      <c r="M54" s="3" t="str">
        <f ca="1">IFERROR(__xludf.DUMMYFUNCTION("""COMPUTED_VALUE"""),"Vianney")</f>
        <v>Vianney</v>
      </c>
      <c r="N54" s="3" t="str">
        <f ca="1">IFERROR(__xludf.DUMMYFUNCTION("""COMPUTED_VALUE"""),"Emma")</f>
        <v>Emma</v>
      </c>
      <c r="O54" s="3" t="e">
        <f ca="1">VLOOKUP(L54,'2023 Full View'!A52:P417,16,0)</f>
        <v>#N/A</v>
      </c>
      <c r="P54" s="3" t="str">
        <f ca="1">IFERROR(VLOOKUP($L54,'2024 Full View'!$1:$999,16,0),"")</f>
        <v/>
      </c>
      <c r="Q54" s="3" t="b">
        <f t="shared" ca="1" si="1"/>
        <v>1</v>
      </c>
    </row>
    <row r="55" spans="1:17" ht="13">
      <c r="A55" s="20"/>
      <c r="B55" s="3" t="s">
        <v>413</v>
      </c>
      <c r="C55" s="21" t="str">
        <f>IF(COUNTIFS('2024 Full View'!$K:$K,$B55,'2024 Full View'!B:B,"&lt;&gt;")+COUNTIFS('2024 Full View'!$F:$F,$B55,'2024 Full View'!B:B,"&lt;&gt;")=0,"",COUNTIFS('2024 Full View'!$K:$K,$B55,'2024 Full View'!B:B,"&lt;&gt;")+COUNTIFS('2024 Full View'!$F:$F,$B55,'2024 Full View'!B:B,"&lt;&gt;"))</f>
        <v/>
      </c>
      <c r="D55" s="21">
        <f>IF(COUNTIFS('2024 Full View'!$K:$K,$B55,'2024 Full View'!C:C,"&lt;&gt;")+COUNTIFS('2024 Full View'!$F:$F,$B55,'2024 Full View'!C:C,"&lt;&gt;")=0,"",COUNTIFS('2024 Full View'!$K:$K,$B55,'2024 Full View'!C:C,"&lt;&gt;")+COUNTIFS('2024 Full View'!$F:$F,$B55,'2024 Full View'!C:C,"&lt;&gt;"))</f>
        <v>1</v>
      </c>
      <c r="E55" s="21" t="str">
        <f>IF(COUNTIFS('2024 Full View'!$K:$K,$B55,'2024 Full View'!D:D,"&lt;&gt;")+COUNTIFS('2024 Full View'!$F:$F,$B55,'2024 Full View'!D:D,"&lt;&gt;")=0,"",COUNTIFS('2024 Full View'!$K:$K,$B55,'2024 Full View'!D:D,"&lt;&gt;")+COUNTIFS('2024 Full View'!$F:$F,$B55,'2024 Full View'!D:D,"&lt;&gt;"))</f>
        <v/>
      </c>
      <c r="F55" s="21" t="str">
        <f>IF(COUNTIFS('2024 Full View'!$K:$K,$B55,'2024 Full View'!E:E,"&lt;&gt;")+COUNTIFS('2024 Full View'!$F:$F,$B55,'2024 Full View'!E:E,"&lt;&gt;")=0,"",COUNTIFS('2024 Full View'!$K:$K,$B55,'2024 Full View'!E:E,"&lt;&gt;")+COUNTIFS('2024 Full View'!$F:$F,$B55,'2024 Full View'!E:E,"&lt;&gt;"))</f>
        <v/>
      </c>
      <c r="G55" s="21">
        <f t="shared" si="0"/>
        <v>1</v>
      </c>
      <c r="L55" s="3" t="str">
        <f ca="1">IFERROR(__xludf.DUMMYFUNCTION("""COMPUTED_VALUE"""),"The SupremesUp The Ladder To The Roof")</f>
        <v>The SupremesUp The Ladder To The Roof</v>
      </c>
      <c r="M55" s="3" t="str">
        <f ca="1">IFERROR(__xludf.DUMMYFUNCTION("""COMPUTED_VALUE"""),"The Supremes")</f>
        <v>The Supremes</v>
      </c>
      <c r="N55" s="3" t="str">
        <f ca="1">IFERROR(__xludf.DUMMYFUNCTION("""COMPUTED_VALUE"""),"Up The Ladder To The Roof")</f>
        <v>Up The Ladder To The Roof</v>
      </c>
      <c r="O55" s="3" t="e">
        <f ca="1">VLOOKUP(L55,'2023 Full View'!A53:P418,16,0)</f>
        <v>#N/A</v>
      </c>
      <c r="P55" s="3" t="str">
        <f ca="1">IFERROR(VLOOKUP($L55,'2024 Full View'!$1:$999,16,0),"")</f>
        <v/>
      </c>
      <c r="Q55" s="3" t="b">
        <f t="shared" ca="1" si="1"/>
        <v>1</v>
      </c>
    </row>
    <row r="56" spans="1:17" ht="13">
      <c r="A56" s="20"/>
      <c r="B56" s="3" t="s">
        <v>414</v>
      </c>
      <c r="C56" s="21" t="str">
        <f>IF(COUNTIFS('2024 Full View'!$K:$K,$B56,'2024 Full View'!B:B,"&lt;&gt;")+COUNTIFS('2024 Full View'!$F:$F,$B56,'2024 Full View'!B:B,"&lt;&gt;")=0,"",COUNTIFS('2024 Full View'!$K:$K,$B56,'2024 Full View'!B:B,"&lt;&gt;")+COUNTIFS('2024 Full View'!$F:$F,$B56,'2024 Full View'!B:B,"&lt;&gt;"))</f>
        <v/>
      </c>
      <c r="D56" s="21">
        <f>IF(COUNTIFS('2024 Full View'!$K:$K,$B56,'2024 Full View'!C:C,"&lt;&gt;")+COUNTIFS('2024 Full View'!$F:$F,$B56,'2024 Full View'!C:C,"&lt;&gt;")=0,"",COUNTIFS('2024 Full View'!$K:$K,$B56,'2024 Full View'!C:C,"&lt;&gt;")+COUNTIFS('2024 Full View'!$F:$F,$B56,'2024 Full View'!C:C,"&lt;&gt;"))</f>
        <v>1</v>
      </c>
      <c r="E56" s="21" t="str">
        <f>IF(COUNTIFS('2024 Full View'!$K:$K,$B56,'2024 Full View'!D:D,"&lt;&gt;")+COUNTIFS('2024 Full View'!$F:$F,$B56,'2024 Full View'!D:D,"&lt;&gt;")=0,"",COUNTIFS('2024 Full View'!$K:$K,$B56,'2024 Full View'!D:D,"&lt;&gt;")+COUNTIFS('2024 Full View'!$F:$F,$B56,'2024 Full View'!D:D,"&lt;&gt;"))</f>
        <v/>
      </c>
      <c r="F56" s="21" t="str">
        <f>IF(COUNTIFS('2024 Full View'!$K:$K,$B56,'2024 Full View'!E:E,"&lt;&gt;")+COUNTIFS('2024 Full View'!$F:$F,$B56,'2024 Full View'!E:E,"&lt;&gt;")=0,"",COUNTIFS('2024 Full View'!$K:$K,$B56,'2024 Full View'!E:E,"&lt;&gt;")+COUNTIFS('2024 Full View'!$F:$F,$B56,'2024 Full View'!E:E,"&lt;&gt;"))</f>
        <v/>
      </c>
      <c r="G56" s="21">
        <f t="shared" si="0"/>
        <v>1</v>
      </c>
      <c r="L56" s="3" t="str">
        <f ca="1">IFERROR(__xludf.DUMMYFUNCTION("""COMPUTED_VALUE"""),"TrousdaleMovie Star")</f>
        <v>TrousdaleMovie Star</v>
      </c>
      <c r="M56" s="3" t="str">
        <f ca="1">IFERROR(__xludf.DUMMYFUNCTION("""COMPUTED_VALUE"""),"Trousdale")</f>
        <v>Trousdale</v>
      </c>
      <c r="N56" s="3" t="str">
        <f ca="1">IFERROR(__xludf.DUMMYFUNCTION("""COMPUTED_VALUE"""),"Movie Star")</f>
        <v>Movie Star</v>
      </c>
      <c r="O56" s="3" t="e">
        <f ca="1">VLOOKUP(L56,'2023 Full View'!A54:P419,16,0)</f>
        <v>#N/A</v>
      </c>
      <c r="P56" s="3" t="str">
        <f ca="1">IFERROR(VLOOKUP($L56,'2024 Full View'!$1:$999,16,0),"")</f>
        <v/>
      </c>
      <c r="Q56" s="3" t="b">
        <f t="shared" ca="1" si="1"/>
        <v>1</v>
      </c>
    </row>
    <row r="57" spans="1:17" ht="13">
      <c r="A57" s="20"/>
      <c r="B57" s="3" t="s">
        <v>415</v>
      </c>
      <c r="C57" s="21" t="str">
        <f>IF(COUNTIFS('2024 Full View'!$K:$K,$B57,'2024 Full View'!B:B,"&lt;&gt;")+COUNTIFS('2024 Full View'!$F:$F,$B57,'2024 Full View'!B:B,"&lt;&gt;")=0,"",COUNTIFS('2024 Full View'!$K:$K,$B57,'2024 Full View'!B:B,"&lt;&gt;")+COUNTIFS('2024 Full View'!$F:$F,$B57,'2024 Full View'!B:B,"&lt;&gt;"))</f>
        <v/>
      </c>
      <c r="D57" s="21">
        <f>IF(COUNTIFS('2024 Full View'!$K:$K,$B57,'2024 Full View'!C:C,"&lt;&gt;")+COUNTIFS('2024 Full View'!$F:$F,$B57,'2024 Full View'!C:C,"&lt;&gt;")=0,"",COUNTIFS('2024 Full View'!$K:$K,$B57,'2024 Full View'!C:C,"&lt;&gt;")+COUNTIFS('2024 Full View'!$F:$F,$B57,'2024 Full View'!C:C,"&lt;&gt;"))</f>
        <v>1</v>
      </c>
      <c r="E57" s="21" t="str">
        <f>IF(COUNTIFS('2024 Full View'!$K:$K,$B57,'2024 Full View'!D:D,"&lt;&gt;")+COUNTIFS('2024 Full View'!$F:$F,$B57,'2024 Full View'!D:D,"&lt;&gt;")=0,"",COUNTIFS('2024 Full View'!$K:$K,$B57,'2024 Full View'!D:D,"&lt;&gt;")+COUNTIFS('2024 Full View'!$F:$F,$B57,'2024 Full View'!D:D,"&lt;&gt;"))</f>
        <v/>
      </c>
      <c r="F57" s="21" t="str">
        <f>IF(COUNTIFS('2024 Full View'!$K:$K,$B57,'2024 Full View'!E:E,"&lt;&gt;")+COUNTIFS('2024 Full View'!$F:$F,$B57,'2024 Full View'!E:E,"&lt;&gt;")=0,"",COUNTIFS('2024 Full View'!$K:$K,$B57,'2024 Full View'!E:E,"&lt;&gt;")+COUNTIFS('2024 Full View'!$F:$F,$B57,'2024 Full View'!E:E,"&lt;&gt;"))</f>
        <v/>
      </c>
      <c r="G57" s="21">
        <f t="shared" si="0"/>
        <v>1</v>
      </c>
      <c r="L57" s="3" t="str">
        <f ca="1">IFERROR(__xludf.DUMMYFUNCTION("""COMPUTED_VALUE"""),"TrousdaleThis Is It")</f>
        <v>TrousdaleThis Is It</v>
      </c>
      <c r="M57" s="3" t="str">
        <f ca="1">IFERROR(__xludf.DUMMYFUNCTION("""COMPUTED_VALUE"""),"Trousdale")</f>
        <v>Trousdale</v>
      </c>
      <c r="N57" s="3" t="str">
        <f ca="1">IFERROR(__xludf.DUMMYFUNCTION("""COMPUTED_VALUE"""),"This Is It")</f>
        <v>This Is It</v>
      </c>
      <c r="O57" s="3" t="e">
        <f ca="1">VLOOKUP(L57,'2023 Full View'!A55:P420,16,0)</f>
        <v>#N/A</v>
      </c>
      <c r="P57" s="3" t="str">
        <f ca="1">IFERROR(VLOOKUP($L57,'2024 Full View'!$1:$999,16,0),"")</f>
        <v/>
      </c>
      <c r="Q57" s="3" t="b">
        <f t="shared" ca="1" si="1"/>
        <v>1</v>
      </c>
    </row>
    <row r="58" spans="1:17" ht="13">
      <c r="A58" s="20"/>
      <c r="B58" s="3" t="s">
        <v>416</v>
      </c>
      <c r="C58" s="21" t="str">
        <f>IF(COUNTIFS('2024 Full View'!$K:$K,$B58,'2024 Full View'!B:B,"&lt;&gt;")+COUNTIFS('2024 Full View'!$F:$F,$B58,'2024 Full View'!B:B,"&lt;&gt;")=0,"",COUNTIFS('2024 Full View'!$K:$K,$B58,'2024 Full View'!B:B,"&lt;&gt;")+COUNTIFS('2024 Full View'!$F:$F,$B58,'2024 Full View'!B:B,"&lt;&gt;"))</f>
        <v/>
      </c>
      <c r="D58" s="21">
        <f>IF(COUNTIFS('2024 Full View'!$K:$K,$B58,'2024 Full View'!C:C,"&lt;&gt;")+COUNTIFS('2024 Full View'!$F:$F,$B58,'2024 Full View'!C:C,"&lt;&gt;")=0,"",COUNTIFS('2024 Full View'!$K:$K,$B58,'2024 Full View'!C:C,"&lt;&gt;")+COUNTIFS('2024 Full View'!$F:$F,$B58,'2024 Full View'!C:C,"&lt;&gt;"))</f>
        <v>1</v>
      </c>
      <c r="E58" s="21" t="str">
        <f>IF(COUNTIFS('2024 Full View'!$K:$K,$B58,'2024 Full View'!D:D,"&lt;&gt;")+COUNTIFS('2024 Full View'!$F:$F,$B58,'2024 Full View'!D:D,"&lt;&gt;")=0,"",COUNTIFS('2024 Full View'!$K:$K,$B58,'2024 Full View'!D:D,"&lt;&gt;")+COUNTIFS('2024 Full View'!$F:$F,$B58,'2024 Full View'!D:D,"&lt;&gt;"))</f>
        <v/>
      </c>
      <c r="F58" s="21" t="str">
        <f>IF(COUNTIFS('2024 Full View'!$K:$K,$B58,'2024 Full View'!E:E,"&lt;&gt;")+COUNTIFS('2024 Full View'!$F:$F,$B58,'2024 Full View'!E:E,"&lt;&gt;")=0,"",COUNTIFS('2024 Full View'!$K:$K,$B58,'2024 Full View'!E:E,"&lt;&gt;")+COUNTIFS('2024 Full View'!$F:$F,$B58,'2024 Full View'!E:E,"&lt;&gt;"))</f>
        <v/>
      </c>
      <c r="G58" s="21">
        <f t="shared" si="0"/>
        <v>1</v>
      </c>
      <c r="L58" s="3" t="str">
        <f ca="1">IFERROR(__xludf.DUMMYFUNCTION("""COMPUTED_VALUE"""),"TibzTout au bout du monde")</f>
        <v>TibzTout au bout du monde</v>
      </c>
      <c r="M58" s="3" t="str">
        <f ca="1">IFERROR(__xludf.DUMMYFUNCTION("""COMPUTED_VALUE"""),"Tibz")</f>
        <v>Tibz</v>
      </c>
      <c r="N58" s="3" t="str">
        <f ca="1">IFERROR(__xludf.DUMMYFUNCTION("""COMPUTED_VALUE"""),"Tout au bout du monde")</f>
        <v>Tout au bout du monde</v>
      </c>
      <c r="O58" s="3" t="e">
        <f ca="1">VLOOKUP(L58,'2023 Full View'!A56:P421,16,0)</f>
        <v>#N/A</v>
      </c>
      <c r="P58" s="3" t="str">
        <f ca="1">IFERROR(VLOOKUP($L58,'2024 Full View'!$1:$999,16,0),"")</f>
        <v/>
      </c>
      <c r="Q58" s="3" t="b">
        <f t="shared" ca="1" si="1"/>
        <v>1</v>
      </c>
    </row>
    <row r="59" spans="1:17" ht="13">
      <c r="A59" s="20"/>
      <c r="B59" s="3" t="s">
        <v>417</v>
      </c>
      <c r="C59" s="21" t="str">
        <f>IF(COUNTIFS('2024 Full View'!$K:$K,$B59,'2024 Full View'!B:B,"&lt;&gt;")+COUNTIFS('2024 Full View'!$F:$F,$B59,'2024 Full View'!B:B,"&lt;&gt;")=0,"",COUNTIFS('2024 Full View'!$K:$K,$B59,'2024 Full View'!B:B,"&lt;&gt;")+COUNTIFS('2024 Full View'!$F:$F,$B59,'2024 Full View'!B:B,"&lt;&gt;"))</f>
        <v/>
      </c>
      <c r="D59" s="21">
        <f>IF(COUNTIFS('2024 Full View'!$K:$K,$B59,'2024 Full View'!C:C,"&lt;&gt;")+COUNTIFS('2024 Full View'!$F:$F,$B59,'2024 Full View'!C:C,"&lt;&gt;")=0,"",COUNTIFS('2024 Full View'!$K:$K,$B59,'2024 Full View'!C:C,"&lt;&gt;")+COUNTIFS('2024 Full View'!$F:$F,$B59,'2024 Full View'!C:C,"&lt;&gt;"))</f>
        <v>1</v>
      </c>
      <c r="E59" s="21" t="str">
        <f>IF(COUNTIFS('2024 Full View'!$K:$K,$B59,'2024 Full View'!D:D,"&lt;&gt;")+COUNTIFS('2024 Full View'!$F:$F,$B59,'2024 Full View'!D:D,"&lt;&gt;")=0,"",COUNTIFS('2024 Full View'!$K:$K,$B59,'2024 Full View'!D:D,"&lt;&gt;")+COUNTIFS('2024 Full View'!$F:$F,$B59,'2024 Full View'!D:D,"&lt;&gt;"))</f>
        <v/>
      </c>
      <c r="F59" s="21" t="str">
        <f>IF(COUNTIFS('2024 Full View'!$K:$K,$B59,'2024 Full View'!E:E,"&lt;&gt;")+COUNTIFS('2024 Full View'!$F:$F,$B59,'2024 Full View'!E:E,"&lt;&gt;")=0,"",COUNTIFS('2024 Full View'!$K:$K,$B59,'2024 Full View'!E:E,"&lt;&gt;")+COUNTIFS('2024 Full View'!$F:$F,$B59,'2024 Full View'!E:E,"&lt;&gt;"))</f>
        <v/>
      </c>
      <c r="G59" s="21">
        <f t="shared" si="0"/>
        <v>1</v>
      </c>
    </row>
    <row r="60" spans="1:17" ht="13">
      <c r="A60" s="20"/>
      <c r="B60" s="3" t="s">
        <v>418</v>
      </c>
      <c r="C60" s="21" t="str">
        <f>IF(COUNTIFS('2024 Full View'!$K:$K,$B60,'2024 Full View'!B:B,"&lt;&gt;")+COUNTIFS('2024 Full View'!$F:$F,$B60,'2024 Full View'!B:B,"&lt;&gt;")=0,"",COUNTIFS('2024 Full View'!$K:$K,$B60,'2024 Full View'!B:B,"&lt;&gt;")+COUNTIFS('2024 Full View'!$F:$F,$B60,'2024 Full View'!B:B,"&lt;&gt;"))</f>
        <v/>
      </c>
      <c r="D60" s="21">
        <f>IF(COUNTIFS('2024 Full View'!$K:$K,$B60,'2024 Full View'!C:C,"&lt;&gt;")+COUNTIFS('2024 Full View'!$F:$F,$B60,'2024 Full View'!C:C,"&lt;&gt;")=0,"",COUNTIFS('2024 Full View'!$K:$K,$B60,'2024 Full View'!C:C,"&lt;&gt;")+COUNTIFS('2024 Full View'!$F:$F,$B60,'2024 Full View'!C:C,"&lt;&gt;"))</f>
        <v>1</v>
      </c>
      <c r="E60" s="21" t="str">
        <f>IF(COUNTIFS('2024 Full View'!$K:$K,$B60,'2024 Full View'!D:D,"&lt;&gt;")+COUNTIFS('2024 Full View'!$F:$F,$B60,'2024 Full View'!D:D,"&lt;&gt;")=0,"",COUNTIFS('2024 Full View'!$K:$K,$B60,'2024 Full View'!D:D,"&lt;&gt;")+COUNTIFS('2024 Full View'!$F:$F,$B60,'2024 Full View'!D:D,"&lt;&gt;"))</f>
        <v/>
      </c>
      <c r="F60" s="21" t="str">
        <f>IF(COUNTIFS('2024 Full View'!$K:$K,$B60,'2024 Full View'!E:E,"&lt;&gt;")+COUNTIFS('2024 Full View'!$F:$F,$B60,'2024 Full View'!E:E,"&lt;&gt;")=0,"",COUNTIFS('2024 Full View'!$K:$K,$B60,'2024 Full View'!E:E,"&lt;&gt;")+COUNTIFS('2024 Full View'!$F:$F,$B60,'2024 Full View'!E:E,"&lt;&gt;"))</f>
        <v/>
      </c>
      <c r="G60" s="21">
        <f t="shared" si="0"/>
        <v>1</v>
      </c>
    </row>
    <row r="61" spans="1:17" ht="13">
      <c r="A61" s="20"/>
      <c r="B61" s="3" t="s">
        <v>419</v>
      </c>
      <c r="C61" s="21" t="str">
        <f>IF(COUNTIFS('2024 Full View'!$K:$K,$B61,'2024 Full View'!B:B,"&lt;&gt;")+COUNTIFS('2024 Full View'!$F:$F,$B61,'2024 Full View'!B:B,"&lt;&gt;")=0,"",COUNTIFS('2024 Full View'!$K:$K,$B61,'2024 Full View'!B:B,"&lt;&gt;")+COUNTIFS('2024 Full View'!$F:$F,$B61,'2024 Full View'!B:B,"&lt;&gt;"))</f>
        <v/>
      </c>
      <c r="D61" s="21">
        <f>IF(COUNTIFS('2024 Full View'!$K:$K,$B61,'2024 Full View'!C:C,"&lt;&gt;")+COUNTIFS('2024 Full View'!$F:$F,$B61,'2024 Full View'!C:C,"&lt;&gt;")=0,"",COUNTIFS('2024 Full View'!$K:$K,$B61,'2024 Full View'!C:C,"&lt;&gt;")+COUNTIFS('2024 Full View'!$F:$F,$B61,'2024 Full View'!C:C,"&lt;&gt;"))</f>
        <v>1</v>
      </c>
      <c r="E61" s="21" t="str">
        <f>IF(COUNTIFS('2024 Full View'!$K:$K,$B61,'2024 Full View'!D:D,"&lt;&gt;")+COUNTIFS('2024 Full View'!$F:$F,$B61,'2024 Full View'!D:D,"&lt;&gt;")=0,"",COUNTIFS('2024 Full View'!$K:$K,$B61,'2024 Full View'!D:D,"&lt;&gt;")+COUNTIFS('2024 Full View'!$F:$F,$B61,'2024 Full View'!D:D,"&lt;&gt;"))</f>
        <v/>
      </c>
      <c r="F61" s="21" t="str">
        <f>IF(COUNTIFS('2024 Full View'!$K:$K,$B61,'2024 Full View'!E:E,"&lt;&gt;")+COUNTIFS('2024 Full View'!$F:$F,$B61,'2024 Full View'!E:E,"&lt;&gt;")=0,"",COUNTIFS('2024 Full View'!$K:$K,$B61,'2024 Full View'!E:E,"&lt;&gt;")+COUNTIFS('2024 Full View'!$F:$F,$B61,'2024 Full View'!E:E,"&lt;&gt;"))</f>
        <v/>
      </c>
      <c r="G61" s="21">
        <f t="shared" si="0"/>
        <v>1</v>
      </c>
    </row>
    <row r="62" spans="1:17" ht="13">
      <c r="A62" s="20"/>
      <c r="B62" s="3" t="s">
        <v>420</v>
      </c>
      <c r="C62" s="21" t="str">
        <f>IF(COUNTIFS('2024 Full View'!$K:$K,$B62,'2024 Full View'!B:B,"&lt;&gt;")+COUNTIFS('2024 Full View'!$F:$F,$B62,'2024 Full View'!B:B,"&lt;&gt;")=0,"",COUNTIFS('2024 Full View'!$K:$K,$B62,'2024 Full View'!B:B,"&lt;&gt;")+COUNTIFS('2024 Full View'!$F:$F,$B62,'2024 Full View'!B:B,"&lt;&gt;"))</f>
        <v/>
      </c>
      <c r="D62" s="21">
        <f>IF(COUNTIFS('2024 Full View'!$K:$K,$B62,'2024 Full View'!C:C,"&lt;&gt;")+COUNTIFS('2024 Full View'!$F:$F,$B62,'2024 Full View'!C:C,"&lt;&gt;")=0,"",COUNTIFS('2024 Full View'!$K:$K,$B62,'2024 Full View'!C:C,"&lt;&gt;")+COUNTIFS('2024 Full View'!$F:$F,$B62,'2024 Full View'!C:C,"&lt;&gt;"))</f>
        <v>1</v>
      </c>
      <c r="E62" s="21" t="str">
        <f>IF(COUNTIFS('2024 Full View'!$K:$K,$B62,'2024 Full View'!D:D,"&lt;&gt;")+COUNTIFS('2024 Full View'!$F:$F,$B62,'2024 Full View'!D:D,"&lt;&gt;")=0,"",COUNTIFS('2024 Full View'!$K:$K,$B62,'2024 Full View'!D:D,"&lt;&gt;")+COUNTIFS('2024 Full View'!$F:$F,$B62,'2024 Full View'!D:D,"&lt;&gt;"))</f>
        <v/>
      </c>
      <c r="F62" s="21" t="str">
        <f>IF(COUNTIFS('2024 Full View'!$K:$K,$B62,'2024 Full View'!E:E,"&lt;&gt;")+COUNTIFS('2024 Full View'!$F:$F,$B62,'2024 Full View'!E:E,"&lt;&gt;")=0,"",COUNTIFS('2024 Full View'!$K:$K,$B62,'2024 Full View'!E:E,"&lt;&gt;")+COUNTIFS('2024 Full View'!$F:$F,$B62,'2024 Full View'!E:E,"&lt;&gt;"))</f>
        <v/>
      </c>
      <c r="G62" s="21">
        <f t="shared" si="0"/>
        <v>1</v>
      </c>
    </row>
    <row r="63" spans="1:17" ht="13">
      <c r="A63" s="20"/>
      <c r="B63" s="3" t="s">
        <v>421</v>
      </c>
      <c r="C63" s="21" t="str">
        <f>IF(COUNTIFS('2024 Full View'!$K:$K,$B63,'2024 Full View'!B:B,"&lt;&gt;")+COUNTIFS('2024 Full View'!$F:$F,$B63,'2024 Full View'!B:B,"&lt;&gt;")=0,"",COUNTIFS('2024 Full View'!$K:$K,$B63,'2024 Full View'!B:B,"&lt;&gt;")+COUNTIFS('2024 Full View'!$F:$F,$B63,'2024 Full View'!B:B,"&lt;&gt;"))</f>
        <v/>
      </c>
      <c r="D63" s="21">
        <f>IF(COUNTIFS('2024 Full View'!$K:$K,$B63,'2024 Full View'!C:C,"&lt;&gt;")+COUNTIFS('2024 Full View'!$F:$F,$B63,'2024 Full View'!C:C,"&lt;&gt;")=0,"",COUNTIFS('2024 Full View'!$K:$K,$B63,'2024 Full View'!C:C,"&lt;&gt;")+COUNTIFS('2024 Full View'!$F:$F,$B63,'2024 Full View'!C:C,"&lt;&gt;"))</f>
        <v>1</v>
      </c>
      <c r="E63" s="21" t="str">
        <f>IF(COUNTIFS('2024 Full View'!$K:$K,$B63,'2024 Full View'!D:D,"&lt;&gt;")+COUNTIFS('2024 Full View'!$F:$F,$B63,'2024 Full View'!D:D,"&lt;&gt;")=0,"",COUNTIFS('2024 Full View'!$K:$K,$B63,'2024 Full View'!D:D,"&lt;&gt;")+COUNTIFS('2024 Full View'!$F:$F,$B63,'2024 Full View'!D:D,"&lt;&gt;"))</f>
        <v/>
      </c>
      <c r="F63" s="21" t="str">
        <f>IF(COUNTIFS('2024 Full View'!$K:$K,$B63,'2024 Full View'!E:E,"&lt;&gt;")+COUNTIFS('2024 Full View'!$F:$F,$B63,'2024 Full View'!E:E,"&lt;&gt;")=0,"",COUNTIFS('2024 Full View'!$K:$K,$B63,'2024 Full View'!E:E,"&lt;&gt;")+COUNTIFS('2024 Full View'!$F:$F,$B63,'2024 Full View'!E:E,"&lt;&gt;"))</f>
        <v/>
      </c>
      <c r="G63" s="21">
        <f t="shared" si="0"/>
        <v>1</v>
      </c>
    </row>
    <row r="64" spans="1:17" ht="13">
      <c r="A64" s="20"/>
      <c r="B64" s="3" t="s">
        <v>422</v>
      </c>
      <c r="C64" s="21" t="str">
        <f>IF(COUNTIFS('2024 Full View'!$K:$K,$B64,'2024 Full View'!B:B,"&lt;&gt;")+COUNTIFS('2024 Full View'!$F:$F,$B64,'2024 Full View'!B:B,"&lt;&gt;")=0,"",COUNTIFS('2024 Full View'!$K:$K,$B64,'2024 Full View'!B:B,"&lt;&gt;")+COUNTIFS('2024 Full View'!$F:$F,$B64,'2024 Full View'!B:B,"&lt;&gt;"))</f>
        <v/>
      </c>
      <c r="D64" s="21">
        <f>IF(COUNTIFS('2024 Full View'!$K:$K,$B64,'2024 Full View'!C:C,"&lt;&gt;")+COUNTIFS('2024 Full View'!$F:$F,$B64,'2024 Full View'!C:C,"&lt;&gt;")=0,"",COUNTIFS('2024 Full View'!$K:$K,$B64,'2024 Full View'!C:C,"&lt;&gt;")+COUNTIFS('2024 Full View'!$F:$F,$B64,'2024 Full View'!C:C,"&lt;&gt;"))</f>
        <v>1</v>
      </c>
      <c r="E64" s="21" t="str">
        <f>IF(COUNTIFS('2024 Full View'!$K:$K,$B64,'2024 Full View'!D:D,"&lt;&gt;")+COUNTIFS('2024 Full View'!$F:$F,$B64,'2024 Full View'!D:D,"&lt;&gt;")=0,"",COUNTIFS('2024 Full View'!$K:$K,$B64,'2024 Full View'!D:D,"&lt;&gt;")+COUNTIFS('2024 Full View'!$F:$F,$B64,'2024 Full View'!D:D,"&lt;&gt;"))</f>
        <v/>
      </c>
      <c r="F64" s="21" t="str">
        <f>IF(COUNTIFS('2024 Full View'!$K:$K,$B64,'2024 Full View'!E:E,"&lt;&gt;")+COUNTIFS('2024 Full View'!$F:$F,$B64,'2024 Full View'!E:E,"&lt;&gt;")=0,"",COUNTIFS('2024 Full View'!$K:$K,$B64,'2024 Full View'!E:E,"&lt;&gt;")+COUNTIFS('2024 Full View'!$F:$F,$B64,'2024 Full View'!E:E,"&lt;&gt;"))</f>
        <v/>
      </c>
      <c r="G64" s="21">
        <f t="shared" si="0"/>
        <v>1</v>
      </c>
    </row>
    <row r="65" spans="1:7" ht="13">
      <c r="A65" s="20"/>
      <c r="B65" s="3" t="s">
        <v>423</v>
      </c>
      <c r="C65" s="21" t="str">
        <f>IF(COUNTIFS('2024 Full View'!$K:$K,$B65,'2024 Full View'!B:B,"&lt;&gt;")+COUNTIFS('2024 Full View'!$F:$F,$B65,'2024 Full View'!B:B,"&lt;&gt;")=0,"",COUNTIFS('2024 Full View'!$K:$K,$B65,'2024 Full View'!B:B,"&lt;&gt;")+COUNTIFS('2024 Full View'!$F:$F,$B65,'2024 Full View'!B:B,"&lt;&gt;"))</f>
        <v/>
      </c>
      <c r="D65" s="21">
        <f>IF(COUNTIFS('2024 Full View'!$K:$K,$B65,'2024 Full View'!C:C,"&lt;&gt;")+COUNTIFS('2024 Full View'!$F:$F,$B65,'2024 Full View'!C:C,"&lt;&gt;")=0,"",COUNTIFS('2024 Full View'!$K:$K,$B65,'2024 Full View'!C:C,"&lt;&gt;")+COUNTIFS('2024 Full View'!$F:$F,$B65,'2024 Full View'!C:C,"&lt;&gt;"))</f>
        <v>1</v>
      </c>
      <c r="E65" s="21" t="str">
        <f>IF(COUNTIFS('2024 Full View'!$K:$K,$B65,'2024 Full View'!D:D,"&lt;&gt;")+COUNTIFS('2024 Full View'!$F:$F,$B65,'2024 Full View'!D:D,"&lt;&gt;")=0,"",COUNTIFS('2024 Full View'!$K:$K,$B65,'2024 Full View'!D:D,"&lt;&gt;")+COUNTIFS('2024 Full View'!$F:$F,$B65,'2024 Full View'!D:D,"&lt;&gt;"))</f>
        <v/>
      </c>
      <c r="F65" s="21" t="str">
        <f>IF(COUNTIFS('2024 Full View'!$K:$K,$B65,'2024 Full View'!E:E,"&lt;&gt;")+COUNTIFS('2024 Full View'!$F:$F,$B65,'2024 Full View'!E:E,"&lt;&gt;")=0,"",COUNTIFS('2024 Full View'!$K:$K,$B65,'2024 Full View'!E:E,"&lt;&gt;")+COUNTIFS('2024 Full View'!$F:$F,$B65,'2024 Full View'!E:E,"&lt;&gt;"))</f>
        <v/>
      </c>
      <c r="G65" s="21">
        <f t="shared" si="0"/>
        <v>1</v>
      </c>
    </row>
    <row r="66" spans="1:7" ht="13">
      <c r="A66" s="20"/>
      <c r="B66" s="3" t="s">
        <v>424</v>
      </c>
      <c r="C66" s="21" t="str">
        <f>IF(COUNTIFS('2024 Full View'!$K:$K,$B66,'2024 Full View'!B:B,"&lt;&gt;")+COUNTIFS('2024 Full View'!$F:$F,$B66,'2024 Full View'!B:B,"&lt;&gt;")=0,"",COUNTIFS('2024 Full View'!$K:$K,$B66,'2024 Full View'!B:B,"&lt;&gt;")+COUNTIFS('2024 Full View'!$F:$F,$B66,'2024 Full View'!B:B,"&lt;&gt;"))</f>
        <v/>
      </c>
      <c r="D66" s="21">
        <f>IF(COUNTIFS('2024 Full View'!$K:$K,$B66,'2024 Full View'!C:C,"&lt;&gt;")+COUNTIFS('2024 Full View'!$F:$F,$B66,'2024 Full View'!C:C,"&lt;&gt;")=0,"",COUNTIFS('2024 Full View'!$K:$K,$B66,'2024 Full View'!C:C,"&lt;&gt;")+COUNTIFS('2024 Full View'!$F:$F,$B66,'2024 Full View'!C:C,"&lt;&gt;"))</f>
        <v>1</v>
      </c>
      <c r="E66" s="21" t="str">
        <f>IF(COUNTIFS('2024 Full View'!$K:$K,$B66,'2024 Full View'!D:D,"&lt;&gt;")+COUNTIFS('2024 Full View'!$F:$F,$B66,'2024 Full View'!D:D,"&lt;&gt;")=0,"",COUNTIFS('2024 Full View'!$K:$K,$B66,'2024 Full View'!D:D,"&lt;&gt;")+COUNTIFS('2024 Full View'!$F:$F,$B66,'2024 Full View'!D:D,"&lt;&gt;"))</f>
        <v/>
      </c>
      <c r="F66" s="21" t="str">
        <f>IF(COUNTIFS('2024 Full View'!$K:$K,$B66,'2024 Full View'!E:E,"&lt;&gt;")+COUNTIFS('2024 Full View'!$F:$F,$B66,'2024 Full View'!E:E,"&lt;&gt;")=0,"",COUNTIFS('2024 Full View'!$K:$K,$B66,'2024 Full View'!E:E,"&lt;&gt;")+COUNTIFS('2024 Full View'!$F:$F,$B66,'2024 Full View'!E:E,"&lt;&gt;"))</f>
        <v/>
      </c>
      <c r="G66" s="21">
        <f t="shared" si="0"/>
        <v>1</v>
      </c>
    </row>
    <row r="67" spans="1:7" ht="13">
      <c r="A67" s="20"/>
      <c r="B67" s="3" t="s">
        <v>425</v>
      </c>
      <c r="C67" s="21" t="str">
        <f>IF(COUNTIFS('2024 Full View'!$K:$K,$B67,'2024 Full View'!B:B,"&lt;&gt;")+COUNTIFS('2024 Full View'!$F:$F,$B67,'2024 Full View'!B:B,"&lt;&gt;")=0,"",COUNTIFS('2024 Full View'!$K:$K,$B67,'2024 Full View'!B:B,"&lt;&gt;")+COUNTIFS('2024 Full View'!$F:$F,$B67,'2024 Full View'!B:B,"&lt;&gt;"))</f>
        <v/>
      </c>
      <c r="D67" s="21">
        <f>IF(COUNTIFS('2024 Full View'!$K:$K,$B67,'2024 Full View'!C:C,"&lt;&gt;")+COUNTIFS('2024 Full View'!$F:$F,$B67,'2024 Full View'!C:C,"&lt;&gt;")=0,"",COUNTIFS('2024 Full View'!$K:$K,$B67,'2024 Full View'!C:C,"&lt;&gt;")+COUNTIFS('2024 Full View'!$F:$F,$B67,'2024 Full View'!C:C,"&lt;&gt;"))</f>
        <v>1</v>
      </c>
      <c r="E67" s="21" t="str">
        <f>IF(COUNTIFS('2024 Full View'!$K:$K,$B67,'2024 Full View'!D:D,"&lt;&gt;")+COUNTIFS('2024 Full View'!$F:$F,$B67,'2024 Full View'!D:D,"&lt;&gt;")=0,"",COUNTIFS('2024 Full View'!$K:$K,$B67,'2024 Full View'!D:D,"&lt;&gt;")+COUNTIFS('2024 Full View'!$F:$F,$B67,'2024 Full View'!D:D,"&lt;&gt;"))</f>
        <v/>
      </c>
      <c r="F67" s="21" t="str">
        <f>IF(COUNTIFS('2024 Full View'!$K:$K,$B67,'2024 Full View'!E:E,"&lt;&gt;")+COUNTIFS('2024 Full View'!$F:$F,$B67,'2024 Full View'!E:E,"&lt;&gt;")=0,"",COUNTIFS('2024 Full View'!$K:$K,$B67,'2024 Full View'!E:E,"&lt;&gt;")+COUNTIFS('2024 Full View'!$F:$F,$B67,'2024 Full View'!E:E,"&lt;&gt;"))</f>
        <v/>
      </c>
      <c r="G67" s="21">
        <f t="shared" si="0"/>
        <v>1</v>
      </c>
    </row>
    <row r="68" spans="1:7" ht="13">
      <c r="A68" s="20"/>
      <c r="B68" s="3" t="s">
        <v>426</v>
      </c>
      <c r="C68" s="21" t="str">
        <f>IF(COUNTIFS('2024 Full View'!$K:$K,$B68,'2024 Full View'!B:B,"&lt;&gt;")+COUNTIFS('2024 Full View'!$F:$F,$B68,'2024 Full View'!B:B,"&lt;&gt;")=0,"",COUNTIFS('2024 Full View'!$K:$K,$B68,'2024 Full View'!B:B,"&lt;&gt;")+COUNTIFS('2024 Full View'!$F:$F,$B68,'2024 Full View'!B:B,"&lt;&gt;"))</f>
        <v/>
      </c>
      <c r="D68" s="21">
        <f>IF(COUNTIFS('2024 Full View'!$K:$K,$B68,'2024 Full View'!C:C,"&lt;&gt;")+COUNTIFS('2024 Full View'!$F:$F,$B68,'2024 Full View'!C:C,"&lt;&gt;")=0,"",COUNTIFS('2024 Full View'!$K:$K,$B68,'2024 Full View'!C:C,"&lt;&gt;")+COUNTIFS('2024 Full View'!$F:$F,$B68,'2024 Full View'!C:C,"&lt;&gt;"))</f>
        <v>1</v>
      </c>
      <c r="E68" s="21" t="str">
        <f>IF(COUNTIFS('2024 Full View'!$K:$K,$B68,'2024 Full View'!D:D,"&lt;&gt;")+COUNTIFS('2024 Full View'!$F:$F,$B68,'2024 Full View'!D:D,"&lt;&gt;")=0,"",COUNTIFS('2024 Full View'!$K:$K,$B68,'2024 Full View'!D:D,"&lt;&gt;")+COUNTIFS('2024 Full View'!$F:$F,$B68,'2024 Full View'!D:D,"&lt;&gt;"))</f>
        <v/>
      </c>
      <c r="F68" s="21" t="str">
        <f>IF(COUNTIFS('2024 Full View'!$K:$K,$B68,'2024 Full View'!E:E,"&lt;&gt;")+COUNTIFS('2024 Full View'!$F:$F,$B68,'2024 Full View'!E:E,"&lt;&gt;")=0,"",COUNTIFS('2024 Full View'!$K:$K,$B68,'2024 Full View'!E:E,"&lt;&gt;")+COUNTIFS('2024 Full View'!$F:$F,$B68,'2024 Full View'!E:E,"&lt;&gt;"))</f>
        <v/>
      </c>
      <c r="G68" s="21">
        <f t="shared" si="0"/>
        <v>1</v>
      </c>
    </row>
    <row r="69" spans="1:7" ht="13">
      <c r="A69" s="20"/>
      <c r="B69" s="3" t="s">
        <v>427</v>
      </c>
      <c r="C69" s="21" t="str">
        <f>IF(COUNTIFS('2024 Full View'!$K:$K,$B69,'2024 Full View'!B:B,"&lt;&gt;")+COUNTIFS('2024 Full View'!$F:$F,$B69,'2024 Full View'!B:B,"&lt;&gt;")=0,"",COUNTIFS('2024 Full View'!$K:$K,$B69,'2024 Full View'!B:B,"&lt;&gt;")+COUNTIFS('2024 Full View'!$F:$F,$B69,'2024 Full View'!B:B,"&lt;&gt;"))</f>
        <v/>
      </c>
      <c r="D69" s="21">
        <f>IF(COUNTIFS('2024 Full View'!$K:$K,$B69,'2024 Full View'!C:C,"&lt;&gt;")+COUNTIFS('2024 Full View'!$F:$F,$B69,'2024 Full View'!C:C,"&lt;&gt;")=0,"",COUNTIFS('2024 Full View'!$K:$K,$B69,'2024 Full View'!C:C,"&lt;&gt;")+COUNTIFS('2024 Full View'!$F:$F,$B69,'2024 Full View'!C:C,"&lt;&gt;"))</f>
        <v>1</v>
      </c>
      <c r="E69" s="21" t="str">
        <f>IF(COUNTIFS('2024 Full View'!$K:$K,$B69,'2024 Full View'!D:D,"&lt;&gt;")+COUNTIFS('2024 Full View'!$F:$F,$B69,'2024 Full View'!D:D,"&lt;&gt;")=0,"",COUNTIFS('2024 Full View'!$K:$K,$B69,'2024 Full View'!D:D,"&lt;&gt;")+COUNTIFS('2024 Full View'!$F:$F,$B69,'2024 Full View'!D:D,"&lt;&gt;"))</f>
        <v/>
      </c>
      <c r="F69" s="21" t="str">
        <f>IF(COUNTIFS('2024 Full View'!$K:$K,$B69,'2024 Full View'!E:E,"&lt;&gt;")+COUNTIFS('2024 Full View'!$F:$F,$B69,'2024 Full View'!E:E,"&lt;&gt;")=0,"",COUNTIFS('2024 Full View'!$K:$K,$B69,'2024 Full View'!E:E,"&lt;&gt;")+COUNTIFS('2024 Full View'!$F:$F,$B69,'2024 Full View'!E:E,"&lt;&gt;"))</f>
        <v/>
      </c>
      <c r="G69" s="21">
        <f t="shared" si="0"/>
        <v>1</v>
      </c>
    </row>
    <row r="70" spans="1:7" ht="13">
      <c r="A70" s="20"/>
      <c r="B70" s="3" t="s">
        <v>428</v>
      </c>
      <c r="C70" s="21">
        <f>IF(COUNTIFS('2024 Full View'!$K:$K,$B70,'2024 Full View'!B:B,"&lt;&gt;")+COUNTIFS('2024 Full View'!$F:$F,$B70,'2024 Full View'!B:B,"&lt;&gt;")=0,"",COUNTIFS('2024 Full View'!$K:$K,$B70,'2024 Full View'!B:B,"&lt;&gt;")+COUNTIFS('2024 Full View'!$F:$F,$B70,'2024 Full View'!B:B,"&lt;&gt;"))</f>
        <v>2</v>
      </c>
      <c r="D70" s="21">
        <f>IF(COUNTIFS('2024 Full View'!$K:$K,$B70,'2024 Full View'!C:C,"&lt;&gt;")+COUNTIFS('2024 Full View'!$F:$F,$B70,'2024 Full View'!C:C,"&lt;&gt;")=0,"",COUNTIFS('2024 Full View'!$K:$K,$B70,'2024 Full View'!C:C,"&lt;&gt;")+COUNTIFS('2024 Full View'!$F:$F,$B70,'2024 Full View'!C:C,"&lt;&gt;"))</f>
        <v>2</v>
      </c>
      <c r="E70" s="21" t="str">
        <f>IF(COUNTIFS('2024 Full View'!$K:$K,$B70,'2024 Full View'!D:D,"&lt;&gt;")+COUNTIFS('2024 Full View'!$F:$F,$B70,'2024 Full View'!D:D,"&lt;&gt;")=0,"",COUNTIFS('2024 Full View'!$K:$K,$B70,'2024 Full View'!D:D,"&lt;&gt;")+COUNTIFS('2024 Full View'!$F:$F,$B70,'2024 Full View'!D:D,"&lt;&gt;"))</f>
        <v/>
      </c>
      <c r="F70" s="21" t="str">
        <f>IF(COUNTIFS('2024 Full View'!$K:$K,$B70,'2024 Full View'!E:E,"&lt;&gt;")+COUNTIFS('2024 Full View'!$F:$F,$B70,'2024 Full View'!E:E,"&lt;&gt;")=0,"",COUNTIFS('2024 Full View'!$K:$K,$B70,'2024 Full View'!E:E,"&lt;&gt;")+COUNTIFS('2024 Full View'!$F:$F,$B70,'2024 Full View'!E:E,"&lt;&gt;"))</f>
        <v/>
      </c>
      <c r="G70" s="21">
        <f t="shared" si="0"/>
        <v>4</v>
      </c>
    </row>
    <row r="71" spans="1:7" ht="13">
      <c r="A71" s="20"/>
      <c r="B71" s="3" t="s">
        <v>429</v>
      </c>
      <c r="C71" s="21">
        <f>IF(COUNTIFS('2024 Full View'!$K:$K,$B71,'2024 Full View'!B:B,"&lt;&gt;")+COUNTIFS('2024 Full View'!$F:$F,$B71,'2024 Full View'!B:B,"&lt;&gt;")=0,"",COUNTIFS('2024 Full View'!$K:$K,$B71,'2024 Full View'!B:B,"&lt;&gt;")+COUNTIFS('2024 Full View'!$F:$F,$B71,'2024 Full View'!B:B,"&lt;&gt;"))</f>
        <v>6</v>
      </c>
      <c r="D71" s="21">
        <f>IF(COUNTIFS('2024 Full View'!$K:$K,$B71,'2024 Full View'!C:C,"&lt;&gt;")+COUNTIFS('2024 Full View'!$F:$F,$B71,'2024 Full View'!C:C,"&lt;&gt;")=0,"",COUNTIFS('2024 Full View'!$K:$K,$B71,'2024 Full View'!C:C,"&lt;&gt;")+COUNTIFS('2024 Full View'!$F:$F,$B71,'2024 Full View'!C:C,"&lt;&gt;"))</f>
        <v>2</v>
      </c>
      <c r="E71" s="21" t="str">
        <f>IF(COUNTIFS('2024 Full View'!$K:$K,$B71,'2024 Full View'!D:D,"&lt;&gt;")+COUNTIFS('2024 Full View'!$F:$F,$B71,'2024 Full View'!D:D,"&lt;&gt;")=0,"",COUNTIFS('2024 Full View'!$K:$K,$B71,'2024 Full View'!D:D,"&lt;&gt;")+COUNTIFS('2024 Full View'!$F:$F,$B71,'2024 Full View'!D:D,"&lt;&gt;"))</f>
        <v/>
      </c>
      <c r="F71" s="21" t="str">
        <f>IF(COUNTIFS('2024 Full View'!$K:$K,$B71,'2024 Full View'!E:E,"&lt;&gt;")+COUNTIFS('2024 Full View'!$F:$F,$B71,'2024 Full View'!E:E,"&lt;&gt;")=0,"",COUNTIFS('2024 Full View'!$K:$K,$B71,'2024 Full View'!E:E,"&lt;&gt;")+COUNTIFS('2024 Full View'!$F:$F,$B71,'2024 Full View'!E:E,"&lt;&gt;"))</f>
        <v/>
      </c>
      <c r="G71" s="21">
        <f t="shared" si="0"/>
        <v>8</v>
      </c>
    </row>
    <row r="72" spans="1:7" ht="13">
      <c r="A72" s="20"/>
      <c r="B72" s="3" t="s">
        <v>430</v>
      </c>
      <c r="C72" s="21" t="str">
        <f>IF(COUNTIFS('2024 Full View'!$K:$K,$B72,'2024 Full View'!B:B,"&lt;&gt;")+COUNTIFS('2024 Full View'!$F:$F,$B72,'2024 Full View'!B:B,"&lt;&gt;")=0,"",COUNTIFS('2024 Full View'!$K:$K,$B72,'2024 Full View'!B:B,"&lt;&gt;")+COUNTIFS('2024 Full View'!$F:$F,$B72,'2024 Full View'!B:B,"&lt;&gt;"))</f>
        <v/>
      </c>
      <c r="D72" s="21">
        <f>IF(COUNTIFS('2024 Full View'!$K:$K,$B72,'2024 Full View'!C:C,"&lt;&gt;")+COUNTIFS('2024 Full View'!$F:$F,$B72,'2024 Full View'!C:C,"&lt;&gt;")=0,"",COUNTIFS('2024 Full View'!$K:$K,$B72,'2024 Full View'!C:C,"&lt;&gt;")+COUNTIFS('2024 Full View'!$F:$F,$B72,'2024 Full View'!C:C,"&lt;&gt;"))</f>
        <v>2</v>
      </c>
      <c r="E72" s="21">
        <f>IF(COUNTIFS('2024 Full View'!$K:$K,$B72,'2024 Full View'!D:D,"&lt;&gt;")+COUNTIFS('2024 Full View'!$F:$F,$B72,'2024 Full View'!D:D,"&lt;&gt;")=0,"",COUNTIFS('2024 Full View'!$K:$K,$B72,'2024 Full View'!D:D,"&lt;&gt;")+COUNTIFS('2024 Full View'!$F:$F,$B72,'2024 Full View'!D:D,"&lt;&gt;"))</f>
        <v>1</v>
      </c>
      <c r="F72" s="21" t="str">
        <f>IF(COUNTIFS('2024 Full View'!$K:$K,$B72,'2024 Full View'!E:E,"&lt;&gt;")+COUNTIFS('2024 Full View'!$F:$F,$B72,'2024 Full View'!E:E,"&lt;&gt;")=0,"",COUNTIFS('2024 Full View'!$K:$K,$B72,'2024 Full View'!E:E,"&lt;&gt;")+COUNTIFS('2024 Full View'!$F:$F,$B72,'2024 Full View'!E:E,"&lt;&gt;"))</f>
        <v/>
      </c>
      <c r="G72" s="21">
        <f t="shared" si="0"/>
        <v>3</v>
      </c>
    </row>
    <row r="73" spans="1:7" ht="13">
      <c r="A73" s="20"/>
      <c r="B73" s="3" t="s">
        <v>431</v>
      </c>
      <c r="C73" s="21" t="str">
        <f>IF(COUNTIFS('2024 Full View'!$K:$K,$B73,'2024 Full View'!B:B,"&lt;&gt;")+COUNTIFS('2024 Full View'!$F:$F,$B73,'2024 Full View'!B:B,"&lt;&gt;")=0,"",COUNTIFS('2024 Full View'!$K:$K,$B73,'2024 Full View'!B:B,"&lt;&gt;")+COUNTIFS('2024 Full View'!$F:$F,$B73,'2024 Full View'!B:B,"&lt;&gt;"))</f>
        <v/>
      </c>
      <c r="D73" s="21">
        <f>IF(COUNTIFS('2024 Full View'!$K:$K,$B73,'2024 Full View'!C:C,"&lt;&gt;")+COUNTIFS('2024 Full View'!$F:$F,$B73,'2024 Full View'!C:C,"&lt;&gt;")=0,"",COUNTIFS('2024 Full View'!$K:$K,$B73,'2024 Full View'!C:C,"&lt;&gt;")+COUNTIFS('2024 Full View'!$F:$F,$B73,'2024 Full View'!C:C,"&lt;&gt;"))</f>
        <v>2</v>
      </c>
      <c r="E73" s="21" t="str">
        <f>IF(COUNTIFS('2024 Full View'!$K:$K,$B73,'2024 Full View'!D:D,"&lt;&gt;")+COUNTIFS('2024 Full View'!$F:$F,$B73,'2024 Full View'!D:D,"&lt;&gt;")=0,"",COUNTIFS('2024 Full View'!$K:$K,$B73,'2024 Full View'!D:D,"&lt;&gt;")+COUNTIFS('2024 Full View'!$F:$F,$B73,'2024 Full View'!D:D,"&lt;&gt;"))</f>
        <v/>
      </c>
      <c r="F73" s="21" t="str">
        <f>IF(COUNTIFS('2024 Full View'!$K:$K,$B73,'2024 Full View'!E:E,"&lt;&gt;")+COUNTIFS('2024 Full View'!$F:$F,$B73,'2024 Full View'!E:E,"&lt;&gt;")=0,"",COUNTIFS('2024 Full View'!$K:$K,$B73,'2024 Full View'!E:E,"&lt;&gt;")+COUNTIFS('2024 Full View'!$F:$F,$B73,'2024 Full View'!E:E,"&lt;&gt;"))</f>
        <v/>
      </c>
      <c r="G73" s="21">
        <f t="shared" si="0"/>
        <v>2</v>
      </c>
    </row>
    <row r="74" spans="1:7" ht="13">
      <c r="A74" s="20"/>
      <c r="B74" s="3" t="s">
        <v>432</v>
      </c>
      <c r="C74" s="21" t="str">
        <f>IF(COUNTIFS('2024 Full View'!$K:$K,$B74,'2024 Full View'!B:B,"&lt;&gt;")+COUNTIFS('2024 Full View'!$F:$F,$B74,'2024 Full View'!B:B,"&lt;&gt;")=0,"",COUNTIFS('2024 Full View'!$K:$K,$B74,'2024 Full View'!B:B,"&lt;&gt;")+COUNTIFS('2024 Full View'!$F:$F,$B74,'2024 Full View'!B:B,"&lt;&gt;"))</f>
        <v/>
      </c>
      <c r="D74" s="21">
        <f>IF(COUNTIFS('2024 Full View'!$K:$K,$B74,'2024 Full View'!C:C,"&lt;&gt;")+COUNTIFS('2024 Full View'!$F:$F,$B74,'2024 Full View'!C:C,"&lt;&gt;")=0,"",COUNTIFS('2024 Full View'!$K:$K,$B74,'2024 Full View'!C:C,"&lt;&gt;")+COUNTIFS('2024 Full View'!$F:$F,$B74,'2024 Full View'!C:C,"&lt;&gt;"))</f>
        <v>2</v>
      </c>
      <c r="E74" s="21" t="str">
        <f>IF(COUNTIFS('2024 Full View'!$K:$K,$B74,'2024 Full View'!D:D,"&lt;&gt;")+COUNTIFS('2024 Full View'!$F:$F,$B74,'2024 Full View'!D:D,"&lt;&gt;")=0,"",COUNTIFS('2024 Full View'!$K:$K,$B74,'2024 Full View'!D:D,"&lt;&gt;")+COUNTIFS('2024 Full View'!$F:$F,$B74,'2024 Full View'!D:D,"&lt;&gt;"))</f>
        <v/>
      </c>
      <c r="F74" s="21" t="str">
        <f>IF(COUNTIFS('2024 Full View'!$K:$K,$B74,'2024 Full View'!E:E,"&lt;&gt;")+COUNTIFS('2024 Full View'!$F:$F,$B74,'2024 Full View'!E:E,"&lt;&gt;")=0,"",COUNTIFS('2024 Full View'!$K:$K,$B74,'2024 Full View'!E:E,"&lt;&gt;")+COUNTIFS('2024 Full View'!$F:$F,$B74,'2024 Full View'!E:E,"&lt;&gt;"))</f>
        <v/>
      </c>
      <c r="G74" s="21">
        <f t="shared" si="0"/>
        <v>2</v>
      </c>
    </row>
    <row r="75" spans="1:7" ht="13">
      <c r="A75" s="20"/>
      <c r="B75" s="3" t="s">
        <v>433</v>
      </c>
      <c r="C75" s="21" t="str">
        <f>IF(COUNTIFS('2024 Full View'!$K:$K,$B75,'2024 Full View'!B:B,"&lt;&gt;")+COUNTIFS('2024 Full View'!$F:$F,$B75,'2024 Full View'!B:B,"&lt;&gt;")=0,"",COUNTIFS('2024 Full View'!$K:$K,$B75,'2024 Full View'!B:B,"&lt;&gt;")+COUNTIFS('2024 Full View'!$F:$F,$B75,'2024 Full View'!B:B,"&lt;&gt;"))</f>
        <v/>
      </c>
      <c r="D75" s="21">
        <f>IF(COUNTIFS('2024 Full View'!$K:$K,$B75,'2024 Full View'!C:C,"&lt;&gt;")+COUNTIFS('2024 Full View'!$F:$F,$B75,'2024 Full View'!C:C,"&lt;&gt;")=0,"",COUNTIFS('2024 Full View'!$K:$K,$B75,'2024 Full View'!C:C,"&lt;&gt;")+COUNTIFS('2024 Full View'!$F:$F,$B75,'2024 Full View'!C:C,"&lt;&gt;"))</f>
        <v>3</v>
      </c>
      <c r="E75" s="21" t="str">
        <f>IF(COUNTIFS('2024 Full View'!$K:$K,$B75,'2024 Full View'!D:D,"&lt;&gt;")+COUNTIFS('2024 Full View'!$F:$F,$B75,'2024 Full View'!D:D,"&lt;&gt;")=0,"",COUNTIFS('2024 Full View'!$K:$K,$B75,'2024 Full View'!D:D,"&lt;&gt;")+COUNTIFS('2024 Full View'!$F:$F,$B75,'2024 Full View'!D:D,"&lt;&gt;"))</f>
        <v/>
      </c>
      <c r="F75" s="21" t="str">
        <f>IF(COUNTIFS('2024 Full View'!$K:$K,$B75,'2024 Full View'!E:E,"&lt;&gt;")+COUNTIFS('2024 Full View'!$F:$F,$B75,'2024 Full View'!E:E,"&lt;&gt;")=0,"",COUNTIFS('2024 Full View'!$K:$K,$B75,'2024 Full View'!E:E,"&lt;&gt;")+COUNTIFS('2024 Full View'!$F:$F,$B75,'2024 Full View'!E:E,"&lt;&gt;"))</f>
        <v/>
      </c>
      <c r="G75" s="21">
        <f t="shared" si="0"/>
        <v>3</v>
      </c>
    </row>
    <row r="76" spans="1:7" ht="13">
      <c r="A76" s="20"/>
      <c r="B76" s="3" t="s">
        <v>434</v>
      </c>
      <c r="C76" s="21" t="str">
        <f>IF(COUNTIFS('2024 Full View'!$K:$K,$B76,'2024 Full View'!B:B,"&lt;&gt;")+COUNTIFS('2024 Full View'!$F:$F,$B76,'2024 Full View'!B:B,"&lt;&gt;")=0,"",COUNTIFS('2024 Full View'!$K:$K,$B76,'2024 Full View'!B:B,"&lt;&gt;")+COUNTIFS('2024 Full View'!$F:$F,$B76,'2024 Full View'!B:B,"&lt;&gt;"))</f>
        <v/>
      </c>
      <c r="D76" s="21">
        <f>IF(COUNTIFS('2024 Full View'!$K:$K,$B76,'2024 Full View'!C:C,"&lt;&gt;")+COUNTIFS('2024 Full View'!$F:$F,$B76,'2024 Full View'!C:C,"&lt;&gt;")=0,"",COUNTIFS('2024 Full View'!$K:$K,$B76,'2024 Full View'!C:C,"&lt;&gt;")+COUNTIFS('2024 Full View'!$F:$F,$B76,'2024 Full View'!C:C,"&lt;&gt;"))</f>
        <v>3</v>
      </c>
      <c r="E76" s="21" t="str">
        <f>IF(COUNTIFS('2024 Full View'!$K:$K,$B76,'2024 Full View'!D:D,"&lt;&gt;")+COUNTIFS('2024 Full View'!$F:$F,$B76,'2024 Full View'!D:D,"&lt;&gt;")=0,"",COUNTIFS('2024 Full View'!$K:$K,$B76,'2024 Full View'!D:D,"&lt;&gt;")+COUNTIFS('2024 Full View'!$F:$F,$B76,'2024 Full View'!D:D,"&lt;&gt;"))</f>
        <v/>
      </c>
      <c r="F76" s="21" t="str">
        <f>IF(COUNTIFS('2024 Full View'!$K:$K,$B76,'2024 Full View'!E:E,"&lt;&gt;")+COUNTIFS('2024 Full View'!$F:$F,$B76,'2024 Full View'!E:E,"&lt;&gt;")=0,"",COUNTIFS('2024 Full View'!$K:$K,$B76,'2024 Full View'!E:E,"&lt;&gt;")+COUNTIFS('2024 Full View'!$F:$F,$B76,'2024 Full View'!E:E,"&lt;&gt;"))</f>
        <v/>
      </c>
      <c r="G76" s="21">
        <f t="shared" si="0"/>
        <v>3</v>
      </c>
    </row>
    <row r="77" spans="1:7" ht="13">
      <c r="A77" s="20"/>
      <c r="B77" s="3" t="s">
        <v>435</v>
      </c>
      <c r="C77" s="21" t="str">
        <f>IF(COUNTIFS('2024 Full View'!$K:$K,$B77,'2024 Full View'!B:B,"&lt;&gt;")+COUNTIFS('2024 Full View'!$F:$F,$B77,'2024 Full View'!B:B,"&lt;&gt;")=0,"",COUNTIFS('2024 Full View'!$K:$K,$B77,'2024 Full View'!B:B,"&lt;&gt;")+COUNTIFS('2024 Full View'!$F:$F,$B77,'2024 Full View'!B:B,"&lt;&gt;"))</f>
        <v/>
      </c>
      <c r="D77" s="21">
        <f>IF(COUNTIFS('2024 Full View'!$K:$K,$B77,'2024 Full View'!C:C,"&lt;&gt;")+COUNTIFS('2024 Full View'!$F:$F,$B77,'2024 Full View'!C:C,"&lt;&gt;")=0,"",COUNTIFS('2024 Full View'!$K:$K,$B77,'2024 Full View'!C:C,"&lt;&gt;")+COUNTIFS('2024 Full View'!$F:$F,$B77,'2024 Full View'!C:C,"&lt;&gt;"))</f>
        <v>9</v>
      </c>
      <c r="E77" s="21" t="str">
        <f>IF(COUNTIFS('2024 Full View'!$K:$K,$B77,'2024 Full View'!D:D,"&lt;&gt;")+COUNTIFS('2024 Full View'!$F:$F,$B77,'2024 Full View'!D:D,"&lt;&gt;")=0,"",COUNTIFS('2024 Full View'!$K:$K,$B77,'2024 Full View'!D:D,"&lt;&gt;")+COUNTIFS('2024 Full View'!$F:$F,$B77,'2024 Full View'!D:D,"&lt;&gt;"))</f>
        <v/>
      </c>
      <c r="F77" s="21" t="str">
        <f>IF(COUNTIFS('2024 Full View'!$K:$K,$B77,'2024 Full View'!E:E,"&lt;&gt;")+COUNTIFS('2024 Full View'!$F:$F,$B77,'2024 Full View'!E:E,"&lt;&gt;")=0,"",COUNTIFS('2024 Full View'!$K:$K,$B77,'2024 Full View'!E:E,"&lt;&gt;")+COUNTIFS('2024 Full View'!$F:$F,$B77,'2024 Full View'!E:E,"&lt;&gt;"))</f>
        <v/>
      </c>
      <c r="G77" s="21">
        <f t="shared" si="0"/>
        <v>9</v>
      </c>
    </row>
    <row r="78" spans="1:7" ht="13">
      <c r="A78" s="20"/>
      <c r="B78" s="3" t="s">
        <v>436</v>
      </c>
      <c r="C78" s="21" t="str">
        <f>IF(COUNTIFS('2024 Full View'!$K:$K,$B78,'2024 Full View'!B:B,"&lt;&gt;")+COUNTIFS('2024 Full View'!$F:$F,$B78,'2024 Full View'!B:B,"&lt;&gt;")=0,"",COUNTIFS('2024 Full View'!$K:$K,$B78,'2024 Full View'!B:B,"&lt;&gt;")+COUNTIFS('2024 Full View'!$F:$F,$B78,'2024 Full View'!B:B,"&lt;&gt;"))</f>
        <v/>
      </c>
      <c r="D78" s="21">
        <f>IF(COUNTIFS('2024 Full View'!$K:$K,$B78,'2024 Full View'!C:C,"&lt;&gt;")+COUNTIFS('2024 Full View'!$F:$F,$B78,'2024 Full View'!C:C,"&lt;&gt;")=0,"",COUNTIFS('2024 Full View'!$K:$K,$B78,'2024 Full View'!C:C,"&lt;&gt;")+COUNTIFS('2024 Full View'!$F:$F,$B78,'2024 Full View'!C:C,"&lt;&gt;"))</f>
        <v>7</v>
      </c>
      <c r="E78" s="21" t="str">
        <f>IF(COUNTIFS('2024 Full View'!$K:$K,$B78,'2024 Full View'!D:D,"&lt;&gt;")+COUNTIFS('2024 Full View'!$F:$F,$B78,'2024 Full View'!D:D,"&lt;&gt;")=0,"",COUNTIFS('2024 Full View'!$K:$K,$B78,'2024 Full View'!D:D,"&lt;&gt;")+COUNTIFS('2024 Full View'!$F:$F,$B78,'2024 Full View'!D:D,"&lt;&gt;"))</f>
        <v/>
      </c>
      <c r="F78" s="21" t="str">
        <f>IF(COUNTIFS('2024 Full View'!$K:$K,$B78,'2024 Full View'!E:E,"&lt;&gt;")+COUNTIFS('2024 Full View'!$F:$F,$B78,'2024 Full View'!E:E,"&lt;&gt;")=0,"",COUNTIFS('2024 Full View'!$K:$K,$B78,'2024 Full View'!E:E,"&lt;&gt;")+COUNTIFS('2024 Full View'!$F:$F,$B78,'2024 Full View'!E:E,"&lt;&gt;"))</f>
        <v/>
      </c>
      <c r="G78" s="21">
        <f t="shared" si="0"/>
        <v>7</v>
      </c>
    </row>
    <row r="79" spans="1:7" ht="13">
      <c r="A79" s="20"/>
      <c r="B79" s="3" t="s">
        <v>437</v>
      </c>
      <c r="C79" s="21" t="str">
        <f>IF(COUNTIFS('2024 Full View'!$K:$K,$B79,'2024 Full View'!B:B,"&lt;&gt;")+COUNTIFS('2024 Full View'!$F:$F,$B79,'2024 Full View'!B:B,"&lt;&gt;")=0,"",COUNTIFS('2024 Full View'!$K:$K,$B79,'2024 Full View'!B:B,"&lt;&gt;")+COUNTIFS('2024 Full View'!$F:$F,$B79,'2024 Full View'!B:B,"&lt;&gt;"))</f>
        <v/>
      </c>
      <c r="D79" s="21">
        <f>IF(COUNTIFS('2024 Full View'!$K:$K,$B79,'2024 Full View'!C:C,"&lt;&gt;")+COUNTIFS('2024 Full View'!$F:$F,$B79,'2024 Full View'!C:C,"&lt;&gt;")=0,"",COUNTIFS('2024 Full View'!$K:$K,$B79,'2024 Full View'!C:C,"&lt;&gt;")+COUNTIFS('2024 Full View'!$F:$F,$B79,'2024 Full View'!C:C,"&lt;&gt;"))</f>
        <v>9</v>
      </c>
      <c r="E79" s="21" t="str">
        <f>IF(COUNTIFS('2024 Full View'!$K:$K,$B79,'2024 Full View'!D:D,"&lt;&gt;")+COUNTIFS('2024 Full View'!$F:$F,$B79,'2024 Full View'!D:D,"&lt;&gt;")=0,"",COUNTIFS('2024 Full View'!$K:$K,$B79,'2024 Full View'!D:D,"&lt;&gt;")+COUNTIFS('2024 Full View'!$F:$F,$B79,'2024 Full View'!D:D,"&lt;&gt;"))</f>
        <v/>
      </c>
      <c r="F79" s="21" t="str">
        <f>IF(COUNTIFS('2024 Full View'!$K:$K,$B79,'2024 Full View'!E:E,"&lt;&gt;")+COUNTIFS('2024 Full View'!$F:$F,$B79,'2024 Full View'!E:E,"&lt;&gt;")=0,"",COUNTIFS('2024 Full View'!$K:$K,$B79,'2024 Full View'!E:E,"&lt;&gt;")+COUNTIFS('2024 Full View'!$F:$F,$B79,'2024 Full View'!E:E,"&lt;&gt;"))</f>
        <v/>
      </c>
      <c r="G79" s="21">
        <f t="shared" si="0"/>
        <v>9</v>
      </c>
    </row>
    <row r="80" spans="1:7" ht="13">
      <c r="A80" s="20"/>
      <c r="B80" s="3" t="s">
        <v>438</v>
      </c>
      <c r="C80" s="21">
        <f>IF(COUNTIFS('2024 Full View'!$K:$K,$B80,'2024 Full View'!B:B,"&lt;&gt;")+COUNTIFS('2024 Full View'!$F:$F,$B80,'2024 Full View'!B:B,"&lt;&gt;")=0,"",COUNTIFS('2024 Full View'!$K:$K,$B80,'2024 Full View'!B:B,"&lt;&gt;")+COUNTIFS('2024 Full View'!$F:$F,$B80,'2024 Full View'!B:B,"&lt;&gt;"))</f>
        <v>1</v>
      </c>
      <c r="D80" s="21" t="str">
        <f>IF(COUNTIFS('2024 Full View'!$K:$K,$B80,'2024 Full View'!C:C,"&lt;&gt;")+COUNTIFS('2024 Full View'!$F:$F,$B80,'2024 Full View'!C:C,"&lt;&gt;")=0,"",COUNTIFS('2024 Full View'!$K:$K,$B80,'2024 Full View'!C:C,"&lt;&gt;")+COUNTIFS('2024 Full View'!$F:$F,$B80,'2024 Full View'!C:C,"&lt;&gt;"))</f>
        <v/>
      </c>
      <c r="E80" s="21">
        <f>IF(COUNTIFS('2024 Full View'!$K:$K,$B80,'2024 Full View'!D:D,"&lt;&gt;")+COUNTIFS('2024 Full View'!$F:$F,$B80,'2024 Full View'!D:D,"&lt;&gt;")=0,"",COUNTIFS('2024 Full View'!$K:$K,$B80,'2024 Full View'!D:D,"&lt;&gt;")+COUNTIFS('2024 Full View'!$F:$F,$B80,'2024 Full View'!D:D,"&lt;&gt;"))</f>
        <v>10</v>
      </c>
      <c r="F80" s="21">
        <f>IF(COUNTIFS('2024 Full View'!$K:$K,$B80,'2024 Full View'!E:E,"&lt;&gt;")+COUNTIFS('2024 Full View'!$F:$F,$B80,'2024 Full View'!E:E,"&lt;&gt;")=0,"",COUNTIFS('2024 Full View'!$K:$K,$B80,'2024 Full View'!E:E,"&lt;&gt;")+COUNTIFS('2024 Full View'!$F:$F,$B80,'2024 Full View'!E:E,"&lt;&gt;"))</f>
        <v>8</v>
      </c>
      <c r="G80" s="21">
        <f t="shared" si="0"/>
        <v>19</v>
      </c>
    </row>
    <row r="81" spans="1:7" ht="13">
      <c r="A81" s="20"/>
      <c r="B81" s="3" t="s">
        <v>439</v>
      </c>
      <c r="C81" s="21">
        <f>IF(COUNTIFS('2024 Full View'!$K:$K,$B81,'2024 Full View'!B:B,"&lt;&gt;")+COUNTIFS('2024 Full View'!$F:$F,$B81,'2024 Full View'!B:B,"&lt;&gt;")=0,"",COUNTIFS('2024 Full View'!$K:$K,$B81,'2024 Full View'!B:B,"&lt;&gt;")+COUNTIFS('2024 Full View'!$F:$F,$B81,'2024 Full View'!B:B,"&lt;&gt;"))</f>
        <v>1</v>
      </c>
      <c r="D81" s="21" t="str">
        <f>IF(COUNTIFS('2024 Full View'!$K:$K,$B81,'2024 Full View'!C:C,"&lt;&gt;")+COUNTIFS('2024 Full View'!$F:$F,$B81,'2024 Full View'!C:C,"&lt;&gt;")=0,"",COUNTIFS('2024 Full View'!$K:$K,$B81,'2024 Full View'!C:C,"&lt;&gt;")+COUNTIFS('2024 Full View'!$F:$F,$B81,'2024 Full View'!C:C,"&lt;&gt;"))</f>
        <v/>
      </c>
      <c r="E81" s="21">
        <f>IF(COUNTIFS('2024 Full View'!$K:$K,$B81,'2024 Full View'!D:D,"&lt;&gt;")+COUNTIFS('2024 Full View'!$F:$F,$B81,'2024 Full View'!D:D,"&lt;&gt;")=0,"",COUNTIFS('2024 Full View'!$K:$K,$B81,'2024 Full View'!D:D,"&lt;&gt;")+COUNTIFS('2024 Full View'!$F:$F,$B81,'2024 Full View'!D:D,"&lt;&gt;"))</f>
        <v>1</v>
      </c>
      <c r="F81" s="21">
        <f>IF(COUNTIFS('2024 Full View'!$K:$K,$B81,'2024 Full View'!E:E,"&lt;&gt;")+COUNTIFS('2024 Full View'!$F:$F,$B81,'2024 Full View'!E:E,"&lt;&gt;")=0,"",COUNTIFS('2024 Full View'!$K:$K,$B81,'2024 Full View'!E:E,"&lt;&gt;")+COUNTIFS('2024 Full View'!$F:$F,$B81,'2024 Full View'!E:E,"&lt;&gt;"))</f>
        <v>8</v>
      </c>
      <c r="G81" s="21">
        <f t="shared" si="0"/>
        <v>10</v>
      </c>
    </row>
    <row r="82" spans="1:7" ht="13">
      <c r="A82" s="20"/>
      <c r="B82" s="3" t="s">
        <v>440</v>
      </c>
      <c r="C82" s="21">
        <f>IF(COUNTIFS('2024 Full View'!$K:$K,$B82,'2024 Full View'!B:B,"&lt;&gt;")+COUNTIFS('2024 Full View'!$F:$F,$B82,'2024 Full View'!B:B,"&lt;&gt;")=0,"",COUNTIFS('2024 Full View'!$K:$K,$B82,'2024 Full View'!B:B,"&lt;&gt;")+COUNTIFS('2024 Full View'!$F:$F,$B82,'2024 Full View'!B:B,"&lt;&gt;"))</f>
        <v>1</v>
      </c>
      <c r="D82" s="21" t="str">
        <f>IF(COUNTIFS('2024 Full View'!$K:$K,$B82,'2024 Full View'!C:C,"&lt;&gt;")+COUNTIFS('2024 Full View'!$F:$F,$B82,'2024 Full View'!C:C,"&lt;&gt;")=0,"",COUNTIFS('2024 Full View'!$K:$K,$B82,'2024 Full View'!C:C,"&lt;&gt;")+COUNTIFS('2024 Full View'!$F:$F,$B82,'2024 Full View'!C:C,"&lt;&gt;"))</f>
        <v/>
      </c>
      <c r="E82" s="21">
        <f>IF(COUNTIFS('2024 Full View'!$K:$K,$B82,'2024 Full View'!D:D,"&lt;&gt;")+COUNTIFS('2024 Full View'!$F:$F,$B82,'2024 Full View'!D:D,"&lt;&gt;")=0,"",COUNTIFS('2024 Full View'!$K:$K,$B82,'2024 Full View'!D:D,"&lt;&gt;")+COUNTIFS('2024 Full View'!$F:$F,$B82,'2024 Full View'!D:D,"&lt;&gt;"))</f>
        <v>2</v>
      </c>
      <c r="F82" s="21" t="str">
        <f>IF(COUNTIFS('2024 Full View'!$K:$K,$B82,'2024 Full View'!E:E,"&lt;&gt;")+COUNTIFS('2024 Full View'!$F:$F,$B82,'2024 Full View'!E:E,"&lt;&gt;")=0,"",COUNTIFS('2024 Full View'!$K:$K,$B82,'2024 Full View'!E:E,"&lt;&gt;")+COUNTIFS('2024 Full View'!$F:$F,$B82,'2024 Full View'!E:E,"&lt;&gt;"))</f>
        <v/>
      </c>
      <c r="G82" s="21">
        <f t="shared" si="0"/>
        <v>3</v>
      </c>
    </row>
    <row r="83" spans="1:7" ht="13">
      <c r="B83" s="3" t="s">
        <v>441</v>
      </c>
      <c r="C83" s="21">
        <f>IF(COUNTIFS('2024 Full View'!$K:$K,$B83,'2024 Full View'!B:B,"&lt;&gt;")+COUNTIFS('2024 Full View'!$F:$F,$B83,'2024 Full View'!B:B,"&lt;&gt;")=0,"",COUNTIFS('2024 Full View'!$K:$K,$B83,'2024 Full View'!B:B,"&lt;&gt;")+COUNTIFS('2024 Full View'!$F:$F,$B83,'2024 Full View'!B:B,"&lt;&gt;"))</f>
        <v>1</v>
      </c>
      <c r="D83" s="21" t="str">
        <f>IF(COUNTIFS('2024 Full View'!$K:$K,$B83,'2024 Full View'!C:C,"&lt;&gt;")+COUNTIFS('2024 Full View'!$F:$F,$B83,'2024 Full View'!C:C,"&lt;&gt;")=0,"",COUNTIFS('2024 Full View'!$K:$K,$B83,'2024 Full View'!C:C,"&lt;&gt;")+COUNTIFS('2024 Full View'!$F:$F,$B83,'2024 Full View'!C:C,"&lt;&gt;"))</f>
        <v/>
      </c>
      <c r="E83" s="21">
        <f>IF(COUNTIFS('2024 Full View'!$K:$K,$B83,'2024 Full View'!D:D,"&lt;&gt;")+COUNTIFS('2024 Full View'!$F:$F,$B83,'2024 Full View'!D:D,"&lt;&gt;")=0,"",COUNTIFS('2024 Full View'!$K:$K,$B83,'2024 Full View'!D:D,"&lt;&gt;")+COUNTIFS('2024 Full View'!$F:$F,$B83,'2024 Full View'!D:D,"&lt;&gt;"))</f>
        <v>1</v>
      </c>
      <c r="F83" s="21" t="str">
        <f>IF(COUNTIFS('2024 Full View'!$K:$K,$B83,'2024 Full View'!E:E,"&lt;&gt;")+COUNTIFS('2024 Full View'!$F:$F,$B83,'2024 Full View'!E:E,"&lt;&gt;")=0,"",COUNTIFS('2024 Full View'!$K:$K,$B83,'2024 Full View'!E:E,"&lt;&gt;")+COUNTIFS('2024 Full View'!$F:$F,$B83,'2024 Full View'!E:E,"&lt;&gt;"))</f>
        <v/>
      </c>
      <c r="G83" s="21">
        <f t="shared" si="0"/>
        <v>2</v>
      </c>
    </row>
    <row r="84" spans="1:7" ht="13">
      <c r="B84" s="3" t="s">
        <v>442</v>
      </c>
      <c r="C84" s="21">
        <f>IF(COUNTIFS('2024 Full View'!$K:$K,$B84,'2024 Full View'!B:B,"&lt;&gt;")+COUNTIFS('2024 Full View'!$F:$F,$B84,'2024 Full View'!B:B,"&lt;&gt;")=0,"",COUNTIFS('2024 Full View'!$K:$K,$B84,'2024 Full View'!B:B,"&lt;&gt;")+COUNTIFS('2024 Full View'!$F:$F,$B84,'2024 Full View'!B:B,"&lt;&gt;"))</f>
        <v>1</v>
      </c>
      <c r="D84" s="21" t="str">
        <f>IF(COUNTIFS('2024 Full View'!$K:$K,$B84,'2024 Full View'!C:C,"&lt;&gt;")+COUNTIFS('2024 Full View'!$F:$F,$B84,'2024 Full View'!C:C,"&lt;&gt;")=0,"",COUNTIFS('2024 Full View'!$K:$K,$B84,'2024 Full View'!C:C,"&lt;&gt;")+COUNTIFS('2024 Full View'!$F:$F,$B84,'2024 Full View'!C:C,"&lt;&gt;"))</f>
        <v/>
      </c>
      <c r="E84" s="21">
        <f>IF(COUNTIFS('2024 Full View'!$K:$K,$B84,'2024 Full View'!D:D,"&lt;&gt;")+COUNTIFS('2024 Full View'!$F:$F,$B84,'2024 Full View'!D:D,"&lt;&gt;")=0,"",COUNTIFS('2024 Full View'!$K:$K,$B84,'2024 Full View'!D:D,"&lt;&gt;")+COUNTIFS('2024 Full View'!$F:$F,$B84,'2024 Full View'!D:D,"&lt;&gt;"))</f>
        <v>2</v>
      </c>
      <c r="F84" s="21" t="str">
        <f>IF(COUNTIFS('2024 Full View'!$K:$K,$B84,'2024 Full View'!E:E,"&lt;&gt;")+COUNTIFS('2024 Full View'!$F:$F,$B84,'2024 Full View'!E:E,"&lt;&gt;")=0,"",COUNTIFS('2024 Full View'!$K:$K,$B84,'2024 Full View'!E:E,"&lt;&gt;")+COUNTIFS('2024 Full View'!$F:$F,$B84,'2024 Full View'!E:E,"&lt;&gt;"))</f>
        <v/>
      </c>
      <c r="G84" s="21">
        <f t="shared" si="0"/>
        <v>3</v>
      </c>
    </row>
    <row r="85" spans="1:7" ht="13">
      <c r="B85" s="3" t="s">
        <v>443</v>
      </c>
      <c r="C85" s="21">
        <f>IF(COUNTIFS('2024 Full View'!$K:$K,$B85,'2024 Full View'!B:B,"&lt;&gt;")+COUNTIFS('2024 Full View'!$F:$F,$B85,'2024 Full View'!B:B,"&lt;&gt;")=0,"",COUNTIFS('2024 Full View'!$K:$K,$B85,'2024 Full View'!B:B,"&lt;&gt;")+COUNTIFS('2024 Full View'!$F:$F,$B85,'2024 Full View'!B:B,"&lt;&gt;"))</f>
        <v>1</v>
      </c>
      <c r="D85" s="21" t="str">
        <f>IF(COUNTIFS('2024 Full View'!$K:$K,$B85,'2024 Full View'!C:C,"&lt;&gt;")+COUNTIFS('2024 Full View'!$F:$F,$B85,'2024 Full View'!C:C,"&lt;&gt;")=0,"",COUNTIFS('2024 Full View'!$K:$K,$B85,'2024 Full View'!C:C,"&lt;&gt;")+COUNTIFS('2024 Full View'!$F:$F,$B85,'2024 Full View'!C:C,"&lt;&gt;"))</f>
        <v/>
      </c>
      <c r="E85" s="21">
        <f>IF(COUNTIFS('2024 Full View'!$K:$K,$B85,'2024 Full View'!D:D,"&lt;&gt;")+COUNTIFS('2024 Full View'!$F:$F,$B85,'2024 Full View'!D:D,"&lt;&gt;")=0,"",COUNTIFS('2024 Full View'!$K:$K,$B85,'2024 Full View'!D:D,"&lt;&gt;")+COUNTIFS('2024 Full View'!$F:$F,$B85,'2024 Full View'!D:D,"&lt;&gt;"))</f>
        <v>1</v>
      </c>
      <c r="F85" s="21" t="str">
        <f>IF(COUNTIFS('2024 Full View'!$K:$K,$B85,'2024 Full View'!E:E,"&lt;&gt;")+COUNTIFS('2024 Full View'!$F:$F,$B85,'2024 Full View'!E:E,"&lt;&gt;")=0,"",COUNTIFS('2024 Full View'!$K:$K,$B85,'2024 Full View'!E:E,"&lt;&gt;")+COUNTIFS('2024 Full View'!$F:$F,$B85,'2024 Full View'!E:E,"&lt;&gt;"))</f>
        <v/>
      </c>
      <c r="G85" s="21">
        <f t="shared" si="0"/>
        <v>2</v>
      </c>
    </row>
    <row r="86" spans="1:7" ht="13">
      <c r="B86" s="3" t="s">
        <v>444</v>
      </c>
      <c r="C86" s="21">
        <f>IF(COUNTIFS('2024 Full View'!$K:$K,$B86,'2024 Full View'!B:B,"&lt;&gt;")+COUNTIFS('2024 Full View'!$F:$F,$B86,'2024 Full View'!B:B,"&lt;&gt;")=0,"",COUNTIFS('2024 Full View'!$K:$K,$B86,'2024 Full View'!B:B,"&lt;&gt;")+COUNTIFS('2024 Full View'!$F:$F,$B86,'2024 Full View'!B:B,"&lt;&gt;"))</f>
        <v>1</v>
      </c>
      <c r="D86" s="21" t="str">
        <f>IF(COUNTIFS('2024 Full View'!$K:$K,$B86,'2024 Full View'!C:C,"&lt;&gt;")+COUNTIFS('2024 Full View'!$F:$F,$B86,'2024 Full View'!C:C,"&lt;&gt;")=0,"",COUNTIFS('2024 Full View'!$K:$K,$B86,'2024 Full View'!C:C,"&lt;&gt;")+COUNTIFS('2024 Full View'!$F:$F,$B86,'2024 Full View'!C:C,"&lt;&gt;"))</f>
        <v/>
      </c>
      <c r="E86" s="21">
        <f>IF(COUNTIFS('2024 Full View'!$K:$K,$B86,'2024 Full View'!D:D,"&lt;&gt;")+COUNTIFS('2024 Full View'!$F:$F,$B86,'2024 Full View'!D:D,"&lt;&gt;")=0,"",COUNTIFS('2024 Full View'!$K:$K,$B86,'2024 Full View'!D:D,"&lt;&gt;")+COUNTIFS('2024 Full View'!$F:$F,$B86,'2024 Full View'!D:D,"&lt;&gt;"))</f>
        <v>1</v>
      </c>
      <c r="F86" s="21" t="str">
        <f>IF(COUNTIFS('2024 Full View'!$K:$K,$B86,'2024 Full View'!E:E,"&lt;&gt;")+COUNTIFS('2024 Full View'!$F:$F,$B86,'2024 Full View'!E:E,"&lt;&gt;")=0,"",COUNTIFS('2024 Full View'!$K:$K,$B86,'2024 Full View'!E:E,"&lt;&gt;")+COUNTIFS('2024 Full View'!$F:$F,$B86,'2024 Full View'!E:E,"&lt;&gt;"))</f>
        <v/>
      </c>
      <c r="G86" s="21">
        <f t="shared" si="0"/>
        <v>2</v>
      </c>
    </row>
    <row r="87" spans="1:7" ht="13">
      <c r="B87" s="3" t="s">
        <v>445</v>
      </c>
      <c r="C87" s="21">
        <f>IF(COUNTIFS('2024 Full View'!$K:$K,$B87,'2024 Full View'!B:B,"&lt;&gt;")+COUNTIFS('2024 Full View'!$F:$F,$B87,'2024 Full View'!B:B,"&lt;&gt;")=0,"",COUNTIFS('2024 Full View'!$K:$K,$B87,'2024 Full View'!B:B,"&lt;&gt;")+COUNTIFS('2024 Full View'!$F:$F,$B87,'2024 Full View'!B:B,"&lt;&gt;"))</f>
        <v>1</v>
      </c>
      <c r="D87" s="21" t="str">
        <f>IF(COUNTIFS('2024 Full View'!$K:$K,$B87,'2024 Full View'!C:C,"&lt;&gt;")+COUNTIFS('2024 Full View'!$F:$F,$B87,'2024 Full View'!C:C,"&lt;&gt;")=0,"",COUNTIFS('2024 Full View'!$K:$K,$B87,'2024 Full View'!C:C,"&lt;&gt;")+COUNTIFS('2024 Full View'!$F:$F,$B87,'2024 Full View'!C:C,"&lt;&gt;"))</f>
        <v/>
      </c>
      <c r="E87" s="21" t="str">
        <f>IF(COUNTIFS('2024 Full View'!$K:$K,$B87,'2024 Full View'!D:D,"&lt;&gt;")+COUNTIFS('2024 Full View'!$F:$F,$B87,'2024 Full View'!D:D,"&lt;&gt;")=0,"",COUNTIFS('2024 Full View'!$K:$K,$B87,'2024 Full View'!D:D,"&lt;&gt;")+COUNTIFS('2024 Full View'!$F:$F,$B87,'2024 Full View'!D:D,"&lt;&gt;"))</f>
        <v/>
      </c>
      <c r="F87" s="21" t="str">
        <f>IF(COUNTIFS('2024 Full View'!$K:$K,$B87,'2024 Full View'!E:E,"&lt;&gt;")+COUNTIFS('2024 Full View'!$F:$F,$B87,'2024 Full View'!E:E,"&lt;&gt;")=0,"",COUNTIFS('2024 Full View'!$K:$K,$B87,'2024 Full View'!E:E,"&lt;&gt;")+COUNTIFS('2024 Full View'!$F:$F,$B87,'2024 Full View'!E:E,"&lt;&gt;"))</f>
        <v/>
      </c>
      <c r="G87" s="21">
        <f t="shared" si="0"/>
        <v>1</v>
      </c>
    </row>
    <row r="88" spans="1:7" ht="13">
      <c r="B88" s="3" t="s">
        <v>446</v>
      </c>
      <c r="C88" s="21">
        <f>IF(COUNTIFS('2024 Full View'!$K:$K,$B88,'2024 Full View'!B:B,"&lt;&gt;")+COUNTIFS('2024 Full View'!$F:$F,$B88,'2024 Full View'!B:B,"&lt;&gt;")=0,"",COUNTIFS('2024 Full View'!$K:$K,$B88,'2024 Full View'!B:B,"&lt;&gt;")+COUNTIFS('2024 Full View'!$F:$F,$B88,'2024 Full View'!B:B,"&lt;&gt;"))</f>
        <v>1</v>
      </c>
      <c r="D88" s="21" t="str">
        <f>IF(COUNTIFS('2024 Full View'!$K:$K,$B88,'2024 Full View'!C:C,"&lt;&gt;")+COUNTIFS('2024 Full View'!$F:$F,$B88,'2024 Full View'!C:C,"&lt;&gt;")=0,"",COUNTIFS('2024 Full View'!$K:$K,$B88,'2024 Full View'!C:C,"&lt;&gt;")+COUNTIFS('2024 Full View'!$F:$F,$B88,'2024 Full View'!C:C,"&lt;&gt;"))</f>
        <v/>
      </c>
      <c r="E88" s="21" t="str">
        <f>IF(COUNTIFS('2024 Full View'!$K:$K,$B88,'2024 Full View'!D:D,"&lt;&gt;")+COUNTIFS('2024 Full View'!$F:$F,$B88,'2024 Full View'!D:D,"&lt;&gt;")=0,"",COUNTIFS('2024 Full View'!$K:$K,$B88,'2024 Full View'!D:D,"&lt;&gt;")+COUNTIFS('2024 Full View'!$F:$F,$B88,'2024 Full View'!D:D,"&lt;&gt;"))</f>
        <v/>
      </c>
      <c r="F88" s="21" t="str">
        <f>IF(COUNTIFS('2024 Full View'!$K:$K,$B88,'2024 Full View'!E:E,"&lt;&gt;")+COUNTIFS('2024 Full View'!$F:$F,$B88,'2024 Full View'!E:E,"&lt;&gt;")=0,"",COUNTIFS('2024 Full View'!$K:$K,$B88,'2024 Full View'!E:E,"&lt;&gt;")+COUNTIFS('2024 Full View'!$F:$F,$B88,'2024 Full View'!E:E,"&lt;&gt;"))</f>
        <v/>
      </c>
      <c r="G88" s="21">
        <f t="shared" si="0"/>
        <v>1</v>
      </c>
    </row>
    <row r="89" spans="1:7" ht="13">
      <c r="B89" s="3" t="s">
        <v>447</v>
      </c>
      <c r="C89" s="21">
        <f>IF(COUNTIFS('2024 Full View'!$K:$K,$B89,'2024 Full View'!B:B,"&lt;&gt;")+COUNTIFS('2024 Full View'!$F:$F,$B89,'2024 Full View'!B:B,"&lt;&gt;")=0,"",COUNTIFS('2024 Full View'!$K:$K,$B89,'2024 Full View'!B:B,"&lt;&gt;")+COUNTIFS('2024 Full View'!$F:$F,$B89,'2024 Full View'!B:B,"&lt;&gt;"))</f>
        <v>1</v>
      </c>
      <c r="D89" s="21" t="str">
        <f>IF(COUNTIFS('2024 Full View'!$K:$K,$B89,'2024 Full View'!C:C,"&lt;&gt;")+COUNTIFS('2024 Full View'!$F:$F,$B89,'2024 Full View'!C:C,"&lt;&gt;")=0,"",COUNTIFS('2024 Full View'!$K:$K,$B89,'2024 Full View'!C:C,"&lt;&gt;")+COUNTIFS('2024 Full View'!$F:$F,$B89,'2024 Full View'!C:C,"&lt;&gt;"))</f>
        <v/>
      </c>
      <c r="E89" s="21" t="str">
        <f>IF(COUNTIFS('2024 Full View'!$K:$K,$B89,'2024 Full View'!D:D,"&lt;&gt;")+COUNTIFS('2024 Full View'!$F:$F,$B89,'2024 Full View'!D:D,"&lt;&gt;")=0,"",COUNTIFS('2024 Full View'!$K:$K,$B89,'2024 Full View'!D:D,"&lt;&gt;")+COUNTIFS('2024 Full View'!$F:$F,$B89,'2024 Full View'!D:D,"&lt;&gt;"))</f>
        <v/>
      </c>
      <c r="F89" s="21" t="str">
        <f>IF(COUNTIFS('2024 Full View'!$K:$K,$B89,'2024 Full View'!E:E,"&lt;&gt;")+COUNTIFS('2024 Full View'!$F:$F,$B89,'2024 Full View'!E:E,"&lt;&gt;")=0,"",COUNTIFS('2024 Full View'!$K:$K,$B89,'2024 Full View'!E:E,"&lt;&gt;")+COUNTIFS('2024 Full View'!$F:$F,$B89,'2024 Full View'!E:E,"&lt;&gt;"))</f>
        <v/>
      </c>
      <c r="G89" s="21">
        <f t="shared" si="0"/>
        <v>1</v>
      </c>
    </row>
    <row r="90" spans="1:7" ht="13">
      <c r="B90" s="3" t="s">
        <v>448</v>
      </c>
      <c r="C90" s="21">
        <f>IF(COUNTIFS('2024 Full View'!$K:$K,$B90,'2024 Full View'!B:B,"&lt;&gt;")+COUNTIFS('2024 Full View'!$F:$F,$B90,'2024 Full View'!B:B,"&lt;&gt;")=0,"",COUNTIFS('2024 Full View'!$K:$K,$B90,'2024 Full View'!B:B,"&lt;&gt;")+COUNTIFS('2024 Full View'!$F:$F,$B90,'2024 Full View'!B:B,"&lt;&gt;"))</f>
        <v>1</v>
      </c>
      <c r="D90" s="21" t="str">
        <f>IF(COUNTIFS('2024 Full View'!$K:$K,$B90,'2024 Full View'!C:C,"&lt;&gt;")+COUNTIFS('2024 Full View'!$F:$F,$B90,'2024 Full View'!C:C,"&lt;&gt;")=0,"",COUNTIFS('2024 Full View'!$K:$K,$B90,'2024 Full View'!C:C,"&lt;&gt;")+COUNTIFS('2024 Full View'!$F:$F,$B90,'2024 Full View'!C:C,"&lt;&gt;"))</f>
        <v/>
      </c>
      <c r="E90" s="21" t="str">
        <f>IF(COUNTIFS('2024 Full View'!$K:$K,$B90,'2024 Full View'!D:D,"&lt;&gt;")+COUNTIFS('2024 Full View'!$F:$F,$B90,'2024 Full View'!D:D,"&lt;&gt;")=0,"",COUNTIFS('2024 Full View'!$K:$K,$B90,'2024 Full View'!D:D,"&lt;&gt;")+COUNTIFS('2024 Full View'!$F:$F,$B90,'2024 Full View'!D:D,"&lt;&gt;"))</f>
        <v/>
      </c>
      <c r="F90" s="21" t="str">
        <f>IF(COUNTIFS('2024 Full View'!$K:$K,$B90,'2024 Full View'!E:E,"&lt;&gt;")+COUNTIFS('2024 Full View'!$F:$F,$B90,'2024 Full View'!E:E,"&lt;&gt;")=0,"",COUNTIFS('2024 Full View'!$K:$K,$B90,'2024 Full View'!E:E,"&lt;&gt;")+COUNTIFS('2024 Full View'!$F:$F,$B90,'2024 Full View'!E:E,"&lt;&gt;"))</f>
        <v/>
      </c>
      <c r="G90" s="21">
        <f t="shared" si="0"/>
        <v>1</v>
      </c>
    </row>
    <row r="91" spans="1:7" ht="13">
      <c r="B91" s="3" t="s">
        <v>449</v>
      </c>
      <c r="C91" s="21">
        <f>IF(COUNTIFS('2024 Full View'!$K:$K,$B91,'2024 Full View'!B:B,"&lt;&gt;")+COUNTIFS('2024 Full View'!$F:$F,$B91,'2024 Full View'!B:B,"&lt;&gt;")=0,"",COUNTIFS('2024 Full View'!$K:$K,$B91,'2024 Full View'!B:B,"&lt;&gt;")+COUNTIFS('2024 Full View'!$F:$F,$B91,'2024 Full View'!B:B,"&lt;&gt;"))</f>
        <v>1</v>
      </c>
      <c r="D91" s="21" t="str">
        <f>IF(COUNTIFS('2024 Full View'!$K:$K,$B91,'2024 Full View'!C:C,"&lt;&gt;")+COUNTIFS('2024 Full View'!$F:$F,$B91,'2024 Full View'!C:C,"&lt;&gt;")=0,"",COUNTIFS('2024 Full View'!$K:$K,$B91,'2024 Full View'!C:C,"&lt;&gt;")+COUNTIFS('2024 Full View'!$F:$F,$B91,'2024 Full View'!C:C,"&lt;&gt;"))</f>
        <v/>
      </c>
      <c r="E91" s="21" t="str">
        <f>IF(COUNTIFS('2024 Full View'!$K:$K,$B91,'2024 Full View'!D:D,"&lt;&gt;")+COUNTIFS('2024 Full View'!$F:$F,$B91,'2024 Full View'!D:D,"&lt;&gt;")=0,"",COUNTIFS('2024 Full View'!$K:$K,$B91,'2024 Full View'!D:D,"&lt;&gt;")+COUNTIFS('2024 Full View'!$F:$F,$B91,'2024 Full View'!D:D,"&lt;&gt;"))</f>
        <v/>
      </c>
      <c r="F91" s="21" t="str">
        <f>IF(COUNTIFS('2024 Full View'!$K:$K,$B91,'2024 Full View'!E:E,"&lt;&gt;")+COUNTIFS('2024 Full View'!$F:$F,$B91,'2024 Full View'!E:E,"&lt;&gt;")=0,"",COUNTIFS('2024 Full View'!$K:$K,$B91,'2024 Full View'!E:E,"&lt;&gt;")+COUNTIFS('2024 Full View'!$F:$F,$B91,'2024 Full View'!E:E,"&lt;&gt;"))</f>
        <v/>
      </c>
      <c r="G91" s="21">
        <f t="shared" si="0"/>
        <v>1</v>
      </c>
    </row>
    <row r="92" spans="1:7" ht="13">
      <c r="B92" s="3" t="s">
        <v>450</v>
      </c>
      <c r="C92" s="21">
        <f>IF(COUNTIFS('2024 Full View'!$K:$K,$B92,'2024 Full View'!B:B,"&lt;&gt;")+COUNTIFS('2024 Full View'!$F:$F,$B92,'2024 Full View'!B:B,"&lt;&gt;")=0,"",COUNTIFS('2024 Full View'!$K:$K,$B92,'2024 Full View'!B:B,"&lt;&gt;")+COUNTIFS('2024 Full View'!$F:$F,$B92,'2024 Full View'!B:B,"&lt;&gt;"))</f>
        <v>1</v>
      </c>
      <c r="D92" s="21" t="str">
        <f>IF(COUNTIFS('2024 Full View'!$K:$K,$B92,'2024 Full View'!C:C,"&lt;&gt;")+COUNTIFS('2024 Full View'!$F:$F,$B92,'2024 Full View'!C:C,"&lt;&gt;")=0,"",COUNTIFS('2024 Full View'!$K:$K,$B92,'2024 Full View'!C:C,"&lt;&gt;")+COUNTIFS('2024 Full View'!$F:$F,$B92,'2024 Full View'!C:C,"&lt;&gt;"))</f>
        <v/>
      </c>
      <c r="E92" s="21" t="str">
        <f>IF(COUNTIFS('2024 Full View'!$K:$K,$B92,'2024 Full View'!D:D,"&lt;&gt;")+COUNTIFS('2024 Full View'!$F:$F,$B92,'2024 Full View'!D:D,"&lt;&gt;")=0,"",COUNTIFS('2024 Full View'!$K:$K,$B92,'2024 Full View'!D:D,"&lt;&gt;")+COUNTIFS('2024 Full View'!$F:$F,$B92,'2024 Full View'!D:D,"&lt;&gt;"))</f>
        <v/>
      </c>
      <c r="F92" s="21" t="str">
        <f>IF(COUNTIFS('2024 Full View'!$K:$K,$B92,'2024 Full View'!E:E,"&lt;&gt;")+COUNTIFS('2024 Full View'!$F:$F,$B92,'2024 Full View'!E:E,"&lt;&gt;")=0,"",COUNTIFS('2024 Full View'!$K:$K,$B92,'2024 Full View'!E:E,"&lt;&gt;")+COUNTIFS('2024 Full View'!$F:$F,$B92,'2024 Full View'!E:E,"&lt;&gt;"))</f>
        <v/>
      </c>
      <c r="G92" s="21">
        <f t="shared" si="0"/>
        <v>1</v>
      </c>
    </row>
    <row r="93" spans="1:7" ht="13">
      <c r="B93" s="3" t="s">
        <v>451</v>
      </c>
      <c r="C93" s="21">
        <f>IF(COUNTIFS('2024 Full View'!$K:$K,$B93,'2024 Full View'!B:B,"&lt;&gt;")+COUNTIFS('2024 Full View'!$F:$F,$B93,'2024 Full View'!B:B,"&lt;&gt;")=0,"",COUNTIFS('2024 Full View'!$K:$K,$B93,'2024 Full View'!B:B,"&lt;&gt;")+COUNTIFS('2024 Full View'!$F:$F,$B93,'2024 Full View'!B:B,"&lt;&gt;"))</f>
        <v>1</v>
      </c>
      <c r="D93" s="21" t="str">
        <f>IF(COUNTIFS('2024 Full View'!$K:$K,$B93,'2024 Full View'!C:C,"&lt;&gt;")+COUNTIFS('2024 Full View'!$F:$F,$B93,'2024 Full View'!C:C,"&lt;&gt;")=0,"",COUNTIFS('2024 Full View'!$K:$K,$B93,'2024 Full View'!C:C,"&lt;&gt;")+COUNTIFS('2024 Full View'!$F:$F,$B93,'2024 Full View'!C:C,"&lt;&gt;"))</f>
        <v/>
      </c>
      <c r="E93" s="21" t="str">
        <f>IF(COUNTIFS('2024 Full View'!$K:$K,$B93,'2024 Full View'!D:D,"&lt;&gt;")+COUNTIFS('2024 Full View'!$F:$F,$B93,'2024 Full View'!D:D,"&lt;&gt;")=0,"",COUNTIFS('2024 Full View'!$K:$K,$B93,'2024 Full View'!D:D,"&lt;&gt;")+COUNTIFS('2024 Full View'!$F:$F,$B93,'2024 Full View'!D:D,"&lt;&gt;"))</f>
        <v/>
      </c>
      <c r="F93" s="21" t="str">
        <f>IF(COUNTIFS('2024 Full View'!$K:$K,$B93,'2024 Full View'!E:E,"&lt;&gt;")+COUNTIFS('2024 Full View'!$F:$F,$B93,'2024 Full View'!E:E,"&lt;&gt;")=0,"",COUNTIFS('2024 Full View'!$K:$K,$B93,'2024 Full View'!E:E,"&lt;&gt;")+COUNTIFS('2024 Full View'!$F:$F,$B93,'2024 Full View'!E:E,"&lt;&gt;"))</f>
        <v/>
      </c>
      <c r="G93" s="21">
        <f t="shared" si="0"/>
        <v>1</v>
      </c>
    </row>
    <row r="94" spans="1:7" ht="13">
      <c r="B94" s="3" t="s">
        <v>452</v>
      </c>
      <c r="C94" s="21">
        <f>IF(COUNTIFS('2024 Full View'!$K:$K,$B94,'2024 Full View'!B:B,"&lt;&gt;")+COUNTIFS('2024 Full View'!$F:$F,$B94,'2024 Full View'!B:B,"&lt;&gt;")=0,"",COUNTIFS('2024 Full View'!$K:$K,$B94,'2024 Full View'!B:B,"&lt;&gt;")+COUNTIFS('2024 Full View'!$F:$F,$B94,'2024 Full View'!B:B,"&lt;&gt;"))</f>
        <v>1</v>
      </c>
      <c r="D94" s="21" t="str">
        <f>IF(COUNTIFS('2024 Full View'!$K:$K,$B94,'2024 Full View'!C:C,"&lt;&gt;")+COUNTIFS('2024 Full View'!$F:$F,$B94,'2024 Full View'!C:C,"&lt;&gt;")=0,"",COUNTIFS('2024 Full View'!$K:$K,$B94,'2024 Full View'!C:C,"&lt;&gt;")+COUNTIFS('2024 Full View'!$F:$F,$B94,'2024 Full View'!C:C,"&lt;&gt;"))</f>
        <v/>
      </c>
      <c r="E94" s="21" t="str">
        <f>IF(COUNTIFS('2024 Full View'!$K:$K,$B94,'2024 Full View'!D:D,"&lt;&gt;")+COUNTIFS('2024 Full View'!$F:$F,$B94,'2024 Full View'!D:D,"&lt;&gt;")=0,"",COUNTIFS('2024 Full View'!$K:$K,$B94,'2024 Full View'!D:D,"&lt;&gt;")+COUNTIFS('2024 Full View'!$F:$F,$B94,'2024 Full View'!D:D,"&lt;&gt;"))</f>
        <v/>
      </c>
      <c r="F94" s="21" t="str">
        <f>IF(COUNTIFS('2024 Full View'!$K:$K,$B94,'2024 Full View'!E:E,"&lt;&gt;")+COUNTIFS('2024 Full View'!$F:$F,$B94,'2024 Full View'!E:E,"&lt;&gt;")=0,"",COUNTIFS('2024 Full View'!$K:$K,$B94,'2024 Full View'!E:E,"&lt;&gt;")+COUNTIFS('2024 Full View'!$F:$F,$B94,'2024 Full View'!E:E,"&lt;&gt;"))</f>
        <v/>
      </c>
      <c r="G94" s="21">
        <f t="shared" si="0"/>
        <v>1</v>
      </c>
    </row>
    <row r="95" spans="1:7" ht="13">
      <c r="B95" s="3" t="s">
        <v>453</v>
      </c>
      <c r="C95" s="21">
        <f>IF(COUNTIFS('2024 Full View'!$K:$K,$B95,'2024 Full View'!B:B,"&lt;&gt;")+COUNTIFS('2024 Full View'!$F:$F,$B95,'2024 Full View'!B:B,"&lt;&gt;")=0,"",COUNTIFS('2024 Full View'!$K:$K,$B95,'2024 Full View'!B:B,"&lt;&gt;")+COUNTIFS('2024 Full View'!$F:$F,$B95,'2024 Full View'!B:B,"&lt;&gt;"))</f>
        <v>1</v>
      </c>
      <c r="D95" s="21" t="str">
        <f>IF(COUNTIFS('2024 Full View'!$K:$K,$B95,'2024 Full View'!C:C,"&lt;&gt;")+COUNTIFS('2024 Full View'!$F:$F,$B95,'2024 Full View'!C:C,"&lt;&gt;")=0,"",COUNTIFS('2024 Full View'!$K:$K,$B95,'2024 Full View'!C:C,"&lt;&gt;")+COUNTIFS('2024 Full View'!$F:$F,$B95,'2024 Full View'!C:C,"&lt;&gt;"))</f>
        <v/>
      </c>
      <c r="E95" s="21" t="str">
        <f>IF(COUNTIFS('2024 Full View'!$K:$K,$B95,'2024 Full View'!D:D,"&lt;&gt;")+COUNTIFS('2024 Full View'!$F:$F,$B95,'2024 Full View'!D:D,"&lt;&gt;")=0,"",COUNTIFS('2024 Full View'!$K:$K,$B95,'2024 Full View'!D:D,"&lt;&gt;")+COUNTIFS('2024 Full View'!$F:$F,$B95,'2024 Full View'!D:D,"&lt;&gt;"))</f>
        <v/>
      </c>
      <c r="F95" s="21" t="str">
        <f>IF(COUNTIFS('2024 Full View'!$K:$K,$B95,'2024 Full View'!E:E,"&lt;&gt;")+COUNTIFS('2024 Full View'!$F:$F,$B95,'2024 Full View'!E:E,"&lt;&gt;")=0,"",COUNTIFS('2024 Full View'!$K:$K,$B95,'2024 Full View'!E:E,"&lt;&gt;")+COUNTIFS('2024 Full View'!$F:$F,$B95,'2024 Full View'!E:E,"&lt;&gt;"))</f>
        <v/>
      </c>
      <c r="G95" s="21">
        <f t="shared" si="0"/>
        <v>1</v>
      </c>
    </row>
    <row r="96" spans="1:7" ht="13">
      <c r="B96" s="3" t="s">
        <v>454</v>
      </c>
      <c r="C96" s="21">
        <f>IF(COUNTIFS('2024 Full View'!$K:$K,$B96,'2024 Full View'!B:B,"&lt;&gt;")+COUNTIFS('2024 Full View'!$F:$F,$B96,'2024 Full View'!B:B,"&lt;&gt;")=0,"",COUNTIFS('2024 Full View'!$K:$K,$B96,'2024 Full View'!B:B,"&lt;&gt;")+COUNTIFS('2024 Full View'!$F:$F,$B96,'2024 Full View'!B:B,"&lt;&gt;"))</f>
        <v>1</v>
      </c>
      <c r="D96" s="21" t="str">
        <f>IF(COUNTIFS('2024 Full View'!$K:$K,$B96,'2024 Full View'!C:C,"&lt;&gt;")+COUNTIFS('2024 Full View'!$F:$F,$B96,'2024 Full View'!C:C,"&lt;&gt;")=0,"",COUNTIFS('2024 Full View'!$K:$K,$B96,'2024 Full View'!C:C,"&lt;&gt;")+COUNTIFS('2024 Full View'!$F:$F,$B96,'2024 Full View'!C:C,"&lt;&gt;"))</f>
        <v/>
      </c>
      <c r="E96" s="21" t="str">
        <f>IF(COUNTIFS('2024 Full View'!$K:$K,$B96,'2024 Full View'!D:D,"&lt;&gt;")+COUNTIFS('2024 Full View'!$F:$F,$B96,'2024 Full View'!D:D,"&lt;&gt;")=0,"",COUNTIFS('2024 Full View'!$K:$K,$B96,'2024 Full View'!D:D,"&lt;&gt;")+COUNTIFS('2024 Full View'!$F:$F,$B96,'2024 Full View'!D:D,"&lt;&gt;"))</f>
        <v/>
      </c>
      <c r="F96" s="21" t="str">
        <f>IF(COUNTIFS('2024 Full View'!$K:$K,$B96,'2024 Full View'!E:E,"&lt;&gt;")+COUNTIFS('2024 Full View'!$F:$F,$B96,'2024 Full View'!E:E,"&lt;&gt;")=0,"",COUNTIFS('2024 Full View'!$K:$K,$B96,'2024 Full View'!E:E,"&lt;&gt;")+COUNTIFS('2024 Full View'!$F:$F,$B96,'2024 Full View'!E:E,"&lt;&gt;"))</f>
        <v/>
      </c>
      <c r="G96" s="21">
        <f t="shared" si="0"/>
        <v>1</v>
      </c>
    </row>
    <row r="97" spans="2:7" ht="13">
      <c r="B97" s="3" t="s">
        <v>455</v>
      </c>
      <c r="C97" s="21">
        <f>IF(COUNTIFS('2024 Full View'!$K:$K,$B97,'2024 Full View'!B:B,"&lt;&gt;")+COUNTIFS('2024 Full View'!$F:$F,$B97,'2024 Full View'!B:B,"&lt;&gt;")=0,"",COUNTIFS('2024 Full View'!$K:$K,$B97,'2024 Full View'!B:B,"&lt;&gt;")+COUNTIFS('2024 Full View'!$F:$F,$B97,'2024 Full View'!B:B,"&lt;&gt;"))</f>
        <v>1</v>
      </c>
      <c r="D97" s="21" t="str">
        <f>IF(COUNTIFS('2024 Full View'!$K:$K,$B97,'2024 Full View'!C:C,"&lt;&gt;")+COUNTIFS('2024 Full View'!$F:$F,$B97,'2024 Full View'!C:C,"&lt;&gt;")=0,"",COUNTIFS('2024 Full View'!$K:$K,$B97,'2024 Full View'!C:C,"&lt;&gt;")+COUNTIFS('2024 Full View'!$F:$F,$B97,'2024 Full View'!C:C,"&lt;&gt;"))</f>
        <v/>
      </c>
      <c r="E97" s="21" t="str">
        <f>IF(COUNTIFS('2024 Full View'!$K:$K,$B97,'2024 Full View'!D:D,"&lt;&gt;")+COUNTIFS('2024 Full View'!$F:$F,$B97,'2024 Full View'!D:D,"&lt;&gt;")=0,"",COUNTIFS('2024 Full View'!$K:$K,$B97,'2024 Full View'!D:D,"&lt;&gt;")+COUNTIFS('2024 Full View'!$F:$F,$B97,'2024 Full View'!D:D,"&lt;&gt;"))</f>
        <v/>
      </c>
      <c r="F97" s="21" t="str">
        <f>IF(COUNTIFS('2024 Full View'!$K:$K,$B97,'2024 Full View'!E:E,"&lt;&gt;")+COUNTIFS('2024 Full View'!$F:$F,$B97,'2024 Full View'!E:E,"&lt;&gt;")=0,"",COUNTIFS('2024 Full View'!$K:$K,$B97,'2024 Full View'!E:E,"&lt;&gt;")+COUNTIFS('2024 Full View'!$F:$F,$B97,'2024 Full View'!E:E,"&lt;&gt;"))</f>
        <v/>
      </c>
      <c r="G97" s="21">
        <f t="shared" si="0"/>
        <v>1</v>
      </c>
    </row>
    <row r="98" spans="2:7" ht="13">
      <c r="B98" s="3" t="s">
        <v>456</v>
      </c>
      <c r="C98" s="21">
        <f>IF(COUNTIFS('2024 Full View'!$K:$K,$B98,'2024 Full View'!B:B,"&lt;&gt;")+COUNTIFS('2024 Full View'!$F:$F,$B98,'2024 Full View'!B:B,"&lt;&gt;")=0,"",COUNTIFS('2024 Full View'!$K:$K,$B98,'2024 Full View'!B:B,"&lt;&gt;")+COUNTIFS('2024 Full View'!$F:$F,$B98,'2024 Full View'!B:B,"&lt;&gt;"))</f>
        <v>1</v>
      </c>
      <c r="D98" s="21" t="str">
        <f>IF(COUNTIFS('2024 Full View'!$K:$K,$B98,'2024 Full View'!C:C,"&lt;&gt;")+COUNTIFS('2024 Full View'!$F:$F,$B98,'2024 Full View'!C:C,"&lt;&gt;")=0,"",COUNTIFS('2024 Full View'!$K:$K,$B98,'2024 Full View'!C:C,"&lt;&gt;")+COUNTIFS('2024 Full View'!$F:$F,$B98,'2024 Full View'!C:C,"&lt;&gt;"))</f>
        <v/>
      </c>
      <c r="E98" s="21" t="str">
        <f>IF(COUNTIFS('2024 Full View'!$K:$K,$B98,'2024 Full View'!D:D,"&lt;&gt;")+COUNTIFS('2024 Full View'!$F:$F,$B98,'2024 Full View'!D:D,"&lt;&gt;")=0,"",COUNTIFS('2024 Full View'!$K:$K,$B98,'2024 Full View'!D:D,"&lt;&gt;")+COUNTIFS('2024 Full View'!$F:$F,$B98,'2024 Full View'!D:D,"&lt;&gt;"))</f>
        <v/>
      </c>
      <c r="F98" s="21" t="str">
        <f>IF(COUNTIFS('2024 Full View'!$K:$K,$B98,'2024 Full View'!E:E,"&lt;&gt;")+COUNTIFS('2024 Full View'!$F:$F,$B98,'2024 Full View'!E:E,"&lt;&gt;")=0,"",COUNTIFS('2024 Full View'!$K:$K,$B98,'2024 Full View'!E:E,"&lt;&gt;")+COUNTIFS('2024 Full View'!$F:$F,$B98,'2024 Full View'!E:E,"&lt;&gt;"))</f>
        <v/>
      </c>
      <c r="G98" s="21">
        <f t="shared" si="0"/>
        <v>1</v>
      </c>
    </row>
    <row r="99" spans="2:7" ht="13">
      <c r="B99" s="3" t="s">
        <v>457</v>
      </c>
      <c r="C99" s="21">
        <f>IF(COUNTIFS('2024 Full View'!$K:$K,$B99,'2024 Full View'!B:B,"&lt;&gt;")+COUNTIFS('2024 Full View'!$F:$F,$B99,'2024 Full View'!B:B,"&lt;&gt;")=0,"",COUNTIFS('2024 Full View'!$K:$K,$B99,'2024 Full View'!B:B,"&lt;&gt;")+COUNTIFS('2024 Full View'!$F:$F,$B99,'2024 Full View'!B:B,"&lt;&gt;"))</f>
        <v>1</v>
      </c>
      <c r="D99" s="21" t="str">
        <f>IF(COUNTIFS('2024 Full View'!$K:$K,$B99,'2024 Full View'!C:C,"&lt;&gt;")+COUNTIFS('2024 Full View'!$F:$F,$B99,'2024 Full View'!C:C,"&lt;&gt;")=0,"",COUNTIFS('2024 Full View'!$K:$K,$B99,'2024 Full View'!C:C,"&lt;&gt;")+COUNTIFS('2024 Full View'!$F:$F,$B99,'2024 Full View'!C:C,"&lt;&gt;"))</f>
        <v/>
      </c>
      <c r="E99" s="21" t="str">
        <f>IF(COUNTIFS('2024 Full View'!$K:$K,$B99,'2024 Full View'!D:D,"&lt;&gt;")+COUNTIFS('2024 Full View'!$F:$F,$B99,'2024 Full View'!D:D,"&lt;&gt;")=0,"",COUNTIFS('2024 Full View'!$K:$K,$B99,'2024 Full View'!D:D,"&lt;&gt;")+COUNTIFS('2024 Full View'!$F:$F,$B99,'2024 Full View'!D:D,"&lt;&gt;"))</f>
        <v/>
      </c>
      <c r="F99" s="21" t="str">
        <f>IF(COUNTIFS('2024 Full View'!$K:$K,$B99,'2024 Full View'!E:E,"&lt;&gt;")+COUNTIFS('2024 Full View'!$F:$F,$B99,'2024 Full View'!E:E,"&lt;&gt;")=0,"",COUNTIFS('2024 Full View'!$K:$K,$B99,'2024 Full View'!E:E,"&lt;&gt;")+COUNTIFS('2024 Full View'!$F:$F,$B99,'2024 Full View'!E:E,"&lt;&gt;"))</f>
        <v/>
      </c>
      <c r="G99" s="21">
        <f t="shared" si="0"/>
        <v>1</v>
      </c>
    </row>
    <row r="100" spans="2:7" ht="13">
      <c r="B100" s="3" t="s">
        <v>458</v>
      </c>
      <c r="C100" s="21">
        <f>IF(COUNTIFS('2024 Full View'!$K:$K,$B100,'2024 Full View'!B:B,"&lt;&gt;")+COUNTIFS('2024 Full View'!$F:$F,$B100,'2024 Full View'!B:B,"&lt;&gt;")=0,"",COUNTIFS('2024 Full View'!$K:$K,$B100,'2024 Full View'!B:B,"&lt;&gt;")+COUNTIFS('2024 Full View'!$F:$F,$B100,'2024 Full View'!B:B,"&lt;&gt;"))</f>
        <v>1</v>
      </c>
      <c r="D100" s="21" t="str">
        <f>IF(COUNTIFS('2024 Full View'!$K:$K,$B100,'2024 Full View'!C:C,"&lt;&gt;")+COUNTIFS('2024 Full View'!$F:$F,$B100,'2024 Full View'!C:C,"&lt;&gt;")=0,"",COUNTIFS('2024 Full View'!$K:$K,$B100,'2024 Full View'!C:C,"&lt;&gt;")+COUNTIFS('2024 Full View'!$F:$F,$B100,'2024 Full View'!C:C,"&lt;&gt;"))</f>
        <v/>
      </c>
      <c r="E100" s="21" t="str">
        <f>IF(COUNTIFS('2024 Full View'!$K:$K,$B100,'2024 Full View'!D:D,"&lt;&gt;")+COUNTIFS('2024 Full View'!$F:$F,$B100,'2024 Full View'!D:D,"&lt;&gt;")=0,"",COUNTIFS('2024 Full View'!$K:$K,$B100,'2024 Full View'!D:D,"&lt;&gt;")+COUNTIFS('2024 Full View'!$F:$F,$B100,'2024 Full View'!D:D,"&lt;&gt;"))</f>
        <v/>
      </c>
      <c r="F100" s="21" t="str">
        <f>IF(COUNTIFS('2024 Full View'!$K:$K,$B100,'2024 Full View'!E:E,"&lt;&gt;")+COUNTIFS('2024 Full View'!$F:$F,$B100,'2024 Full View'!E:E,"&lt;&gt;")=0,"",COUNTIFS('2024 Full View'!$K:$K,$B100,'2024 Full View'!E:E,"&lt;&gt;")+COUNTIFS('2024 Full View'!$F:$F,$B100,'2024 Full View'!E:E,"&lt;&gt;"))</f>
        <v/>
      </c>
      <c r="G100" s="21">
        <f t="shared" si="0"/>
        <v>1</v>
      </c>
    </row>
    <row r="101" spans="2:7" ht="13">
      <c r="B101" s="3" t="s">
        <v>459</v>
      </c>
      <c r="C101" s="21">
        <f>IF(COUNTIFS('2024 Full View'!$K:$K,$B101,'2024 Full View'!B:B,"&lt;&gt;")+COUNTIFS('2024 Full View'!$F:$F,$B101,'2024 Full View'!B:B,"&lt;&gt;")=0,"",COUNTIFS('2024 Full View'!$K:$K,$B101,'2024 Full View'!B:B,"&lt;&gt;")+COUNTIFS('2024 Full View'!$F:$F,$B101,'2024 Full View'!B:B,"&lt;&gt;"))</f>
        <v>1</v>
      </c>
      <c r="D101" s="21" t="str">
        <f>IF(COUNTIFS('2024 Full View'!$K:$K,$B101,'2024 Full View'!C:C,"&lt;&gt;")+COUNTIFS('2024 Full View'!$F:$F,$B101,'2024 Full View'!C:C,"&lt;&gt;")=0,"",COUNTIFS('2024 Full View'!$K:$K,$B101,'2024 Full View'!C:C,"&lt;&gt;")+COUNTIFS('2024 Full View'!$F:$F,$B101,'2024 Full View'!C:C,"&lt;&gt;"))</f>
        <v/>
      </c>
      <c r="E101" s="21" t="str">
        <f>IF(COUNTIFS('2024 Full View'!$K:$K,$B101,'2024 Full View'!D:D,"&lt;&gt;")+COUNTIFS('2024 Full View'!$F:$F,$B101,'2024 Full View'!D:D,"&lt;&gt;")=0,"",COUNTIFS('2024 Full View'!$K:$K,$B101,'2024 Full View'!D:D,"&lt;&gt;")+COUNTIFS('2024 Full View'!$F:$F,$B101,'2024 Full View'!D:D,"&lt;&gt;"))</f>
        <v/>
      </c>
      <c r="F101" s="21" t="str">
        <f>IF(COUNTIFS('2024 Full View'!$K:$K,$B101,'2024 Full View'!E:E,"&lt;&gt;")+COUNTIFS('2024 Full View'!$F:$F,$B101,'2024 Full View'!E:E,"&lt;&gt;")=0,"",COUNTIFS('2024 Full View'!$K:$K,$B101,'2024 Full View'!E:E,"&lt;&gt;")+COUNTIFS('2024 Full View'!$F:$F,$B101,'2024 Full View'!E:E,"&lt;&gt;"))</f>
        <v/>
      </c>
      <c r="G101" s="21">
        <f t="shared" si="0"/>
        <v>1</v>
      </c>
    </row>
    <row r="102" spans="2:7" ht="13">
      <c r="B102" s="3" t="s">
        <v>460</v>
      </c>
      <c r="C102" s="21">
        <f>IF(COUNTIFS('2024 Full View'!$K:$K,$B102,'2024 Full View'!B:B,"&lt;&gt;")+COUNTIFS('2024 Full View'!$F:$F,$B102,'2024 Full View'!B:B,"&lt;&gt;")=0,"",COUNTIFS('2024 Full View'!$K:$K,$B102,'2024 Full View'!B:B,"&lt;&gt;")+COUNTIFS('2024 Full View'!$F:$F,$B102,'2024 Full View'!B:B,"&lt;&gt;"))</f>
        <v>1</v>
      </c>
      <c r="D102" s="21" t="str">
        <f>IF(COUNTIFS('2024 Full View'!$K:$K,$B102,'2024 Full View'!C:C,"&lt;&gt;")+COUNTIFS('2024 Full View'!$F:$F,$B102,'2024 Full View'!C:C,"&lt;&gt;")=0,"",COUNTIFS('2024 Full View'!$K:$K,$B102,'2024 Full View'!C:C,"&lt;&gt;")+COUNTIFS('2024 Full View'!$F:$F,$B102,'2024 Full View'!C:C,"&lt;&gt;"))</f>
        <v/>
      </c>
      <c r="E102" s="21" t="str">
        <f>IF(COUNTIFS('2024 Full View'!$K:$K,$B102,'2024 Full View'!D:D,"&lt;&gt;")+COUNTIFS('2024 Full View'!$F:$F,$B102,'2024 Full View'!D:D,"&lt;&gt;")=0,"",COUNTIFS('2024 Full View'!$K:$K,$B102,'2024 Full View'!D:D,"&lt;&gt;")+COUNTIFS('2024 Full View'!$F:$F,$B102,'2024 Full View'!D:D,"&lt;&gt;"))</f>
        <v/>
      </c>
      <c r="F102" s="21" t="str">
        <f>IF(COUNTIFS('2024 Full View'!$K:$K,$B102,'2024 Full View'!E:E,"&lt;&gt;")+COUNTIFS('2024 Full View'!$F:$F,$B102,'2024 Full View'!E:E,"&lt;&gt;")=0,"",COUNTIFS('2024 Full View'!$K:$K,$B102,'2024 Full View'!E:E,"&lt;&gt;")+COUNTIFS('2024 Full View'!$F:$F,$B102,'2024 Full View'!E:E,"&lt;&gt;"))</f>
        <v/>
      </c>
      <c r="G102" s="21">
        <f t="shared" si="0"/>
        <v>1</v>
      </c>
    </row>
    <row r="103" spans="2:7" ht="13">
      <c r="B103" s="3" t="s">
        <v>461</v>
      </c>
      <c r="C103" s="21">
        <f>IF(COUNTIFS('2024 Full View'!$K:$K,$B103,'2024 Full View'!B:B,"&lt;&gt;")+COUNTIFS('2024 Full View'!$F:$F,$B103,'2024 Full View'!B:B,"&lt;&gt;")=0,"",COUNTIFS('2024 Full View'!$K:$K,$B103,'2024 Full View'!B:B,"&lt;&gt;")+COUNTIFS('2024 Full View'!$F:$F,$B103,'2024 Full View'!B:B,"&lt;&gt;"))</f>
        <v>1</v>
      </c>
      <c r="D103" s="21" t="str">
        <f>IF(COUNTIFS('2024 Full View'!$K:$K,$B103,'2024 Full View'!C:C,"&lt;&gt;")+COUNTIFS('2024 Full View'!$F:$F,$B103,'2024 Full View'!C:C,"&lt;&gt;")=0,"",COUNTIFS('2024 Full View'!$K:$K,$B103,'2024 Full View'!C:C,"&lt;&gt;")+COUNTIFS('2024 Full View'!$F:$F,$B103,'2024 Full View'!C:C,"&lt;&gt;"))</f>
        <v/>
      </c>
      <c r="E103" s="21" t="str">
        <f>IF(COUNTIFS('2024 Full View'!$K:$K,$B103,'2024 Full View'!D:D,"&lt;&gt;")+COUNTIFS('2024 Full View'!$F:$F,$B103,'2024 Full View'!D:D,"&lt;&gt;")=0,"",COUNTIFS('2024 Full View'!$K:$K,$B103,'2024 Full View'!D:D,"&lt;&gt;")+COUNTIFS('2024 Full View'!$F:$F,$B103,'2024 Full View'!D:D,"&lt;&gt;"))</f>
        <v/>
      </c>
      <c r="F103" s="21" t="str">
        <f>IF(COUNTIFS('2024 Full View'!$K:$K,$B103,'2024 Full View'!E:E,"&lt;&gt;")+COUNTIFS('2024 Full View'!$F:$F,$B103,'2024 Full View'!E:E,"&lt;&gt;")=0,"",COUNTIFS('2024 Full View'!$K:$K,$B103,'2024 Full View'!E:E,"&lt;&gt;")+COUNTIFS('2024 Full View'!$F:$F,$B103,'2024 Full View'!E:E,"&lt;&gt;"))</f>
        <v/>
      </c>
      <c r="G103" s="21">
        <f t="shared" si="0"/>
        <v>1</v>
      </c>
    </row>
    <row r="104" spans="2:7" ht="13">
      <c r="B104" s="3" t="s">
        <v>462</v>
      </c>
      <c r="C104" s="21">
        <f>IF(COUNTIFS('2024 Full View'!$K:$K,$B104,'2024 Full View'!B:B,"&lt;&gt;")+COUNTIFS('2024 Full View'!$F:$F,$B104,'2024 Full View'!B:B,"&lt;&gt;")=0,"",COUNTIFS('2024 Full View'!$K:$K,$B104,'2024 Full View'!B:B,"&lt;&gt;")+COUNTIFS('2024 Full View'!$F:$F,$B104,'2024 Full View'!B:B,"&lt;&gt;"))</f>
        <v>1</v>
      </c>
      <c r="D104" s="21" t="str">
        <f>IF(COUNTIFS('2024 Full View'!$K:$K,$B104,'2024 Full View'!C:C,"&lt;&gt;")+COUNTIFS('2024 Full View'!$F:$F,$B104,'2024 Full View'!C:C,"&lt;&gt;")=0,"",COUNTIFS('2024 Full View'!$K:$K,$B104,'2024 Full View'!C:C,"&lt;&gt;")+COUNTIFS('2024 Full View'!$F:$F,$B104,'2024 Full View'!C:C,"&lt;&gt;"))</f>
        <v/>
      </c>
      <c r="E104" s="21" t="str">
        <f>IF(COUNTIFS('2024 Full View'!$K:$K,$B104,'2024 Full View'!D:D,"&lt;&gt;")+COUNTIFS('2024 Full View'!$F:$F,$B104,'2024 Full View'!D:D,"&lt;&gt;")=0,"",COUNTIFS('2024 Full View'!$K:$K,$B104,'2024 Full View'!D:D,"&lt;&gt;")+COUNTIFS('2024 Full View'!$F:$F,$B104,'2024 Full View'!D:D,"&lt;&gt;"))</f>
        <v/>
      </c>
      <c r="F104" s="21" t="str">
        <f>IF(COUNTIFS('2024 Full View'!$K:$K,$B104,'2024 Full View'!E:E,"&lt;&gt;")+COUNTIFS('2024 Full View'!$F:$F,$B104,'2024 Full View'!E:E,"&lt;&gt;")=0,"",COUNTIFS('2024 Full View'!$K:$K,$B104,'2024 Full View'!E:E,"&lt;&gt;")+COUNTIFS('2024 Full View'!$F:$F,$B104,'2024 Full View'!E:E,"&lt;&gt;"))</f>
        <v/>
      </c>
      <c r="G104" s="21">
        <f t="shared" si="0"/>
        <v>1</v>
      </c>
    </row>
    <row r="105" spans="2:7" ht="13">
      <c r="B105" s="3" t="s">
        <v>463</v>
      </c>
      <c r="C105" s="21">
        <f>IF(COUNTIFS('2024 Full View'!$K:$K,$B105,'2024 Full View'!B:B,"&lt;&gt;")+COUNTIFS('2024 Full View'!$F:$F,$B105,'2024 Full View'!B:B,"&lt;&gt;")=0,"",COUNTIFS('2024 Full View'!$K:$K,$B105,'2024 Full View'!B:B,"&lt;&gt;")+COUNTIFS('2024 Full View'!$F:$F,$B105,'2024 Full View'!B:B,"&lt;&gt;"))</f>
        <v>1</v>
      </c>
      <c r="D105" s="21" t="str">
        <f>IF(COUNTIFS('2024 Full View'!$K:$K,$B105,'2024 Full View'!C:C,"&lt;&gt;")+COUNTIFS('2024 Full View'!$F:$F,$B105,'2024 Full View'!C:C,"&lt;&gt;")=0,"",COUNTIFS('2024 Full View'!$K:$K,$B105,'2024 Full View'!C:C,"&lt;&gt;")+COUNTIFS('2024 Full View'!$F:$F,$B105,'2024 Full View'!C:C,"&lt;&gt;"))</f>
        <v/>
      </c>
      <c r="E105" s="21" t="str">
        <f>IF(COUNTIFS('2024 Full View'!$K:$K,$B105,'2024 Full View'!D:D,"&lt;&gt;")+COUNTIFS('2024 Full View'!$F:$F,$B105,'2024 Full View'!D:D,"&lt;&gt;")=0,"",COUNTIFS('2024 Full View'!$K:$K,$B105,'2024 Full View'!D:D,"&lt;&gt;")+COUNTIFS('2024 Full View'!$F:$F,$B105,'2024 Full View'!D:D,"&lt;&gt;"))</f>
        <v/>
      </c>
      <c r="F105" s="21" t="str">
        <f>IF(COUNTIFS('2024 Full View'!$K:$K,$B105,'2024 Full View'!E:E,"&lt;&gt;")+COUNTIFS('2024 Full View'!$F:$F,$B105,'2024 Full View'!E:E,"&lt;&gt;")=0,"",COUNTIFS('2024 Full View'!$K:$K,$B105,'2024 Full View'!E:E,"&lt;&gt;")+COUNTIFS('2024 Full View'!$F:$F,$B105,'2024 Full View'!E:E,"&lt;&gt;"))</f>
        <v/>
      </c>
      <c r="G105" s="21">
        <f t="shared" si="0"/>
        <v>1</v>
      </c>
    </row>
    <row r="106" spans="2:7" ht="13">
      <c r="B106" s="3" t="s">
        <v>464</v>
      </c>
      <c r="C106" s="21">
        <f>IF(COUNTIFS('2024 Full View'!$K:$K,$B106,'2024 Full View'!B:B,"&lt;&gt;")+COUNTIFS('2024 Full View'!$F:$F,$B106,'2024 Full View'!B:B,"&lt;&gt;")=0,"",COUNTIFS('2024 Full View'!$K:$K,$B106,'2024 Full View'!B:B,"&lt;&gt;")+COUNTIFS('2024 Full View'!$F:$F,$B106,'2024 Full View'!B:B,"&lt;&gt;"))</f>
        <v>1</v>
      </c>
      <c r="D106" s="21" t="str">
        <f>IF(COUNTIFS('2024 Full View'!$K:$K,$B106,'2024 Full View'!C:C,"&lt;&gt;")+COUNTIFS('2024 Full View'!$F:$F,$B106,'2024 Full View'!C:C,"&lt;&gt;")=0,"",COUNTIFS('2024 Full View'!$K:$K,$B106,'2024 Full View'!C:C,"&lt;&gt;")+COUNTIFS('2024 Full View'!$F:$F,$B106,'2024 Full View'!C:C,"&lt;&gt;"))</f>
        <v/>
      </c>
      <c r="E106" s="21" t="str">
        <f>IF(COUNTIFS('2024 Full View'!$K:$K,$B106,'2024 Full View'!D:D,"&lt;&gt;")+COUNTIFS('2024 Full View'!$F:$F,$B106,'2024 Full View'!D:D,"&lt;&gt;")=0,"",COUNTIFS('2024 Full View'!$K:$K,$B106,'2024 Full View'!D:D,"&lt;&gt;")+COUNTIFS('2024 Full View'!$F:$F,$B106,'2024 Full View'!D:D,"&lt;&gt;"))</f>
        <v/>
      </c>
      <c r="F106" s="21" t="str">
        <f>IF(COUNTIFS('2024 Full View'!$K:$K,$B106,'2024 Full View'!E:E,"&lt;&gt;")+COUNTIFS('2024 Full View'!$F:$F,$B106,'2024 Full View'!E:E,"&lt;&gt;")=0,"",COUNTIFS('2024 Full View'!$K:$K,$B106,'2024 Full View'!E:E,"&lt;&gt;")+COUNTIFS('2024 Full View'!$F:$F,$B106,'2024 Full View'!E:E,"&lt;&gt;"))</f>
        <v/>
      </c>
      <c r="G106" s="21">
        <f t="shared" si="0"/>
        <v>1</v>
      </c>
    </row>
    <row r="107" spans="2:7" ht="13">
      <c r="B107" s="3" t="s">
        <v>465</v>
      </c>
      <c r="C107" s="21">
        <f>IF(COUNTIFS('2024 Full View'!$K:$K,$B107,'2024 Full View'!B:B,"&lt;&gt;")+COUNTIFS('2024 Full View'!$F:$F,$B107,'2024 Full View'!B:B,"&lt;&gt;")=0,"",COUNTIFS('2024 Full View'!$K:$K,$B107,'2024 Full View'!B:B,"&lt;&gt;")+COUNTIFS('2024 Full View'!$F:$F,$B107,'2024 Full View'!B:B,"&lt;&gt;"))</f>
        <v>1</v>
      </c>
      <c r="D107" s="21" t="str">
        <f>IF(COUNTIFS('2024 Full View'!$K:$K,$B107,'2024 Full View'!C:C,"&lt;&gt;")+COUNTIFS('2024 Full View'!$F:$F,$B107,'2024 Full View'!C:C,"&lt;&gt;")=0,"",COUNTIFS('2024 Full View'!$K:$K,$B107,'2024 Full View'!C:C,"&lt;&gt;")+COUNTIFS('2024 Full View'!$F:$F,$B107,'2024 Full View'!C:C,"&lt;&gt;"))</f>
        <v/>
      </c>
      <c r="E107" s="21" t="str">
        <f>IF(COUNTIFS('2024 Full View'!$K:$K,$B107,'2024 Full View'!D:D,"&lt;&gt;")+COUNTIFS('2024 Full View'!$F:$F,$B107,'2024 Full View'!D:D,"&lt;&gt;")=0,"",COUNTIFS('2024 Full View'!$K:$K,$B107,'2024 Full View'!D:D,"&lt;&gt;")+COUNTIFS('2024 Full View'!$F:$F,$B107,'2024 Full View'!D:D,"&lt;&gt;"))</f>
        <v/>
      </c>
      <c r="F107" s="21" t="str">
        <f>IF(COUNTIFS('2024 Full View'!$K:$K,$B107,'2024 Full View'!E:E,"&lt;&gt;")+COUNTIFS('2024 Full View'!$F:$F,$B107,'2024 Full View'!E:E,"&lt;&gt;")=0,"",COUNTIFS('2024 Full View'!$K:$K,$B107,'2024 Full View'!E:E,"&lt;&gt;")+COUNTIFS('2024 Full View'!$F:$F,$B107,'2024 Full View'!E:E,"&lt;&gt;"))</f>
        <v/>
      </c>
      <c r="G107" s="21">
        <f t="shared" si="0"/>
        <v>1</v>
      </c>
    </row>
    <row r="108" spans="2:7" ht="13">
      <c r="B108" s="3" t="s">
        <v>466</v>
      </c>
      <c r="C108" s="21">
        <f>IF(COUNTIFS('2024 Full View'!$K:$K,$B108,'2024 Full View'!B:B,"&lt;&gt;")+COUNTIFS('2024 Full View'!$F:$F,$B108,'2024 Full View'!B:B,"&lt;&gt;")=0,"",COUNTIFS('2024 Full View'!$K:$K,$B108,'2024 Full View'!B:B,"&lt;&gt;")+COUNTIFS('2024 Full View'!$F:$F,$B108,'2024 Full View'!B:B,"&lt;&gt;"))</f>
        <v>1</v>
      </c>
      <c r="D108" s="21" t="str">
        <f>IF(COUNTIFS('2024 Full View'!$K:$K,$B108,'2024 Full View'!C:C,"&lt;&gt;")+COUNTIFS('2024 Full View'!$F:$F,$B108,'2024 Full View'!C:C,"&lt;&gt;")=0,"",COUNTIFS('2024 Full View'!$K:$K,$B108,'2024 Full View'!C:C,"&lt;&gt;")+COUNTIFS('2024 Full View'!$F:$F,$B108,'2024 Full View'!C:C,"&lt;&gt;"))</f>
        <v/>
      </c>
      <c r="E108" s="21" t="str">
        <f>IF(COUNTIFS('2024 Full View'!$K:$K,$B108,'2024 Full View'!D:D,"&lt;&gt;")+COUNTIFS('2024 Full View'!$F:$F,$B108,'2024 Full View'!D:D,"&lt;&gt;")=0,"",COUNTIFS('2024 Full View'!$K:$K,$B108,'2024 Full View'!D:D,"&lt;&gt;")+COUNTIFS('2024 Full View'!$F:$F,$B108,'2024 Full View'!D:D,"&lt;&gt;"))</f>
        <v/>
      </c>
      <c r="F108" s="21" t="str">
        <f>IF(COUNTIFS('2024 Full View'!$K:$K,$B108,'2024 Full View'!E:E,"&lt;&gt;")+COUNTIFS('2024 Full View'!$F:$F,$B108,'2024 Full View'!E:E,"&lt;&gt;")=0,"",COUNTIFS('2024 Full View'!$K:$K,$B108,'2024 Full View'!E:E,"&lt;&gt;")+COUNTIFS('2024 Full View'!$F:$F,$B108,'2024 Full View'!E:E,"&lt;&gt;"))</f>
        <v/>
      </c>
      <c r="G108" s="21">
        <f t="shared" si="0"/>
        <v>1</v>
      </c>
    </row>
    <row r="109" spans="2:7" ht="13">
      <c r="B109" s="3" t="s">
        <v>467</v>
      </c>
      <c r="C109" s="21">
        <f>IF(COUNTIFS('2024 Full View'!$K:$K,$B109,'2024 Full View'!B:B,"&lt;&gt;")+COUNTIFS('2024 Full View'!$F:$F,$B109,'2024 Full View'!B:B,"&lt;&gt;")=0,"",COUNTIFS('2024 Full View'!$K:$K,$B109,'2024 Full View'!B:B,"&lt;&gt;")+COUNTIFS('2024 Full View'!$F:$F,$B109,'2024 Full View'!B:B,"&lt;&gt;"))</f>
        <v>1</v>
      </c>
      <c r="D109" s="21" t="str">
        <f>IF(COUNTIFS('2024 Full View'!$K:$K,$B109,'2024 Full View'!C:C,"&lt;&gt;")+COUNTIFS('2024 Full View'!$F:$F,$B109,'2024 Full View'!C:C,"&lt;&gt;")=0,"",COUNTIFS('2024 Full View'!$K:$K,$B109,'2024 Full View'!C:C,"&lt;&gt;")+COUNTIFS('2024 Full View'!$F:$F,$B109,'2024 Full View'!C:C,"&lt;&gt;"))</f>
        <v/>
      </c>
      <c r="E109" s="21" t="str">
        <f>IF(COUNTIFS('2024 Full View'!$K:$K,$B109,'2024 Full View'!D:D,"&lt;&gt;")+COUNTIFS('2024 Full View'!$F:$F,$B109,'2024 Full View'!D:D,"&lt;&gt;")=0,"",COUNTIFS('2024 Full View'!$K:$K,$B109,'2024 Full View'!D:D,"&lt;&gt;")+COUNTIFS('2024 Full View'!$F:$F,$B109,'2024 Full View'!D:D,"&lt;&gt;"))</f>
        <v/>
      </c>
      <c r="F109" s="21" t="str">
        <f>IF(COUNTIFS('2024 Full View'!$K:$K,$B109,'2024 Full View'!E:E,"&lt;&gt;")+COUNTIFS('2024 Full View'!$F:$F,$B109,'2024 Full View'!E:E,"&lt;&gt;")=0,"",COUNTIFS('2024 Full View'!$K:$K,$B109,'2024 Full View'!E:E,"&lt;&gt;")+COUNTIFS('2024 Full View'!$F:$F,$B109,'2024 Full View'!E:E,"&lt;&gt;"))</f>
        <v/>
      </c>
      <c r="G109" s="21">
        <f t="shared" si="0"/>
        <v>1</v>
      </c>
    </row>
    <row r="110" spans="2:7" ht="13">
      <c r="B110" s="3" t="s">
        <v>468</v>
      </c>
      <c r="C110" s="21">
        <f>IF(COUNTIFS('2024 Full View'!$K:$K,$B110,'2024 Full View'!B:B,"&lt;&gt;")+COUNTIFS('2024 Full View'!$F:$F,$B110,'2024 Full View'!B:B,"&lt;&gt;")=0,"",COUNTIFS('2024 Full View'!$K:$K,$B110,'2024 Full View'!B:B,"&lt;&gt;")+COUNTIFS('2024 Full View'!$F:$F,$B110,'2024 Full View'!B:B,"&lt;&gt;"))</f>
        <v>1</v>
      </c>
      <c r="D110" s="21" t="str">
        <f>IF(COUNTIFS('2024 Full View'!$K:$K,$B110,'2024 Full View'!C:C,"&lt;&gt;")+COUNTIFS('2024 Full View'!$F:$F,$B110,'2024 Full View'!C:C,"&lt;&gt;")=0,"",COUNTIFS('2024 Full View'!$K:$K,$B110,'2024 Full View'!C:C,"&lt;&gt;")+COUNTIFS('2024 Full View'!$F:$F,$B110,'2024 Full View'!C:C,"&lt;&gt;"))</f>
        <v/>
      </c>
      <c r="E110" s="21" t="str">
        <f>IF(COUNTIFS('2024 Full View'!$K:$K,$B110,'2024 Full View'!D:D,"&lt;&gt;")+COUNTIFS('2024 Full View'!$F:$F,$B110,'2024 Full View'!D:D,"&lt;&gt;")=0,"",COUNTIFS('2024 Full View'!$K:$K,$B110,'2024 Full View'!D:D,"&lt;&gt;")+COUNTIFS('2024 Full View'!$F:$F,$B110,'2024 Full View'!D:D,"&lt;&gt;"))</f>
        <v/>
      </c>
      <c r="F110" s="21" t="str">
        <f>IF(COUNTIFS('2024 Full View'!$K:$K,$B110,'2024 Full View'!E:E,"&lt;&gt;")+COUNTIFS('2024 Full View'!$F:$F,$B110,'2024 Full View'!E:E,"&lt;&gt;")=0,"",COUNTIFS('2024 Full View'!$K:$K,$B110,'2024 Full View'!E:E,"&lt;&gt;")+COUNTIFS('2024 Full View'!$F:$F,$B110,'2024 Full View'!E:E,"&lt;&gt;"))</f>
        <v/>
      </c>
      <c r="G110" s="21">
        <f t="shared" si="0"/>
        <v>1</v>
      </c>
    </row>
    <row r="111" spans="2:7" ht="13">
      <c r="B111" s="3" t="s">
        <v>469</v>
      </c>
      <c r="C111" s="21">
        <f>IF(COUNTIFS('2024 Full View'!$K:$K,$B111,'2024 Full View'!B:B,"&lt;&gt;")+COUNTIFS('2024 Full View'!$F:$F,$B111,'2024 Full View'!B:B,"&lt;&gt;")=0,"",COUNTIFS('2024 Full View'!$K:$K,$B111,'2024 Full View'!B:B,"&lt;&gt;")+COUNTIFS('2024 Full View'!$F:$F,$B111,'2024 Full View'!B:B,"&lt;&gt;"))</f>
        <v>1</v>
      </c>
      <c r="D111" s="21" t="str">
        <f>IF(COUNTIFS('2024 Full View'!$K:$K,$B111,'2024 Full View'!C:C,"&lt;&gt;")+COUNTIFS('2024 Full View'!$F:$F,$B111,'2024 Full View'!C:C,"&lt;&gt;")=0,"",COUNTIFS('2024 Full View'!$K:$K,$B111,'2024 Full View'!C:C,"&lt;&gt;")+COUNTIFS('2024 Full View'!$F:$F,$B111,'2024 Full View'!C:C,"&lt;&gt;"))</f>
        <v/>
      </c>
      <c r="E111" s="21" t="str">
        <f>IF(COUNTIFS('2024 Full View'!$K:$K,$B111,'2024 Full View'!D:D,"&lt;&gt;")+COUNTIFS('2024 Full View'!$F:$F,$B111,'2024 Full View'!D:D,"&lt;&gt;")=0,"",COUNTIFS('2024 Full View'!$K:$K,$B111,'2024 Full View'!D:D,"&lt;&gt;")+COUNTIFS('2024 Full View'!$F:$F,$B111,'2024 Full View'!D:D,"&lt;&gt;"))</f>
        <v/>
      </c>
      <c r="F111" s="21" t="str">
        <f>IF(COUNTIFS('2024 Full View'!$K:$K,$B111,'2024 Full View'!E:E,"&lt;&gt;")+COUNTIFS('2024 Full View'!$F:$F,$B111,'2024 Full View'!E:E,"&lt;&gt;")=0,"",COUNTIFS('2024 Full View'!$K:$K,$B111,'2024 Full View'!E:E,"&lt;&gt;")+COUNTIFS('2024 Full View'!$F:$F,$B111,'2024 Full View'!E:E,"&lt;&gt;"))</f>
        <v/>
      </c>
      <c r="G111" s="21">
        <f t="shared" si="0"/>
        <v>1</v>
      </c>
    </row>
    <row r="112" spans="2:7" ht="13">
      <c r="B112" s="3" t="s">
        <v>470</v>
      </c>
      <c r="C112" s="21" t="str">
        <f>IF(COUNTIFS('2024 Full View'!$K:$K,$B112,'2024 Full View'!B:B,"&lt;&gt;")+COUNTIFS('2024 Full View'!$F:$F,$B112,'2024 Full View'!B:B,"&lt;&gt;")=0,"",COUNTIFS('2024 Full View'!$K:$K,$B112,'2024 Full View'!B:B,"&lt;&gt;")+COUNTIFS('2024 Full View'!$F:$F,$B112,'2024 Full View'!B:B,"&lt;&gt;"))</f>
        <v/>
      </c>
      <c r="D112" s="21" t="str">
        <f>IF(COUNTIFS('2024 Full View'!$K:$K,$B112,'2024 Full View'!C:C,"&lt;&gt;")+COUNTIFS('2024 Full View'!$F:$F,$B112,'2024 Full View'!C:C,"&lt;&gt;")=0,"",COUNTIFS('2024 Full View'!$K:$K,$B112,'2024 Full View'!C:C,"&lt;&gt;")+COUNTIFS('2024 Full View'!$F:$F,$B112,'2024 Full View'!C:C,"&lt;&gt;"))</f>
        <v/>
      </c>
      <c r="E112" s="21" t="str">
        <f>IF(COUNTIFS('2024 Full View'!$K:$K,$B112,'2024 Full View'!D:D,"&lt;&gt;")+COUNTIFS('2024 Full View'!$F:$F,$B112,'2024 Full View'!D:D,"&lt;&gt;")=0,"",COUNTIFS('2024 Full View'!$K:$K,$B112,'2024 Full View'!D:D,"&lt;&gt;")+COUNTIFS('2024 Full View'!$F:$F,$B112,'2024 Full View'!D:D,"&lt;&gt;"))</f>
        <v/>
      </c>
      <c r="F112" s="21" t="str">
        <f>IF(COUNTIFS('2024 Full View'!$K:$K,$B112,'2024 Full View'!E:E,"&lt;&gt;")+COUNTIFS('2024 Full View'!$F:$F,$B112,'2024 Full View'!E:E,"&lt;&gt;")=0,"",COUNTIFS('2024 Full View'!$K:$K,$B112,'2024 Full View'!E:E,"&lt;&gt;")+COUNTIFS('2024 Full View'!$F:$F,$B112,'2024 Full View'!E:E,"&lt;&gt;"))</f>
        <v/>
      </c>
      <c r="G112" s="21">
        <f t="shared" si="0"/>
        <v>0</v>
      </c>
    </row>
    <row r="113" spans="2:7" ht="13">
      <c r="B113" s="3" t="s">
        <v>471</v>
      </c>
      <c r="C113" s="21">
        <f>IF(COUNTIFS('2024 Full View'!$K:$K,$B113,'2024 Full View'!B:B,"&lt;&gt;")+COUNTIFS('2024 Full View'!$F:$F,$B113,'2024 Full View'!B:B,"&lt;&gt;")=0,"",COUNTIFS('2024 Full View'!$K:$K,$B113,'2024 Full View'!B:B,"&lt;&gt;")+COUNTIFS('2024 Full View'!$F:$F,$B113,'2024 Full View'!B:B,"&lt;&gt;"))</f>
        <v>2</v>
      </c>
      <c r="D113" s="21" t="str">
        <f>IF(COUNTIFS('2024 Full View'!$K:$K,$B113,'2024 Full View'!C:C,"&lt;&gt;")+COUNTIFS('2024 Full View'!$F:$F,$B113,'2024 Full View'!C:C,"&lt;&gt;")=0,"",COUNTIFS('2024 Full View'!$K:$K,$B113,'2024 Full View'!C:C,"&lt;&gt;")+COUNTIFS('2024 Full View'!$F:$F,$B113,'2024 Full View'!C:C,"&lt;&gt;"))</f>
        <v/>
      </c>
      <c r="E113" s="21" t="str">
        <f>IF(COUNTIFS('2024 Full View'!$K:$K,$B113,'2024 Full View'!D:D,"&lt;&gt;")+COUNTIFS('2024 Full View'!$F:$F,$B113,'2024 Full View'!D:D,"&lt;&gt;")=0,"",COUNTIFS('2024 Full View'!$K:$K,$B113,'2024 Full View'!D:D,"&lt;&gt;")+COUNTIFS('2024 Full View'!$F:$F,$B113,'2024 Full View'!D:D,"&lt;&gt;"))</f>
        <v/>
      </c>
      <c r="F113" s="21">
        <f>IF(COUNTIFS('2024 Full View'!$K:$K,$B113,'2024 Full View'!E:E,"&lt;&gt;")+COUNTIFS('2024 Full View'!$F:$F,$B113,'2024 Full View'!E:E,"&lt;&gt;")=0,"",COUNTIFS('2024 Full View'!$K:$K,$B113,'2024 Full View'!E:E,"&lt;&gt;")+COUNTIFS('2024 Full View'!$F:$F,$B113,'2024 Full View'!E:E,"&lt;&gt;"))</f>
        <v>2</v>
      </c>
      <c r="G113" s="21">
        <f t="shared" si="0"/>
        <v>4</v>
      </c>
    </row>
    <row r="114" spans="2:7" ht="13">
      <c r="B114" s="3" t="s">
        <v>472</v>
      </c>
      <c r="C114" s="21">
        <f>IF(COUNTIFS('2024 Full View'!$K:$K,$B114,'2024 Full View'!B:B,"&lt;&gt;")+COUNTIFS('2024 Full View'!$F:$F,$B114,'2024 Full View'!B:B,"&lt;&gt;")=0,"",COUNTIFS('2024 Full View'!$K:$K,$B114,'2024 Full View'!B:B,"&lt;&gt;")+COUNTIFS('2024 Full View'!$F:$F,$B114,'2024 Full View'!B:B,"&lt;&gt;"))</f>
        <v>2</v>
      </c>
      <c r="D114" s="21" t="str">
        <f>IF(COUNTIFS('2024 Full View'!$K:$K,$B114,'2024 Full View'!C:C,"&lt;&gt;")+COUNTIFS('2024 Full View'!$F:$F,$B114,'2024 Full View'!C:C,"&lt;&gt;")=0,"",COUNTIFS('2024 Full View'!$K:$K,$B114,'2024 Full View'!C:C,"&lt;&gt;")+COUNTIFS('2024 Full View'!$F:$F,$B114,'2024 Full View'!C:C,"&lt;&gt;"))</f>
        <v/>
      </c>
      <c r="E114" s="21" t="str">
        <f>IF(COUNTIFS('2024 Full View'!$K:$K,$B114,'2024 Full View'!D:D,"&lt;&gt;")+COUNTIFS('2024 Full View'!$F:$F,$B114,'2024 Full View'!D:D,"&lt;&gt;")=0,"",COUNTIFS('2024 Full View'!$K:$K,$B114,'2024 Full View'!D:D,"&lt;&gt;")+COUNTIFS('2024 Full View'!$F:$F,$B114,'2024 Full View'!D:D,"&lt;&gt;"))</f>
        <v/>
      </c>
      <c r="F114" s="21" t="str">
        <f>IF(COUNTIFS('2024 Full View'!$K:$K,$B114,'2024 Full View'!E:E,"&lt;&gt;")+COUNTIFS('2024 Full View'!$F:$F,$B114,'2024 Full View'!E:E,"&lt;&gt;")=0,"",COUNTIFS('2024 Full View'!$K:$K,$B114,'2024 Full View'!E:E,"&lt;&gt;")+COUNTIFS('2024 Full View'!$F:$F,$B114,'2024 Full View'!E:E,"&lt;&gt;"))</f>
        <v/>
      </c>
      <c r="G114" s="21">
        <f t="shared" si="0"/>
        <v>2</v>
      </c>
    </row>
    <row r="115" spans="2:7" ht="13">
      <c r="B115" s="3" t="s">
        <v>473</v>
      </c>
      <c r="C115" s="21">
        <f>IF(COUNTIFS('2024 Full View'!$K:$K,$B115,'2024 Full View'!B:B,"&lt;&gt;")+COUNTIFS('2024 Full View'!$F:$F,$B115,'2024 Full View'!B:B,"&lt;&gt;")=0,"",COUNTIFS('2024 Full View'!$K:$K,$B115,'2024 Full View'!B:B,"&lt;&gt;")+COUNTIFS('2024 Full View'!$F:$F,$B115,'2024 Full View'!B:B,"&lt;&gt;"))</f>
        <v>2</v>
      </c>
      <c r="D115" s="21" t="str">
        <f>IF(COUNTIFS('2024 Full View'!$K:$K,$B115,'2024 Full View'!C:C,"&lt;&gt;")+COUNTIFS('2024 Full View'!$F:$F,$B115,'2024 Full View'!C:C,"&lt;&gt;")=0,"",COUNTIFS('2024 Full View'!$K:$K,$B115,'2024 Full View'!C:C,"&lt;&gt;")+COUNTIFS('2024 Full View'!$F:$F,$B115,'2024 Full View'!C:C,"&lt;&gt;"))</f>
        <v/>
      </c>
      <c r="E115" s="21" t="str">
        <f>IF(COUNTIFS('2024 Full View'!$K:$K,$B115,'2024 Full View'!D:D,"&lt;&gt;")+COUNTIFS('2024 Full View'!$F:$F,$B115,'2024 Full View'!D:D,"&lt;&gt;")=0,"",COUNTIFS('2024 Full View'!$K:$K,$B115,'2024 Full View'!D:D,"&lt;&gt;")+COUNTIFS('2024 Full View'!$F:$F,$B115,'2024 Full View'!D:D,"&lt;&gt;"))</f>
        <v/>
      </c>
      <c r="F115" s="21" t="str">
        <f>IF(COUNTIFS('2024 Full View'!$K:$K,$B115,'2024 Full View'!E:E,"&lt;&gt;")+COUNTIFS('2024 Full View'!$F:$F,$B115,'2024 Full View'!E:E,"&lt;&gt;")=0,"",COUNTIFS('2024 Full View'!$K:$K,$B115,'2024 Full View'!E:E,"&lt;&gt;")+COUNTIFS('2024 Full View'!$F:$F,$B115,'2024 Full View'!E:E,"&lt;&gt;"))</f>
        <v/>
      </c>
      <c r="G115" s="21">
        <f t="shared" si="0"/>
        <v>2</v>
      </c>
    </row>
    <row r="116" spans="2:7" ht="13">
      <c r="B116" s="3" t="s">
        <v>474</v>
      </c>
      <c r="C116" s="21">
        <f>IF(COUNTIFS('2024 Full View'!$K:$K,$B116,'2024 Full View'!B:B,"&lt;&gt;")+COUNTIFS('2024 Full View'!$F:$F,$B116,'2024 Full View'!B:B,"&lt;&gt;")=0,"",COUNTIFS('2024 Full View'!$K:$K,$B116,'2024 Full View'!B:B,"&lt;&gt;")+COUNTIFS('2024 Full View'!$F:$F,$B116,'2024 Full View'!B:B,"&lt;&gt;"))</f>
        <v>2</v>
      </c>
      <c r="D116" s="21" t="str">
        <f>IF(COUNTIFS('2024 Full View'!$K:$K,$B116,'2024 Full View'!C:C,"&lt;&gt;")+COUNTIFS('2024 Full View'!$F:$F,$B116,'2024 Full View'!C:C,"&lt;&gt;")=0,"",COUNTIFS('2024 Full View'!$K:$K,$B116,'2024 Full View'!C:C,"&lt;&gt;")+COUNTIFS('2024 Full View'!$F:$F,$B116,'2024 Full View'!C:C,"&lt;&gt;"))</f>
        <v/>
      </c>
      <c r="E116" s="21" t="str">
        <f>IF(COUNTIFS('2024 Full View'!$K:$K,$B116,'2024 Full View'!D:D,"&lt;&gt;")+COUNTIFS('2024 Full View'!$F:$F,$B116,'2024 Full View'!D:D,"&lt;&gt;")=0,"",COUNTIFS('2024 Full View'!$K:$K,$B116,'2024 Full View'!D:D,"&lt;&gt;")+COUNTIFS('2024 Full View'!$F:$F,$B116,'2024 Full View'!D:D,"&lt;&gt;"))</f>
        <v/>
      </c>
      <c r="F116" s="21" t="str">
        <f>IF(COUNTIFS('2024 Full View'!$K:$K,$B116,'2024 Full View'!E:E,"&lt;&gt;")+COUNTIFS('2024 Full View'!$F:$F,$B116,'2024 Full View'!E:E,"&lt;&gt;")=0,"",COUNTIFS('2024 Full View'!$K:$K,$B116,'2024 Full View'!E:E,"&lt;&gt;")+COUNTIFS('2024 Full View'!$F:$F,$B116,'2024 Full View'!E:E,"&lt;&gt;"))</f>
        <v/>
      </c>
      <c r="G116" s="21">
        <f t="shared" si="0"/>
        <v>2</v>
      </c>
    </row>
    <row r="117" spans="2:7" ht="13">
      <c r="B117" s="3" t="s">
        <v>475</v>
      </c>
      <c r="C117" s="21">
        <f>IF(COUNTIFS('2024 Full View'!$K:$K,$B117,'2024 Full View'!B:B,"&lt;&gt;")+COUNTIFS('2024 Full View'!$F:$F,$B117,'2024 Full View'!B:B,"&lt;&gt;")=0,"",COUNTIFS('2024 Full View'!$K:$K,$B117,'2024 Full View'!B:B,"&lt;&gt;")+COUNTIFS('2024 Full View'!$F:$F,$B117,'2024 Full View'!B:B,"&lt;&gt;"))</f>
        <v>2</v>
      </c>
      <c r="D117" s="21" t="str">
        <f>IF(COUNTIFS('2024 Full View'!$K:$K,$B117,'2024 Full View'!C:C,"&lt;&gt;")+COUNTIFS('2024 Full View'!$F:$F,$B117,'2024 Full View'!C:C,"&lt;&gt;")=0,"",COUNTIFS('2024 Full View'!$K:$K,$B117,'2024 Full View'!C:C,"&lt;&gt;")+COUNTIFS('2024 Full View'!$F:$F,$B117,'2024 Full View'!C:C,"&lt;&gt;"))</f>
        <v/>
      </c>
      <c r="E117" s="21" t="str">
        <f>IF(COUNTIFS('2024 Full View'!$K:$K,$B117,'2024 Full View'!D:D,"&lt;&gt;")+COUNTIFS('2024 Full View'!$F:$F,$B117,'2024 Full View'!D:D,"&lt;&gt;")=0,"",COUNTIFS('2024 Full View'!$K:$K,$B117,'2024 Full View'!D:D,"&lt;&gt;")+COUNTIFS('2024 Full View'!$F:$F,$B117,'2024 Full View'!D:D,"&lt;&gt;"))</f>
        <v/>
      </c>
      <c r="F117" s="21" t="str">
        <f>IF(COUNTIFS('2024 Full View'!$K:$K,$B117,'2024 Full View'!E:E,"&lt;&gt;")+COUNTIFS('2024 Full View'!$F:$F,$B117,'2024 Full View'!E:E,"&lt;&gt;")=0,"",COUNTIFS('2024 Full View'!$K:$K,$B117,'2024 Full View'!E:E,"&lt;&gt;")+COUNTIFS('2024 Full View'!$F:$F,$B117,'2024 Full View'!E:E,"&lt;&gt;"))</f>
        <v/>
      </c>
      <c r="G117" s="21">
        <f t="shared" si="0"/>
        <v>2</v>
      </c>
    </row>
    <row r="118" spans="2:7" ht="13">
      <c r="B118" s="3" t="s">
        <v>476</v>
      </c>
      <c r="C118" s="21">
        <f>IF(COUNTIFS('2024 Full View'!$K:$K,$B118,'2024 Full View'!B:B,"&lt;&gt;")+COUNTIFS('2024 Full View'!$F:$F,$B118,'2024 Full View'!B:B,"&lt;&gt;")=0,"",COUNTIFS('2024 Full View'!$K:$K,$B118,'2024 Full View'!B:B,"&lt;&gt;")+COUNTIFS('2024 Full View'!$F:$F,$B118,'2024 Full View'!B:B,"&lt;&gt;"))</f>
        <v>2</v>
      </c>
      <c r="D118" s="21" t="str">
        <f>IF(COUNTIFS('2024 Full View'!$K:$K,$B118,'2024 Full View'!C:C,"&lt;&gt;")+COUNTIFS('2024 Full View'!$F:$F,$B118,'2024 Full View'!C:C,"&lt;&gt;")=0,"",COUNTIFS('2024 Full View'!$K:$K,$B118,'2024 Full View'!C:C,"&lt;&gt;")+COUNTIFS('2024 Full View'!$F:$F,$B118,'2024 Full View'!C:C,"&lt;&gt;"))</f>
        <v/>
      </c>
      <c r="E118" s="21" t="str">
        <f>IF(COUNTIFS('2024 Full View'!$K:$K,$B118,'2024 Full View'!D:D,"&lt;&gt;")+COUNTIFS('2024 Full View'!$F:$F,$B118,'2024 Full View'!D:D,"&lt;&gt;")=0,"",COUNTIFS('2024 Full View'!$K:$K,$B118,'2024 Full View'!D:D,"&lt;&gt;")+COUNTIFS('2024 Full View'!$F:$F,$B118,'2024 Full View'!D:D,"&lt;&gt;"))</f>
        <v/>
      </c>
      <c r="F118" s="21" t="str">
        <f>IF(COUNTIFS('2024 Full View'!$K:$K,$B118,'2024 Full View'!E:E,"&lt;&gt;")+COUNTIFS('2024 Full View'!$F:$F,$B118,'2024 Full View'!E:E,"&lt;&gt;")=0,"",COUNTIFS('2024 Full View'!$K:$K,$B118,'2024 Full View'!E:E,"&lt;&gt;")+COUNTIFS('2024 Full View'!$F:$F,$B118,'2024 Full View'!E:E,"&lt;&gt;"))</f>
        <v/>
      </c>
      <c r="G118" s="21">
        <f t="shared" si="0"/>
        <v>2</v>
      </c>
    </row>
    <row r="119" spans="2:7" ht="13">
      <c r="B119" s="3" t="s">
        <v>477</v>
      </c>
      <c r="C119" s="21">
        <f>IF(COUNTIFS('2024 Full View'!$K:$K,$B119,'2024 Full View'!B:B,"&lt;&gt;")+COUNTIFS('2024 Full View'!$F:$F,$B119,'2024 Full View'!B:B,"&lt;&gt;")=0,"",COUNTIFS('2024 Full View'!$K:$K,$B119,'2024 Full View'!B:B,"&lt;&gt;")+COUNTIFS('2024 Full View'!$F:$F,$B119,'2024 Full View'!B:B,"&lt;&gt;"))</f>
        <v>2</v>
      </c>
      <c r="D119" s="21" t="str">
        <f>IF(COUNTIFS('2024 Full View'!$K:$K,$B119,'2024 Full View'!C:C,"&lt;&gt;")+COUNTIFS('2024 Full View'!$F:$F,$B119,'2024 Full View'!C:C,"&lt;&gt;")=0,"",COUNTIFS('2024 Full View'!$K:$K,$B119,'2024 Full View'!C:C,"&lt;&gt;")+COUNTIFS('2024 Full View'!$F:$F,$B119,'2024 Full View'!C:C,"&lt;&gt;"))</f>
        <v/>
      </c>
      <c r="E119" s="21" t="str">
        <f>IF(COUNTIFS('2024 Full View'!$K:$K,$B119,'2024 Full View'!D:D,"&lt;&gt;")+COUNTIFS('2024 Full View'!$F:$F,$B119,'2024 Full View'!D:D,"&lt;&gt;")=0,"",COUNTIFS('2024 Full View'!$K:$K,$B119,'2024 Full View'!D:D,"&lt;&gt;")+COUNTIFS('2024 Full View'!$F:$F,$B119,'2024 Full View'!D:D,"&lt;&gt;"))</f>
        <v/>
      </c>
      <c r="F119" s="21" t="str">
        <f>IF(COUNTIFS('2024 Full View'!$K:$K,$B119,'2024 Full View'!E:E,"&lt;&gt;")+COUNTIFS('2024 Full View'!$F:$F,$B119,'2024 Full View'!E:E,"&lt;&gt;")=0,"",COUNTIFS('2024 Full View'!$K:$K,$B119,'2024 Full View'!E:E,"&lt;&gt;")+COUNTIFS('2024 Full View'!$F:$F,$B119,'2024 Full View'!E:E,"&lt;&gt;"))</f>
        <v/>
      </c>
      <c r="G119" s="21">
        <f t="shared" si="0"/>
        <v>2</v>
      </c>
    </row>
    <row r="120" spans="2:7" ht="13">
      <c r="B120" s="3" t="s">
        <v>478</v>
      </c>
      <c r="C120" s="21">
        <f>IF(COUNTIFS('2024 Full View'!$K:$K,$B120,'2024 Full View'!B:B,"&lt;&gt;")+COUNTIFS('2024 Full View'!$F:$F,$B120,'2024 Full View'!B:B,"&lt;&gt;")=0,"",COUNTIFS('2024 Full View'!$K:$K,$B120,'2024 Full View'!B:B,"&lt;&gt;")+COUNTIFS('2024 Full View'!$F:$F,$B120,'2024 Full View'!B:B,"&lt;&gt;"))</f>
        <v>2</v>
      </c>
      <c r="D120" s="21" t="str">
        <f>IF(COUNTIFS('2024 Full View'!$K:$K,$B120,'2024 Full View'!C:C,"&lt;&gt;")+COUNTIFS('2024 Full View'!$F:$F,$B120,'2024 Full View'!C:C,"&lt;&gt;")=0,"",COUNTIFS('2024 Full View'!$K:$K,$B120,'2024 Full View'!C:C,"&lt;&gt;")+COUNTIFS('2024 Full View'!$F:$F,$B120,'2024 Full View'!C:C,"&lt;&gt;"))</f>
        <v/>
      </c>
      <c r="E120" s="21" t="str">
        <f>IF(COUNTIFS('2024 Full View'!$K:$K,$B120,'2024 Full View'!D:D,"&lt;&gt;")+COUNTIFS('2024 Full View'!$F:$F,$B120,'2024 Full View'!D:D,"&lt;&gt;")=0,"",COUNTIFS('2024 Full View'!$K:$K,$B120,'2024 Full View'!D:D,"&lt;&gt;")+COUNTIFS('2024 Full View'!$F:$F,$B120,'2024 Full View'!D:D,"&lt;&gt;"))</f>
        <v/>
      </c>
      <c r="F120" s="21" t="str">
        <f>IF(COUNTIFS('2024 Full View'!$K:$K,$B120,'2024 Full View'!E:E,"&lt;&gt;")+COUNTIFS('2024 Full View'!$F:$F,$B120,'2024 Full View'!E:E,"&lt;&gt;")=0,"",COUNTIFS('2024 Full View'!$K:$K,$B120,'2024 Full View'!E:E,"&lt;&gt;")+COUNTIFS('2024 Full View'!$F:$F,$B120,'2024 Full View'!E:E,"&lt;&gt;"))</f>
        <v/>
      </c>
      <c r="G120" s="21">
        <f t="shared" si="0"/>
        <v>2</v>
      </c>
    </row>
    <row r="121" spans="2:7" ht="13">
      <c r="B121" s="3" t="s">
        <v>479</v>
      </c>
      <c r="C121" s="21">
        <f>IF(COUNTIFS('2024 Full View'!$K:$K,$B121,'2024 Full View'!B:B,"&lt;&gt;")+COUNTIFS('2024 Full View'!$F:$F,$B121,'2024 Full View'!B:B,"&lt;&gt;")=0,"",COUNTIFS('2024 Full View'!$K:$K,$B121,'2024 Full View'!B:B,"&lt;&gt;")+COUNTIFS('2024 Full View'!$F:$F,$B121,'2024 Full View'!B:B,"&lt;&gt;"))</f>
        <v>2</v>
      </c>
      <c r="D121" s="21" t="str">
        <f>IF(COUNTIFS('2024 Full View'!$K:$K,$B121,'2024 Full View'!C:C,"&lt;&gt;")+COUNTIFS('2024 Full View'!$F:$F,$B121,'2024 Full View'!C:C,"&lt;&gt;")=0,"",COUNTIFS('2024 Full View'!$K:$K,$B121,'2024 Full View'!C:C,"&lt;&gt;")+COUNTIFS('2024 Full View'!$F:$F,$B121,'2024 Full View'!C:C,"&lt;&gt;"))</f>
        <v/>
      </c>
      <c r="E121" s="21" t="str">
        <f>IF(COUNTIFS('2024 Full View'!$K:$K,$B121,'2024 Full View'!D:D,"&lt;&gt;")+COUNTIFS('2024 Full View'!$F:$F,$B121,'2024 Full View'!D:D,"&lt;&gt;")=0,"",COUNTIFS('2024 Full View'!$K:$K,$B121,'2024 Full View'!D:D,"&lt;&gt;")+COUNTIFS('2024 Full View'!$F:$F,$B121,'2024 Full View'!D:D,"&lt;&gt;"))</f>
        <v/>
      </c>
      <c r="F121" s="21" t="str">
        <f>IF(COUNTIFS('2024 Full View'!$K:$K,$B121,'2024 Full View'!E:E,"&lt;&gt;")+COUNTIFS('2024 Full View'!$F:$F,$B121,'2024 Full View'!E:E,"&lt;&gt;")=0,"",COUNTIFS('2024 Full View'!$K:$K,$B121,'2024 Full View'!E:E,"&lt;&gt;")+COUNTIFS('2024 Full View'!$F:$F,$B121,'2024 Full View'!E:E,"&lt;&gt;"))</f>
        <v/>
      </c>
      <c r="G121" s="21">
        <f t="shared" si="0"/>
        <v>2</v>
      </c>
    </row>
    <row r="122" spans="2:7" ht="13">
      <c r="B122" s="3" t="s">
        <v>480</v>
      </c>
      <c r="C122" s="21">
        <f>IF(COUNTIFS('2024 Full View'!$K:$K,$B122,'2024 Full View'!B:B,"&lt;&gt;")+COUNTIFS('2024 Full View'!$F:$F,$B122,'2024 Full View'!B:B,"&lt;&gt;")=0,"",COUNTIFS('2024 Full View'!$K:$K,$B122,'2024 Full View'!B:B,"&lt;&gt;")+COUNTIFS('2024 Full View'!$F:$F,$B122,'2024 Full View'!B:B,"&lt;&gt;"))</f>
        <v>3</v>
      </c>
      <c r="D122" s="21" t="str">
        <f>IF(COUNTIFS('2024 Full View'!$K:$K,$B122,'2024 Full View'!C:C,"&lt;&gt;")+COUNTIFS('2024 Full View'!$F:$F,$B122,'2024 Full View'!C:C,"&lt;&gt;")=0,"",COUNTIFS('2024 Full View'!$K:$K,$B122,'2024 Full View'!C:C,"&lt;&gt;")+COUNTIFS('2024 Full View'!$F:$F,$B122,'2024 Full View'!C:C,"&lt;&gt;"))</f>
        <v/>
      </c>
      <c r="E122" s="21" t="str">
        <f>IF(COUNTIFS('2024 Full View'!$K:$K,$B122,'2024 Full View'!D:D,"&lt;&gt;")+COUNTIFS('2024 Full View'!$F:$F,$B122,'2024 Full View'!D:D,"&lt;&gt;")=0,"",COUNTIFS('2024 Full View'!$K:$K,$B122,'2024 Full View'!D:D,"&lt;&gt;")+COUNTIFS('2024 Full View'!$F:$F,$B122,'2024 Full View'!D:D,"&lt;&gt;"))</f>
        <v/>
      </c>
      <c r="F122" s="21">
        <f>IF(COUNTIFS('2024 Full View'!$K:$K,$B122,'2024 Full View'!E:E,"&lt;&gt;")+COUNTIFS('2024 Full View'!$F:$F,$B122,'2024 Full View'!E:E,"&lt;&gt;")=0,"",COUNTIFS('2024 Full View'!$K:$K,$B122,'2024 Full View'!E:E,"&lt;&gt;")+COUNTIFS('2024 Full View'!$F:$F,$B122,'2024 Full View'!E:E,"&lt;&gt;"))</f>
        <v>3</v>
      </c>
      <c r="G122" s="21">
        <f t="shared" si="0"/>
        <v>6</v>
      </c>
    </row>
    <row r="123" spans="2:7" ht="13">
      <c r="B123" s="3" t="s">
        <v>481</v>
      </c>
      <c r="C123" s="21">
        <f>IF(COUNTIFS('2024 Full View'!$K:$K,$B123,'2024 Full View'!B:B,"&lt;&gt;")+COUNTIFS('2024 Full View'!$F:$F,$B123,'2024 Full View'!B:B,"&lt;&gt;")=0,"",COUNTIFS('2024 Full View'!$K:$K,$B123,'2024 Full View'!B:B,"&lt;&gt;")+COUNTIFS('2024 Full View'!$F:$F,$B123,'2024 Full View'!B:B,"&lt;&gt;"))</f>
        <v>3</v>
      </c>
      <c r="D123" s="21" t="str">
        <f>IF(COUNTIFS('2024 Full View'!$K:$K,$B123,'2024 Full View'!C:C,"&lt;&gt;")+COUNTIFS('2024 Full View'!$F:$F,$B123,'2024 Full View'!C:C,"&lt;&gt;")=0,"",COUNTIFS('2024 Full View'!$K:$K,$B123,'2024 Full View'!C:C,"&lt;&gt;")+COUNTIFS('2024 Full View'!$F:$F,$B123,'2024 Full View'!C:C,"&lt;&gt;"))</f>
        <v/>
      </c>
      <c r="E123" s="21" t="str">
        <f>IF(COUNTIFS('2024 Full View'!$K:$K,$B123,'2024 Full View'!D:D,"&lt;&gt;")+COUNTIFS('2024 Full View'!$F:$F,$B123,'2024 Full View'!D:D,"&lt;&gt;")=0,"",COUNTIFS('2024 Full View'!$K:$K,$B123,'2024 Full View'!D:D,"&lt;&gt;")+COUNTIFS('2024 Full View'!$F:$F,$B123,'2024 Full View'!D:D,"&lt;&gt;"))</f>
        <v/>
      </c>
      <c r="F123" s="21" t="str">
        <f>IF(COUNTIFS('2024 Full View'!$K:$K,$B123,'2024 Full View'!E:E,"&lt;&gt;")+COUNTIFS('2024 Full View'!$F:$F,$B123,'2024 Full View'!E:E,"&lt;&gt;")=0,"",COUNTIFS('2024 Full View'!$K:$K,$B123,'2024 Full View'!E:E,"&lt;&gt;")+COUNTIFS('2024 Full View'!$F:$F,$B123,'2024 Full View'!E:E,"&lt;&gt;"))</f>
        <v/>
      </c>
      <c r="G123" s="21">
        <f t="shared" si="0"/>
        <v>3</v>
      </c>
    </row>
    <row r="124" spans="2:7" ht="13">
      <c r="B124" s="3" t="s">
        <v>482</v>
      </c>
      <c r="C124" s="21">
        <f>IF(COUNTIFS('2024 Full View'!$K:$K,$B124,'2024 Full View'!B:B,"&lt;&gt;")+COUNTIFS('2024 Full View'!$F:$F,$B124,'2024 Full View'!B:B,"&lt;&gt;")=0,"",COUNTIFS('2024 Full View'!$K:$K,$B124,'2024 Full View'!B:B,"&lt;&gt;")+COUNTIFS('2024 Full View'!$F:$F,$B124,'2024 Full View'!B:B,"&lt;&gt;"))</f>
        <v>6</v>
      </c>
      <c r="D124" s="21" t="str">
        <f>IF(COUNTIFS('2024 Full View'!$K:$K,$B124,'2024 Full View'!C:C,"&lt;&gt;")+COUNTIFS('2024 Full View'!$F:$F,$B124,'2024 Full View'!C:C,"&lt;&gt;")=0,"",COUNTIFS('2024 Full View'!$K:$K,$B124,'2024 Full View'!C:C,"&lt;&gt;")+COUNTIFS('2024 Full View'!$F:$F,$B124,'2024 Full View'!C:C,"&lt;&gt;"))</f>
        <v/>
      </c>
      <c r="E124" s="21" t="str">
        <f>IF(COUNTIFS('2024 Full View'!$K:$K,$B124,'2024 Full View'!D:D,"&lt;&gt;")+COUNTIFS('2024 Full View'!$F:$F,$B124,'2024 Full View'!D:D,"&lt;&gt;")=0,"",COUNTIFS('2024 Full View'!$K:$K,$B124,'2024 Full View'!D:D,"&lt;&gt;")+COUNTIFS('2024 Full View'!$F:$F,$B124,'2024 Full View'!D:D,"&lt;&gt;"))</f>
        <v/>
      </c>
      <c r="F124" s="21" t="str">
        <f>IF(COUNTIFS('2024 Full View'!$K:$K,$B124,'2024 Full View'!E:E,"&lt;&gt;")+COUNTIFS('2024 Full View'!$F:$F,$B124,'2024 Full View'!E:E,"&lt;&gt;")=0,"",COUNTIFS('2024 Full View'!$K:$K,$B124,'2024 Full View'!E:E,"&lt;&gt;")+COUNTIFS('2024 Full View'!$F:$F,$B124,'2024 Full View'!E:E,"&lt;&gt;"))</f>
        <v/>
      </c>
      <c r="G124" s="21">
        <f t="shared" si="0"/>
        <v>6</v>
      </c>
    </row>
    <row r="125" spans="2:7" ht="13">
      <c r="B125" s="3" t="s">
        <v>483</v>
      </c>
      <c r="C125" s="21">
        <f>IF(COUNTIFS('2024 Full View'!$K:$K,$B125,'2024 Full View'!B:B,"&lt;&gt;")+COUNTIFS('2024 Full View'!$F:$F,$B125,'2024 Full View'!B:B,"&lt;&gt;")=0,"",COUNTIFS('2024 Full View'!$K:$K,$B125,'2024 Full View'!B:B,"&lt;&gt;")+COUNTIFS('2024 Full View'!$F:$F,$B125,'2024 Full View'!B:B,"&lt;&gt;"))</f>
        <v>12</v>
      </c>
      <c r="D125" s="21" t="str">
        <f>IF(COUNTIFS('2024 Full View'!$K:$K,$B125,'2024 Full View'!C:C,"&lt;&gt;")+COUNTIFS('2024 Full View'!$F:$F,$B125,'2024 Full View'!C:C,"&lt;&gt;")=0,"",COUNTIFS('2024 Full View'!$K:$K,$B125,'2024 Full View'!C:C,"&lt;&gt;")+COUNTIFS('2024 Full View'!$F:$F,$B125,'2024 Full View'!C:C,"&lt;&gt;"))</f>
        <v/>
      </c>
      <c r="E125" s="21" t="str">
        <f>IF(COUNTIFS('2024 Full View'!$K:$K,$B125,'2024 Full View'!D:D,"&lt;&gt;")+COUNTIFS('2024 Full View'!$F:$F,$B125,'2024 Full View'!D:D,"&lt;&gt;")=0,"",COUNTIFS('2024 Full View'!$K:$K,$B125,'2024 Full View'!D:D,"&lt;&gt;")+COUNTIFS('2024 Full View'!$F:$F,$B125,'2024 Full View'!D:D,"&lt;&gt;"))</f>
        <v/>
      </c>
      <c r="F125" s="21" t="str">
        <f>IF(COUNTIFS('2024 Full View'!$K:$K,$B125,'2024 Full View'!E:E,"&lt;&gt;")+COUNTIFS('2024 Full View'!$F:$F,$B125,'2024 Full View'!E:E,"&lt;&gt;")=0,"",COUNTIFS('2024 Full View'!$K:$K,$B125,'2024 Full View'!E:E,"&lt;&gt;")+COUNTIFS('2024 Full View'!$F:$F,$B125,'2024 Full View'!E:E,"&lt;&gt;"))</f>
        <v/>
      </c>
      <c r="G125" s="21">
        <f t="shared" si="0"/>
        <v>12</v>
      </c>
    </row>
    <row r="126" spans="2:7" ht="13">
      <c r="B126" s="3" t="s">
        <v>484</v>
      </c>
      <c r="C126" s="21" t="str">
        <f>IF(COUNTIFS('2024 Full View'!$K:$K,$B126,'2024 Full View'!B:B,"&lt;&gt;")+COUNTIFS('2024 Full View'!$F:$F,$B126,'2024 Full View'!B:B,"&lt;&gt;")=0,"",COUNTIFS('2024 Full View'!$K:$K,$B126,'2024 Full View'!B:B,"&lt;&gt;")+COUNTIFS('2024 Full View'!$F:$F,$B126,'2024 Full View'!B:B,"&lt;&gt;"))</f>
        <v/>
      </c>
      <c r="D126" s="21" t="str">
        <f>IF(COUNTIFS('2024 Full View'!$K:$K,$B126,'2024 Full View'!C:C,"&lt;&gt;")+COUNTIFS('2024 Full View'!$F:$F,$B126,'2024 Full View'!C:C,"&lt;&gt;")=0,"",COUNTIFS('2024 Full View'!$K:$K,$B126,'2024 Full View'!C:C,"&lt;&gt;")+COUNTIFS('2024 Full View'!$F:$F,$B126,'2024 Full View'!C:C,"&lt;&gt;"))</f>
        <v/>
      </c>
      <c r="E126" s="21">
        <f>IF(COUNTIFS('2024 Full View'!$K:$K,$B126,'2024 Full View'!D:D,"&lt;&gt;")+COUNTIFS('2024 Full View'!$F:$F,$B126,'2024 Full View'!D:D,"&lt;&gt;")=0,"",COUNTIFS('2024 Full View'!$K:$K,$B126,'2024 Full View'!D:D,"&lt;&gt;")+COUNTIFS('2024 Full View'!$F:$F,$B126,'2024 Full View'!D:D,"&lt;&gt;"))</f>
        <v>1</v>
      </c>
      <c r="F126" s="21">
        <f>IF(COUNTIFS('2024 Full View'!$K:$K,$B126,'2024 Full View'!E:E,"&lt;&gt;")+COUNTIFS('2024 Full View'!$F:$F,$B126,'2024 Full View'!E:E,"&lt;&gt;")=0,"",COUNTIFS('2024 Full View'!$K:$K,$B126,'2024 Full View'!E:E,"&lt;&gt;")+COUNTIFS('2024 Full View'!$F:$F,$B126,'2024 Full View'!E:E,"&lt;&gt;"))</f>
        <v>5</v>
      </c>
      <c r="G126" s="21">
        <f t="shared" si="0"/>
        <v>6</v>
      </c>
    </row>
    <row r="127" spans="2:7" ht="13">
      <c r="B127" s="3" t="s">
        <v>485</v>
      </c>
      <c r="C127" s="21" t="str">
        <f>IF(COUNTIFS('2024 Full View'!$K:$K,$B127,'2024 Full View'!B:B,"&lt;&gt;")+COUNTIFS('2024 Full View'!$F:$F,$B127,'2024 Full View'!B:B,"&lt;&gt;")=0,"",COUNTIFS('2024 Full View'!$K:$K,$B127,'2024 Full View'!B:B,"&lt;&gt;")+COUNTIFS('2024 Full View'!$F:$F,$B127,'2024 Full View'!B:B,"&lt;&gt;"))</f>
        <v/>
      </c>
      <c r="D127" s="21" t="str">
        <f>IF(COUNTIFS('2024 Full View'!$K:$K,$B127,'2024 Full View'!C:C,"&lt;&gt;")+COUNTIFS('2024 Full View'!$F:$F,$B127,'2024 Full View'!C:C,"&lt;&gt;")=0,"",COUNTIFS('2024 Full View'!$K:$K,$B127,'2024 Full View'!C:C,"&lt;&gt;")+COUNTIFS('2024 Full View'!$F:$F,$B127,'2024 Full View'!C:C,"&lt;&gt;"))</f>
        <v/>
      </c>
      <c r="E127" s="21" t="str">
        <f>IF(COUNTIFS('2024 Full View'!$K:$K,$B127,'2024 Full View'!D:D,"&lt;&gt;")+COUNTIFS('2024 Full View'!$F:$F,$B127,'2024 Full View'!D:D,"&lt;&gt;")=0,"",COUNTIFS('2024 Full View'!$K:$K,$B127,'2024 Full View'!D:D,"&lt;&gt;")+COUNTIFS('2024 Full View'!$F:$F,$B127,'2024 Full View'!D:D,"&lt;&gt;"))</f>
        <v/>
      </c>
      <c r="F127" s="21">
        <f>IF(COUNTIFS('2024 Full View'!$K:$K,$B127,'2024 Full View'!E:E,"&lt;&gt;")+COUNTIFS('2024 Full View'!$F:$F,$B127,'2024 Full View'!E:E,"&lt;&gt;")=0,"",COUNTIFS('2024 Full View'!$K:$K,$B127,'2024 Full View'!E:E,"&lt;&gt;")+COUNTIFS('2024 Full View'!$F:$F,$B127,'2024 Full View'!E:E,"&lt;&gt;"))</f>
        <v>4</v>
      </c>
      <c r="G127" s="21">
        <f t="shared" si="0"/>
        <v>4</v>
      </c>
    </row>
    <row r="128" spans="2:7" ht="13">
      <c r="B128" s="3" t="s">
        <v>486</v>
      </c>
      <c r="C128" s="21" t="str">
        <f>IF(COUNTIFS('2024 Full View'!$K:$K,$B128,'2024 Full View'!B:B,"&lt;&gt;")+COUNTIFS('2024 Full View'!$F:$F,$B128,'2024 Full View'!B:B,"&lt;&gt;")=0,"",COUNTIFS('2024 Full View'!$K:$K,$B128,'2024 Full View'!B:B,"&lt;&gt;")+COUNTIFS('2024 Full View'!$F:$F,$B128,'2024 Full View'!B:B,"&lt;&gt;"))</f>
        <v/>
      </c>
      <c r="D128" s="21" t="str">
        <f>IF(COUNTIFS('2024 Full View'!$K:$K,$B128,'2024 Full View'!C:C,"&lt;&gt;")+COUNTIFS('2024 Full View'!$F:$F,$B128,'2024 Full View'!C:C,"&lt;&gt;")=0,"",COUNTIFS('2024 Full View'!$K:$K,$B128,'2024 Full View'!C:C,"&lt;&gt;")+COUNTIFS('2024 Full View'!$F:$F,$B128,'2024 Full View'!C:C,"&lt;&gt;"))</f>
        <v/>
      </c>
      <c r="E128" s="21" t="str">
        <f>IF(COUNTIFS('2024 Full View'!$K:$K,$B128,'2024 Full View'!D:D,"&lt;&gt;")+COUNTIFS('2024 Full View'!$F:$F,$B128,'2024 Full View'!D:D,"&lt;&gt;")=0,"",COUNTIFS('2024 Full View'!$K:$K,$B128,'2024 Full View'!D:D,"&lt;&gt;")+COUNTIFS('2024 Full View'!$F:$F,$B128,'2024 Full View'!D:D,"&lt;&gt;"))</f>
        <v/>
      </c>
      <c r="F128" s="21">
        <f>IF(COUNTIFS('2024 Full View'!$K:$K,$B128,'2024 Full View'!E:E,"&lt;&gt;")+COUNTIFS('2024 Full View'!$F:$F,$B128,'2024 Full View'!E:E,"&lt;&gt;")=0,"",COUNTIFS('2024 Full View'!$K:$K,$B128,'2024 Full View'!E:E,"&lt;&gt;")+COUNTIFS('2024 Full View'!$F:$F,$B128,'2024 Full View'!E:E,"&lt;&gt;"))</f>
        <v>3</v>
      </c>
      <c r="G128" s="21">
        <f t="shared" si="0"/>
        <v>3</v>
      </c>
    </row>
    <row r="129" spans="2:7" ht="13">
      <c r="B129" s="3" t="s">
        <v>487</v>
      </c>
      <c r="C129" s="21" t="str">
        <f>IF(COUNTIFS('2024 Full View'!$K:$K,$B129,'2024 Full View'!B:B,"&lt;&gt;")+COUNTIFS('2024 Full View'!$F:$F,$B129,'2024 Full View'!B:B,"&lt;&gt;")=0,"",COUNTIFS('2024 Full View'!$K:$K,$B129,'2024 Full View'!B:B,"&lt;&gt;")+COUNTIFS('2024 Full View'!$F:$F,$B129,'2024 Full View'!B:B,"&lt;&gt;"))</f>
        <v/>
      </c>
      <c r="D129" s="21" t="str">
        <f>IF(COUNTIFS('2024 Full View'!$K:$K,$B129,'2024 Full View'!C:C,"&lt;&gt;")+COUNTIFS('2024 Full View'!$F:$F,$B129,'2024 Full View'!C:C,"&lt;&gt;")=0,"",COUNTIFS('2024 Full View'!$K:$K,$B129,'2024 Full View'!C:C,"&lt;&gt;")+COUNTIFS('2024 Full View'!$F:$F,$B129,'2024 Full View'!C:C,"&lt;&gt;"))</f>
        <v/>
      </c>
      <c r="E129" s="21" t="str">
        <f>IF(COUNTIFS('2024 Full View'!$K:$K,$B129,'2024 Full View'!D:D,"&lt;&gt;")+COUNTIFS('2024 Full View'!$F:$F,$B129,'2024 Full View'!D:D,"&lt;&gt;")=0,"",COUNTIFS('2024 Full View'!$K:$K,$B129,'2024 Full View'!D:D,"&lt;&gt;")+COUNTIFS('2024 Full View'!$F:$F,$B129,'2024 Full View'!D:D,"&lt;&gt;"))</f>
        <v/>
      </c>
      <c r="F129" s="21">
        <f>IF(COUNTIFS('2024 Full View'!$K:$K,$B129,'2024 Full View'!E:E,"&lt;&gt;")+COUNTIFS('2024 Full View'!$F:$F,$B129,'2024 Full View'!E:E,"&lt;&gt;")=0,"",COUNTIFS('2024 Full View'!$K:$K,$B129,'2024 Full View'!E:E,"&lt;&gt;")+COUNTIFS('2024 Full View'!$F:$F,$B129,'2024 Full View'!E:E,"&lt;&gt;"))</f>
        <v>2</v>
      </c>
      <c r="G129" s="21">
        <f t="shared" si="0"/>
        <v>2</v>
      </c>
    </row>
    <row r="130" spans="2:7" ht="13">
      <c r="B130" s="3" t="s">
        <v>488</v>
      </c>
      <c r="C130" s="21" t="str">
        <f>IF(COUNTIFS('2024 Full View'!$K:$K,$B130,'2024 Full View'!B:B,"&lt;&gt;")+COUNTIFS('2024 Full View'!$F:$F,$B130,'2024 Full View'!B:B,"&lt;&gt;")=0,"",COUNTIFS('2024 Full View'!$K:$K,$B130,'2024 Full View'!B:B,"&lt;&gt;")+COUNTIFS('2024 Full View'!$F:$F,$B130,'2024 Full View'!B:B,"&lt;&gt;"))</f>
        <v/>
      </c>
      <c r="D130" s="21" t="str">
        <f>IF(COUNTIFS('2024 Full View'!$K:$K,$B130,'2024 Full View'!C:C,"&lt;&gt;")+COUNTIFS('2024 Full View'!$F:$F,$B130,'2024 Full View'!C:C,"&lt;&gt;")=0,"",COUNTIFS('2024 Full View'!$K:$K,$B130,'2024 Full View'!C:C,"&lt;&gt;")+COUNTIFS('2024 Full View'!$F:$F,$B130,'2024 Full View'!C:C,"&lt;&gt;"))</f>
        <v/>
      </c>
      <c r="E130" s="21">
        <f>IF(COUNTIFS('2024 Full View'!$K:$K,$B130,'2024 Full View'!D:D,"&lt;&gt;")+COUNTIFS('2024 Full View'!$F:$F,$B130,'2024 Full View'!D:D,"&lt;&gt;")=0,"",COUNTIFS('2024 Full View'!$K:$K,$B130,'2024 Full View'!D:D,"&lt;&gt;")+COUNTIFS('2024 Full View'!$F:$F,$B130,'2024 Full View'!D:D,"&lt;&gt;"))</f>
        <v>2</v>
      </c>
      <c r="F130" s="21" t="str">
        <f>IF(COUNTIFS('2024 Full View'!$K:$K,$B130,'2024 Full View'!E:E,"&lt;&gt;")+COUNTIFS('2024 Full View'!$F:$F,$B130,'2024 Full View'!E:E,"&lt;&gt;")=0,"",COUNTIFS('2024 Full View'!$K:$K,$B130,'2024 Full View'!E:E,"&lt;&gt;")+COUNTIFS('2024 Full View'!$F:$F,$B130,'2024 Full View'!E:E,"&lt;&gt;"))</f>
        <v/>
      </c>
      <c r="G130" s="21">
        <f t="shared" si="0"/>
        <v>2</v>
      </c>
    </row>
    <row r="131" spans="2:7" ht="13">
      <c r="B131" s="3" t="s">
        <v>489</v>
      </c>
      <c r="C131" s="21" t="str">
        <f>IF(COUNTIFS('2024 Full View'!$K:$K,$B131,'2024 Full View'!B:B,"&lt;&gt;")+COUNTIFS('2024 Full View'!$F:$F,$B131,'2024 Full View'!B:B,"&lt;&gt;")=0,"",COUNTIFS('2024 Full View'!$K:$K,$B131,'2024 Full View'!B:B,"&lt;&gt;")+COUNTIFS('2024 Full View'!$F:$F,$B131,'2024 Full View'!B:B,"&lt;&gt;"))</f>
        <v/>
      </c>
      <c r="D131" s="21" t="str">
        <f>IF(COUNTIFS('2024 Full View'!$K:$K,$B131,'2024 Full View'!C:C,"&lt;&gt;")+COUNTIFS('2024 Full View'!$F:$F,$B131,'2024 Full View'!C:C,"&lt;&gt;")=0,"",COUNTIFS('2024 Full View'!$K:$K,$B131,'2024 Full View'!C:C,"&lt;&gt;")+COUNTIFS('2024 Full View'!$F:$F,$B131,'2024 Full View'!C:C,"&lt;&gt;"))</f>
        <v/>
      </c>
      <c r="E131" s="21" t="str">
        <f>IF(COUNTIFS('2024 Full View'!$K:$K,$B131,'2024 Full View'!D:D,"&lt;&gt;")+COUNTIFS('2024 Full View'!$F:$F,$B131,'2024 Full View'!D:D,"&lt;&gt;")=0,"",COUNTIFS('2024 Full View'!$K:$K,$B131,'2024 Full View'!D:D,"&lt;&gt;")+COUNTIFS('2024 Full View'!$F:$F,$B131,'2024 Full View'!D:D,"&lt;&gt;"))</f>
        <v/>
      </c>
      <c r="F131" s="21">
        <f>IF(COUNTIFS('2024 Full View'!$K:$K,$B131,'2024 Full View'!E:E,"&lt;&gt;")+COUNTIFS('2024 Full View'!$F:$F,$B131,'2024 Full View'!E:E,"&lt;&gt;")=0,"",COUNTIFS('2024 Full View'!$K:$K,$B131,'2024 Full View'!E:E,"&lt;&gt;")+COUNTIFS('2024 Full View'!$F:$F,$B131,'2024 Full View'!E:E,"&lt;&gt;"))</f>
        <v>2</v>
      </c>
      <c r="G131" s="21">
        <f t="shared" si="0"/>
        <v>2</v>
      </c>
    </row>
    <row r="132" spans="2:7" ht="13">
      <c r="B132" s="3" t="s">
        <v>490</v>
      </c>
      <c r="C132" s="21" t="str">
        <f>IF(COUNTIFS('2024 Full View'!$K:$K,$B132,'2024 Full View'!B:B,"&lt;&gt;")+COUNTIFS('2024 Full View'!$F:$F,$B132,'2024 Full View'!B:B,"&lt;&gt;")=0,"",COUNTIFS('2024 Full View'!$K:$K,$B132,'2024 Full View'!B:B,"&lt;&gt;")+COUNTIFS('2024 Full View'!$F:$F,$B132,'2024 Full View'!B:B,"&lt;&gt;"))</f>
        <v/>
      </c>
      <c r="D132" s="21" t="str">
        <f>IF(COUNTIFS('2024 Full View'!$K:$K,$B132,'2024 Full View'!C:C,"&lt;&gt;")+COUNTIFS('2024 Full View'!$F:$F,$B132,'2024 Full View'!C:C,"&lt;&gt;")=0,"",COUNTIFS('2024 Full View'!$K:$K,$B132,'2024 Full View'!C:C,"&lt;&gt;")+COUNTIFS('2024 Full View'!$F:$F,$B132,'2024 Full View'!C:C,"&lt;&gt;"))</f>
        <v/>
      </c>
      <c r="E132" s="21">
        <f>IF(COUNTIFS('2024 Full View'!$K:$K,$B132,'2024 Full View'!D:D,"&lt;&gt;")+COUNTIFS('2024 Full View'!$F:$F,$B132,'2024 Full View'!D:D,"&lt;&gt;")=0,"",COUNTIFS('2024 Full View'!$K:$K,$B132,'2024 Full View'!D:D,"&lt;&gt;")+COUNTIFS('2024 Full View'!$F:$F,$B132,'2024 Full View'!D:D,"&lt;&gt;"))</f>
        <v>1</v>
      </c>
      <c r="F132" s="21">
        <f>IF(COUNTIFS('2024 Full View'!$K:$K,$B132,'2024 Full View'!E:E,"&lt;&gt;")+COUNTIFS('2024 Full View'!$F:$F,$B132,'2024 Full View'!E:E,"&lt;&gt;")=0,"",COUNTIFS('2024 Full View'!$K:$K,$B132,'2024 Full View'!E:E,"&lt;&gt;")+COUNTIFS('2024 Full View'!$F:$F,$B132,'2024 Full View'!E:E,"&lt;&gt;"))</f>
        <v>1</v>
      </c>
      <c r="G132" s="21">
        <f t="shared" si="0"/>
        <v>2</v>
      </c>
    </row>
    <row r="133" spans="2:7" ht="13">
      <c r="B133" s="3" t="s">
        <v>491</v>
      </c>
      <c r="C133" s="21" t="str">
        <f>IF(COUNTIFS('2024 Full View'!$K:$K,$B133,'2024 Full View'!B:B,"&lt;&gt;")+COUNTIFS('2024 Full View'!$F:$F,$B133,'2024 Full View'!B:B,"&lt;&gt;")=0,"",COUNTIFS('2024 Full View'!$K:$K,$B133,'2024 Full View'!B:B,"&lt;&gt;")+COUNTIFS('2024 Full View'!$F:$F,$B133,'2024 Full View'!B:B,"&lt;&gt;"))</f>
        <v/>
      </c>
      <c r="D133" s="21" t="str">
        <f>IF(COUNTIFS('2024 Full View'!$K:$K,$B133,'2024 Full View'!C:C,"&lt;&gt;")+COUNTIFS('2024 Full View'!$F:$F,$B133,'2024 Full View'!C:C,"&lt;&gt;")=0,"",COUNTIFS('2024 Full View'!$K:$K,$B133,'2024 Full View'!C:C,"&lt;&gt;")+COUNTIFS('2024 Full View'!$F:$F,$B133,'2024 Full View'!C:C,"&lt;&gt;"))</f>
        <v/>
      </c>
      <c r="E133" s="21">
        <f>IF(COUNTIFS('2024 Full View'!$K:$K,$B133,'2024 Full View'!D:D,"&lt;&gt;")+COUNTIFS('2024 Full View'!$F:$F,$B133,'2024 Full View'!D:D,"&lt;&gt;")=0,"",COUNTIFS('2024 Full View'!$K:$K,$B133,'2024 Full View'!D:D,"&lt;&gt;")+COUNTIFS('2024 Full View'!$F:$F,$B133,'2024 Full View'!D:D,"&lt;&gt;"))</f>
        <v>1</v>
      </c>
      <c r="F133" s="21">
        <f>IF(COUNTIFS('2024 Full View'!$K:$K,$B133,'2024 Full View'!E:E,"&lt;&gt;")+COUNTIFS('2024 Full View'!$F:$F,$B133,'2024 Full View'!E:E,"&lt;&gt;")=0,"",COUNTIFS('2024 Full View'!$K:$K,$B133,'2024 Full View'!E:E,"&lt;&gt;")+COUNTIFS('2024 Full View'!$F:$F,$B133,'2024 Full View'!E:E,"&lt;&gt;"))</f>
        <v>1</v>
      </c>
      <c r="G133" s="21">
        <f t="shared" si="0"/>
        <v>2</v>
      </c>
    </row>
    <row r="134" spans="2:7" ht="13">
      <c r="B134" s="3" t="s">
        <v>492</v>
      </c>
      <c r="C134" s="21" t="str">
        <f>IF(COUNTIFS('2024 Full View'!$K:$K,$B134,'2024 Full View'!B:B,"&lt;&gt;")+COUNTIFS('2024 Full View'!$F:$F,$B134,'2024 Full View'!B:B,"&lt;&gt;")=0,"",COUNTIFS('2024 Full View'!$K:$K,$B134,'2024 Full View'!B:B,"&lt;&gt;")+COUNTIFS('2024 Full View'!$F:$F,$B134,'2024 Full View'!B:B,"&lt;&gt;"))</f>
        <v/>
      </c>
      <c r="D134" s="21" t="str">
        <f>IF(COUNTIFS('2024 Full View'!$K:$K,$B134,'2024 Full View'!C:C,"&lt;&gt;")+COUNTIFS('2024 Full View'!$F:$F,$B134,'2024 Full View'!C:C,"&lt;&gt;")=0,"",COUNTIFS('2024 Full View'!$K:$K,$B134,'2024 Full View'!C:C,"&lt;&gt;")+COUNTIFS('2024 Full View'!$F:$F,$B134,'2024 Full View'!C:C,"&lt;&gt;"))</f>
        <v/>
      </c>
      <c r="E134" s="21">
        <f>IF(COUNTIFS('2024 Full View'!$K:$K,$B134,'2024 Full View'!D:D,"&lt;&gt;")+COUNTIFS('2024 Full View'!$F:$F,$B134,'2024 Full View'!D:D,"&lt;&gt;")=0,"",COUNTIFS('2024 Full View'!$K:$K,$B134,'2024 Full View'!D:D,"&lt;&gt;")+COUNTIFS('2024 Full View'!$F:$F,$B134,'2024 Full View'!D:D,"&lt;&gt;"))</f>
        <v>2</v>
      </c>
      <c r="F134" s="21" t="str">
        <f>IF(COUNTIFS('2024 Full View'!$K:$K,$B134,'2024 Full View'!E:E,"&lt;&gt;")+COUNTIFS('2024 Full View'!$F:$F,$B134,'2024 Full View'!E:E,"&lt;&gt;")=0,"",COUNTIFS('2024 Full View'!$K:$K,$B134,'2024 Full View'!E:E,"&lt;&gt;")+COUNTIFS('2024 Full View'!$F:$F,$B134,'2024 Full View'!E:E,"&lt;&gt;"))</f>
        <v/>
      </c>
      <c r="G134" s="21">
        <f t="shared" si="0"/>
        <v>2</v>
      </c>
    </row>
    <row r="135" spans="2:7" ht="13">
      <c r="B135" s="3" t="s">
        <v>493</v>
      </c>
      <c r="C135" s="21" t="str">
        <f>IF(COUNTIFS('2024 Full View'!$K:$K,$B135,'2024 Full View'!B:B,"&lt;&gt;")+COUNTIFS('2024 Full View'!$F:$F,$B135,'2024 Full View'!B:B,"&lt;&gt;")=0,"",COUNTIFS('2024 Full View'!$K:$K,$B135,'2024 Full View'!B:B,"&lt;&gt;")+COUNTIFS('2024 Full View'!$F:$F,$B135,'2024 Full View'!B:B,"&lt;&gt;"))</f>
        <v/>
      </c>
      <c r="D135" s="21" t="str">
        <f>IF(COUNTIFS('2024 Full View'!$K:$K,$B135,'2024 Full View'!C:C,"&lt;&gt;")+COUNTIFS('2024 Full View'!$F:$F,$B135,'2024 Full View'!C:C,"&lt;&gt;")=0,"",COUNTIFS('2024 Full View'!$K:$K,$B135,'2024 Full View'!C:C,"&lt;&gt;")+COUNTIFS('2024 Full View'!$F:$F,$B135,'2024 Full View'!C:C,"&lt;&gt;"))</f>
        <v/>
      </c>
      <c r="E135" s="21">
        <f>IF(COUNTIFS('2024 Full View'!$K:$K,$B135,'2024 Full View'!D:D,"&lt;&gt;")+COUNTIFS('2024 Full View'!$F:$F,$B135,'2024 Full View'!D:D,"&lt;&gt;")=0,"",COUNTIFS('2024 Full View'!$K:$K,$B135,'2024 Full View'!D:D,"&lt;&gt;")+COUNTIFS('2024 Full View'!$F:$F,$B135,'2024 Full View'!D:D,"&lt;&gt;"))</f>
        <v>2</v>
      </c>
      <c r="F135" s="21" t="str">
        <f>IF(COUNTIFS('2024 Full View'!$K:$K,$B135,'2024 Full View'!E:E,"&lt;&gt;")+COUNTIFS('2024 Full View'!$F:$F,$B135,'2024 Full View'!E:E,"&lt;&gt;")=0,"",COUNTIFS('2024 Full View'!$K:$K,$B135,'2024 Full View'!E:E,"&lt;&gt;")+COUNTIFS('2024 Full View'!$F:$F,$B135,'2024 Full View'!E:E,"&lt;&gt;"))</f>
        <v/>
      </c>
      <c r="G135" s="21">
        <f t="shared" si="0"/>
        <v>2</v>
      </c>
    </row>
    <row r="136" spans="2:7" ht="13">
      <c r="B136" s="3" t="s">
        <v>494</v>
      </c>
      <c r="C136" s="21" t="str">
        <f>IF(COUNTIFS('2024 Full View'!$K:$K,$B136,'2024 Full View'!B:B,"&lt;&gt;")+COUNTIFS('2024 Full View'!$F:$F,$B136,'2024 Full View'!B:B,"&lt;&gt;")=0,"",COUNTIFS('2024 Full View'!$K:$K,$B136,'2024 Full View'!B:B,"&lt;&gt;")+COUNTIFS('2024 Full View'!$F:$F,$B136,'2024 Full View'!B:B,"&lt;&gt;"))</f>
        <v/>
      </c>
      <c r="D136" s="21" t="str">
        <f>IF(COUNTIFS('2024 Full View'!$K:$K,$B136,'2024 Full View'!C:C,"&lt;&gt;")+COUNTIFS('2024 Full View'!$F:$F,$B136,'2024 Full View'!C:C,"&lt;&gt;")=0,"",COUNTIFS('2024 Full View'!$K:$K,$B136,'2024 Full View'!C:C,"&lt;&gt;")+COUNTIFS('2024 Full View'!$F:$F,$B136,'2024 Full View'!C:C,"&lt;&gt;"))</f>
        <v/>
      </c>
      <c r="E136" s="21" t="str">
        <f>IF(COUNTIFS('2024 Full View'!$K:$K,$B136,'2024 Full View'!D:D,"&lt;&gt;")+COUNTIFS('2024 Full View'!$F:$F,$B136,'2024 Full View'!D:D,"&lt;&gt;")=0,"",COUNTIFS('2024 Full View'!$K:$K,$B136,'2024 Full View'!D:D,"&lt;&gt;")+COUNTIFS('2024 Full View'!$F:$F,$B136,'2024 Full View'!D:D,"&lt;&gt;"))</f>
        <v/>
      </c>
      <c r="F136" s="21">
        <f>IF(COUNTIFS('2024 Full View'!$K:$K,$B136,'2024 Full View'!E:E,"&lt;&gt;")+COUNTIFS('2024 Full View'!$F:$F,$B136,'2024 Full View'!E:E,"&lt;&gt;")=0,"",COUNTIFS('2024 Full View'!$K:$K,$B136,'2024 Full View'!E:E,"&lt;&gt;")+COUNTIFS('2024 Full View'!$F:$F,$B136,'2024 Full View'!E:E,"&lt;&gt;"))</f>
        <v>2</v>
      </c>
      <c r="G136" s="21">
        <f t="shared" si="0"/>
        <v>2</v>
      </c>
    </row>
    <row r="137" spans="2:7" ht="13">
      <c r="B137" s="3" t="s">
        <v>495</v>
      </c>
      <c r="C137" s="21" t="str">
        <f>IF(COUNTIFS('2024 Full View'!$K:$K,$B137,'2024 Full View'!B:B,"&lt;&gt;")+COUNTIFS('2024 Full View'!$F:$F,$B137,'2024 Full View'!B:B,"&lt;&gt;")=0,"",COUNTIFS('2024 Full View'!$K:$K,$B137,'2024 Full View'!B:B,"&lt;&gt;")+COUNTIFS('2024 Full View'!$F:$F,$B137,'2024 Full View'!B:B,"&lt;&gt;"))</f>
        <v/>
      </c>
      <c r="D137" s="21" t="str">
        <f>IF(COUNTIFS('2024 Full View'!$K:$K,$B137,'2024 Full View'!C:C,"&lt;&gt;")+COUNTIFS('2024 Full View'!$F:$F,$B137,'2024 Full View'!C:C,"&lt;&gt;")=0,"",COUNTIFS('2024 Full View'!$K:$K,$B137,'2024 Full View'!C:C,"&lt;&gt;")+COUNTIFS('2024 Full View'!$F:$F,$B137,'2024 Full View'!C:C,"&lt;&gt;"))</f>
        <v/>
      </c>
      <c r="E137" s="21">
        <f>IF(COUNTIFS('2024 Full View'!$K:$K,$B137,'2024 Full View'!D:D,"&lt;&gt;")+COUNTIFS('2024 Full View'!$F:$F,$B137,'2024 Full View'!D:D,"&lt;&gt;")=0,"",COUNTIFS('2024 Full View'!$K:$K,$B137,'2024 Full View'!D:D,"&lt;&gt;")+COUNTIFS('2024 Full View'!$F:$F,$B137,'2024 Full View'!D:D,"&lt;&gt;"))</f>
        <v>2</v>
      </c>
      <c r="F137" s="21" t="str">
        <f>IF(COUNTIFS('2024 Full View'!$K:$K,$B137,'2024 Full View'!E:E,"&lt;&gt;")+COUNTIFS('2024 Full View'!$F:$F,$B137,'2024 Full View'!E:E,"&lt;&gt;")=0,"",COUNTIFS('2024 Full View'!$K:$K,$B137,'2024 Full View'!E:E,"&lt;&gt;")+COUNTIFS('2024 Full View'!$F:$F,$B137,'2024 Full View'!E:E,"&lt;&gt;"))</f>
        <v/>
      </c>
      <c r="G137" s="21">
        <f t="shared" si="0"/>
        <v>2</v>
      </c>
    </row>
    <row r="138" spans="2:7" ht="13">
      <c r="B138" s="3" t="s">
        <v>496</v>
      </c>
      <c r="C138" s="21" t="str">
        <f>IF(COUNTIFS('2024 Full View'!$K:$K,$B138,'2024 Full View'!B:B,"&lt;&gt;")+COUNTIFS('2024 Full View'!$F:$F,$B138,'2024 Full View'!B:B,"&lt;&gt;")=0,"",COUNTIFS('2024 Full View'!$K:$K,$B138,'2024 Full View'!B:B,"&lt;&gt;")+COUNTIFS('2024 Full View'!$F:$F,$B138,'2024 Full View'!B:B,"&lt;&gt;"))</f>
        <v/>
      </c>
      <c r="D138" s="21" t="str">
        <f>IF(COUNTIFS('2024 Full View'!$K:$K,$B138,'2024 Full View'!C:C,"&lt;&gt;")+COUNTIFS('2024 Full View'!$F:$F,$B138,'2024 Full View'!C:C,"&lt;&gt;")=0,"",COUNTIFS('2024 Full View'!$K:$K,$B138,'2024 Full View'!C:C,"&lt;&gt;")+COUNTIFS('2024 Full View'!$F:$F,$B138,'2024 Full View'!C:C,"&lt;&gt;"))</f>
        <v/>
      </c>
      <c r="E138" s="21" t="str">
        <f>IF(COUNTIFS('2024 Full View'!$K:$K,$B138,'2024 Full View'!D:D,"&lt;&gt;")+COUNTIFS('2024 Full View'!$F:$F,$B138,'2024 Full View'!D:D,"&lt;&gt;")=0,"",COUNTIFS('2024 Full View'!$K:$K,$B138,'2024 Full View'!D:D,"&lt;&gt;")+COUNTIFS('2024 Full View'!$F:$F,$B138,'2024 Full View'!D:D,"&lt;&gt;"))</f>
        <v/>
      </c>
      <c r="F138" s="21">
        <f>IF(COUNTIFS('2024 Full View'!$K:$K,$B138,'2024 Full View'!E:E,"&lt;&gt;")+COUNTIFS('2024 Full View'!$F:$F,$B138,'2024 Full View'!E:E,"&lt;&gt;")=0,"",COUNTIFS('2024 Full View'!$K:$K,$B138,'2024 Full View'!E:E,"&lt;&gt;")+COUNTIFS('2024 Full View'!$F:$F,$B138,'2024 Full View'!E:E,"&lt;&gt;"))</f>
        <v>2</v>
      </c>
      <c r="G138" s="21">
        <f t="shared" si="0"/>
        <v>2</v>
      </c>
    </row>
    <row r="139" spans="2:7" ht="13">
      <c r="B139" s="3" t="s">
        <v>497</v>
      </c>
      <c r="C139" s="21" t="str">
        <f>IF(COUNTIFS('2024 Full View'!$K:$K,$B139,'2024 Full View'!B:B,"&lt;&gt;")+COUNTIFS('2024 Full View'!$F:$F,$B139,'2024 Full View'!B:B,"&lt;&gt;")=0,"",COUNTIFS('2024 Full View'!$K:$K,$B139,'2024 Full View'!B:B,"&lt;&gt;")+COUNTIFS('2024 Full View'!$F:$F,$B139,'2024 Full View'!B:B,"&lt;&gt;"))</f>
        <v/>
      </c>
      <c r="D139" s="21" t="str">
        <f>IF(COUNTIFS('2024 Full View'!$K:$K,$B139,'2024 Full View'!C:C,"&lt;&gt;")+COUNTIFS('2024 Full View'!$F:$F,$B139,'2024 Full View'!C:C,"&lt;&gt;")=0,"",COUNTIFS('2024 Full View'!$K:$K,$B139,'2024 Full View'!C:C,"&lt;&gt;")+COUNTIFS('2024 Full View'!$F:$F,$B139,'2024 Full View'!C:C,"&lt;&gt;"))</f>
        <v/>
      </c>
      <c r="E139" s="21">
        <f>IF(COUNTIFS('2024 Full View'!$K:$K,$B139,'2024 Full View'!D:D,"&lt;&gt;")+COUNTIFS('2024 Full View'!$F:$F,$B139,'2024 Full View'!D:D,"&lt;&gt;")=0,"",COUNTIFS('2024 Full View'!$K:$K,$B139,'2024 Full View'!D:D,"&lt;&gt;")+COUNTIFS('2024 Full View'!$F:$F,$B139,'2024 Full View'!D:D,"&lt;&gt;"))</f>
        <v>3</v>
      </c>
      <c r="F139" s="21" t="str">
        <f>IF(COUNTIFS('2024 Full View'!$K:$K,$B139,'2024 Full View'!E:E,"&lt;&gt;")+COUNTIFS('2024 Full View'!$F:$F,$B139,'2024 Full View'!E:E,"&lt;&gt;")=0,"",COUNTIFS('2024 Full View'!$K:$K,$B139,'2024 Full View'!E:E,"&lt;&gt;")+COUNTIFS('2024 Full View'!$F:$F,$B139,'2024 Full View'!E:E,"&lt;&gt;"))</f>
        <v/>
      </c>
      <c r="G139" s="21">
        <f t="shared" si="0"/>
        <v>3</v>
      </c>
    </row>
    <row r="140" spans="2:7" ht="13">
      <c r="B140" s="3" t="s">
        <v>498</v>
      </c>
      <c r="C140" s="21" t="str">
        <f>IF(COUNTIFS('2024 Full View'!$K:$K,$B140,'2024 Full View'!B:B,"&lt;&gt;")+COUNTIFS('2024 Full View'!$F:$F,$B140,'2024 Full View'!B:B,"&lt;&gt;")=0,"",COUNTIFS('2024 Full View'!$K:$K,$B140,'2024 Full View'!B:B,"&lt;&gt;")+COUNTIFS('2024 Full View'!$F:$F,$B140,'2024 Full View'!B:B,"&lt;&gt;"))</f>
        <v/>
      </c>
      <c r="D140" s="21" t="str">
        <f>IF(COUNTIFS('2024 Full View'!$K:$K,$B140,'2024 Full View'!C:C,"&lt;&gt;")+COUNTIFS('2024 Full View'!$F:$F,$B140,'2024 Full View'!C:C,"&lt;&gt;")=0,"",COUNTIFS('2024 Full View'!$K:$K,$B140,'2024 Full View'!C:C,"&lt;&gt;")+COUNTIFS('2024 Full View'!$F:$F,$B140,'2024 Full View'!C:C,"&lt;&gt;"))</f>
        <v/>
      </c>
      <c r="E140" s="21">
        <f>IF(COUNTIFS('2024 Full View'!$K:$K,$B140,'2024 Full View'!D:D,"&lt;&gt;")+COUNTIFS('2024 Full View'!$F:$F,$B140,'2024 Full View'!D:D,"&lt;&gt;")=0,"",COUNTIFS('2024 Full View'!$K:$K,$B140,'2024 Full View'!D:D,"&lt;&gt;")+COUNTIFS('2024 Full View'!$F:$F,$B140,'2024 Full View'!D:D,"&lt;&gt;"))</f>
        <v>1</v>
      </c>
      <c r="F140" s="21">
        <f>IF(COUNTIFS('2024 Full View'!$K:$K,$B140,'2024 Full View'!E:E,"&lt;&gt;")+COUNTIFS('2024 Full View'!$F:$F,$B140,'2024 Full View'!E:E,"&lt;&gt;")=0,"",COUNTIFS('2024 Full View'!$K:$K,$B140,'2024 Full View'!E:E,"&lt;&gt;")+COUNTIFS('2024 Full View'!$F:$F,$B140,'2024 Full View'!E:E,"&lt;&gt;"))</f>
        <v>1</v>
      </c>
      <c r="G140" s="21">
        <f t="shared" si="0"/>
        <v>2</v>
      </c>
    </row>
    <row r="141" spans="2:7" ht="13">
      <c r="B141" s="3" t="s">
        <v>499</v>
      </c>
      <c r="C141" s="21" t="str">
        <f>IF(COUNTIFS('2024 Full View'!$K:$K,$B141,'2024 Full View'!B:B,"&lt;&gt;")+COUNTIFS('2024 Full View'!$F:$F,$B141,'2024 Full View'!B:B,"&lt;&gt;")=0,"",COUNTIFS('2024 Full View'!$K:$K,$B141,'2024 Full View'!B:B,"&lt;&gt;")+COUNTIFS('2024 Full View'!$F:$F,$B141,'2024 Full View'!B:B,"&lt;&gt;"))</f>
        <v/>
      </c>
      <c r="D141" s="21" t="str">
        <f>IF(COUNTIFS('2024 Full View'!$K:$K,$B141,'2024 Full View'!C:C,"&lt;&gt;")+COUNTIFS('2024 Full View'!$F:$F,$B141,'2024 Full View'!C:C,"&lt;&gt;")=0,"",COUNTIFS('2024 Full View'!$K:$K,$B141,'2024 Full View'!C:C,"&lt;&gt;")+COUNTIFS('2024 Full View'!$F:$F,$B141,'2024 Full View'!C:C,"&lt;&gt;"))</f>
        <v/>
      </c>
      <c r="E141" s="21" t="str">
        <f>IF(COUNTIFS('2024 Full View'!$K:$K,$B141,'2024 Full View'!D:D,"&lt;&gt;")+COUNTIFS('2024 Full View'!$F:$F,$B141,'2024 Full View'!D:D,"&lt;&gt;")=0,"",COUNTIFS('2024 Full View'!$K:$K,$B141,'2024 Full View'!D:D,"&lt;&gt;")+COUNTIFS('2024 Full View'!$F:$F,$B141,'2024 Full View'!D:D,"&lt;&gt;"))</f>
        <v/>
      </c>
      <c r="F141" s="21">
        <f>IF(COUNTIFS('2024 Full View'!$K:$K,$B141,'2024 Full View'!E:E,"&lt;&gt;")+COUNTIFS('2024 Full View'!$F:$F,$B141,'2024 Full View'!E:E,"&lt;&gt;")=0,"",COUNTIFS('2024 Full View'!$K:$K,$B141,'2024 Full View'!E:E,"&lt;&gt;")+COUNTIFS('2024 Full View'!$F:$F,$B141,'2024 Full View'!E:E,"&lt;&gt;"))</f>
        <v>4</v>
      </c>
      <c r="G141" s="21">
        <f t="shared" si="0"/>
        <v>4</v>
      </c>
    </row>
    <row r="142" spans="2:7" ht="13">
      <c r="B142" s="3" t="s">
        <v>500</v>
      </c>
      <c r="C142" s="21" t="str">
        <f>IF(COUNTIFS('2024 Full View'!$K:$K,$B142,'2024 Full View'!B:B,"&lt;&gt;")+COUNTIFS('2024 Full View'!$F:$F,$B142,'2024 Full View'!B:B,"&lt;&gt;")=0,"",COUNTIFS('2024 Full View'!$K:$K,$B142,'2024 Full View'!B:B,"&lt;&gt;")+COUNTIFS('2024 Full View'!$F:$F,$B142,'2024 Full View'!B:B,"&lt;&gt;"))</f>
        <v/>
      </c>
      <c r="D142" s="21" t="str">
        <f>IF(COUNTIFS('2024 Full View'!$K:$K,$B142,'2024 Full View'!C:C,"&lt;&gt;")+COUNTIFS('2024 Full View'!$F:$F,$B142,'2024 Full View'!C:C,"&lt;&gt;")=0,"",COUNTIFS('2024 Full View'!$K:$K,$B142,'2024 Full View'!C:C,"&lt;&gt;")+COUNTIFS('2024 Full View'!$F:$F,$B142,'2024 Full View'!C:C,"&lt;&gt;"))</f>
        <v/>
      </c>
      <c r="E142" s="21" t="str">
        <f>IF(COUNTIFS('2024 Full View'!$K:$K,$B142,'2024 Full View'!D:D,"&lt;&gt;")+COUNTIFS('2024 Full View'!$F:$F,$B142,'2024 Full View'!D:D,"&lt;&gt;")=0,"",COUNTIFS('2024 Full View'!$K:$K,$B142,'2024 Full View'!D:D,"&lt;&gt;")+COUNTIFS('2024 Full View'!$F:$F,$B142,'2024 Full View'!D:D,"&lt;&gt;"))</f>
        <v/>
      </c>
      <c r="F142" s="21">
        <f>IF(COUNTIFS('2024 Full View'!$K:$K,$B142,'2024 Full View'!E:E,"&lt;&gt;")+COUNTIFS('2024 Full View'!$F:$F,$B142,'2024 Full View'!E:E,"&lt;&gt;")=0,"",COUNTIFS('2024 Full View'!$K:$K,$B142,'2024 Full View'!E:E,"&lt;&gt;")+COUNTIFS('2024 Full View'!$F:$F,$B142,'2024 Full View'!E:E,"&lt;&gt;"))</f>
        <v>2</v>
      </c>
      <c r="G142" s="21">
        <f t="shared" si="0"/>
        <v>2</v>
      </c>
    </row>
    <row r="143" spans="2:7" ht="13">
      <c r="B143" s="3" t="s">
        <v>501</v>
      </c>
      <c r="C143" s="21" t="str">
        <f>IF(COUNTIFS('2024 Full View'!$K:$K,$B143,'2024 Full View'!B:B,"&lt;&gt;")+COUNTIFS('2024 Full View'!$F:$F,$B143,'2024 Full View'!B:B,"&lt;&gt;")=0,"",COUNTIFS('2024 Full View'!$K:$K,$B143,'2024 Full View'!B:B,"&lt;&gt;")+COUNTIFS('2024 Full View'!$F:$F,$B143,'2024 Full View'!B:B,"&lt;&gt;"))</f>
        <v/>
      </c>
      <c r="D143" s="21" t="str">
        <f>IF(COUNTIFS('2024 Full View'!$K:$K,$B143,'2024 Full View'!C:C,"&lt;&gt;")+COUNTIFS('2024 Full View'!$F:$F,$B143,'2024 Full View'!C:C,"&lt;&gt;")=0,"",COUNTIFS('2024 Full View'!$K:$K,$B143,'2024 Full View'!C:C,"&lt;&gt;")+COUNTIFS('2024 Full View'!$F:$F,$B143,'2024 Full View'!C:C,"&lt;&gt;"))</f>
        <v/>
      </c>
      <c r="E143" s="21">
        <f>IF(COUNTIFS('2024 Full View'!$K:$K,$B143,'2024 Full View'!D:D,"&lt;&gt;")+COUNTIFS('2024 Full View'!$F:$F,$B143,'2024 Full View'!D:D,"&lt;&gt;")=0,"",COUNTIFS('2024 Full View'!$K:$K,$B143,'2024 Full View'!D:D,"&lt;&gt;")+COUNTIFS('2024 Full View'!$F:$F,$B143,'2024 Full View'!D:D,"&lt;&gt;"))</f>
        <v>1</v>
      </c>
      <c r="F143" s="21" t="str">
        <f>IF(COUNTIFS('2024 Full View'!$K:$K,$B143,'2024 Full View'!E:E,"&lt;&gt;")+COUNTIFS('2024 Full View'!$F:$F,$B143,'2024 Full View'!E:E,"&lt;&gt;")=0,"",COUNTIFS('2024 Full View'!$K:$K,$B143,'2024 Full View'!E:E,"&lt;&gt;")+COUNTIFS('2024 Full View'!$F:$F,$B143,'2024 Full View'!E:E,"&lt;&gt;"))</f>
        <v/>
      </c>
      <c r="G143" s="21">
        <f t="shared" si="0"/>
        <v>1</v>
      </c>
    </row>
    <row r="144" spans="2:7" ht="13">
      <c r="B144" s="3" t="s">
        <v>502</v>
      </c>
      <c r="C144" s="21" t="str">
        <f>IF(COUNTIFS('2024 Full View'!$K:$K,$B144,'2024 Full View'!B:B,"&lt;&gt;")+COUNTIFS('2024 Full View'!$F:$F,$B144,'2024 Full View'!B:B,"&lt;&gt;")=0,"",COUNTIFS('2024 Full View'!$K:$K,$B144,'2024 Full View'!B:B,"&lt;&gt;")+COUNTIFS('2024 Full View'!$F:$F,$B144,'2024 Full View'!B:B,"&lt;&gt;"))</f>
        <v/>
      </c>
      <c r="D144" s="21" t="str">
        <f>IF(COUNTIFS('2024 Full View'!$K:$K,$B144,'2024 Full View'!C:C,"&lt;&gt;")+COUNTIFS('2024 Full View'!$F:$F,$B144,'2024 Full View'!C:C,"&lt;&gt;")=0,"",COUNTIFS('2024 Full View'!$K:$K,$B144,'2024 Full View'!C:C,"&lt;&gt;")+COUNTIFS('2024 Full View'!$F:$F,$B144,'2024 Full View'!C:C,"&lt;&gt;"))</f>
        <v/>
      </c>
      <c r="E144" s="21">
        <f>IF(COUNTIFS('2024 Full View'!$K:$K,$B144,'2024 Full View'!D:D,"&lt;&gt;")+COUNTIFS('2024 Full View'!$F:$F,$B144,'2024 Full View'!D:D,"&lt;&gt;")=0,"",COUNTIFS('2024 Full View'!$K:$K,$B144,'2024 Full View'!D:D,"&lt;&gt;")+COUNTIFS('2024 Full View'!$F:$F,$B144,'2024 Full View'!D:D,"&lt;&gt;"))</f>
        <v>1</v>
      </c>
      <c r="F144" s="21" t="str">
        <f>IF(COUNTIFS('2024 Full View'!$K:$K,$B144,'2024 Full View'!E:E,"&lt;&gt;")+COUNTIFS('2024 Full View'!$F:$F,$B144,'2024 Full View'!E:E,"&lt;&gt;")=0,"",COUNTIFS('2024 Full View'!$K:$K,$B144,'2024 Full View'!E:E,"&lt;&gt;")+COUNTIFS('2024 Full View'!$F:$F,$B144,'2024 Full View'!E:E,"&lt;&gt;"))</f>
        <v/>
      </c>
      <c r="G144" s="21">
        <f t="shared" si="0"/>
        <v>1</v>
      </c>
    </row>
    <row r="145" spans="2:7" ht="13">
      <c r="B145" s="3" t="s">
        <v>503</v>
      </c>
      <c r="C145" s="21" t="str">
        <f>IF(COUNTIFS('2024 Full View'!$K:$K,$B145,'2024 Full View'!B:B,"&lt;&gt;")+COUNTIFS('2024 Full View'!$F:$F,$B145,'2024 Full View'!B:B,"&lt;&gt;")=0,"",COUNTIFS('2024 Full View'!$K:$K,$B145,'2024 Full View'!B:B,"&lt;&gt;")+COUNTIFS('2024 Full View'!$F:$F,$B145,'2024 Full View'!B:B,"&lt;&gt;"))</f>
        <v/>
      </c>
      <c r="D145" s="21" t="str">
        <f>IF(COUNTIFS('2024 Full View'!$K:$K,$B145,'2024 Full View'!C:C,"&lt;&gt;")+COUNTIFS('2024 Full View'!$F:$F,$B145,'2024 Full View'!C:C,"&lt;&gt;")=0,"",COUNTIFS('2024 Full View'!$K:$K,$B145,'2024 Full View'!C:C,"&lt;&gt;")+COUNTIFS('2024 Full View'!$F:$F,$B145,'2024 Full View'!C:C,"&lt;&gt;"))</f>
        <v/>
      </c>
      <c r="E145" s="21">
        <f>IF(COUNTIFS('2024 Full View'!$K:$K,$B145,'2024 Full View'!D:D,"&lt;&gt;")+COUNTIFS('2024 Full View'!$F:$F,$B145,'2024 Full View'!D:D,"&lt;&gt;")=0,"",COUNTIFS('2024 Full View'!$K:$K,$B145,'2024 Full View'!D:D,"&lt;&gt;")+COUNTIFS('2024 Full View'!$F:$F,$B145,'2024 Full View'!D:D,"&lt;&gt;"))</f>
        <v>1</v>
      </c>
      <c r="F145" s="21" t="str">
        <f>IF(COUNTIFS('2024 Full View'!$K:$K,$B145,'2024 Full View'!E:E,"&lt;&gt;")+COUNTIFS('2024 Full View'!$F:$F,$B145,'2024 Full View'!E:E,"&lt;&gt;")=0,"",COUNTIFS('2024 Full View'!$K:$K,$B145,'2024 Full View'!E:E,"&lt;&gt;")+COUNTIFS('2024 Full View'!$F:$F,$B145,'2024 Full View'!E:E,"&lt;&gt;"))</f>
        <v/>
      </c>
      <c r="G145" s="21">
        <f t="shared" si="0"/>
        <v>1</v>
      </c>
    </row>
    <row r="146" spans="2:7" ht="13">
      <c r="B146" s="3" t="s">
        <v>504</v>
      </c>
      <c r="C146" s="21" t="str">
        <f>IF(COUNTIFS('2024 Full View'!$K:$K,$B146,'2024 Full View'!B:B,"&lt;&gt;")+COUNTIFS('2024 Full View'!$F:$F,$B146,'2024 Full View'!B:B,"&lt;&gt;")=0,"",COUNTIFS('2024 Full View'!$K:$K,$B146,'2024 Full View'!B:B,"&lt;&gt;")+COUNTIFS('2024 Full View'!$F:$F,$B146,'2024 Full View'!B:B,"&lt;&gt;"))</f>
        <v/>
      </c>
      <c r="D146" s="21" t="str">
        <f>IF(COUNTIFS('2024 Full View'!$K:$K,$B146,'2024 Full View'!C:C,"&lt;&gt;")+COUNTIFS('2024 Full View'!$F:$F,$B146,'2024 Full View'!C:C,"&lt;&gt;")=0,"",COUNTIFS('2024 Full View'!$K:$K,$B146,'2024 Full View'!C:C,"&lt;&gt;")+COUNTIFS('2024 Full View'!$F:$F,$B146,'2024 Full View'!C:C,"&lt;&gt;"))</f>
        <v/>
      </c>
      <c r="E146" s="21">
        <f>IF(COUNTIFS('2024 Full View'!$K:$K,$B146,'2024 Full View'!D:D,"&lt;&gt;")+COUNTIFS('2024 Full View'!$F:$F,$B146,'2024 Full View'!D:D,"&lt;&gt;")=0,"",COUNTIFS('2024 Full View'!$K:$K,$B146,'2024 Full View'!D:D,"&lt;&gt;")+COUNTIFS('2024 Full View'!$F:$F,$B146,'2024 Full View'!D:D,"&lt;&gt;"))</f>
        <v>1</v>
      </c>
      <c r="F146" s="21" t="str">
        <f>IF(COUNTIFS('2024 Full View'!$K:$K,$B146,'2024 Full View'!E:E,"&lt;&gt;")+COUNTIFS('2024 Full View'!$F:$F,$B146,'2024 Full View'!E:E,"&lt;&gt;")=0,"",COUNTIFS('2024 Full View'!$K:$K,$B146,'2024 Full View'!E:E,"&lt;&gt;")+COUNTIFS('2024 Full View'!$F:$F,$B146,'2024 Full View'!E:E,"&lt;&gt;"))</f>
        <v/>
      </c>
      <c r="G146" s="21">
        <f t="shared" si="0"/>
        <v>1</v>
      </c>
    </row>
    <row r="147" spans="2:7" ht="13">
      <c r="B147" s="3" t="s">
        <v>505</v>
      </c>
      <c r="C147" s="21" t="str">
        <f>IF(COUNTIFS('2024 Full View'!$K:$K,$B147,'2024 Full View'!B:B,"&lt;&gt;")+COUNTIFS('2024 Full View'!$F:$F,$B147,'2024 Full View'!B:B,"&lt;&gt;")=0,"",COUNTIFS('2024 Full View'!$K:$K,$B147,'2024 Full View'!B:B,"&lt;&gt;")+COUNTIFS('2024 Full View'!$F:$F,$B147,'2024 Full View'!B:B,"&lt;&gt;"))</f>
        <v/>
      </c>
      <c r="D147" s="21" t="str">
        <f>IF(COUNTIFS('2024 Full View'!$K:$K,$B147,'2024 Full View'!C:C,"&lt;&gt;")+COUNTIFS('2024 Full View'!$F:$F,$B147,'2024 Full View'!C:C,"&lt;&gt;")=0,"",COUNTIFS('2024 Full View'!$K:$K,$B147,'2024 Full View'!C:C,"&lt;&gt;")+COUNTIFS('2024 Full View'!$F:$F,$B147,'2024 Full View'!C:C,"&lt;&gt;"))</f>
        <v/>
      </c>
      <c r="E147" s="21">
        <f>IF(COUNTIFS('2024 Full View'!$K:$K,$B147,'2024 Full View'!D:D,"&lt;&gt;")+COUNTIFS('2024 Full View'!$F:$F,$B147,'2024 Full View'!D:D,"&lt;&gt;")=0,"",COUNTIFS('2024 Full View'!$K:$K,$B147,'2024 Full View'!D:D,"&lt;&gt;")+COUNTIFS('2024 Full View'!$F:$F,$B147,'2024 Full View'!D:D,"&lt;&gt;"))</f>
        <v>1</v>
      </c>
      <c r="F147" s="21" t="str">
        <f>IF(COUNTIFS('2024 Full View'!$K:$K,$B147,'2024 Full View'!E:E,"&lt;&gt;")+COUNTIFS('2024 Full View'!$F:$F,$B147,'2024 Full View'!E:E,"&lt;&gt;")=0,"",COUNTIFS('2024 Full View'!$K:$K,$B147,'2024 Full View'!E:E,"&lt;&gt;")+COUNTIFS('2024 Full View'!$F:$F,$B147,'2024 Full View'!E:E,"&lt;&gt;"))</f>
        <v/>
      </c>
      <c r="G147" s="21">
        <f t="shared" si="0"/>
        <v>1</v>
      </c>
    </row>
    <row r="148" spans="2:7" ht="13">
      <c r="B148" s="3" t="s">
        <v>506</v>
      </c>
      <c r="C148" s="21" t="str">
        <f>IF(COUNTIFS('2024 Full View'!$K:$K,$B148,'2024 Full View'!B:B,"&lt;&gt;")+COUNTIFS('2024 Full View'!$F:$F,$B148,'2024 Full View'!B:B,"&lt;&gt;")=0,"",COUNTIFS('2024 Full View'!$K:$K,$B148,'2024 Full View'!B:B,"&lt;&gt;")+COUNTIFS('2024 Full View'!$F:$F,$B148,'2024 Full View'!B:B,"&lt;&gt;"))</f>
        <v/>
      </c>
      <c r="D148" s="21" t="str">
        <f>IF(COUNTIFS('2024 Full View'!$K:$K,$B148,'2024 Full View'!C:C,"&lt;&gt;")+COUNTIFS('2024 Full View'!$F:$F,$B148,'2024 Full View'!C:C,"&lt;&gt;")=0,"",COUNTIFS('2024 Full View'!$K:$K,$B148,'2024 Full View'!C:C,"&lt;&gt;")+COUNTIFS('2024 Full View'!$F:$F,$B148,'2024 Full View'!C:C,"&lt;&gt;"))</f>
        <v/>
      </c>
      <c r="E148" s="21">
        <f>IF(COUNTIFS('2024 Full View'!$K:$K,$B148,'2024 Full View'!D:D,"&lt;&gt;")+COUNTIFS('2024 Full View'!$F:$F,$B148,'2024 Full View'!D:D,"&lt;&gt;")=0,"",COUNTIFS('2024 Full View'!$K:$K,$B148,'2024 Full View'!D:D,"&lt;&gt;")+COUNTIFS('2024 Full View'!$F:$F,$B148,'2024 Full View'!D:D,"&lt;&gt;"))</f>
        <v>1</v>
      </c>
      <c r="F148" s="21" t="str">
        <f>IF(COUNTIFS('2024 Full View'!$K:$K,$B148,'2024 Full View'!E:E,"&lt;&gt;")+COUNTIFS('2024 Full View'!$F:$F,$B148,'2024 Full View'!E:E,"&lt;&gt;")=0,"",COUNTIFS('2024 Full View'!$K:$K,$B148,'2024 Full View'!E:E,"&lt;&gt;")+COUNTIFS('2024 Full View'!$F:$F,$B148,'2024 Full View'!E:E,"&lt;&gt;"))</f>
        <v/>
      </c>
      <c r="G148" s="21">
        <f t="shared" si="0"/>
        <v>1</v>
      </c>
    </row>
    <row r="149" spans="2:7" ht="13">
      <c r="B149" s="3" t="s">
        <v>507</v>
      </c>
      <c r="C149" s="21" t="str">
        <f>IF(COUNTIFS('2024 Full View'!$K:$K,$B149,'2024 Full View'!B:B,"&lt;&gt;")+COUNTIFS('2024 Full View'!$F:$F,$B149,'2024 Full View'!B:B,"&lt;&gt;")=0,"",COUNTIFS('2024 Full View'!$K:$K,$B149,'2024 Full View'!B:B,"&lt;&gt;")+COUNTIFS('2024 Full View'!$F:$F,$B149,'2024 Full View'!B:B,"&lt;&gt;"))</f>
        <v/>
      </c>
      <c r="D149" s="21" t="str">
        <f>IF(COUNTIFS('2024 Full View'!$K:$K,$B149,'2024 Full View'!C:C,"&lt;&gt;")+COUNTIFS('2024 Full View'!$F:$F,$B149,'2024 Full View'!C:C,"&lt;&gt;")=0,"",COUNTIFS('2024 Full View'!$K:$K,$B149,'2024 Full View'!C:C,"&lt;&gt;")+COUNTIFS('2024 Full View'!$F:$F,$B149,'2024 Full View'!C:C,"&lt;&gt;"))</f>
        <v/>
      </c>
      <c r="E149" s="21" t="str">
        <f>IF(COUNTIFS('2024 Full View'!$K:$K,$B149,'2024 Full View'!D:D,"&lt;&gt;")+COUNTIFS('2024 Full View'!$F:$F,$B149,'2024 Full View'!D:D,"&lt;&gt;")=0,"",COUNTIFS('2024 Full View'!$K:$K,$B149,'2024 Full View'!D:D,"&lt;&gt;")+COUNTIFS('2024 Full View'!$F:$F,$B149,'2024 Full View'!D:D,"&lt;&gt;"))</f>
        <v/>
      </c>
      <c r="F149" s="21">
        <f>IF(COUNTIFS('2024 Full View'!$K:$K,$B149,'2024 Full View'!E:E,"&lt;&gt;")+COUNTIFS('2024 Full View'!$F:$F,$B149,'2024 Full View'!E:E,"&lt;&gt;")=0,"",COUNTIFS('2024 Full View'!$K:$K,$B149,'2024 Full View'!E:E,"&lt;&gt;")+COUNTIFS('2024 Full View'!$F:$F,$B149,'2024 Full View'!E:E,"&lt;&gt;"))</f>
        <v>1</v>
      </c>
      <c r="G149" s="21">
        <f t="shared" si="0"/>
        <v>1</v>
      </c>
    </row>
    <row r="150" spans="2:7" ht="13">
      <c r="B150" s="3" t="s">
        <v>508</v>
      </c>
      <c r="C150" s="21" t="str">
        <f>IF(COUNTIFS('2024 Full View'!$K:$K,$B150,'2024 Full View'!B:B,"&lt;&gt;")+COUNTIFS('2024 Full View'!$F:$F,$B150,'2024 Full View'!B:B,"&lt;&gt;")=0,"",COUNTIFS('2024 Full View'!$K:$K,$B150,'2024 Full View'!B:B,"&lt;&gt;")+COUNTIFS('2024 Full View'!$F:$F,$B150,'2024 Full View'!B:B,"&lt;&gt;"))</f>
        <v/>
      </c>
      <c r="D150" s="21" t="str">
        <f>IF(COUNTIFS('2024 Full View'!$K:$K,$B150,'2024 Full View'!C:C,"&lt;&gt;")+COUNTIFS('2024 Full View'!$F:$F,$B150,'2024 Full View'!C:C,"&lt;&gt;")=0,"",COUNTIFS('2024 Full View'!$K:$K,$B150,'2024 Full View'!C:C,"&lt;&gt;")+COUNTIFS('2024 Full View'!$F:$F,$B150,'2024 Full View'!C:C,"&lt;&gt;"))</f>
        <v/>
      </c>
      <c r="E150" s="21">
        <f>IF(COUNTIFS('2024 Full View'!$K:$K,$B150,'2024 Full View'!D:D,"&lt;&gt;")+COUNTIFS('2024 Full View'!$F:$F,$B150,'2024 Full View'!D:D,"&lt;&gt;")=0,"",COUNTIFS('2024 Full View'!$K:$K,$B150,'2024 Full View'!D:D,"&lt;&gt;")+COUNTIFS('2024 Full View'!$F:$F,$B150,'2024 Full View'!D:D,"&lt;&gt;"))</f>
        <v>1</v>
      </c>
      <c r="F150" s="21" t="str">
        <f>IF(COUNTIFS('2024 Full View'!$K:$K,$B150,'2024 Full View'!E:E,"&lt;&gt;")+COUNTIFS('2024 Full View'!$F:$F,$B150,'2024 Full View'!E:E,"&lt;&gt;")=0,"",COUNTIFS('2024 Full View'!$K:$K,$B150,'2024 Full View'!E:E,"&lt;&gt;")+COUNTIFS('2024 Full View'!$F:$F,$B150,'2024 Full View'!E:E,"&lt;&gt;"))</f>
        <v/>
      </c>
      <c r="G150" s="21">
        <f t="shared" si="0"/>
        <v>1</v>
      </c>
    </row>
    <row r="151" spans="2:7" ht="13">
      <c r="B151" s="3" t="s">
        <v>509</v>
      </c>
      <c r="C151" s="21" t="str">
        <f>IF(COUNTIFS('2024 Full View'!$K:$K,$B151,'2024 Full View'!B:B,"&lt;&gt;")+COUNTIFS('2024 Full View'!$F:$F,$B151,'2024 Full View'!B:B,"&lt;&gt;")=0,"",COUNTIFS('2024 Full View'!$K:$K,$B151,'2024 Full View'!B:B,"&lt;&gt;")+COUNTIFS('2024 Full View'!$F:$F,$B151,'2024 Full View'!B:B,"&lt;&gt;"))</f>
        <v/>
      </c>
      <c r="D151" s="21" t="str">
        <f>IF(COUNTIFS('2024 Full View'!$K:$K,$B151,'2024 Full View'!C:C,"&lt;&gt;")+COUNTIFS('2024 Full View'!$F:$F,$B151,'2024 Full View'!C:C,"&lt;&gt;")=0,"",COUNTIFS('2024 Full View'!$K:$K,$B151,'2024 Full View'!C:C,"&lt;&gt;")+COUNTIFS('2024 Full View'!$F:$F,$B151,'2024 Full View'!C:C,"&lt;&gt;"))</f>
        <v/>
      </c>
      <c r="E151" s="21">
        <f>IF(COUNTIFS('2024 Full View'!$K:$K,$B151,'2024 Full View'!D:D,"&lt;&gt;")+COUNTIFS('2024 Full View'!$F:$F,$B151,'2024 Full View'!D:D,"&lt;&gt;")=0,"",COUNTIFS('2024 Full View'!$K:$K,$B151,'2024 Full View'!D:D,"&lt;&gt;")+COUNTIFS('2024 Full View'!$F:$F,$B151,'2024 Full View'!D:D,"&lt;&gt;"))</f>
        <v>1</v>
      </c>
      <c r="F151" s="21" t="str">
        <f>IF(COUNTIFS('2024 Full View'!$K:$K,$B151,'2024 Full View'!E:E,"&lt;&gt;")+COUNTIFS('2024 Full View'!$F:$F,$B151,'2024 Full View'!E:E,"&lt;&gt;")=0,"",COUNTIFS('2024 Full View'!$K:$K,$B151,'2024 Full View'!E:E,"&lt;&gt;")+COUNTIFS('2024 Full View'!$F:$F,$B151,'2024 Full View'!E:E,"&lt;&gt;"))</f>
        <v/>
      </c>
      <c r="G151" s="21">
        <f t="shared" si="0"/>
        <v>1</v>
      </c>
    </row>
    <row r="152" spans="2:7" ht="13">
      <c r="B152" s="3" t="s">
        <v>510</v>
      </c>
      <c r="C152" s="21" t="str">
        <f>IF(COUNTIFS('2024 Full View'!$K:$K,$B152,'2024 Full View'!B:B,"&lt;&gt;")+COUNTIFS('2024 Full View'!$F:$F,$B152,'2024 Full View'!B:B,"&lt;&gt;")=0,"",COUNTIFS('2024 Full View'!$K:$K,$B152,'2024 Full View'!B:B,"&lt;&gt;")+COUNTIFS('2024 Full View'!$F:$F,$B152,'2024 Full View'!B:B,"&lt;&gt;"))</f>
        <v/>
      </c>
      <c r="D152" s="21" t="str">
        <f>IF(COUNTIFS('2024 Full View'!$K:$K,$B152,'2024 Full View'!C:C,"&lt;&gt;")+COUNTIFS('2024 Full View'!$F:$F,$B152,'2024 Full View'!C:C,"&lt;&gt;")=0,"",COUNTIFS('2024 Full View'!$K:$K,$B152,'2024 Full View'!C:C,"&lt;&gt;")+COUNTIFS('2024 Full View'!$F:$F,$B152,'2024 Full View'!C:C,"&lt;&gt;"))</f>
        <v/>
      </c>
      <c r="E152" s="21" t="str">
        <f>IF(COUNTIFS('2024 Full View'!$K:$K,$B152,'2024 Full View'!D:D,"&lt;&gt;")+COUNTIFS('2024 Full View'!$F:$F,$B152,'2024 Full View'!D:D,"&lt;&gt;")=0,"",COUNTIFS('2024 Full View'!$K:$K,$B152,'2024 Full View'!D:D,"&lt;&gt;")+COUNTIFS('2024 Full View'!$F:$F,$B152,'2024 Full View'!D:D,"&lt;&gt;"))</f>
        <v/>
      </c>
      <c r="F152" s="21">
        <f>IF(COUNTIFS('2024 Full View'!$K:$K,$B152,'2024 Full View'!E:E,"&lt;&gt;")+COUNTIFS('2024 Full View'!$F:$F,$B152,'2024 Full View'!E:E,"&lt;&gt;")=0,"",COUNTIFS('2024 Full View'!$K:$K,$B152,'2024 Full View'!E:E,"&lt;&gt;")+COUNTIFS('2024 Full View'!$F:$F,$B152,'2024 Full View'!E:E,"&lt;&gt;"))</f>
        <v>1</v>
      </c>
      <c r="G152" s="21">
        <f t="shared" si="0"/>
        <v>1</v>
      </c>
    </row>
    <row r="153" spans="2:7" ht="13">
      <c r="B153" s="3" t="s">
        <v>511</v>
      </c>
      <c r="C153" s="21" t="str">
        <f>IF(COUNTIFS('2024 Full View'!$K:$K,$B153,'2024 Full View'!B:B,"&lt;&gt;")+COUNTIFS('2024 Full View'!$F:$F,$B153,'2024 Full View'!B:B,"&lt;&gt;")=0,"",COUNTIFS('2024 Full View'!$K:$K,$B153,'2024 Full View'!B:B,"&lt;&gt;")+COUNTIFS('2024 Full View'!$F:$F,$B153,'2024 Full View'!B:B,"&lt;&gt;"))</f>
        <v/>
      </c>
      <c r="D153" s="21" t="str">
        <f>IF(COUNTIFS('2024 Full View'!$K:$K,$B153,'2024 Full View'!C:C,"&lt;&gt;")+COUNTIFS('2024 Full View'!$F:$F,$B153,'2024 Full View'!C:C,"&lt;&gt;")=0,"",COUNTIFS('2024 Full View'!$K:$K,$B153,'2024 Full View'!C:C,"&lt;&gt;")+COUNTIFS('2024 Full View'!$F:$F,$B153,'2024 Full View'!C:C,"&lt;&gt;"))</f>
        <v/>
      </c>
      <c r="E153" s="21" t="str">
        <f>IF(COUNTIFS('2024 Full View'!$K:$K,$B153,'2024 Full View'!D:D,"&lt;&gt;")+COUNTIFS('2024 Full View'!$F:$F,$B153,'2024 Full View'!D:D,"&lt;&gt;")=0,"",COUNTIFS('2024 Full View'!$K:$K,$B153,'2024 Full View'!D:D,"&lt;&gt;")+COUNTIFS('2024 Full View'!$F:$F,$B153,'2024 Full View'!D:D,"&lt;&gt;"))</f>
        <v/>
      </c>
      <c r="F153" s="21">
        <f>IF(COUNTIFS('2024 Full View'!$K:$K,$B153,'2024 Full View'!E:E,"&lt;&gt;")+COUNTIFS('2024 Full View'!$F:$F,$B153,'2024 Full View'!E:E,"&lt;&gt;")=0,"",COUNTIFS('2024 Full View'!$K:$K,$B153,'2024 Full View'!E:E,"&lt;&gt;")+COUNTIFS('2024 Full View'!$F:$F,$B153,'2024 Full View'!E:E,"&lt;&gt;"))</f>
        <v>1</v>
      </c>
      <c r="G153" s="21">
        <f t="shared" si="0"/>
        <v>1</v>
      </c>
    </row>
    <row r="154" spans="2:7" ht="13">
      <c r="B154" s="3" t="s">
        <v>512</v>
      </c>
      <c r="C154" s="21" t="str">
        <f>IF(COUNTIFS('2024 Full View'!$K:$K,$B154,'2024 Full View'!B:B,"&lt;&gt;")+COUNTIFS('2024 Full View'!$F:$F,$B154,'2024 Full View'!B:B,"&lt;&gt;")=0,"",COUNTIFS('2024 Full View'!$K:$K,$B154,'2024 Full View'!B:B,"&lt;&gt;")+COUNTIFS('2024 Full View'!$F:$F,$B154,'2024 Full View'!B:B,"&lt;&gt;"))</f>
        <v/>
      </c>
      <c r="D154" s="21" t="str">
        <f>IF(COUNTIFS('2024 Full View'!$K:$K,$B154,'2024 Full View'!C:C,"&lt;&gt;")+COUNTIFS('2024 Full View'!$F:$F,$B154,'2024 Full View'!C:C,"&lt;&gt;")=0,"",COUNTIFS('2024 Full View'!$K:$K,$B154,'2024 Full View'!C:C,"&lt;&gt;")+COUNTIFS('2024 Full View'!$F:$F,$B154,'2024 Full View'!C:C,"&lt;&gt;"))</f>
        <v/>
      </c>
      <c r="E154" s="21">
        <f>IF(COUNTIFS('2024 Full View'!$K:$K,$B154,'2024 Full View'!D:D,"&lt;&gt;")+COUNTIFS('2024 Full View'!$F:$F,$B154,'2024 Full View'!D:D,"&lt;&gt;")=0,"",COUNTIFS('2024 Full View'!$K:$K,$B154,'2024 Full View'!D:D,"&lt;&gt;")+COUNTIFS('2024 Full View'!$F:$F,$B154,'2024 Full View'!D:D,"&lt;&gt;"))</f>
        <v>1</v>
      </c>
      <c r="F154" s="21" t="str">
        <f>IF(COUNTIFS('2024 Full View'!$K:$K,$B154,'2024 Full View'!E:E,"&lt;&gt;")+COUNTIFS('2024 Full View'!$F:$F,$B154,'2024 Full View'!E:E,"&lt;&gt;")=0,"",COUNTIFS('2024 Full View'!$K:$K,$B154,'2024 Full View'!E:E,"&lt;&gt;")+COUNTIFS('2024 Full View'!$F:$F,$B154,'2024 Full View'!E:E,"&lt;&gt;"))</f>
        <v/>
      </c>
      <c r="G154" s="21">
        <f t="shared" si="0"/>
        <v>1</v>
      </c>
    </row>
    <row r="155" spans="2:7" ht="13">
      <c r="B155" s="3" t="s">
        <v>513</v>
      </c>
      <c r="C155" s="21" t="str">
        <f>IF(COUNTIFS('2024 Full View'!$K:$K,$B155,'2024 Full View'!B:B,"&lt;&gt;")+COUNTIFS('2024 Full View'!$F:$F,$B155,'2024 Full View'!B:B,"&lt;&gt;")=0,"",COUNTIFS('2024 Full View'!$K:$K,$B155,'2024 Full View'!B:B,"&lt;&gt;")+COUNTIFS('2024 Full View'!$F:$F,$B155,'2024 Full View'!B:B,"&lt;&gt;"))</f>
        <v/>
      </c>
      <c r="D155" s="21" t="str">
        <f>IF(COUNTIFS('2024 Full View'!$K:$K,$B155,'2024 Full View'!C:C,"&lt;&gt;")+COUNTIFS('2024 Full View'!$F:$F,$B155,'2024 Full View'!C:C,"&lt;&gt;")=0,"",COUNTIFS('2024 Full View'!$K:$K,$B155,'2024 Full View'!C:C,"&lt;&gt;")+COUNTIFS('2024 Full View'!$F:$F,$B155,'2024 Full View'!C:C,"&lt;&gt;"))</f>
        <v/>
      </c>
      <c r="E155" s="21" t="str">
        <f>IF(COUNTIFS('2024 Full View'!$K:$K,$B155,'2024 Full View'!D:D,"&lt;&gt;")+COUNTIFS('2024 Full View'!$F:$F,$B155,'2024 Full View'!D:D,"&lt;&gt;")=0,"",COUNTIFS('2024 Full View'!$K:$K,$B155,'2024 Full View'!D:D,"&lt;&gt;")+COUNTIFS('2024 Full View'!$F:$F,$B155,'2024 Full View'!D:D,"&lt;&gt;"))</f>
        <v/>
      </c>
      <c r="F155" s="21">
        <f>IF(COUNTIFS('2024 Full View'!$K:$K,$B155,'2024 Full View'!E:E,"&lt;&gt;")+COUNTIFS('2024 Full View'!$F:$F,$B155,'2024 Full View'!E:E,"&lt;&gt;")=0,"",COUNTIFS('2024 Full View'!$K:$K,$B155,'2024 Full View'!E:E,"&lt;&gt;")+COUNTIFS('2024 Full View'!$F:$F,$B155,'2024 Full View'!E:E,"&lt;&gt;"))</f>
        <v>1</v>
      </c>
      <c r="G155" s="21">
        <f t="shared" si="0"/>
        <v>1</v>
      </c>
    </row>
    <row r="156" spans="2:7" ht="13">
      <c r="B156" s="3" t="s">
        <v>514</v>
      </c>
      <c r="C156" s="21" t="str">
        <f>IF(COUNTIFS('2024 Full View'!$K:$K,$B156,'2024 Full View'!B:B,"&lt;&gt;")+COUNTIFS('2024 Full View'!$F:$F,$B156,'2024 Full View'!B:B,"&lt;&gt;")=0,"",COUNTIFS('2024 Full View'!$K:$K,$B156,'2024 Full View'!B:B,"&lt;&gt;")+COUNTIFS('2024 Full View'!$F:$F,$B156,'2024 Full View'!B:B,"&lt;&gt;"))</f>
        <v/>
      </c>
      <c r="D156" s="21" t="str">
        <f>IF(COUNTIFS('2024 Full View'!$K:$K,$B156,'2024 Full View'!C:C,"&lt;&gt;")+COUNTIFS('2024 Full View'!$F:$F,$B156,'2024 Full View'!C:C,"&lt;&gt;")=0,"",COUNTIFS('2024 Full View'!$K:$K,$B156,'2024 Full View'!C:C,"&lt;&gt;")+COUNTIFS('2024 Full View'!$F:$F,$B156,'2024 Full View'!C:C,"&lt;&gt;"))</f>
        <v/>
      </c>
      <c r="E156" s="21">
        <f>IF(COUNTIFS('2024 Full View'!$K:$K,$B156,'2024 Full View'!D:D,"&lt;&gt;")+COUNTIFS('2024 Full View'!$F:$F,$B156,'2024 Full View'!D:D,"&lt;&gt;")=0,"",COUNTIFS('2024 Full View'!$K:$K,$B156,'2024 Full View'!D:D,"&lt;&gt;")+COUNTIFS('2024 Full View'!$F:$F,$B156,'2024 Full View'!D:D,"&lt;&gt;"))</f>
        <v>1</v>
      </c>
      <c r="F156" s="21" t="str">
        <f>IF(COUNTIFS('2024 Full View'!$K:$K,$B156,'2024 Full View'!E:E,"&lt;&gt;")+COUNTIFS('2024 Full View'!$F:$F,$B156,'2024 Full View'!E:E,"&lt;&gt;")=0,"",COUNTIFS('2024 Full View'!$K:$K,$B156,'2024 Full View'!E:E,"&lt;&gt;")+COUNTIFS('2024 Full View'!$F:$F,$B156,'2024 Full View'!E:E,"&lt;&gt;"))</f>
        <v/>
      </c>
      <c r="G156" s="21">
        <f t="shared" si="0"/>
        <v>1</v>
      </c>
    </row>
    <row r="157" spans="2:7" ht="13">
      <c r="B157" s="3" t="s">
        <v>515</v>
      </c>
      <c r="C157" s="21" t="str">
        <f>IF(COUNTIFS('2024 Full View'!$K:$K,$B157,'2024 Full View'!B:B,"&lt;&gt;")+COUNTIFS('2024 Full View'!$F:$F,$B157,'2024 Full View'!B:B,"&lt;&gt;")=0,"",COUNTIFS('2024 Full View'!$K:$K,$B157,'2024 Full View'!B:B,"&lt;&gt;")+COUNTIFS('2024 Full View'!$F:$F,$B157,'2024 Full View'!B:B,"&lt;&gt;"))</f>
        <v/>
      </c>
      <c r="D157" s="21" t="str">
        <f>IF(COUNTIFS('2024 Full View'!$K:$K,$B157,'2024 Full View'!C:C,"&lt;&gt;")+COUNTIFS('2024 Full View'!$F:$F,$B157,'2024 Full View'!C:C,"&lt;&gt;")=0,"",COUNTIFS('2024 Full View'!$K:$K,$B157,'2024 Full View'!C:C,"&lt;&gt;")+COUNTIFS('2024 Full View'!$F:$F,$B157,'2024 Full View'!C:C,"&lt;&gt;"))</f>
        <v/>
      </c>
      <c r="E157" s="21">
        <f>IF(COUNTIFS('2024 Full View'!$K:$K,$B157,'2024 Full View'!D:D,"&lt;&gt;")+COUNTIFS('2024 Full View'!$F:$F,$B157,'2024 Full View'!D:D,"&lt;&gt;")=0,"",COUNTIFS('2024 Full View'!$K:$K,$B157,'2024 Full View'!D:D,"&lt;&gt;")+COUNTIFS('2024 Full View'!$F:$F,$B157,'2024 Full View'!D:D,"&lt;&gt;"))</f>
        <v>1</v>
      </c>
      <c r="F157" s="21" t="str">
        <f>IF(COUNTIFS('2024 Full View'!$K:$K,$B157,'2024 Full View'!E:E,"&lt;&gt;")+COUNTIFS('2024 Full View'!$F:$F,$B157,'2024 Full View'!E:E,"&lt;&gt;")=0,"",COUNTIFS('2024 Full View'!$K:$K,$B157,'2024 Full View'!E:E,"&lt;&gt;")+COUNTIFS('2024 Full View'!$F:$F,$B157,'2024 Full View'!E:E,"&lt;&gt;"))</f>
        <v/>
      </c>
      <c r="G157" s="21">
        <f t="shared" si="0"/>
        <v>1</v>
      </c>
    </row>
    <row r="158" spans="2:7" ht="13">
      <c r="B158" s="3" t="s">
        <v>516</v>
      </c>
      <c r="C158" s="21" t="str">
        <f>IF(COUNTIFS('2024 Full View'!$K:$K,$B158,'2024 Full View'!B:B,"&lt;&gt;")+COUNTIFS('2024 Full View'!$F:$F,$B158,'2024 Full View'!B:B,"&lt;&gt;")=0,"",COUNTIFS('2024 Full View'!$K:$K,$B158,'2024 Full View'!B:B,"&lt;&gt;")+COUNTIFS('2024 Full View'!$F:$F,$B158,'2024 Full View'!B:B,"&lt;&gt;"))</f>
        <v/>
      </c>
      <c r="D158" s="21" t="str">
        <f>IF(COUNTIFS('2024 Full View'!$K:$K,$B158,'2024 Full View'!C:C,"&lt;&gt;")+COUNTIFS('2024 Full View'!$F:$F,$B158,'2024 Full View'!C:C,"&lt;&gt;")=0,"",COUNTIFS('2024 Full View'!$K:$K,$B158,'2024 Full View'!C:C,"&lt;&gt;")+COUNTIFS('2024 Full View'!$F:$F,$B158,'2024 Full View'!C:C,"&lt;&gt;"))</f>
        <v/>
      </c>
      <c r="E158" s="21">
        <f>IF(COUNTIFS('2024 Full View'!$K:$K,$B158,'2024 Full View'!D:D,"&lt;&gt;")+COUNTIFS('2024 Full View'!$F:$F,$B158,'2024 Full View'!D:D,"&lt;&gt;")=0,"",COUNTIFS('2024 Full View'!$K:$K,$B158,'2024 Full View'!D:D,"&lt;&gt;")+COUNTIFS('2024 Full View'!$F:$F,$B158,'2024 Full View'!D:D,"&lt;&gt;"))</f>
        <v>1</v>
      </c>
      <c r="F158" s="21" t="str">
        <f>IF(COUNTIFS('2024 Full View'!$K:$K,$B158,'2024 Full View'!E:E,"&lt;&gt;")+COUNTIFS('2024 Full View'!$F:$F,$B158,'2024 Full View'!E:E,"&lt;&gt;")=0,"",COUNTIFS('2024 Full View'!$K:$K,$B158,'2024 Full View'!E:E,"&lt;&gt;")+COUNTIFS('2024 Full View'!$F:$F,$B158,'2024 Full View'!E:E,"&lt;&gt;"))</f>
        <v/>
      </c>
      <c r="G158" s="21">
        <f t="shared" si="0"/>
        <v>1</v>
      </c>
    </row>
    <row r="159" spans="2:7" ht="13">
      <c r="B159" s="3" t="s">
        <v>517</v>
      </c>
      <c r="C159" s="21" t="str">
        <f>IF(COUNTIFS('2024 Full View'!$K:$K,$B159,'2024 Full View'!B:B,"&lt;&gt;")+COUNTIFS('2024 Full View'!$F:$F,$B159,'2024 Full View'!B:B,"&lt;&gt;")=0,"",COUNTIFS('2024 Full View'!$K:$K,$B159,'2024 Full View'!B:B,"&lt;&gt;")+COUNTIFS('2024 Full View'!$F:$F,$B159,'2024 Full View'!B:B,"&lt;&gt;"))</f>
        <v/>
      </c>
      <c r="D159" s="21" t="str">
        <f>IF(COUNTIFS('2024 Full View'!$K:$K,$B159,'2024 Full View'!C:C,"&lt;&gt;")+COUNTIFS('2024 Full View'!$F:$F,$B159,'2024 Full View'!C:C,"&lt;&gt;")=0,"",COUNTIFS('2024 Full View'!$K:$K,$B159,'2024 Full View'!C:C,"&lt;&gt;")+COUNTIFS('2024 Full View'!$F:$F,$B159,'2024 Full View'!C:C,"&lt;&gt;"))</f>
        <v/>
      </c>
      <c r="E159" s="21">
        <f>IF(COUNTIFS('2024 Full View'!$K:$K,$B159,'2024 Full View'!D:D,"&lt;&gt;")+COUNTIFS('2024 Full View'!$F:$F,$B159,'2024 Full View'!D:D,"&lt;&gt;")=0,"",COUNTIFS('2024 Full View'!$K:$K,$B159,'2024 Full View'!D:D,"&lt;&gt;")+COUNTIFS('2024 Full View'!$F:$F,$B159,'2024 Full View'!D:D,"&lt;&gt;"))</f>
        <v>1</v>
      </c>
      <c r="F159" s="21" t="str">
        <f>IF(COUNTIFS('2024 Full View'!$K:$K,$B159,'2024 Full View'!E:E,"&lt;&gt;")+COUNTIFS('2024 Full View'!$F:$F,$B159,'2024 Full View'!E:E,"&lt;&gt;")=0,"",COUNTIFS('2024 Full View'!$K:$K,$B159,'2024 Full View'!E:E,"&lt;&gt;")+COUNTIFS('2024 Full View'!$F:$F,$B159,'2024 Full View'!E:E,"&lt;&gt;"))</f>
        <v/>
      </c>
      <c r="G159" s="21">
        <f t="shared" si="0"/>
        <v>1</v>
      </c>
    </row>
    <row r="160" spans="2:7" ht="13">
      <c r="B160" s="3" t="s">
        <v>518</v>
      </c>
      <c r="C160" s="21" t="str">
        <f>IF(COUNTIFS('2024 Full View'!$K:$K,$B160,'2024 Full View'!B:B,"&lt;&gt;")+COUNTIFS('2024 Full View'!$F:$F,$B160,'2024 Full View'!B:B,"&lt;&gt;")=0,"",COUNTIFS('2024 Full View'!$K:$K,$B160,'2024 Full View'!B:B,"&lt;&gt;")+COUNTIFS('2024 Full View'!$F:$F,$B160,'2024 Full View'!B:B,"&lt;&gt;"))</f>
        <v/>
      </c>
      <c r="D160" s="21" t="str">
        <f>IF(COUNTIFS('2024 Full View'!$K:$K,$B160,'2024 Full View'!C:C,"&lt;&gt;")+COUNTIFS('2024 Full View'!$F:$F,$B160,'2024 Full View'!C:C,"&lt;&gt;")=0,"",COUNTIFS('2024 Full View'!$K:$K,$B160,'2024 Full View'!C:C,"&lt;&gt;")+COUNTIFS('2024 Full View'!$F:$F,$B160,'2024 Full View'!C:C,"&lt;&gt;"))</f>
        <v/>
      </c>
      <c r="E160" s="21">
        <f>IF(COUNTIFS('2024 Full View'!$K:$K,$B160,'2024 Full View'!D:D,"&lt;&gt;")+COUNTIFS('2024 Full View'!$F:$F,$B160,'2024 Full View'!D:D,"&lt;&gt;")=0,"",COUNTIFS('2024 Full View'!$K:$K,$B160,'2024 Full View'!D:D,"&lt;&gt;")+COUNTIFS('2024 Full View'!$F:$F,$B160,'2024 Full View'!D:D,"&lt;&gt;"))</f>
        <v>1</v>
      </c>
      <c r="F160" s="21" t="str">
        <f>IF(COUNTIFS('2024 Full View'!$K:$K,$B160,'2024 Full View'!E:E,"&lt;&gt;")+COUNTIFS('2024 Full View'!$F:$F,$B160,'2024 Full View'!E:E,"&lt;&gt;")=0,"",COUNTIFS('2024 Full View'!$K:$K,$B160,'2024 Full View'!E:E,"&lt;&gt;")+COUNTIFS('2024 Full View'!$F:$F,$B160,'2024 Full View'!E:E,"&lt;&gt;"))</f>
        <v/>
      </c>
      <c r="G160" s="21">
        <f t="shared" si="0"/>
        <v>1</v>
      </c>
    </row>
    <row r="161" spans="2:7" ht="13">
      <c r="B161" s="3" t="s">
        <v>519</v>
      </c>
      <c r="C161" s="21">
        <f>IF(COUNTIFS('2024 Full View'!$K:$K,$B161,'2024 Full View'!B:B,"&lt;&gt;")+COUNTIFS('2024 Full View'!$F:$F,$B161,'2024 Full View'!B:B,"&lt;&gt;")=0,"",COUNTIFS('2024 Full View'!$K:$K,$B161,'2024 Full View'!B:B,"&lt;&gt;")+COUNTIFS('2024 Full View'!$F:$F,$B161,'2024 Full View'!B:B,"&lt;&gt;"))</f>
        <v>1</v>
      </c>
      <c r="D161" s="21" t="str">
        <f>IF(COUNTIFS('2024 Full View'!$K:$K,$B161,'2024 Full View'!C:C,"&lt;&gt;")+COUNTIFS('2024 Full View'!$F:$F,$B161,'2024 Full View'!C:C,"&lt;&gt;")=0,"",COUNTIFS('2024 Full View'!$K:$K,$B161,'2024 Full View'!C:C,"&lt;&gt;")+COUNTIFS('2024 Full View'!$F:$F,$B161,'2024 Full View'!C:C,"&lt;&gt;"))</f>
        <v/>
      </c>
      <c r="E161" s="21">
        <f>IF(COUNTIFS('2024 Full View'!$K:$K,$B161,'2024 Full View'!D:D,"&lt;&gt;")+COUNTIFS('2024 Full View'!$F:$F,$B161,'2024 Full View'!D:D,"&lt;&gt;")=0,"",COUNTIFS('2024 Full View'!$K:$K,$B161,'2024 Full View'!D:D,"&lt;&gt;")+COUNTIFS('2024 Full View'!$F:$F,$B161,'2024 Full View'!D:D,"&lt;&gt;"))</f>
        <v>1</v>
      </c>
      <c r="F161" s="21" t="str">
        <f>IF(COUNTIFS('2024 Full View'!$K:$K,$B161,'2024 Full View'!E:E,"&lt;&gt;")+COUNTIFS('2024 Full View'!$F:$F,$B161,'2024 Full View'!E:E,"&lt;&gt;")=0,"",COUNTIFS('2024 Full View'!$K:$K,$B161,'2024 Full View'!E:E,"&lt;&gt;")+COUNTIFS('2024 Full View'!$F:$F,$B161,'2024 Full View'!E:E,"&lt;&gt;"))</f>
        <v/>
      </c>
      <c r="G161" s="21">
        <f t="shared" si="0"/>
        <v>2</v>
      </c>
    </row>
    <row r="162" spans="2:7" ht="13">
      <c r="B162" s="3" t="s">
        <v>520</v>
      </c>
      <c r="C162" s="21" t="str">
        <f>IF(COUNTIFS('2024 Full View'!$K:$K,$B162,'2024 Full View'!B:B,"&lt;&gt;")+COUNTIFS('2024 Full View'!$F:$F,$B162,'2024 Full View'!B:B,"&lt;&gt;")=0,"",COUNTIFS('2024 Full View'!$K:$K,$B162,'2024 Full View'!B:B,"&lt;&gt;")+COUNTIFS('2024 Full View'!$F:$F,$B162,'2024 Full View'!B:B,"&lt;&gt;"))</f>
        <v/>
      </c>
      <c r="D162" s="21" t="str">
        <f>IF(COUNTIFS('2024 Full View'!$K:$K,$B162,'2024 Full View'!C:C,"&lt;&gt;")+COUNTIFS('2024 Full View'!$F:$F,$B162,'2024 Full View'!C:C,"&lt;&gt;")=0,"",COUNTIFS('2024 Full View'!$K:$K,$B162,'2024 Full View'!C:C,"&lt;&gt;")+COUNTIFS('2024 Full View'!$F:$F,$B162,'2024 Full View'!C:C,"&lt;&gt;"))</f>
        <v/>
      </c>
      <c r="E162" s="21" t="str">
        <f>IF(COUNTIFS('2024 Full View'!$K:$K,$B162,'2024 Full View'!D:D,"&lt;&gt;")+COUNTIFS('2024 Full View'!$F:$F,$B162,'2024 Full View'!D:D,"&lt;&gt;")=0,"",COUNTIFS('2024 Full View'!$K:$K,$B162,'2024 Full View'!D:D,"&lt;&gt;")+COUNTIFS('2024 Full View'!$F:$F,$B162,'2024 Full View'!D:D,"&lt;&gt;"))</f>
        <v/>
      </c>
      <c r="F162" s="21">
        <f>IF(COUNTIFS('2024 Full View'!$K:$K,$B162,'2024 Full View'!E:E,"&lt;&gt;")+COUNTIFS('2024 Full View'!$F:$F,$B162,'2024 Full View'!E:E,"&lt;&gt;")=0,"",COUNTIFS('2024 Full View'!$K:$K,$B162,'2024 Full View'!E:E,"&lt;&gt;")+COUNTIFS('2024 Full View'!$F:$F,$B162,'2024 Full View'!E:E,"&lt;&gt;"))</f>
        <v>1</v>
      </c>
      <c r="G162" s="21">
        <f t="shared" si="0"/>
        <v>1</v>
      </c>
    </row>
    <row r="163" spans="2:7" ht="13">
      <c r="B163" s="3" t="s">
        <v>521</v>
      </c>
      <c r="C163" s="21" t="str">
        <f>IF(COUNTIFS('2024 Full View'!$K:$K,$B163,'2024 Full View'!B:B,"&lt;&gt;")+COUNTIFS('2024 Full View'!$F:$F,$B163,'2024 Full View'!B:B,"&lt;&gt;")=0,"",COUNTIFS('2024 Full View'!$K:$K,$B163,'2024 Full View'!B:B,"&lt;&gt;")+COUNTIFS('2024 Full View'!$F:$F,$B163,'2024 Full View'!B:B,"&lt;&gt;"))</f>
        <v/>
      </c>
      <c r="D163" s="21" t="str">
        <f>IF(COUNTIFS('2024 Full View'!$K:$K,$B163,'2024 Full View'!C:C,"&lt;&gt;")+COUNTIFS('2024 Full View'!$F:$F,$B163,'2024 Full View'!C:C,"&lt;&gt;")=0,"",COUNTIFS('2024 Full View'!$K:$K,$B163,'2024 Full View'!C:C,"&lt;&gt;")+COUNTIFS('2024 Full View'!$F:$F,$B163,'2024 Full View'!C:C,"&lt;&gt;"))</f>
        <v/>
      </c>
      <c r="E163" s="21">
        <f>IF(COUNTIFS('2024 Full View'!$K:$K,$B163,'2024 Full View'!D:D,"&lt;&gt;")+COUNTIFS('2024 Full View'!$F:$F,$B163,'2024 Full View'!D:D,"&lt;&gt;")=0,"",COUNTIFS('2024 Full View'!$K:$K,$B163,'2024 Full View'!D:D,"&lt;&gt;")+COUNTIFS('2024 Full View'!$F:$F,$B163,'2024 Full View'!D:D,"&lt;&gt;"))</f>
        <v>1</v>
      </c>
      <c r="F163" s="21" t="str">
        <f>IF(COUNTIFS('2024 Full View'!$K:$K,$B163,'2024 Full View'!E:E,"&lt;&gt;")+COUNTIFS('2024 Full View'!$F:$F,$B163,'2024 Full View'!E:E,"&lt;&gt;")=0,"",COUNTIFS('2024 Full View'!$K:$K,$B163,'2024 Full View'!E:E,"&lt;&gt;")+COUNTIFS('2024 Full View'!$F:$F,$B163,'2024 Full View'!E:E,"&lt;&gt;"))</f>
        <v/>
      </c>
      <c r="G163" s="21">
        <f t="shared" si="0"/>
        <v>1</v>
      </c>
    </row>
    <row r="164" spans="2:7" ht="13">
      <c r="B164" s="3" t="s">
        <v>522</v>
      </c>
      <c r="C164" s="21" t="str">
        <f>IF(COUNTIFS('2024 Full View'!$K:$K,$B164,'2024 Full View'!B:B,"&lt;&gt;")+COUNTIFS('2024 Full View'!$F:$F,$B164,'2024 Full View'!B:B,"&lt;&gt;")=0,"",COUNTIFS('2024 Full View'!$K:$K,$B164,'2024 Full View'!B:B,"&lt;&gt;")+COUNTIFS('2024 Full View'!$F:$F,$B164,'2024 Full View'!B:B,"&lt;&gt;"))</f>
        <v/>
      </c>
      <c r="D164" s="21" t="str">
        <f>IF(COUNTIFS('2024 Full View'!$K:$K,$B164,'2024 Full View'!C:C,"&lt;&gt;")+COUNTIFS('2024 Full View'!$F:$F,$B164,'2024 Full View'!C:C,"&lt;&gt;")=0,"",COUNTIFS('2024 Full View'!$K:$K,$B164,'2024 Full View'!C:C,"&lt;&gt;")+COUNTIFS('2024 Full View'!$F:$F,$B164,'2024 Full View'!C:C,"&lt;&gt;"))</f>
        <v/>
      </c>
      <c r="E164" s="21">
        <f>IF(COUNTIFS('2024 Full View'!$K:$K,$B164,'2024 Full View'!D:D,"&lt;&gt;")+COUNTIFS('2024 Full View'!$F:$F,$B164,'2024 Full View'!D:D,"&lt;&gt;")=0,"",COUNTIFS('2024 Full View'!$K:$K,$B164,'2024 Full View'!D:D,"&lt;&gt;")+COUNTIFS('2024 Full View'!$F:$F,$B164,'2024 Full View'!D:D,"&lt;&gt;"))</f>
        <v>1</v>
      </c>
      <c r="F164" s="21" t="str">
        <f>IF(COUNTIFS('2024 Full View'!$K:$K,$B164,'2024 Full View'!E:E,"&lt;&gt;")+COUNTIFS('2024 Full View'!$F:$F,$B164,'2024 Full View'!E:E,"&lt;&gt;")=0,"",COUNTIFS('2024 Full View'!$K:$K,$B164,'2024 Full View'!E:E,"&lt;&gt;")+COUNTIFS('2024 Full View'!$F:$F,$B164,'2024 Full View'!E:E,"&lt;&gt;"))</f>
        <v/>
      </c>
      <c r="G164" s="21">
        <f t="shared" si="0"/>
        <v>1</v>
      </c>
    </row>
    <row r="165" spans="2:7" ht="13">
      <c r="B165" s="3" t="s">
        <v>523</v>
      </c>
      <c r="C165" s="21" t="str">
        <f>IF(COUNTIFS('2024 Full View'!$K:$K,$B165,'2024 Full View'!B:B,"&lt;&gt;")+COUNTIFS('2024 Full View'!$F:$F,$B165,'2024 Full View'!B:B,"&lt;&gt;")=0,"",COUNTIFS('2024 Full View'!$K:$K,$B165,'2024 Full View'!B:B,"&lt;&gt;")+COUNTIFS('2024 Full View'!$F:$F,$B165,'2024 Full View'!B:B,"&lt;&gt;"))</f>
        <v/>
      </c>
      <c r="D165" s="21" t="str">
        <f>IF(COUNTIFS('2024 Full View'!$K:$K,$B165,'2024 Full View'!C:C,"&lt;&gt;")+COUNTIFS('2024 Full View'!$F:$F,$B165,'2024 Full View'!C:C,"&lt;&gt;")=0,"",COUNTIFS('2024 Full View'!$K:$K,$B165,'2024 Full View'!C:C,"&lt;&gt;")+COUNTIFS('2024 Full View'!$F:$F,$B165,'2024 Full View'!C:C,"&lt;&gt;"))</f>
        <v/>
      </c>
      <c r="E165" s="21">
        <f>IF(COUNTIFS('2024 Full View'!$K:$K,$B165,'2024 Full View'!D:D,"&lt;&gt;")+COUNTIFS('2024 Full View'!$F:$F,$B165,'2024 Full View'!D:D,"&lt;&gt;")=0,"",COUNTIFS('2024 Full View'!$K:$K,$B165,'2024 Full View'!D:D,"&lt;&gt;")+COUNTIFS('2024 Full View'!$F:$F,$B165,'2024 Full View'!D:D,"&lt;&gt;"))</f>
        <v>1</v>
      </c>
      <c r="F165" s="21" t="str">
        <f>IF(COUNTIFS('2024 Full View'!$K:$K,$B165,'2024 Full View'!E:E,"&lt;&gt;")+COUNTIFS('2024 Full View'!$F:$F,$B165,'2024 Full View'!E:E,"&lt;&gt;")=0,"",COUNTIFS('2024 Full View'!$K:$K,$B165,'2024 Full View'!E:E,"&lt;&gt;")+COUNTIFS('2024 Full View'!$F:$F,$B165,'2024 Full View'!E:E,"&lt;&gt;"))</f>
        <v/>
      </c>
      <c r="G165" s="21">
        <f t="shared" si="0"/>
        <v>1</v>
      </c>
    </row>
    <row r="166" spans="2:7" ht="13">
      <c r="B166" s="3" t="s">
        <v>524</v>
      </c>
      <c r="C166" s="21" t="str">
        <f>IF(COUNTIFS('2024 Full View'!$K:$K,$B166,'2024 Full View'!B:B,"&lt;&gt;")+COUNTIFS('2024 Full View'!$F:$F,$B166,'2024 Full View'!B:B,"&lt;&gt;")=0,"",COUNTIFS('2024 Full View'!$K:$K,$B166,'2024 Full View'!B:B,"&lt;&gt;")+COUNTIFS('2024 Full View'!$F:$F,$B166,'2024 Full View'!B:B,"&lt;&gt;"))</f>
        <v/>
      </c>
      <c r="D166" s="21" t="str">
        <f>IF(COUNTIFS('2024 Full View'!$K:$K,$B166,'2024 Full View'!C:C,"&lt;&gt;")+COUNTIFS('2024 Full View'!$F:$F,$B166,'2024 Full View'!C:C,"&lt;&gt;")=0,"",COUNTIFS('2024 Full View'!$K:$K,$B166,'2024 Full View'!C:C,"&lt;&gt;")+COUNTIFS('2024 Full View'!$F:$F,$B166,'2024 Full View'!C:C,"&lt;&gt;"))</f>
        <v/>
      </c>
      <c r="E166" s="21">
        <f>IF(COUNTIFS('2024 Full View'!$K:$K,$B166,'2024 Full View'!D:D,"&lt;&gt;")+COUNTIFS('2024 Full View'!$F:$F,$B166,'2024 Full View'!D:D,"&lt;&gt;")=0,"",COUNTIFS('2024 Full View'!$K:$K,$B166,'2024 Full View'!D:D,"&lt;&gt;")+COUNTIFS('2024 Full View'!$F:$F,$B166,'2024 Full View'!D:D,"&lt;&gt;"))</f>
        <v>1</v>
      </c>
      <c r="F166" s="21" t="str">
        <f>IF(COUNTIFS('2024 Full View'!$K:$K,$B166,'2024 Full View'!E:E,"&lt;&gt;")+COUNTIFS('2024 Full View'!$F:$F,$B166,'2024 Full View'!E:E,"&lt;&gt;")=0,"",COUNTIFS('2024 Full View'!$K:$K,$B166,'2024 Full View'!E:E,"&lt;&gt;")+COUNTIFS('2024 Full View'!$F:$F,$B166,'2024 Full View'!E:E,"&lt;&gt;"))</f>
        <v/>
      </c>
      <c r="G166" s="21">
        <f t="shared" si="0"/>
        <v>1</v>
      </c>
    </row>
    <row r="167" spans="2:7" ht="13">
      <c r="B167" s="3" t="s">
        <v>525</v>
      </c>
      <c r="C167" s="21" t="str">
        <f>IF(COUNTIFS('2024 Full View'!$K:$K,$B167,'2024 Full View'!B:B,"&lt;&gt;")+COUNTIFS('2024 Full View'!$F:$F,$B167,'2024 Full View'!B:B,"&lt;&gt;")=0,"",COUNTIFS('2024 Full View'!$K:$K,$B167,'2024 Full View'!B:B,"&lt;&gt;")+COUNTIFS('2024 Full View'!$F:$F,$B167,'2024 Full View'!B:B,"&lt;&gt;"))</f>
        <v/>
      </c>
      <c r="D167" s="21" t="str">
        <f>IF(COUNTIFS('2024 Full View'!$K:$K,$B167,'2024 Full View'!C:C,"&lt;&gt;")+COUNTIFS('2024 Full View'!$F:$F,$B167,'2024 Full View'!C:C,"&lt;&gt;")=0,"",COUNTIFS('2024 Full View'!$K:$K,$B167,'2024 Full View'!C:C,"&lt;&gt;")+COUNTIFS('2024 Full View'!$F:$F,$B167,'2024 Full View'!C:C,"&lt;&gt;"))</f>
        <v/>
      </c>
      <c r="E167" s="21" t="str">
        <f>IF(COUNTIFS('2024 Full View'!$K:$K,$B167,'2024 Full View'!D:D,"&lt;&gt;")+COUNTIFS('2024 Full View'!$F:$F,$B167,'2024 Full View'!D:D,"&lt;&gt;")=0,"",COUNTIFS('2024 Full View'!$K:$K,$B167,'2024 Full View'!D:D,"&lt;&gt;")+COUNTIFS('2024 Full View'!$F:$F,$B167,'2024 Full View'!D:D,"&lt;&gt;"))</f>
        <v/>
      </c>
      <c r="F167" s="21">
        <f>IF(COUNTIFS('2024 Full View'!$K:$K,$B167,'2024 Full View'!E:E,"&lt;&gt;")+COUNTIFS('2024 Full View'!$F:$F,$B167,'2024 Full View'!E:E,"&lt;&gt;")=0,"",COUNTIFS('2024 Full View'!$K:$K,$B167,'2024 Full View'!E:E,"&lt;&gt;")+COUNTIFS('2024 Full View'!$F:$F,$B167,'2024 Full View'!E:E,"&lt;&gt;"))</f>
        <v>1</v>
      </c>
      <c r="G167" s="21">
        <f t="shared" si="0"/>
        <v>1</v>
      </c>
    </row>
    <row r="168" spans="2:7" ht="13">
      <c r="B168" s="3" t="s">
        <v>526</v>
      </c>
      <c r="C168" s="21" t="str">
        <f>IF(COUNTIFS('2024 Full View'!$K:$K,$B168,'2024 Full View'!B:B,"&lt;&gt;")+COUNTIFS('2024 Full View'!$F:$F,$B168,'2024 Full View'!B:B,"&lt;&gt;")=0,"",COUNTIFS('2024 Full View'!$K:$K,$B168,'2024 Full View'!B:B,"&lt;&gt;")+COUNTIFS('2024 Full View'!$F:$F,$B168,'2024 Full View'!B:B,"&lt;&gt;"))</f>
        <v/>
      </c>
      <c r="D168" s="21" t="str">
        <f>IF(COUNTIFS('2024 Full View'!$K:$K,$B168,'2024 Full View'!C:C,"&lt;&gt;")+COUNTIFS('2024 Full View'!$F:$F,$B168,'2024 Full View'!C:C,"&lt;&gt;")=0,"",COUNTIFS('2024 Full View'!$K:$K,$B168,'2024 Full View'!C:C,"&lt;&gt;")+COUNTIFS('2024 Full View'!$F:$F,$B168,'2024 Full View'!C:C,"&lt;&gt;"))</f>
        <v/>
      </c>
      <c r="E168" s="21" t="str">
        <f>IF(COUNTIFS('2024 Full View'!$K:$K,$B168,'2024 Full View'!D:D,"&lt;&gt;")+COUNTIFS('2024 Full View'!$F:$F,$B168,'2024 Full View'!D:D,"&lt;&gt;")=0,"",COUNTIFS('2024 Full View'!$K:$K,$B168,'2024 Full View'!D:D,"&lt;&gt;")+COUNTIFS('2024 Full View'!$F:$F,$B168,'2024 Full View'!D:D,"&lt;&gt;"))</f>
        <v/>
      </c>
      <c r="F168" s="21">
        <f>IF(COUNTIFS('2024 Full View'!$K:$K,$B168,'2024 Full View'!E:E,"&lt;&gt;")+COUNTIFS('2024 Full View'!$F:$F,$B168,'2024 Full View'!E:E,"&lt;&gt;")=0,"",COUNTIFS('2024 Full View'!$K:$K,$B168,'2024 Full View'!E:E,"&lt;&gt;")+COUNTIFS('2024 Full View'!$F:$F,$B168,'2024 Full View'!E:E,"&lt;&gt;"))</f>
        <v>1</v>
      </c>
      <c r="G168" s="21">
        <f t="shared" si="0"/>
        <v>1</v>
      </c>
    </row>
    <row r="169" spans="2:7" ht="13">
      <c r="B169" s="3" t="s">
        <v>527</v>
      </c>
      <c r="C169" s="21" t="str">
        <f>IF(COUNTIFS('2024 Full View'!$K:$K,$B169,'2024 Full View'!B:B,"&lt;&gt;")+COUNTIFS('2024 Full View'!$F:$F,$B169,'2024 Full View'!B:B,"&lt;&gt;")=0,"",COUNTIFS('2024 Full View'!$K:$K,$B169,'2024 Full View'!B:B,"&lt;&gt;")+COUNTIFS('2024 Full View'!$F:$F,$B169,'2024 Full View'!B:B,"&lt;&gt;"))</f>
        <v/>
      </c>
      <c r="D169" s="21" t="str">
        <f>IF(COUNTIFS('2024 Full View'!$K:$K,$B169,'2024 Full View'!C:C,"&lt;&gt;")+COUNTIFS('2024 Full View'!$F:$F,$B169,'2024 Full View'!C:C,"&lt;&gt;")=0,"",COUNTIFS('2024 Full View'!$K:$K,$B169,'2024 Full View'!C:C,"&lt;&gt;")+COUNTIFS('2024 Full View'!$F:$F,$B169,'2024 Full View'!C:C,"&lt;&gt;"))</f>
        <v/>
      </c>
      <c r="E169" s="21">
        <f>IF(COUNTIFS('2024 Full View'!$K:$K,$B169,'2024 Full View'!D:D,"&lt;&gt;")+COUNTIFS('2024 Full View'!$F:$F,$B169,'2024 Full View'!D:D,"&lt;&gt;")=0,"",COUNTIFS('2024 Full View'!$K:$K,$B169,'2024 Full View'!D:D,"&lt;&gt;")+COUNTIFS('2024 Full View'!$F:$F,$B169,'2024 Full View'!D:D,"&lt;&gt;"))</f>
        <v>1</v>
      </c>
      <c r="F169" s="21" t="str">
        <f>IF(COUNTIFS('2024 Full View'!$K:$K,$B169,'2024 Full View'!E:E,"&lt;&gt;")+COUNTIFS('2024 Full View'!$F:$F,$B169,'2024 Full View'!E:E,"&lt;&gt;")=0,"",COUNTIFS('2024 Full View'!$K:$K,$B169,'2024 Full View'!E:E,"&lt;&gt;")+COUNTIFS('2024 Full View'!$F:$F,$B169,'2024 Full View'!E:E,"&lt;&gt;"))</f>
        <v/>
      </c>
      <c r="G169" s="21">
        <f t="shared" si="0"/>
        <v>1</v>
      </c>
    </row>
    <row r="170" spans="2:7" ht="13">
      <c r="B170" s="3" t="s">
        <v>528</v>
      </c>
      <c r="C170" s="21" t="str">
        <f>IF(COUNTIFS('2024 Full View'!$K:$K,$B170,'2024 Full View'!B:B,"&lt;&gt;")+COUNTIFS('2024 Full View'!$F:$F,$B170,'2024 Full View'!B:B,"&lt;&gt;")=0,"",COUNTIFS('2024 Full View'!$K:$K,$B170,'2024 Full View'!B:B,"&lt;&gt;")+COUNTIFS('2024 Full View'!$F:$F,$B170,'2024 Full View'!B:B,"&lt;&gt;"))</f>
        <v/>
      </c>
      <c r="D170" s="21" t="str">
        <f>IF(COUNTIFS('2024 Full View'!$K:$K,$B170,'2024 Full View'!C:C,"&lt;&gt;")+COUNTIFS('2024 Full View'!$F:$F,$B170,'2024 Full View'!C:C,"&lt;&gt;")=0,"",COUNTIFS('2024 Full View'!$K:$K,$B170,'2024 Full View'!C:C,"&lt;&gt;")+COUNTIFS('2024 Full View'!$F:$F,$B170,'2024 Full View'!C:C,"&lt;&gt;"))</f>
        <v/>
      </c>
      <c r="E170" s="21">
        <f>IF(COUNTIFS('2024 Full View'!$K:$K,$B170,'2024 Full View'!D:D,"&lt;&gt;")+COUNTIFS('2024 Full View'!$F:$F,$B170,'2024 Full View'!D:D,"&lt;&gt;")=0,"",COUNTIFS('2024 Full View'!$K:$K,$B170,'2024 Full View'!D:D,"&lt;&gt;")+COUNTIFS('2024 Full View'!$F:$F,$B170,'2024 Full View'!D:D,"&lt;&gt;"))</f>
        <v>1</v>
      </c>
      <c r="F170" s="21" t="str">
        <f>IF(COUNTIFS('2024 Full View'!$K:$K,$B170,'2024 Full View'!E:E,"&lt;&gt;")+COUNTIFS('2024 Full View'!$F:$F,$B170,'2024 Full View'!E:E,"&lt;&gt;")=0,"",COUNTIFS('2024 Full View'!$K:$K,$B170,'2024 Full View'!E:E,"&lt;&gt;")+COUNTIFS('2024 Full View'!$F:$F,$B170,'2024 Full View'!E:E,"&lt;&gt;"))</f>
        <v/>
      </c>
      <c r="G170" s="21">
        <f t="shared" si="0"/>
        <v>1</v>
      </c>
    </row>
    <row r="171" spans="2:7" ht="13">
      <c r="B171" s="3" t="s">
        <v>529</v>
      </c>
      <c r="C171" s="21" t="str">
        <f>IF(COUNTIFS('2024 Full View'!$K:$K,$B171,'2024 Full View'!B:B,"&lt;&gt;")+COUNTIFS('2024 Full View'!$F:$F,$B171,'2024 Full View'!B:B,"&lt;&gt;")=0,"",COUNTIFS('2024 Full View'!$K:$K,$B171,'2024 Full View'!B:B,"&lt;&gt;")+COUNTIFS('2024 Full View'!$F:$F,$B171,'2024 Full View'!B:B,"&lt;&gt;"))</f>
        <v/>
      </c>
      <c r="D171" s="21" t="str">
        <f>IF(COUNTIFS('2024 Full View'!$K:$K,$B171,'2024 Full View'!C:C,"&lt;&gt;")+COUNTIFS('2024 Full View'!$F:$F,$B171,'2024 Full View'!C:C,"&lt;&gt;")=0,"",COUNTIFS('2024 Full View'!$K:$K,$B171,'2024 Full View'!C:C,"&lt;&gt;")+COUNTIFS('2024 Full View'!$F:$F,$B171,'2024 Full View'!C:C,"&lt;&gt;"))</f>
        <v/>
      </c>
      <c r="E171" s="21" t="str">
        <f>IF(COUNTIFS('2024 Full View'!$K:$K,$B171,'2024 Full View'!D:D,"&lt;&gt;")+COUNTIFS('2024 Full View'!$F:$F,$B171,'2024 Full View'!D:D,"&lt;&gt;")=0,"",COUNTIFS('2024 Full View'!$K:$K,$B171,'2024 Full View'!D:D,"&lt;&gt;")+COUNTIFS('2024 Full View'!$F:$F,$B171,'2024 Full View'!D:D,"&lt;&gt;"))</f>
        <v/>
      </c>
      <c r="F171" s="21">
        <f>IF(COUNTIFS('2024 Full View'!$K:$K,$B171,'2024 Full View'!E:E,"&lt;&gt;")+COUNTIFS('2024 Full View'!$F:$F,$B171,'2024 Full View'!E:E,"&lt;&gt;")=0,"",COUNTIFS('2024 Full View'!$K:$K,$B171,'2024 Full View'!E:E,"&lt;&gt;")+COUNTIFS('2024 Full View'!$F:$F,$B171,'2024 Full View'!E:E,"&lt;&gt;"))</f>
        <v>1</v>
      </c>
      <c r="G171" s="21">
        <f t="shared" si="0"/>
        <v>1</v>
      </c>
    </row>
    <row r="172" spans="2:7" ht="13">
      <c r="B172" s="3" t="s">
        <v>530</v>
      </c>
      <c r="C172" s="21" t="str">
        <f>IF(COUNTIFS('2024 Full View'!$K:$K,$B172,'2024 Full View'!B:B,"&lt;&gt;")+COUNTIFS('2024 Full View'!$F:$F,$B172,'2024 Full View'!B:B,"&lt;&gt;")=0,"",COUNTIFS('2024 Full View'!$K:$K,$B172,'2024 Full View'!B:B,"&lt;&gt;")+COUNTIFS('2024 Full View'!$F:$F,$B172,'2024 Full View'!B:B,"&lt;&gt;"))</f>
        <v/>
      </c>
      <c r="D172" s="21" t="str">
        <f>IF(COUNTIFS('2024 Full View'!$K:$K,$B172,'2024 Full View'!C:C,"&lt;&gt;")+COUNTIFS('2024 Full View'!$F:$F,$B172,'2024 Full View'!C:C,"&lt;&gt;")=0,"",COUNTIFS('2024 Full View'!$K:$K,$B172,'2024 Full View'!C:C,"&lt;&gt;")+COUNTIFS('2024 Full View'!$F:$F,$B172,'2024 Full View'!C:C,"&lt;&gt;"))</f>
        <v/>
      </c>
      <c r="E172" s="21">
        <f>IF(COUNTIFS('2024 Full View'!$K:$K,$B172,'2024 Full View'!D:D,"&lt;&gt;")+COUNTIFS('2024 Full View'!$F:$F,$B172,'2024 Full View'!D:D,"&lt;&gt;")=0,"",COUNTIFS('2024 Full View'!$K:$K,$B172,'2024 Full View'!D:D,"&lt;&gt;")+COUNTIFS('2024 Full View'!$F:$F,$B172,'2024 Full View'!D:D,"&lt;&gt;"))</f>
        <v>1</v>
      </c>
      <c r="F172" s="21" t="str">
        <f>IF(COUNTIFS('2024 Full View'!$K:$K,$B172,'2024 Full View'!E:E,"&lt;&gt;")+COUNTIFS('2024 Full View'!$F:$F,$B172,'2024 Full View'!E:E,"&lt;&gt;")=0,"",COUNTIFS('2024 Full View'!$K:$K,$B172,'2024 Full View'!E:E,"&lt;&gt;")+COUNTIFS('2024 Full View'!$F:$F,$B172,'2024 Full View'!E:E,"&lt;&gt;"))</f>
        <v/>
      </c>
      <c r="G172" s="21">
        <f t="shared" si="0"/>
        <v>1</v>
      </c>
    </row>
    <row r="173" spans="2:7" ht="13">
      <c r="B173" s="3" t="s">
        <v>531</v>
      </c>
      <c r="C173" s="21" t="str">
        <f>IF(COUNTIFS('2024 Full View'!$K:$K,$B173,'2024 Full View'!B:B,"&lt;&gt;")+COUNTIFS('2024 Full View'!$F:$F,$B173,'2024 Full View'!B:B,"&lt;&gt;")=0,"",COUNTIFS('2024 Full View'!$K:$K,$B173,'2024 Full View'!B:B,"&lt;&gt;")+COUNTIFS('2024 Full View'!$F:$F,$B173,'2024 Full View'!B:B,"&lt;&gt;"))</f>
        <v/>
      </c>
      <c r="D173" s="21" t="str">
        <f>IF(COUNTIFS('2024 Full View'!$K:$K,$B173,'2024 Full View'!C:C,"&lt;&gt;")+COUNTIFS('2024 Full View'!$F:$F,$B173,'2024 Full View'!C:C,"&lt;&gt;")=0,"",COUNTIFS('2024 Full View'!$K:$K,$B173,'2024 Full View'!C:C,"&lt;&gt;")+COUNTIFS('2024 Full View'!$F:$F,$B173,'2024 Full View'!C:C,"&lt;&gt;"))</f>
        <v/>
      </c>
      <c r="E173" s="21">
        <f>IF(COUNTIFS('2024 Full View'!$K:$K,$B173,'2024 Full View'!D:D,"&lt;&gt;")+COUNTIFS('2024 Full View'!$F:$F,$B173,'2024 Full View'!D:D,"&lt;&gt;")=0,"",COUNTIFS('2024 Full View'!$K:$K,$B173,'2024 Full View'!D:D,"&lt;&gt;")+COUNTIFS('2024 Full View'!$F:$F,$B173,'2024 Full View'!D:D,"&lt;&gt;"))</f>
        <v>1</v>
      </c>
      <c r="F173" s="21" t="str">
        <f>IF(COUNTIFS('2024 Full View'!$K:$K,$B173,'2024 Full View'!E:E,"&lt;&gt;")+COUNTIFS('2024 Full View'!$F:$F,$B173,'2024 Full View'!E:E,"&lt;&gt;")=0,"",COUNTIFS('2024 Full View'!$K:$K,$B173,'2024 Full View'!E:E,"&lt;&gt;")+COUNTIFS('2024 Full View'!$F:$F,$B173,'2024 Full View'!E:E,"&lt;&gt;"))</f>
        <v/>
      </c>
      <c r="G173" s="21">
        <f t="shared" si="0"/>
        <v>1</v>
      </c>
    </row>
    <row r="174" spans="2:7" ht="13">
      <c r="B174" s="3" t="s">
        <v>532</v>
      </c>
      <c r="C174" s="21" t="str">
        <f>IF(COUNTIFS('2024 Full View'!$K:$K,$B174,'2024 Full View'!B:B,"&lt;&gt;")+COUNTIFS('2024 Full View'!$F:$F,$B174,'2024 Full View'!B:B,"&lt;&gt;")=0,"",COUNTIFS('2024 Full View'!$K:$K,$B174,'2024 Full View'!B:B,"&lt;&gt;")+COUNTIFS('2024 Full View'!$F:$F,$B174,'2024 Full View'!B:B,"&lt;&gt;"))</f>
        <v/>
      </c>
      <c r="D174" s="21" t="str">
        <f>IF(COUNTIFS('2024 Full View'!$K:$K,$B174,'2024 Full View'!C:C,"&lt;&gt;")+COUNTIFS('2024 Full View'!$F:$F,$B174,'2024 Full View'!C:C,"&lt;&gt;")=0,"",COUNTIFS('2024 Full View'!$K:$K,$B174,'2024 Full View'!C:C,"&lt;&gt;")+COUNTIFS('2024 Full View'!$F:$F,$B174,'2024 Full View'!C:C,"&lt;&gt;"))</f>
        <v/>
      </c>
      <c r="E174" s="21">
        <f>IF(COUNTIFS('2024 Full View'!$K:$K,$B174,'2024 Full View'!D:D,"&lt;&gt;")+COUNTIFS('2024 Full View'!$F:$F,$B174,'2024 Full View'!D:D,"&lt;&gt;")=0,"",COUNTIFS('2024 Full View'!$K:$K,$B174,'2024 Full View'!D:D,"&lt;&gt;")+COUNTIFS('2024 Full View'!$F:$F,$B174,'2024 Full View'!D:D,"&lt;&gt;"))</f>
        <v>1</v>
      </c>
      <c r="F174" s="21" t="str">
        <f>IF(COUNTIFS('2024 Full View'!$K:$K,$B174,'2024 Full View'!E:E,"&lt;&gt;")+COUNTIFS('2024 Full View'!$F:$F,$B174,'2024 Full View'!E:E,"&lt;&gt;")=0,"",COUNTIFS('2024 Full View'!$K:$K,$B174,'2024 Full View'!E:E,"&lt;&gt;")+COUNTIFS('2024 Full View'!$F:$F,$B174,'2024 Full View'!E:E,"&lt;&gt;"))</f>
        <v/>
      </c>
      <c r="G174" s="21">
        <f t="shared" si="0"/>
        <v>1</v>
      </c>
    </row>
    <row r="175" spans="2:7" ht="13">
      <c r="B175" s="3" t="s">
        <v>533</v>
      </c>
      <c r="C175" s="21" t="str">
        <f>IF(COUNTIFS('2024 Full View'!$K:$K,$B175,'2024 Full View'!B:B,"&lt;&gt;")+COUNTIFS('2024 Full View'!$F:$F,$B175,'2024 Full View'!B:B,"&lt;&gt;")=0,"",COUNTIFS('2024 Full View'!$K:$K,$B175,'2024 Full View'!B:B,"&lt;&gt;")+COUNTIFS('2024 Full View'!$F:$F,$B175,'2024 Full View'!B:B,"&lt;&gt;"))</f>
        <v/>
      </c>
      <c r="D175" s="21" t="str">
        <f>IF(COUNTIFS('2024 Full View'!$K:$K,$B175,'2024 Full View'!C:C,"&lt;&gt;")+COUNTIFS('2024 Full View'!$F:$F,$B175,'2024 Full View'!C:C,"&lt;&gt;")=0,"",COUNTIFS('2024 Full View'!$K:$K,$B175,'2024 Full View'!C:C,"&lt;&gt;")+COUNTIFS('2024 Full View'!$F:$F,$B175,'2024 Full View'!C:C,"&lt;&gt;"))</f>
        <v/>
      </c>
      <c r="E175" s="21" t="str">
        <f>IF(COUNTIFS('2024 Full View'!$K:$K,$B175,'2024 Full View'!D:D,"&lt;&gt;")+COUNTIFS('2024 Full View'!$F:$F,$B175,'2024 Full View'!D:D,"&lt;&gt;")=0,"",COUNTIFS('2024 Full View'!$K:$K,$B175,'2024 Full View'!D:D,"&lt;&gt;")+COUNTIFS('2024 Full View'!$F:$F,$B175,'2024 Full View'!D:D,"&lt;&gt;"))</f>
        <v/>
      </c>
      <c r="F175" s="21">
        <f>IF(COUNTIFS('2024 Full View'!$K:$K,$B175,'2024 Full View'!E:E,"&lt;&gt;")+COUNTIFS('2024 Full View'!$F:$F,$B175,'2024 Full View'!E:E,"&lt;&gt;")=0,"",COUNTIFS('2024 Full View'!$K:$K,$B175,'2024 Full View'!E:E,"&lt;&gt;")+COUNTIFS('2024 Full View'!$F:$F,$B175,'2024 Full View'!E:E,"&lt;&gt;"))</f>
        <v>1</v>
      </c>
      <c r="G175" s="21">
        <f t="shared" si="0"/>
        <v>1</v>
      </c>
    </row>
    <row r="176" spans="2:7" ht="13">
      <c r="B176" s="3" t="s">
        <v>534</v>
      </c>
      <c r="C176" s="21" t="str">
        <f>IF(COUNTIFS('2024 Full View'!$K:$K,$B176,'2024 Full View'!B:B,"&lt;&gt;")+COUNTIFS('2024 Full View'!$F:$F,$B176,'2024 Full View'!B:B,"&lt;&gt;")=0,"",COUNTIFS('2024 Full View'!$K:$K,$B176,'2024 Full View'!B:B,"&lt;&gt;")+COUNTIFS('2024 Full View'!$F:$F,$B176,'2024 Full View'!B:B,"&lt;&gt;"))</f>
        <v/>
      </c>
      <c r="D176" s="21" t="str">
        <f>IF(COUNTIFS('2024 Full View'!$K:$K,$B176,'2024 Full View'!C:C,"&lt;&gt;")+COUNTIFS('2024 Full View'!$F:$F,$B176,'2024 Full View'!C:C,"&lt;&gt;")=0,"",COUNTIFS('2024 Full View'!$K:$K,$B176,'2024 Full View'!C:C,"&lt;&gt;")+COUNTIFS('2024 Full View'!$F:$F,$B176,'2024 Full View'!C:C,"&lt;&gt;"))</f>
        <v/>
      </c>
      <c r="E176" s="21" t="str">
        <f>IF(COUNTIFS('2024 Full View'!$K:$K,$B176,'2024 Full View'!D:D,"&lt;&gt;")+COUNTIFS('2024 Full View'!$F:$F,$B176,'2024 Full View'!D:D,"&lt;&gt;")=0,"",COUNTIFS('2024 Full View'!$K:$K,$B176,'2024 Full View'!D:D,"&lt;&gt;")+COUNTIFS('2024 Full View'!$F:$F,$B176,'2024 Full View'!D:D,"&lt;&gt;"))</f>
        <v/>
      </c>
      <c r="F176" s="21">
        <f>IF(COUNTIFS('2024 Full View'!$K:$K,$B176,'2024 Full View'!E:E,"&lt;&gt;")+COUNTIFS('2024 Full View'!$F:$F,$B176,'2024 Full View'!E:E,"&lt;&gt;")=0,"",COUNTIFS('2024 Full View'!$K:$K,$B176,'2024 Full View'!E:E,"&lt;&gt;")+COUNTIFS('2024 Full View'!$F:$F,$B176,'2024 Full View'!E:E,"&lt;&gt;"))</f>
        <v>1</v>
      </c>
      <c r="G176" s="21">
        <f t="shared" si="0"/>
        <v>1</v>
      </c>
    </row>
    <row r="177" spans="2:7" ht="13">
      <c r="B177" s="3" t="s">
        <v>535</v>
      </c>
      <c r="C177" s="21" t="str">
        <f>IF(COUNTIFS('2024 Full View'!$K:$K,$B177,'2024 Full View'!B:B,"&lt;&gt;")+COUNTIFS('2024 Full View'!$F:$F,$B177,'2024 Full View'!B:B,"&lt;&gt;")=0,"",COUNTIFS('2024 Full View'!$K:$K,$B177,'2024 Full View'!B:B,"&lt;&gt;")+COUNTIFS('2024 Full View'!$F:$F,$B177,'2024 Full View'!B:B,"&lt;&gt;"))</f>
        <v/>
      </c>
      <c r="D177" s="21" t="str">
        <f>IF(COUNTIFS('2024 Full View'!$K:$K,$B177,'2024 Full View'!C:C,"&lt;&gt;")+COUNTIFS('2024 Full View'!$F:$F,$B177,'2024 Full View'!C:C,"&lt;&gt;")=0,"",COUNTIFS('2024 Full View'!$K:$K,$B177,'2024 Full View'!C:C,"&lt;&gt;")+COUNTIFS('2024 Full View'!$F:$F,$B177,'2024 Full View'!C:C,"&lt;&gt;"))</f>
        <v/>
      </c>
      <c r="E177" s="21" t="str">
        <f>IF(COUNTIFS('2024 Full View'!$K:$K,$B177,'2024 Full View'!D:D,"&lt;&gt;")+COUNTIFS('2024 Full View'!$F:$F,$B177,'2024 Full View'!D:D,"&lt;&gt;")=0,"",COUNTIFS('2024 Full View'!$K:$K,$B177,'2024 Full View'!D:D,"&lt;&gt;")+COUNTIFS('2024 Full View'!$F:$F,$B177,'2024 Full View'!D:D,"&lt;&gt;"))</f>
        <v/>
      </c>
      <c r="F177" s="21">
        <f>IF(COUNTIFS('2024 Full View'!$K:$K,$B177,'2024 Full View'!E:E,"&lt;&gt;")+COUNTIFS('2024 Full View'!$F:$F,$B177,'2024 Full View'!E:E,"&lt;&gt;")=0,"",COUNTIFS('2024 Full View'!$K:$K,$B177,'2024 Full View'!E:E,"&lt;&gt;")+COUNTIFS('2024 Full View'!$F:$F,$B177,'2024 Full View'!E:E,"&lt;&gt;"))</f>
        <v>1</v>
      </c>
      <c r="G177" s="21">
        <f t="shared" si="0"/>
        <v>1</v>
      </c>
    </row>
    <row r="178" spans="2:7" ht="13">
      <c r="B178" s="3" t="s">
        <v>536</v>
      </c>
      <c r="C178" s="21" t="str">
        <f>IF(COUNTIFS('2024 Full View'!$K:$K,$B178,'2024 Full View'!B:B,"&lt;&gt;")+COUNTIFS('2024 Full View'!$F:$F,$B178,'2024 Full View'!B:B,"&lt;&gt;")=0,"",COUNTIFS('2024 Full View'!$K:$K,$B178,'2024 Full View'!B:B,"&lt;&gt;")+COUNTIFS('2024 Full View'!$F:$F,$B178,'2024 Full View'!B:B,"&lt;&gt;"))</f>
        <v/>
      </c>
      <c r="D178" s="21" t="str">
        <f>IF(COUNTIFS('2024 Full View'!$K:$K,$B178,'2024 Full View'!C:C,"&lt;&gt;")+COUNTIFS('2024 Full View'!$F:$F,$B178,'2024 Full View'!C:C,"&lt;&gt;")=0,"",COUNTIFS('2024 Full View'!$K:$K,$B178,'2024 Full View'!C:C,"&lt;&gt;")+COUNTIFS('2024 Full View'!$F:$F,$B178,'2024 Full View'!C:C,"&lt;&gt;"))</f>
        <v/>
      </c>
      <c r="E178" s="21" t="str">
        <f>IF(COUNTIFS('2024 Full View'!$K:$K,$B178,'2024 Full View'!D:D,"&lt;&gt;")+COUNTIFS('2024 Full View'!$F:$F,$B178,'2024 Full View'!D:D,"&lt;&gt;")=0,"",COUNTIFS('2024 Full View'!$K:$K,$B178,'2024 Full View'!D:D,"&lt;&gt;")+COUNTIFS('2024 Full View'!$F:$F,$B178,'2024 Full View'!D:D,"&lt;&gt;"))</f>
        <v/>
      </c>
      <c r="F178" s="21">
        <f>IF(COUNTIFS('2024 Full View'!$K:$K,$B178,'2024 Full View'!E:E,"&lt;&gt;")+COUNTIFS('2024 Full View'!$F:$F,$B178,'2024 Full View'!E:E,"&lt;&gt;")=0,"",COUNTIFS('2024 Full View'!$K:$K,$B178,'2024 Full View'!E:E,"&lt;&gt;")+COUNTIFS('2024 Full View'!$F:$F,$B178,'2024 Full View'!E:E,"&lt;&gt;"))</f>
        <v>1</v>
      </c>
      <c r="G178" s="21">
        <f t="shared" si="0"/>
        <v>1</v>
      </c>
    </row>
    <row r="179" spans="2:7" ht="13">
      <c r="B179" s="3" t="s">
        <v>537</v>
      </c>
      <c r="C179" s="21" t="str">
        <f>IF(COUNTIFS('2024 Full View'!$K:$K,$B179,'2024 Full View'!B:B,"&lt;&gt;")+COUNTIFS('2024 Full View'!$F:$F,$B179,'2024 Full View'!B:B,"&lt;&gt;")=0,"",COUNTIFS('2024 Full View'!$K:$K,$B179,'2024 Full View'!B:B,"&lt;&gt;")+COUNTIFS('2024 Full View'!$F:$F,$B179,'2024 Full View'!B:B,"&lt;&gt;"))</f>
        <v/>
      </c>
      <c r="D179" s="21" t="str">
        <f>IF(COUNTIFS('2024 Full View'!$K:$K,$B179,'2024 Full View'!C:C,"&lt;&gt;")+COUNTIFS('2024 Full View'!$F:$F,$B179,'2024 Full View'!C:C,"&lt;&gt;")=0,"",COUNTIFS('2024 Full View'!$K:$K,$B179,'2024 Full View'!C:C,"&lt;&gt;")+COUNTIFS('2024 Full View'!$F:$F,$B179,'2024 Full View'!C:C,"&lt;&gt;"))</f>
        <v/>
      </c>
      <c r="E179" s="21">
        <f>IF(COUNTIFS('2024 Full View'!$K:$K,$B179,'2024 Full View'!D:D,"&lt;&gt;")+COUNTIFS('2024 Full View'!$F:$F,$B179,'2024 Full View'!D:D,"&lt;&gt;")=0,"",COUNTIFS('2024 Full View'!$K:$K,$B179,'2024 Full View'!D:D,"&lt;&gt;")+COUNTIFS('2024 Full View'!$F:$F,$B179,'2024 Full View'!D:D,"&lt;&gt;"))</f>
        <v>1</v>
      </c>
      <c r="F179" s="21" t="str">
        <f>IF(COUNTIFS('2024 Full View'!$K:$K,$B179,'2024 Full View'!E:E,"&lt;&gt;")+COUNTIFS('2024 Full View'!$F:$F,$B179,'2024 Full View'!E:E,"&lt;&gt;")=0,"",COUNTIFS('2024 Full View'!$K:$K,$B179,'2024 Full View'!E:E,"&lt;&gt;")+COUNTIFS('2024 Full View'!$F:$F,$B179,'2024 Full View'!E:E,"&lt;&gt;"))</f>
        <v/>
      </c>
      <c r="G179" s="21">
        <f t="shared" si="0"/>
        <v>1</v>
      </c>
    </row>
    <row r="180" spans="2:7" ht="13">
      <c r="B180" s="3" t="s">
        <v>538</v>
      </c>
      <c r="C180" s="21" t="str">
        <f>IF(COUNTIFS('2024 Full View'!$K:$K,$B180,'2024 Full View'!B:B,"&lt;&gt;")+COUNTIFS('2024 Full View'!$F:$F,$B180,'2024 Full View'!B:B,"&lt;&gt;")=0,"",COUNTIFS('2024 Full View'!$K:$K,$B180,'2024 Full View'!B:B,"&lt;&gt;")+COUNTIFS('2024 Full View'!$F:$F,$B180,'2024 Full View'!B:B,"&lt;&gt;"))</f>
        <v/>
      </c>
      <c r="D180" s="21" t="str">
        <f>IF(COUNTIFS('2024 Full View'!$K:$K,$B180,'2024 Full View'!C:C,"&lt;&gt;")+COUNTIFS('2024 Full View'!$F:$F,$B180,'2024 Full View'!C:C,"&lt;&gt;")=0,"",COUNTIFS('2024 Full View'!$K:$K,$B180,'2024 Full View'!C:C,"&lt;&gt;")+COUNTIFS('2024 Full View'!$F:$F,$B180,'2024 Full View'!C:C,"&lt;&gt;"))</f>
        <v/>
      </c>
      <c r="E180" s="21">
        <f>IF(COUNTIFS('2024 Full View'!$K:$K,$B180,'2024 Full View'!D:D,"&lt;&gt;")+COUNTIFS('2024 Full View'!$F:$F,$B180,'2024 Full View'!D:D,"&lt;&gt;")=0,"",COUNTIFS('2024 Full View'!$K:$K,$B180,'2024 Full View'!D:D,"&lt;&gt;")+COUNTIFS('2024 Full View'!$F:$F,$B180,'2024 Full View'!D:D,"&lt;&gt;"))</f>
        <v>1</v>
      </c>
      <c r="F180" s="21" t="str">
        <f>IF(COUNTIFS('2024 Full View'!$K:$K,$B180,'2024 Full View'!E:E,"&lt;&gt;")+COUNTIFS('2024 Full View'!$F:$F,$B180,'2024 Full View'!E:E,"&lt;&gt;")=0,"",COUNTIFS('2024 Full View'!$K:$K,$B180,'2024 Full View'!E:E,"&lt;&gt;")+COUNTIFS('2024 Full View'!$F:$F,$B180,'2024 Full View'!E:E,"&lt;&gt;"))</f>
        <v/>
      </c>
      <c r="G180" s="21">
        <f t="shared" si="0"/>
        <v>1</v>
      </c>
    </row>
    <row r="181" spans="2:7" ht="13">
      <c r="B181" s="3" t="s">
        <v>539</v>
      </c>
      <c r="C181" s="21" t="str">
        <f>IF(COUNTIFS('2024 Full View'!$K:$K,$B181,'2024 Full View'!B:B,"&lt;&gt;")+COUNTIFS('2024 Full View'!$F:$F,$B181,'2024 Full View'!B:B,"&lt;&gt;")=0,"",COUNTIFS('2024 Full View'!$K:$K,$B181,'2024 Full View'!B:B,"&lt;&gt;")+COUNTIFS('2024 Full View'!$F:$F,$B181,'2024 Full View'!B:B,"&lt;&gt;"))</f>
        <v/>
      </c>
      <c r="D181" s="21" t="str">
        <f>IF(COUNTIFS('2024 Full View'!$K:$K,$B181,'2024 Full View'!C:C,"&lt;&gt;")+COUNTIFS('2024 Full View'!$F:$F,$B181,'2024 Full View'!C:C,"&lt;&gt;")=0,"",COUNTIFS('2024 Full View'!$K:$K,$B181,'2024 Full View'!C:C,"&lt;&gt;")+COUNTIFS('2024 Full View'!$F:$F,$B181,'2024 Full View'!C:C,"&lt;&gt;"))</f>
        <v/>
      </c>
      <c r="E181" s="21" t="str">
        <f>IF(COUNTIFS('2024 Full View'!$K:$K,$B181,'2024 Full View'!D:D,"&lt;&gt;")+COUNTIFS('2024 Full View'!$F:$F,$B181,'2024 Full View'!D:D,"&lt;&gt;")=0,"",COUNTIFS('2024 Full View'!$K:$K,$B181,'2024 Full View'!D:D,"&lt;&gt;")+COUNTIFS('2024 Full View'!$F:$F,$B181,'2024 Full View'!D:D,"&lt;&gt;"))</f>
        <v/>
      </c>
      <c r="F181" s="21">
        <f>IF(COUNTIFS('2024 Full View'!$K:$K,$B181,'2024 Full View'!E:E,"&lt;&gt;")+COUNTIFS('2024 Full View'!$F:$F,$B181,'2024 Full View'!E:E,"&lt;&gt;")=0,"",COUNTIFS('2024 Full View'!$K:$K,$B181,'2024 Full View'!E:E,"&lt;&gt;")+COUNTIFS('2024 Full View'!$F:$F,$B181,'2024 Full View'!E:E,"&lt;&gt;"))</f>
        <v>1</v>
      </c>
      <c r="G181" s="21">
        <f t="shared" si="0"/>
        <v>1</v>
      </c>
    </row>
    <row r="182" spans="2:7" ht="13">
      <c r="B182" s="3" t="s">
        <v>540</v>
      </c>
      <c r="C182" s="21" t="str">
        <f>IF(COUNTIFS('2024 Full View'!$K:$K,$B182,'2024 Full View'!B:B,"&lt;&gt;")+COUNTIFS('2024 Full View'!$F:$F,$B182,'2024 Full View'!B:B,"&lt;&gt;")=0,"",COUNTIFS('2024 Full View'!$K:$K,$B182,'2024 Full View'!B:B,"&lt;&gt;")+COUNTIFS('2024 Full View'!$F:$F,$B182,'2024 Full View'!B:B,"&lt;&gt;"))</f>
        <v/>
      </c>
      <c r="D182" s="21" t="str">
        <f>IF(COUNTIFS('2024 Full View'!$K:$K,$B182,'2024 Full View'!C:C,"&lt;&gt;")+COUNTIFS('2024 Full View'!$F:$F,$B182,'2024 Full View'!C:C,"&lt;&gt;")=0,"",COUNTIFS('2024 Full View'!$K:$K,$B182,'2024 Full View'!C:C,"&lt;&gt;")+COUNTIFS('2024 Full View'!$F:$F,$B182,'2024 Full View'!C:C,"&lt;&gt;"))</f>
        <v/>
      </c>
      <c r="E182" s="21">
        <f>IF(COUNTIFS('2024 Full View'!$K:$K,$B182,'2024 Full View'!D:D,"&lt;&gt;")+COUNTIFS('2024 Full View'!$F:$F,$B182,'2024 Full View'!D:D,"&lt;&gt;")=0,"",COUNTIFS('2024 Full View'!$K:$K,$B182,'2024 Full View'!D:D,"&lt;&gt;")+COUNTIFS('2024 Full View'!$F:$F,$B182,'2024 Full View'!D:D,"&lt;&gt;"))</f>
        <v>1</v>
      </c>
      <c r="F182" s="21" t="str">
        <f>IF(COUNTIFS('2024 Full View'!$K:$K,$B182,'2024 Full View'!E:E,"&lt;&gt;")+COUNTIFS('2024 Full View'!$F:$F,$B182,'2024 Full View'!E:E,"&lt;&gt;")=0,"",COUNTIFS('2024 Full View'!$K:$K,$B182,'2024 Full View'!E:E,"&lt;&gt;")+COUNTIFS('2024 Full View'!$F:$F,$B182,'2024 Full View'!E:E,"&lt;&gt;"))</f>
        <v/>
      </c>
      <c r="G182" s="21">
        <f t="shared" si="0"/>
        <v>1</v>
      </c>
    </row>
    <row r="183" spans="2:7" ht="13">
      <c r="B183" s="3" t="s">
        <v>541</v>
      </c>
      <c r="C183" s="21" t="str">
        <f>IF(COUNTIFS('2024 Full View'!$K:$K,$B183,'2024 Full View'!B:B,"&lt;&gt;")+COUNTIFS('2024 Full View'!$F:$F,$B183,'2024 Full View'!B:B,"&lt;&gt;")=0,"",COUNTIFS('2024 Full View'!$K:$K,$B183,'2024 Full View'!B:B,"&lt;&gt;")+COUNTIFS('2024 Full View'!$F:$F,$B183,'2024 Full View'!B:B,"&lt;&gt;"))</f>
        <v/>
      </c>
      <c r="D183" s="21" t="str">
        <f>IF(COUNTIFS('2024 Full View'!$K:$K,$B183,'2024 Full View'!C:C,"&lt;&gt;")+COUNTIFS('2024 Full View'!$F:$F,$B183,'2024 Full View'!C:C,"&lt;&gt;")=0,"",COUNTIFS('2024 Full View'!$K:$K,$B183,'2024 Full View'!C:C,"&lt;&gt;")+COUNTIFS('2024 Full View'!$F:$F,$B183,'2024 Full View'!C:C,"&lt;&gt;"))</f>
        <v/>
      </c>
      <c r="E183" s="21">
        <f>IF(COUNTIFS('2024 Full View'!$K:$K,$B183,'2024 Full View'!D:D,"&lt;&gt;")+COUNTIFS('2024 Full View'!$F:$F,$B183,'2024 Full View'!D:D,"&lt;&gt;")=0,"",COUNTIFS('2024 Full View'!$K:$K,$B183,'2024 Full View'!D:D,"&lt;&gt;")+COUNTIFS('2024 Full View'!$F:$F,$B183,'2024 Full View'!D:D,"&lt;&gt;"))</f>
        <v>1</v>
      </c>
      <c r="F183" s="21" t="str">
        <f>IF(COUNTIFS('2024 Full View'!$K:$K,$B183,'2024 Full View'!E:E,"&lt;&gt;")+COUNTIFS('2024 Full View'!$F:$F,$B183,'2024 Full View'!E:E,"&lt;&gt;")=0,"",COUNTIFS('2024 Full View'!$K:$K,$B183,'2024 Full View'!E:E,"&lt;&gt;")+COUNTIFS('2024 Full View'!$F:$F,$B183,'2024 Full View'!E:E,"&lt;&gt;"))</f>
        <v/>
      </c>
      <c r="G183" s="21">
        <f t="shared" si="0"/>
        <v>1</v>
      </c>
    </row>
    <row r="184" spans="2:7" ht="13">
      <c r="B184" s="3" t="s">
        <v>542</v>
      </c>
      <c r="C184" s="21" t="str">
        <f>IF(COUNTIFS('2024 Full View'!$K:$K,$B184,'2024 Full View'!B:B,"&lt;&gt;")+COUNTIFS('2024 Full View'!$F:$F,$B184,'2024 Full View'!B:B,"&lt;&gt;")=0,"",COUNTIFS('2024 Full View'!$K:$K,$B184,'2024 Full View'!B:B,"&lt;&gt;")+COUNTIFS('2024 Full View'!$F:$F,$B184,'2024 Full View'!B:B,"&lt;&gt;"))</f>
        <v/>
      </c>
      <c r="D184" s="21" t="str">
        <f>IF(COUNTIFS('2024 Full View'!$K:$K,$B184,'2024 Full View'!C:C,"&lt;&gt;")+COUNTIFS('2024 Full View'!$F:$F,$B184,'2024 Full View'!C:C,"&lt;&gt;")=0,"",COUNTIFS('2024 Full View'!$K:$K,$B184,'2024 Full View'!C:C,"&lt;&gt;")+COUNTIFS('2024 Full View'!$F:$F,$B184,'2024 Full View'!C:C,"&lt;&gt;"))</f>
        <v/>
      </c>
      <c r="E184" s="21" t="str">
        <f>IF(COUNTIFS('2024 Full View'!$K:$K,$B184,'2024 Full View'!D:D,"&lt;&gt;")+COUNTIFS('2024 Full View'!$F:$F,$B184,'2024 Full View'!D:D,"&lt;&gt;")=0,"",COUNTIFS('2024 Full View'!$K:$K,$B184,'2024 Full View'!D:D,"&lt;&gt;")+COUNTIFS('2024 Full View'!$F:$F,$B184,'2024 Full View'!D:D,"&lt;&gt;"))</f>
        <v/>
      </c>
      <c r="F184" s="21">
        <f>IF(COUNTIFS('2024 Full View'!$K:$K,$B184,'2024 Full View'!E:E,"&lt;&gt;")+COUNTIFS('2024 Full View'!$F:$F,$B184,'2024 Full View'!E:E,"&lt;&gt;")=0,"",COUNTIFS('2024 Full View'!$K:$K,$B184,'2024 Full View'!E:E,"&lt;&gt;")+COUNTIFS('2024 Full View'!$F:$F,$B184,'2024 Full View'!E:E,"&lt;&gt;"))</f>
        <v>1</v>
      </c>
      <c r="G184" s="21">
        <f t="shared" si="0"/>
        <v>1</v>
      </c>
    </row>
    <row r="185" spans="2:7" ht="13">
      <c r="B185" s="3" t="s">
        <v>543</v>
      </c>
      <c r="C185" s="21" t="str">
        <f>IF(COUNTIFS('2024 Full View'!$K:$K,$B185,'2024 Full View'!B:B,"&lt;&gt;")+COUNTIFS('2024 Full View'!$F:$F,$B185,'2024 Full View'!B:B,"&lt;&gt;")=0,"",COUNTIFS('2024 Full View'!$K:$K,$B185,'2024 Full View'!B:B,"&lt;&gt;")+COUNTIFS('2024 Full View'!$F:$F,$B185,'2024 Full View'!B:B,"&lt;&gt;"))</f>
        <v/>
      </c>
      <c r="D185" s="21" t="str">
        <f>IF(COUNTIFS('2024 Full View'!$K:$K,$B185,'2024 Full View'!C:C,"&lt;&gt;")+COUNTIFS('2024 Full View'!$F:$F,$B185,'2024 Full View'!C:C,"&lt;&gt;")=0,"",COUNTIFS('2024 Full View'!$K:$K,$B185,'2024 Full View'!C:C,"&lt;&gt;")+COUNTIFS('2024 Full View'!$F:$F,$B185,'2024 Full View'!C:C,"&lt;&gt;"))</f>
        <v/>
      </c>
      <c r="E185" s="21">
        <f>IF(COUNTIFS('2024 Full View'!$K:$K,$B185,'2024 Full View'!D:D,"&lt;&gt;")+COUNTIFS('2024 Full View'!$F:$F,$B185,'2024 Full View'!D:D,"&lt;&gt;")=0,"",COUNTIFS('2024 Full View'!$K:$K,$B185,'2024 Full View'!D:D,"&lt;&gt;")+COUNTIFS('2024 Full View'!$F:$F,$B185,'2024 Full View'!D:D,"&lt;&gt;"))</f>
        <v>1</v>
      </c>
      <c r="F185" s="21" t="str">
        <f>IF(COUNTIFS('2024 Full View'!$K:$K,$B185,'2024 Full View'!E:E,"&lt;&gt;")+COUNTIFS('2024 Full View'!$F:$F,$B185,'2024 Full View'!E:E,"&lt;&gt;")=0,"",COUNTIFS('2024 Full View'!$K:$K,$B185,'2024 Full View'!E:E,"&lt;&gt;")+COUNTIFS('2024 Full View'!$F:$F,$B185,'2024 Full View'!E:E,"&lt;&gt;"))</f>
        <v/>
      </c>
      <c r="G185" s="21">
        <f t="shared" si="0"/>
        <v>1</v>
      </c>
    </row>
    <row r="186" spans="2:7" ht="13">
      <c r="B186" s="3" t="s">
        <v>544</v>
      </c>
      <c r="C186" s="21">
        <f>IF(COUNTIFS('2024 Full View'!$K:$K,$B186,'2024 Full View'!B:B,"&lt;&gt;")+COUNTIFS('2024 Full View'!$F:$F,$B186,'2024 Full View'!B:B,"&lt;&gt;")=0,"",COUNTIFS('2024 Full View'!$K:$K,$B186,'2024 Full View'!B:B,"&lt;&gt;")+COUNTIFS('2024 Full View'!$F:$F,$B186,'2024 Full View'!B:B,"&lt;&gt;"))</f>
        <v>1</v>
      </c>
      <c r="D186" s="21" t="str">
        <f>IF(COUNTIFS('2024 Full View'!$K:$K,$B186,'2024 Full View'!C:C,"&lt;&gt;")+COUNTIFS('2024 Full View'!$F:$F,$B186,'2024 Full View'!C:C,"&lt;&gt;")=0,"",COUNTIFS('2024 Full View'!$K:$K,$B186,'2024 Full View'!C:C,"&lt;&gt;")+COUNTIFS('2024 Full View'!$F:$F,$B186,'2024 Full View'!C:C,"&lt;&gt;"))</f>
        <v/>
      </c>
      <c r="E186" s="21">
        <f>IF(COUNTIFS('2024 Full View'!$K:$K,$B186,'2024 Full View'!D:D,"&lt;&gt;")+COUNTIFS('2024 Full View'!$F:$F,$B186,'2024 Full View'!D:D,"&lt;&gt;")=0,"",COUNTIFS('2024 Full View'!$K:$K,$B186,'2024 Full View'!D:D,"&lt;&gt;")+COUNTIFS('2024 Full View'!$F:$F,$B186,'2024 Full View'!D:D,"&lt;&gt;"))</f>
        <v>1</v>
      </c>
      <c r="F186" s="21" t="str">
        <f>IF(COUNTIFS('2024 Full View'!$K:$K,$B186,'2024 Full View'!E:E,"&lt;&gt;")+COUNTIFS('2024 Full View'!$F:$F,$B186,'2024 Full View'!E:E,"&lt;&gt;")=0,"",COUNTIFS('2024 Full View'!$K:$K,$B186,'2024 Full View'!E:E,"&lt;&gt;")+COUNTIFS('2024 Full View'!$F:$F,$B186,'2024 Full View'!E:E,"&lt;&gt;"))</f>
        <v/>
      </c>
      <c r="G186" s="21">
        <f t="shared" si="0"/>
        <v>2</v>
      </c>
    </row>
    <row r="187" spans="2:7" ht="13">
      <c r="B187" s="3" t="s">
        <v>545</v>
      </c>
      <c r="C187" s="21" t="str">
        <f>IF(COUNTIFS('2024 Full View'!$K:$K,$B187,'2024 Full View'!B:B,"&lt;&gt;")+COUNTIFS('2024 Full View'!$F:$F,$B187,'2024 Full View'!B:B,"&lt;&gt;")=0,"",COUNTIFS('2024 Full View'!$K:$K,$B187,'2024 Full View'!B:B,"&lt;&gt;")+COUNTIFS('2024 Full View'!$F:$F,$B187,'2024 Full View'!B:B,"&lt;&gt;"))</f>
        <v/>
      </c>
      <c r="D187" s="21" t="str">
        <f>IF(COUNTIFS('2024 Full View'!$K:$K,$B187,'2024 Full View'!C:C,"&lt;&gt;")+COUNTIFS('2024 Full View'!$F:$F,$B187,'2024 Full View'!C:C,"&lt;&gt;")=0,"",COUNTIFS('2024 Full View'!$K:$K,$B187,'2024 Full View'!C:C,"&lt;&gt;")+COUNTIFS('2024 Full View'!$F:$F,$B187,'2024 Full View'!C:C,"&lt;&gt;"))</f>
        <v/>
      </c>
      <c r="E187" s="21">
        <f>IF(COUNTIFS('2024 Full View'!$K:$K,$B187,'2024 Full View'!D:D,"&lt;&gt;")+COUNTIFS('2024 Full View'!$F:$F,$B187,'2024 Full View'!D:D,"&lt;&gt;")=0,"",COUNTIFS('2024 Full View'!$K:$K,$B187,'2024 Full View'!D:D,"&lt;&gt;")+COUNTIFS('2024 Full View'!$F:$F,$B187,'2024 Full View'!D:D,"&lt;&gt;"))</f>
        <v>1</v>
      </c>
      <c r="F187" s="21" t="str">
        <f>IF(COUNTIFS('2024 Full View'!$K:$K,$B187,'2024 Full View'!E:E,"&lt;&gt;")+COUNTIFS('2024 Full View'!$F:$F,$B187,'2024 Full View'!E:E,"&lt;&gt;")=0,"",COUNTIFS('2024 Full View'!$K:$K,$B187,'2024 Full View'!E:E,"&lt;&gt;")+COUNTIFS('2024 Full View'!$F:$F,$B187,'2024 Full View'!E:E,"&lt;&gt;"))</f>
        <v/>
      </c>
      <c r="G187" s="21">
        <f t="shared" si="0"/>
        <v>1</v>
      </c>
    </row>
    <row r="188" spans="2:7" ht="13">
      <c r="B188" s="3" t="s">
        <v>546</v>
      </c>
      <c r="C188" s="21" t="str">
        <f>IF(COUNTIFS('2024 Full View'!$K:$K,$B188,'2024 Full View'!B:B,"&lt;&gt;")+COUNTIFS('2024 Full View'!$F:$F,$B188,'2024 Full View'!B:B,"&lt;&gt;")=0,"",COUNTIFS('2024 Full View'!$K:$K,$B188,'2024 Full View'!B:B,"&lt;&gt;")+COUNTIFS('2024 Full View'!$F:$F,$B188,'2024 Full View'!B:B,"&lt;&gt;"))</f>
        <v/>
      </c>
      <c r="D188" s="21" t="str">
        <f>IF(COUNTIFS('2024 Full View'!$K:$K,$B188,'2024 Full View'!C:C,"&lt;&gt;")+COUNTIFS('2024 Full View'!$F:$F,$B188,'2024 Full View'!C:C,"&lt;&gt;")=0,"",COUNTIFS('2024 Full View'!$K:$K,$B188,'2024 Full View'!C:C,"&lt;&gt;")+COUNTIFS('2024 Full View'!$F:$F,$B188,'2024 Full View'!C:C,"&lt;&gt;"))</f>
        <v/>
      </c>
      <c r="E188" s="21" t="str">
        <f>IF(COUNTIFS('2024 Full View'!$K:$K,$B188,'2024 Full View'!D:D,"&lt;&gt;")+COUNTIFS('2024 Full View'!$F:$F,$B188,'2024 Full View'!D:D,"&lt;&gt;")=0,"",COUNTIFS('2024 Full View'!$K:$K,$B188,'2024 Full View'!D:D,"&lt;&gt;")+COUNTIFS('2024 Full View'!$F:$F,$B188,'2024 Full View'!D:D,"&lt;&gt;"))</f>
        <v/>
      </c>
      <c r="F188" s="21">
        <f>IF(COUNTIFS('2024 Full View'!$K:$K,$B188,'2024 Full View'!E:E,"&lt;&gt;")+COUNTIFS('2024 Full View'!$F:$F,$B188,'2024 Full View'!E:E,"&lt;&gt;")=0,"",COUNTIFS('2024 Full View'!$K:$K,$B188,'2024 Full View'!E:E,"&lt;&gt;")+COUNTIFS('2024 Full View'!$F:$F,$B188,'2024 Full View'!E:E,"&lt;&gt;"))</f>
        <v>1</v>
      </c>
      <c r="G188" s="21">
        <f t="shared" si="0"/>
        <v>1</v>
      </c>
    </row>
    <row r="189" spans="2:7" ht="13">
      <c r="B189" s="3" t="s">
        <v>547</v>
      </c>
      <c r="C189" s="21" t="str">
        <f>IF(COUNTIFS('2024 Full View'!$K:$K,$B189,'2024 Full View'!B:B,"&lt;&gt;")+COUNTIFS('2024 Full View'!$F:$F,$B189,'2024 Full View'!B:B,"&lt;&gt;")=0,"",COUNTIFS('2024 Full View'!$K:$K,$B189,'2024 Full View'!B:B,"&lt;&gt;")+COUNTIFS('2024 Full View'!$F:$F,$B189,'2024 Full View'!B:B,"&lt;&gt;"))</f>
        <v/>
      </c>
      <c r="D189" s="21" t="str">
        <f>IF(COUNTIFS('2024 Full View'!$K:$K,$B189,'2024 Full View'!C:C,"&lt;&gt;")+COUNTIFS('2024 Full View'!$F:$F,$B189,'2024 Full View'!C:C,"&lt;&gt;")=0,"",COUNTIFS('2024 Full View'!$K:$K,$B189,'2024 Full View'!C:C,"&lt;&gt;")+COUNTIFS('2024 Full View'!$F:$F,$B189,'2024 Full View'!C:C,"&lt;&gt;"))</f>
        <v/>
      </c>
      <c r="E189" s="21">
        <f>IF(COUNTIFS('2024 Full View'!$K:$K,$B189,'2024 Full View'!D:D,"&lt;&gt;")+COUNTIFS('2024 Full View'!$F:$F,$B189,'2024 Full View'!D:D,"&lt;&gt;")=0,"",COUNTIFS('2024 Full View'!$K:$K,$B189,'2024 Full View'!D:D,"&lt;&gt;")+COUNTIFS('2024 Full View'!$F:$F,$B189,'2024 Full View'!D:D,"&lt;&gt;"))</f>
        <v>1</v>
      </c>
      <c r="F189" s="21" t="str">
        <f>IF(COUNTIFS('2024 Full View'!$K:$K,$B189,'2024 Full View'!E:E,"&lt;&gt;")+COUNTIFS('2024 Full View'!$F:$F,$B189,'2024 Full View'!E:E,"&lt;&gt;")=0,"",COUNTIFS('2024 Full View'!$K:$K,$B189,'2024 Full View'!E:E,"&lt;&gt;")+COUNTIFS('2024 Full View'!$F:$F,$B189,'2024 Full View'!E:E,"&lt;&gt;"))</f>
        <v/>
      </c>
      <c r="G189" s="21">
        <f t="shared" si="0"/>
        <v>1</v>
      </c>
    </row>
    <row r="190" spans="2:7" ht="13">
      <c r="B190" s="3" t="s">
        <v>548</v>
      </c>
      <c r="C190" s="21" t="str">
        <f>IF(COUNTIFS('2024 Full View'!$K:$K,$B190,'2024 Full View'!B:B,"&lt;&gt;")+COUNTIFS('2024 Full View'!$F:$F,$B190,'2024 Full View'!B:B,"&lt;&gt;")=0,"",COUNTIFS('2024 Full View'!$K:$K,$B190,'2024 Full View'!B:B,"&lt;&gt;")+COUNTIFS('2024 Full View'!$F:$F,$B190,'2024 Full View'!B:B,"&lt;&gt;"))</f>
        <v/>
      </c>
      <c r="D190" s="21" t="str">
        <f>IF(COUNTIFS('2024 Full View'!$K:$K,$B190,'2024 Full View'!C:C,"&lt;&gt;")+COUNTIFS('2024 Full View'!$F:$F,$B190,'2024 Full View'!C:C,"&lt;&gt;")=0,"",COUNTIFS('2024 Full View'!$K:$K,$B190,'2024 Full View'!C:C,"&lt;&gt;")+COUNTIFS('2024 Full View'!$F:$F,$B190,'2024 Full View'!C:C,"&lt;&gt;"))</f>
        <v/>
      </c>
      <c r="E190" s="21">
        <f>IF(COUNTIFS('2024 Full View'!$K:$K,$B190,'2024 Full View'!D:D,"&lt;&gt;")+COUNTIFS('2024 Full View'!$F:$F,$B190,'2024 Full View'!D:D,"&lt;&gt;")=0,"",COUNTIFS('2024 Full View'!$K:$K,$B190,'2024 Full View'!D:D,"&lt;&gt;")+COUNTIFS('2024 Full View'!$F:$F,$B190,'2024 Full View'!D:D,"&lt;&gt;"))</f>
        <v>1</v>
      </c>
      <c r="F190" s="21" t="str">
        <f>IF(COUNTIFS('2024 Full View'!$K:$K,$B190,'2024 Full View'!E:E,"&lt;&gt;")+COUNTIFS('2024 Full View'!$F:$F,$B190,'2024 Full View'!E:E,"&lt;&gt;")=0,"",COUNTIFS('2024 Full View'!$K:$K,$B190,'2024 Full View'!E:E,"&lt;&gt;")+COUNTIFS('2024 Full View'!$F:$F,$B190,'2024 Full View'!E:E,"&lt;&gt;"))</f>
        <v/>
      </c>
      <c r="G190" s="21">
        <f t="shared" si="0"/>
        <v>1</v>
      </c>
    </row>
    <row r="191" spans="2:7" ht="13">
      <c r="B191" s="3" t="s">
        <v>549</v>
      </c>
      <c r="C191" s="21" t="str">
        <f>IF(COUNTIFS('2024 Full View'!$K:$K,$B191,'2024 Full View'!B:B,"&lt;&gt;")+COUNTIFS('2024 Full View'!$F:$F,$B191,'2024 Full View'!B:B,"&lt;&gt;")=0,"",COUNTIFS('2024 Full View'!$K:$K,$B191,'2024 Full View'!B:B,"&lt;&gt;")+COUNTIFS('2024 Full View'!$F:$F,$B191,'2024 Full View'!B:B,"&lt;&gt;"))</f>
        <v/>
      </c>
      <c r="D191" s="21" t="str">
        <f>IF(COUNTIFS('2024 Full View'!$K:$K,$B191,'2024 Full View'!C:C,"&lt;&gt;")+COUNTIFS('2024 Full View'!$F:$F,$B191,'2024 Full View'!C:C,"&lt;&gt;")=0,"",COUNTIFS('2024 Full View'!$K:$K,$B191,'2024 Full View'!C:C,"&lt;&gt;")+COUNTIFS('2024 Full View'!$F:$F,$B191,'2024 Full View'!C:C,"&lt;&gt;"))</f>
        <v/>
      </c>
      <c r="E191" s="21">
        <f>IF(COUNTIFS('2024 Full View'!$K:$K,$B191,'2024 Full View'!D:D,"&lt;&gt;")+COUNTIFS('2024 Full View'!$F:$F,$B191,'2024 Full View'!D:D,"&lt;&gt;")=0,"",COUNTIFS('2024 Full View'!$K:$K,$B191,'2024 Full View'!D:D,"&lt;&gt;")+COUNTIFS('2024 Full View'!$F:$F,$B191,'2024 Full View'!D:D,"&lt;&gt;"))</f>
        <v>1</v>
      </c>
      <c r="F191" s="21" t="str">
        <f>IF(COUNTIFS('2024 Full View'!$K:$K,$B191,'2024 Full View'!E:E,"&lt;&gt;")+COUNTIFS('2024 Full View'!$F:$F,$B191,'2024 Full View'!E:E,"&lt;&gt;")=0,"",COUNTIFS('2024 Full View'!$K:$K,$B191,'2024 Full View'!E:E,"&lt;&gt;")+COUNTIFS('2024 Full View'!$F:$F,$B191,'2024 Full View'!E:E,"&lt;&gt;"))</f>
        <v/>
      </c>
      <c r="G191" s="21">
        <f t="shared" si="0"/>
        <v>1</v>
      </c>
    </row>
    <row r="192" spans="2:7" ht="13">
      <c r="B192" s="3" t="s">
        <v>550</v>
      </c>
      <c r="C192" s="21" t="str">
        <f>IF(COUNTIFS('2024 Full View'!$K:$K,$B192,'2024 Full View'!B:B,"&lt;&gt;")+COUNTIFS('2024 Full View'!$F:$F,$B192,'2024 Full View'!B:B,"&lt;&gt;")=0,"",COUNTIFS('2024 Full View'!$K:$K,$B192,'2024 Full View'!B:B,"&lt;&gt;")+COUNTIFS('2024 Full View'!$F:$F,$B192,'2024 Full View'!B:B,"&lt;&gt;"))</f>
        <v/>
      </c>
      <c r="D192" s="21" t="str">
        <f>IF(COUNTIFS('2024 Full View'!$K:$K,$B192,'2024 Full View'!C:C,"&lt;&gt;")+COUNTIFS('2024 Full View'!$F:$F,$B192,'2024 Full View'!C:C,"&lt;&gt;")=0,"",COUNTIFS('2024 Full View'!$K:$K,$B192,'2024 Full View'!C:C,"&lt;&gt;")+COUNTIFS('2024 Full View'!$F:$F,$B192,'2024 Full View'!C:C,"&lt;&gt;"))</f>
        <v/>
      </c>
      <c r="E192" s="21" t="str">
        <f>IF(COUNTIFS('2024 Full View'!$K:$K,$B192,'2024 Full View'!D:D,"&lt;&gt;")+COUNTIFS('2024 Full View'!$F:$F,$B192,'2024 Full View'!D:D,"&lt;&gt;")=0,"",COUNTIFS('2024 Full View'!$K:$K,$B192,'2024 Full View'!D:D,"&lt;&gt;")+COUNTIFS('2024 Full View'!$F:$F,$B192,'2024 Full View'!D:D,"&lt;&gt;"))</f>
        <v/>
      </c>
      <c r="F192" s="21">
        <f>IF(COUNTIFS('2024 Full View'!$K:$K,$B192,'2024 Full View'!E:E,"&lt;&gt;")+COUNTIFS('2024 Full View'!$F:$F,$B192,'2024 Full View'!E:E,"&lt;&gt;")=0,"",COUNTIFS('2024 Full View'!$K:$K,$B192,'2024 Full View'!E:E,"&lt;&gt;")+COUNTIFS('2024 Full View'!$F:$F,$B192,'2024 Full View'!E:E,"&lt;&gt;"))</f>
        <v>1</v>
      </c>
      <c r="G192" s="21">
        <f t="shared" si="0"/>
        <v>1</v>
      </c>
    </row>
    <row r="193" spans="2:7" ht="13">
      <c r="B193" s="3" t="s">
        <v>551</v>
      </c>
      <c r="C193" s="21" t="str">
        <f>IF(COUNTIFS('2024 Full View'!$K:$K,$B193,'2024 Full View'!B:B,"&lt;&gt;")+COUNTIFS('2024 Full View'!$F:$F,$B193,'2024 Full View'!B:B,"&lt;&gt;")=0,"",COUNTIFS('2024 Full View'!$K:$K,$B193,'2024 Full View'!B:B,"&lt;&gt;")+COUNTIFS('2024 Full View'!$F:$F,$B193,'2024 Full View'!B:B,"&lt;&gt;"))</f>
        <v/>
      </c>
      <c r="D193" s="21" t="str">
        <f>IF(COUNTIFS('2024 Full View'!$K:$K,$B193,'2024 Full View'!C:C,"&lt;&gt;")+COUNTIFS('2024 Full View'!$F:$F,$B193,'2024 Full View'!C:C,"&lt;&gt;")=0,"",COUNTIFS('2024 Full View'!$K:$K,$B193,'2024 Full View'!C:C,"&lt;&gt;")+COUNTIFS('2024 Full View'!$F:$F,$B193,'2024 Full View'!C:C,"&lt;&gt;"))</f>
        <v/>
      </c>
      <c r="E193" s="21">
        <f>IF(COUNTIFS('2024 Full View'!$K:$K,$B193,'2024 Full View'!D:D,"&lt;&gt;")+COUNTIFS('2024 Full View'!$F:$F,$B193,'2024 Full View'!D:D,"&lt;&gt;")=0,"",COUNTIFS('2024 Full View'!$K:$K,$B193,'2024 Full View'!D:D,"&lt;&gt;")+COUNTIFS('2024 Full View'!$F:$F,$B193,'2024 Full View'!D:D,"&lt;&gt;"))</f>
        <v>1</v>
      </c>
      <c r="F193" s="21" t="str">
        <f>IF(COUNTIFS('2024 Full View'!$K:$K,$B193,'2024 Full View'!E:E,"&lt;&gt;")+COUNTIFS('2024 Full View'!$F:$F,$B193,'2024 Full View'!E:E,"&lt;&gt;")=0,"",COUNTIFS('2024 Full View'!$K:$K,$B193,'2024 Full View'!E:E,"&lt;&gt;")+COUNTIFS('2024 Full View'!$F:$F,$B193,'2024 Full View'!E:E,"&lt;&gt;"))</f>
        <v/>
      </c>
      <c r="G193" s="21">
        <f t="shared" si="0"/>
        <v>1</v>
      </c>
    </row>
    <row r="194" spans="2:7" ht="13">
      <c r="B194" s="3" t="s">
        <v>552</v>
      </c>
      <c r="C194" s="21" t="str">
        <f>IF(COUNTIFS('2024 Full View'!$K:$K,$B194,'2024 Full View'!B:B,"&lt;&gt;")+COUNTIFS('2024 Full View'!$F:$F,$B194,'2024 Full View'!B:B,"&lt;&gt;")=0,"",COUNTIFS('2024 Full View'!$K:$K,$B194,'2024 Full View'!B:B,"&lt;&gt;")+COUNTIFS('2024 Full View'!$F:$F,$B194,'2024 Full View'!B:B,"&lt;&gt;"))</f>
        <v/>
      </c>
      <c r="D194" s="21" t="str">
        <f>IF(COUNTIFS('2024 Full View'!$K:$K,$B194,'2024 Full View'!C:C,"&lt;&gt;")+COUNTIFS('2024 Full View'!$F:$F,$B194,'2024 Full View'!C:C,"&lt;&gt;")=0,"",COUNTIFS('2024 Full View'!$K:$K,$B194,'2024 Full View'!C:C,"&lt;&gt;")+COUNTIFS('2024 Full View'!$F:$F,$B194,'2024 Full View'!C:C,"&lt;&gt;"))</f>
        <v/>
      </c>
      <c r="E194" s="21" t="str">
        <f>IF(COUNTIFS('2024 Full View'!$K:$K,$B194,'2024 Full View'!D:D,"&lt;&gt;")+COUNTIFS('2024 Full View'!$F:$F,$B194,'2024 Full View'!D:D,"&lt;&gt;")=0,"",COUNTIFS('2024 Full View'!$K:$K,$B194,'2024 Full View'!D:D,"&lt;&gt;")+COUNTIFS('2024 Full View'!$F:$F,$B194,'2024 Full View'!D:D,"&lt;&gt;"))</f>
        <v/>
      </c>
      <c r="F194" s="21">
        <f>IF(COUNTIFS('2024 Full View'!$K:$K,$B194,'2024 Full View'!E:E,"&lt;&gt;")+COUNTIFS('2024 Full View'!$F:$F,$B194,'2024 Full View'!E:E,"&lt;&gt;")=0,"",COUNTIFS('2024 Full View'!$K:$K,$B194,'2024 Full View'!E:E,"&lt;&gt;")+COUNTIFS('2024 Full View'!$F:$F,$B194,'2024 Full View'!E:E,"&lt;&gt;"))</f>
        <v>1</v>
      </c>
      <c r="G194" s="21">
        <f t="shared" si="0"/>
        <v>1</v>
      </c>
    </row>
    <row r="195" spans="2:7" ht="13">
      <c r="B195" s="3" t="s">
        <v>553</v>
      </c>
      <c r="C195" s="21" t="str">
        <f>IF(COUNTIFS('2024 Full View'!$K:$K,$B195,'2024 Full View'!B:B,"&lt;&gt;")+COUNTIFS('2024 Full View'!$F:$F,$B195,'2024 Full View'!B:B,"&lt;&gt;")=0,"",COUNTIFS('2024 Full View'!$K:$K,$B195,'2024 Full View'!B:B,"&lt;&gt;")+COUNTIFS('2024 Full View'!$F:$F,$B195,'2024 Full View'!B:B,"&lt;&gt;"))</f>
        <v/>
      </c>
      <c r="D195" s="21" t="str">
        <f>IF(COUNTIFS('2024 Full View'!$K:$K,$B195,'2024 Full View'!C:C,"&lt;&gt;")+COUNTIFS('2024 Full View'!$F:$F,$B195,'2024 Full View'!C:C,"&lt;&gt;")=0,"",COUNTIFS('2024 Full View'!$K:$K,$B195,'2024 Full View'!C:C,"&lt;&gt;")+COUNTIFS('2024 Full View'!$F:$F,$B195,'2024 Full View'!C:C,"&lt;&gt;"))</f>
        <v/>
      </c>
      <c r="E195" s="21">
        <f>IF(COUNTIFS('2024 Full View'!$K:$K,$B195,'2024 Full View'!D:D,"&lt;&gt;")+COUNTIFS('2024 Full View'!$F:$F,$B195,'2024 Full View'!D:D,"&lt;&gt;")=0,"",COUNTIFS('2024 Full View'!$K:$K,$B195,'2024 Full View'!D:D,"&lt;&gt;")+COUNTIFS('2024 Full View'!$F:$F,$B195,'2024 Full View'!D:D,"&lt;&gt;"))</f>
        <v>1</v>
      </c>
      <c r="F195" s="21" t="str">
        <f>IF(COUNTIFS('2024 Full View'!$K:$K,$B195,'2024 Full View'!E:E,"&lt;&gt;")+COUNTIFS('2024 Full View'!$F:$F,$B195,'2024 Full View'!E:E,"&lt;&gt;")=0,"",COUNTIFS('2024 Full View'!$K:$K,$B195,'2024 Full View'!E:E,"&lt;&gt;")+COUNTIFS('2024 Full View'!$F:$F,$B195,'2024 Full View'!E:E,"&lt;&gt;"))</f>
        <v/>
      </c>
      <c r="G195" s="21">
        <f t="shared" si="0"/>
        <v>1</v>
      </c>
    </row>
    <row r="196" spans="2:7" ht="13">
      <c r="B196" s="3" t="s">
        <v>554</v>
      </c>
      <c r="C196" s="21" t="str">
        <f>IF(COUNTIFS('2024 Full View'!$K:$K,$B196,'2024 Full View'!B:B,"&lt;&gt;")+COUNTIFS('2024 Full View'!$F:$F,$B196,'2024 Full View'!B:B,"&lt;&gt;")=0,"",COUNTIFS('2024 Full View'!$K:$K,$B196,'2024 Full View'!B:B,"&lt;&gt;")+COUNTIFS('2024 Full View'!$F:$F,$B196,'2024 Full View'!B:B,"&lt;&gt;"))</f>
        <v/>
      </c>
      <c r="D196" s="21" t="str">
        <f>IF(COUNTIFS('2024 Full View'!$K:$K,$B196,'2024 Full View'!C:C,"&lt;&gt;")+COUNTIFS('2024 Full View'!$F:$F,$B196,'2024 Full View'!C:C,"&lt;&gt;")=0,"",COUNTIFS('2024 Full View'!$K:$K,$B196,'2024 Full View'!C:C,"&lt;&gt;")+COUNTIFS('2024 Full View'!$F:$F,$B196,'2024 Full View'!C:C,"&lt;&gt;"))</f>
        <v/>
      </c>
      <c r="E196" s="21">
        <f>IF(COUNTIFS('2024 Full View'!$K:$K,$B196,'2024 Full View'!D:D,"&lt;&gt;")+COUNTIFS('2024 Full View'!$F:$F,$B196,'2024 Full View'!D:D,"&lt;&gt;")=0,"",COUNTIFS('2024 Full View'!$K:$K,$B196,'2024 Full View'!D:D,"&lt;&gt;")+COUNTIFS('2024 Full View'!$F:$F,$B196,'2024 Full View'!D:D,"&lt;&gt;"))</f>
        <v>1</v>
      </c>
      <c r="F196" s="21" t="str">
        <f>IF(COUNTIFS('2024 Full View'!$K:$K,$B196,'2024 Full View'!E:E,"&lt;&gt;")+COUNTIFS('2024 Full View'!$F:$F,$B196,'2024 Full View'!E:E,"&lt;&gt;")=0,"",COUNTIFS('2024 Full View'!$K:$K,$B196,'2024 Full View'!E:E,"&lt;&gt;")+COUNTIFS('2024 Full View'!$F:$F,$B196,'2024 Full View'!E:E,"&lt;&gt;"))</f>
        <v/>
      </c>
      <c r="G196" s="21">
        <f t="shared" si="0"/>
        <v>1</v>
      </c>
    </row>
    <row r="197" spans="2:7" ht="13">
      <c r="B197" s="3" t="s">
        <v>555</v>
      </c>
      <c r="C197" s="21" t="str">
        <f>IF(COUNTIFS('2024 Full View'!$K:$K,$B197,'2024 Full View'!B:B,"&lt;&gt;")+COUNTIFS('2024 Full View'!$F:$F,$B197,'2024 Full View'!B:B,"&lt;&gt;")=0,"",COUNTIFS('2024 Full View'!$K:$K,$B197,'2024 Full View'!B:B,"&lt;&gt;")+COUNTIFS('2024 Full View'!$F:$F,$B197,'2024 Full View'!B:B,"&lt;&gt;"))</f>
        <v/>
      </c>
      <c r="D197" s="21" t="str">
        <f>IF(COUNTIFS('2024 Full View'!$K:$K,$B197,'2024 Full View'!C:C,"&lt;&gt;")+COUNTIFS('2024 Full View'!$F:$F,$B197,'2024 Full View'!C:C,"&lt;&gt;")=0,"",COUNTIFS('2024 Full View'!$K:$K,$B197,'2024 Full View'!C:C,"&lt;&gt;")+COUNTIFS('2024 Full View'!$F:$F,$B197,'2024 Full View'!C:C,"&lt;&gt;"))</f>
        <v/>
      </c>
      <c r="E197" s="21">
        <f>IF(COUNTIFS('2024 Full View'!$K:$K,$B197,'2024 Full View'!D:D,"&lt;&gt;")+COUNTIFS('2024 Full View'!$F:$F,$B197,'2024 Full View'!D:D,"&lt;&gt;")=0,"",COUNTIFS('2024 Full View'!$K:$K,$B197,'2024 Full View'!D:D,"&lt;&gt;")+COUNTIFS('2024 Full View'!$F:$F,$B197,'2024 Full View'!D:D,"&lt;&gt;"))</f>
        <v>1</v>
      </c>
      <c r="F197" s="21" t="str">
        <f>IF(COUNTIFS('2024 Full View'!$K:$K,$B197,'2024 Full View'!E:E,"&lt;&gt;")+COUNTIFS('2024 Full View'!$F:$F,$B197,'2024 Full View'!E:E,"&lt;&gt;")=0,"",COUNTIFS('2024 Full View'!$K:$K,$B197,'2024 Full View'!E:E,"&lt;&gt;")+COUNTIFS('2024 Full View'!$F:$F,$B197,'2024 Full View'!E:E,"&lt;&gt;"))</f>
        <v/>
      </c>
      <c r="G197" s="21">
        <f t="shared" si="0"/>
        <v>1</v>
      </c>
    </row>
    <row r="198" spans="2:7" ht="13">
      <c r="B198" s="3" t="s">
        <v>556</v>
      </c>
      <c r="C198" s="21" t="str">
        <f>IF(COUNTIFS('2024 Full View'!$K:$K,$B198,'2024 Full View'!B:B,"&lt;&gt;")+COUNTIFS('2024 Full View'!$F:$F,$B198,'2024 Full View'!B:B,"&lt;&gt;")=0,"",COUNTIFS('2024 Full View'!$K:$K,$B198,'2024 Full View'!B:B,"&lt;&gt;")+COUNTIFS('2024 Full View'!$F:$F,$B198,'2024 Full View'!B:B,"&lt;&gt;"))</f>
        <v/>
      </c>
      <c r="D198" s="21" t="str">
        <f>IF(COUNTIFS('2024 Full View'!$K:$K,$B198,'2024 Full View'!C:C,"&lt;&gt;")+COUNTIFS('2024 Full View'!$F:$F,$B198,'2024 Full View'!C:C,"&lt;&gt;")=0,"",COUNTIFS('2024 Full View'!$K:$K,$B198,'2024 Full View'!C:C,"&lt;&gt;")+COUNTIFS('2024 Full View'!$F:$F,$B198,'2024 Full View'!C:C,"&lt;&gt;"))</f>
        <v/>
      </c>
      <c r="E198" s="21">
        <f>IF(COUNTIFS('2024 Full View'!$K:$K,$B198,'2024 Full View'!D:D,"&lt;&gt;")+COUNTIFS('2024 Full View'!$F:$F,$B198,'2024 Full View'!D:D,"&lt;&gt;")=0,"",COUNTIFS('2024 Full View'!$K:$K,$B198,'2024 Full View'!D:D,"&lt;&gt;")+COUNTIFS('2024 Full View'!$F:$F,$B198,'2024 Full View'!D:D,"&lt;&gt;"))</f>
        <v>1</v>
      </c>
      <c r="F198" s="21" t="str">
        <f>IF(COUNTIFS('2024 Full View'!$K:$K,$B198,'2024 Full View'!E:E,"&lt;&gt;")+COUNTIFS('2024 Full View'!$F:$F,$B198,'2024 Full View'!E:E,"&lt;&gt;")=0,"",COUNTIFS('2024 Full View'!$K:$K,$B198,'2024 Full View'!E:E,"&lt;&gt;")+COUNTIFS('2024 Full View'!$F:$F,$B198,'2024 Full View'!E:E,"&lt;&gt;"))</f>
        <v/>
      </c>
      <c r="G198" s="21">
        <f t="shared" si="0"/>
        <v>1</v>
      </c>
    </row>
    <row r="199" spans="2:7" ht="13">
      <c r="B199" s="3" t="s">
        <v>557</v>
      </c>
      <c r="C199" s="21" t="str">
        <f>IF(COUNTIFS('2024 Full View'!$K:$K,$B199,'2024 Full View'!B:B,"&lt;&gt;")+COUNTIFS('2024 Full View'!$F:$F,$B199,'2024 Full View'!B:B,"&lt;&gt;")=0,"",COUNTIFS('2024 Full View'!$K:$K,$B199,'2024 Full View'!B:B,"&lt;&gt;")+COUNTIFS('2024 Full View'!$F:$F,$B199,'2024 Full View'!B:B,"&lt;&gt;"))</f>
        <v/>
      </c>
      <c r="D199" s="21" t="str">
        <f>IF(COUNTIFS('2024 Full View'!$K:$K,$B199,'2024 Full View'!C:C,"&lt;&gt;")+COUNTIFS('2024 Full View'!$F:$F,$B199,'2024 Full View'!C:C,"&lt;&gt;")=0,"",COUNTIFS('2024 Full View'!$K:$K,$B199,'2024 Full View'!C:C,"&lt;&gt;")+COUNTIFS('2024 Full View'!$F:$F,$B199,'2024 Full View'!C:C,"&lt;&gt;"))</f>
        <v/>
      </c>
      <c r="E199" s="21">
        <f>IF(COUNTIFS('2024 Full View'!$K:$K,$B199,'2024 Full View'!D:D,"&lt;&gt;")+COUNTIFS('2024 Full View'!$F:$F,$B199,'2024 Full View'!D:D,"&lt;&gt;")=0,"",COUNTIFS('2024 Full View'!$K:$K,$B199,'2024 Full View'!D:D,"&lt;&gt;")+COUNTIFS('2024 Full View'!$F:$F,$B199,'2024 Full View'!D:D,"&lt;&gt;"))</f>
        <v>1</v>
      </c>
      <c r="F199" s="21" t="str">
        <f>IF(COUNTIFS('2024 Full View'!$K:$K,$B199,'2024 Full View'!E:E,"&lt;&gt;")+COUNTIFS('2024 Full View'!$F:$F,$B199,'2024 Full View'!E:E,"&lt;&gt;")=0,"",COUNTIFS('2024 Full View'!$K:$K,$B199,'2024 Full View'!E:E,"&lt;&gt;")+COUNTIFS('2024 Full View'!$F:$F,$B199,'2024 Full View'!E:E,"&lt;&gt;"))</f>
        <v/>
      </c>
      <c r="G199" s="21">
        <f t="shared" si="0"/>
        <v>1</v>
      </c>
    </row>
    <row r="200" spans="2:7" ht="13">
      <c r="B200" s="3" t="s">
        <v>558</v>
      </c>
      <c r="C200" s="21" t="str">
        <f>IF(COUNTIFS('2024 Full View'!$K:$K,$B200,'2024 Full View'!B:B,"&lt;&gt;")+COUNTIFS('2024 Full View'!$F:$F,$B200,'2024 Full View'!B:B,"&lt;&gt;")=0,"",COUNTIFS('2024 Full View'!$K:$K,$B200,'2024 Full View'!B:B,"&lt;&gt;")+COUNTIFS('2024 Full View'!$F:$F,$B200,'2024 Full View'!B:B,"&lt;&gt;"))</f>
        <v/>
      </c>
      <c r="D200" s="21" t="str">
        <f>IF(COUNTIFS('2024 Full View'!$K:$K,$B200,'2024 Full View'!C:C,"&lt;&gt;")+COUNTIFS('2024 Full View'!$F:$F,$B200,'2024 Full View'!C:C,"&lt;&gt;")=0,"",COUNTIFS('2024 Full View'!$K:$K,$B200,'2024 Full View'!C:C,"&lt;&gt;")+COUNTIFS('2024 Full View'!$F:$F,$B200,'2024 Full View'!C:C,"&lt;&gt;"))</f>
        <v/>
      </c>
      <c r="E200" s="21">
        <f>IF(COUNTIFS('2024 Full View'!$K:$K,$B200,'2024 Full View'!D:D,"&lt;&gt;")+COUNTIFS('2024 Full View'!$F:$F,$B200,'2024 Full View'!D:D,"&lt;&gt;")=0,"",COUNTIFS('2024 Full View'!$K:$K,$B200,'2024 Full View'!D:D,"&lt;&gt;")+COUNTIFS('2024 Full View'!$F:$F,$B200,'2024 Full View'!D:D,"&lt;&gt;"))</f>
        <v>1</v>
      </c>
      <c r="F200" s="21" t="str">
        <f>IF(COUNTIFS('2024 Full View'!$K:$K,$B200,'2024 Full View'!E:E,"&lt;&gt;")+COUNTIFS('2024 Full View'!$F:$F,$B200,'2024 Full View'!E:E,"&lt;&gt;")=0,"",COUNTIFS('2024 Full View'!$K:$K,$B200,'2024 Full View'!E:E,"&lt;&gt;")+COUNTIFS('2024 Full View'!$F:$F,$B200,'2024 Full View'!E:E,"&lt;&gt;"))</f>
        <v/>
      </c>
      <c r="G200" s="21">
        <f t="shared" si="0"/>
        <v>1</v>
      </c>
    </row>
    <row r="201" spans="2:7" ht="13">
      <c r="B201" s="3" t="s">
        <v>559</v>
      </c>
      <c r="C201" s="21" t="str">
        <f>IF(COUNTIFS('2024 Full View'!$K:$K,$B201,'2024 Full View'!B:B,"&lt;&gt;")+COUNTIFS('2024 Full View'!$F:$F,$B201,'2024 Full View'!B:B,"&lt;&gt;")=0,"",COUNTIFS('2024 Full View'!$K:$K,$B201,'2024 Full View'!B:B,"&lt;&gt;")+COUNTIFS('2024 Full View'!$F:$F,$B201,'2024 Full View'!B:B,"&lt;&gt;"))</f>
        <v/>
      </c>
      <c r="D201" s="21" t="str">
        <f>IF(COUNTIFS('2024 Full View'!$K:$K,$B201,'2024 Full View'!C:C,"&lt;&gt;")+COUNTIFS('2024 Full View'!$F:$F,$B201,'2024 Full View'!C:C,"&lt;&gt;")=0,"",COUNTIFS('2024 Full View'!$K:$K,$B201,'2024 Full View'!C:C,"&lt;&gt;")+COUNTIFS('2024 Full View'!$F:$F,$B201,'2024 Full View'!C:C,"&lt;&gt;"))</f>
        <v/>
      </c>
      <c r="E201" s="21">
        <f>IF(COUNTIFS('2024 Full View'!$K:$K,$B201,'2024 Full View'!D:D,"&lt;&gt;")+COUNTIFS('2024 Full View'!$F:$F,$B201,'2024 Full View'!D:D,"&lt;&gt;")=0,"",COUNTIFS('2024 Full View'!$K:$K,$B201,'2024 Full View'!D:D,"&lt;&gt;")+COUNTIFS('2024 Full View'!$F:$F,$B201,'2024 Full View'!D:D,"&lt;&gt;"))</f>
        <v>1</v>
      </c>
      <c r="F201" s="21" t="str">
        <f>IF(COUNTIFS('2024 Full View'!$K:$K,$B201,'2024 Full View'!E:E,"&lt;&gt;")+COUNTIFS('2024 Full View'!$F:$F,$B201,'2024 Full View'!E:E,"&lt;&gt;")=0,"",COUNTIFS('2024 Full View'!$K:$K,$B201,'2024 Full View'!E:E,"&lt;&gt;")+COUNTIFS('2024 Full View'!$F:$F,$B201,'2024 Full View'!E:E,"&lt;&gt;"))</f>
        <v/>
      </c>
      <c r="G201" s="21">
        <f t="shared" si="0"/>
        <v>1</v>
      </c>
    </row>
    <row r="202" spans="2:7" ht="13">
      <c r="B202" s="3" t="s">
        <v>560</v>
      </c>
      <c r="C202" s="21" t="str">
        <f>IF(COUNTIFS('2024 Full View'!$K:$K,$B202,'2024 Full View'!B:B,"&lt;&gt;")+COUNTIFS('2024 Full View'!$F:$F,$B202,'2024 Full View'!B:B,"&lt;&gt;")=0,"",COUNTIFS('2024 Full View'!$K:$K,$B202,'2024 Full View'!B:B,"&lt;&gt;")+COUNTIFS('2024 Full View'!$F:$F,$B202,'2024 Full View'!B:B,"&lt;&gt;"))</f>
        <v/>
      </c>
      <c r="D202" s="21" t="str">
        <f>IF(COUNTIFS('2024 Full View'!$K:$K,$B202,'2024 Full View'!C:C,"&lt;&gt;")+COUNTIFS('2024 Full View'!$F:$F,$B202,'2024 Full View'!C:C,"&lt;&gt;")=0,"",COUNTIFS('2024 Full View'!$K:$K,$B202,'2024 Full View'!C:C,"&lt;&gt;")+COUNTIFS('2024 Full View'!$F:$F,$B202,'2024 Full View'!C:C,"&lt;&gt;"))</f>
        <v/>
      </c>
      <c r="E202" s="21" t="str">
        <f>IF(COUNTIFS('2024 Full View'!$K:$K,$B202,'2024 Full View'!D:D,"&lt;&gt;")+COUNTIFS('2024 Full View'!$F:$F,$B202,'2024 Full View'!D:D,"&lt;&gt;")=0,"",COUNTIFS('2024 Full View'!$K:$K,$B202,'2024 Full View'!D:D,"&lt;&gt;")+COUNTIFS('2024 Full View'!$F:$F,$B202,'2024 Full View'!D:D,"&lt;&gt;"))</f>
        <v/>
      </c>
      <c r="F202" s="21">
        <f>IF(COUNTIFS('2024 Full View'!$K:$K,$B202,'2024 Full View'!E:E,"&lt;&gt;")+COUNTIFS('2024 Full View'!$F:$F,$B202,'2024 Full View'!E:E,"&lt;&gt;")=0,"",COUNTIFS('2024 Full View'!$K:$K,$B202,'2024 Full View'!E:E,"&lt;&gt;")+COUNTIFS('2024 Full View'!$F:$F,$B202,'2024 Full View'!E:E,"&lt;&gt;"))</f>
        <v>1</v>
      </c>
      <c r="G202" s="21">
        <f t="shared" si="0"/>
        <v>1</v>
      </c>
    </row>
    <row r="203" spans="2:7" ht="13">
      <c r="B203" s="3" t="s">
        <v>561</v>
      </c>
      <c r="C203" s="21" t="str">
        <f>IF(COUNTIFS('2024 Full View'!$K:$K,$B203,'2024 Full View'!B:B,"&lt;&gt;")+COUNTIFS('2024 Full View'!$F:$F,$B203,'2024 Full View'!B:B,"&lt;&gt;")=0,"",COUNTIFS('2024 Full View'!$K:$K,$B203,'2024 Full View'!B:B,"&lt;&gt;")+COUNTIFS('2024 Full View'!$F:$F,$B203,'2024 Full View'!B:B,"&lt;&gt;"))</f>
        <v/>
      </c>
      <c r="D203" s="21" t="str">
        <f>IF(COUNTIFS('2024 Full View'!$K:$K,$B203,'2024 Full View'!C:C,"&lt;&gt;")+COUNTIFS('2024 Full View'!$F:$F,$B203,'2024 Full View'!C:C,"&lt;&gt;")=0,"",COUNTIFS('2024 Full View'!$K:$K,$B203,'2024 Full View'!C:C,"&lt;&gt;")+COUNTIFS('2024 Full View'!$F:$F,$B203,'2024 Full View'!C:C,"&lt;&gt;"))</f>
        <v/>
      </c>
      <c r="E203" s="21">
        <f>IF(COUNTIFS('2024 Full View'!$K:$K,$B203,'2024 Full View'!D:D,"&lt;&gt;")+COUNTIFS('2024 Full View'!$F:$F,$B203,'2024 Full View'!D:D,"&lt;&gt;")=0,"",COUNTIFS('2024 Full View'!$K:$K,$B203,'2024 Full View'!D:D,"&lt;&gt;")+COUNTIFS('2024 Full View'!$F:$F,$B203,'2024 Full View'!D:D,"&lt;&gt;"))</f>
        <v>1</v>
      </c>
      <c r="F203" s="21" t="str">
        <f>IF(COUNTIFS('2024 Full View'!$K:$K,$B203,'2024 Full View'!E:E,"&lt;&gt;")+COUNTIFS('2024 Full View'!$F:$F,$B203,'2024 Full View'!E:E,"&lt;&gt;")=0,"",COUNTIFS('2024 Full View'!$K:$K,$B203,'2024 Full View'!E:E,"&lt;&gt;")+COUNTIFS('2024 Full View'!$F:$F,$B203,'2024 Full View'!E:E,"&lt;&gt;"))</f>
        <v/>
      </c>
      <c r="G203" s="21">
        <f t="shared" si="0"/>
        <v>1</v>
      </c>
    </row>
    <row r="204" spans="2:7" ht="13">
      <c r="B204" s="3" t="s">
        <v>562</v>
      </c>
      <c r="C204" s="21" t="str">
        <f>IF(COUNTIFS('2024 Full View'!$K:$K,$B204,'2024 Full View'!B:B,"&lt;&gt;")+COUNTIFS('2024 Full View'!$F:$F,$B204,'2024 Full View'!B:B,"&lt;&gt;")=0,"",COUNTIFS('2024 Full View'!$K:$K,$B204,'2024 Full View'!B:B,"&lt;&gt;")+COUNTIFS('2024 Full View'!$F:$F,$B204,'2024 Full View'!B:B,"&lt;&gt;"))</f>
        <v/>
      </c>
      <c r="D204" s="21" t="str">
        <f>IF(COUNTIFS('2024 Full View'!$K:$K,$B204,'2024 Full View'!C:C,"&lt;&gt;")+COUNTIFS('2024 Full View'!$F:$F,$B204,'2024 Full View'!C:C,"&lt;&gt;")=0,"",COUNTIFS('2024 Full View'!$K:$K,$B204,'2024 Full View'!C:C,"&lt;&gt;")+COUNTIFS('2024 Full View'!$F:$F,$B204,'2024 Full View'!C:C,"&lt;&gt;"))</f>
        <v/>
      </c>
      <c r="E204" s="21">
        <f>IF(COUNTIFS('2024 Full View'!$K:$K,$B204,'2024 Full View'!D:D,"&lt;&gt;")+COUNTIFS('2024 Full View'!$F:$F,$B204,'2024 Full View'!D:D,"&lt;&gt;")=0,"",COUNTIFS('2024 Full View'!$K:$K,$B204,'2024 Full View'!D:D,"&lt;&gt;")+COUNTIFS('2024 Full View'!$F:$F,$B204,'2024 Full View'!D:D,"&lt;&gt;"))</f>
        <v>1</v>
      </c>
      <c r="F204" s="21" t="str">
        <f>IF(COUNTIFS('2024 Full View'!$K:$K,$B204,'2024 Full View'!E:E,"&lt;&gt;")+COUNTIFS('2024 Full View'!$F:$F,$B204,'2024 Full View'!E:E,"&lt;&gt;")=0,"",COUNTIFS('2024 Full View'!$K:$K,$B204,'2024 Full View'!E:E,"&lt;&gt;")+COUNTIFS('2024 Full View'!$F:$F,$B204,'2024 Full View'!E:E,"&lt;&gt;"))</f>
        <v/>
      </c>
      <c r="G204" s="21">
        <f t="shared" si="0"/>
        <v>1</v>
      </c>
    </row>
    <row r="205" spans="2:7" ht="13">
      <c r="B205" s="3" t="s">
        <v>563</v>
      </c>
      <c r="C205" s="21" t="str">
        <f>IF(COUNTIFS('2024 Full View'!$K:$K,$B205,'2024 Full View'!B:B,"&lt;&gt;")+COUNTIFS('2024 Full View'!$F:$F,$B205,'2024 Full View'!B:B,"&lt;&gt;")=0,"",COUNTIFS('2024 Full View'!$K:$K,$B205,'2024 Full View'!B:B,"&lt;&gt;")+COUNTIFS('2024 Full View'!$F:$F,$B205,'2024 Full View'!B:B,"&lt;&gt;"))</f>
        <v/>
      </c>
      <c r="D205" s="21" t="str">
        <f>IF(COUNTIFS('2024 Full View'!$K:$K,$B205,'2024 Full View'!C:C,"&lt;&gt;")+COUNTIFS('2024 Full View'!$F:$F,$B205,'2024 Full View'!C:C,"&lt;&gt;")=0,"",COUNTIFS('2024 Full View'!$K:$K,$B205,'2024 Full View'!C:C,"&lt;&gt;")+COUNTIFS('2024 Full View'!$F:$F,$B205,'2024 Full View'!C:C,"&lt;&gt;"))</f>
        <v/>
      </c>
      <c r="E205" s="21">
        <f>IF(COUNTIFS('2024 Full View'!$K:$K,$B205,'2024 Full View'!D:D,"&lt;&gt;")+COUNTIFS('2024 Full View'!$F:$F,$B205,'2024 Full View'!D:D,"&lt;&gt;")=0,"",COUNTIFS('2024 Full View'!$K:$K,$B205,'2024 Full View'!D:D,"&lt;&gt;")+COUNTIFS('2024 Full View'!$F:$F,$B205,'2024 Full View'!D:D,"&lt;&gt;"))</f>
        <v>1</v>
      </c>
      <c r="F205" s="21" t="str">
        <f>IF(COUNTIFS('2024 Full View'!$K:$K,$B205,'2024 Full View'!E:E,"&lt;&gt;")+COUNTIFS('2024 Full View'!$F:$F,$B205,'2024 Full View'!E:E,"&lt;&gt;")=0,"",COUNTIFS('2024 Full View'!$K:$K,$B205,'2024 Full View'!E:E,"&lt;&gt;")+COUNTIFS('2024 Full View'!$F:$F,$B205,'2024 Full View'!E:E,"&lt;&gt;"))</f>
        <v/>
      </c>
      <c r="G205" s="21">
        <f t="shared" si="0"/>
        <v>1</v>
      </c>
    </row>
    <row r="206" spans="2:7" ht="13">
      <c r="B206" s="3" t="s">
        <v>564</v>
      </c>
      <c r="C206" s="21" t="str">
        <f>IF(COUNTIFS('2024 Full View'!$K:$K,$B206,'2024 Full View'!B:B,"&lt;&gt;")+COUNTIFS('2024 Full View'!$F:$F,$B206,'2024 Full View'!B:B,"&lt;&gt;")=0,"",COUNTIFS('2024 Full View'!$K:$K,$B206,'2024 Full View'!B:B,"&lt;&gt;")+COUNTIFS('2024 Full View'!$F:$F,$B206,'2024 Full View'!B:B,"&lt;&gt;"))</f>
        <v/>
      </c>
      <c r="D206" s="21" t="str">
        <f>IF(COUNTIFS('2024 Full View'!$K:$K,$B206,'2024 Full View'!C:C,"&lt;&gt;")+COUNTIFS('2024 Full View'!$F:$F,$B206,'2024 Full View'!C:C,"&lt;&gt;")=0,"",COUNTIFS('2024 Full View'!$K:$K,$B206,'2024 Full View'!C:C,"&lt;&gt;")+COUNTIFS('2024 Full View'!$F:$F,$B206,'2024 Full View'!C:C,"&lt;&gt;"))</f>
        <v/>
      </c>
      <c r="E206" s="21" t="str">
        <f>IF(COUNTIFS('2024 Full View'!$K:$K,$B206,'2024 Full View'!D:D,"&lt;&gt;")+COUNTIFS('2024 Full View'!$F:$F,$B206,'2024 Full View'!D:D,"&lt;&gt;")=0,"",COUNTIFS('2024 Full View'!$K:$K,$B206,'2024 Full View'!D:D,"&lt;&gt;")+COUNTIFS('2024 Full View'!$F:$F,$B206,'2024 Full View'!D:D,"&lt;&gt;"))</f>
        <v/>
      </c>
      <c r="F206" s="21">
        <f>IF(COUNTIFS('2024 Full View'!$K:$K,$B206,'2024 Full View'!E:E,"&lt;&gt;")+COUNTIFS('2024 Full View'!$F:$F,$B206,'2024 Full View'!E:E,"&lt;&gt;")=0,"",COUNTIFS('2024 Full View'!$K:$K,$B206,'2024 Full View'!E:E,"&lt;&gt;")+COUNTIFS('2024 Full View'!$F:$F,$B206,'2024 Full View'!E:E,"&lt;&gt;"))</f>
        <v>1</v>
      </c>
      <c r="G206" s="21">
        <f t="shared" si="0"/>
        <v>1</v>
      </c>
    </row>
    <row r="207" spans="2:7" ht="13">
      <c r="B207" s="3" t="s">
        <v>565</v>
      </c>
      <c r="C207" s="21" t="str">
        <f>IF(COUNTIFS('2024 Full View'!$K:$K,$B207,'2024 Full View'!B:B,"&lt;&gt;")+COUNTIFS('2024 Full View'!$F:$F,$B207,'2024 Full View'!B:B,"&lt;&gt;")=0,"",COUNTIFS('2024 Full View'!$K:$K,$B207,'2024 Full View'!B:B,"&lt;&gt;")+COUNTIFS('2024 Full View'!$F:$F,$B207,'2024 Full View'!B:B,"&lt;&gt;"))</f>
        <v/>
      </c>
      <c r="D207" s="21" t="str">
        <f>IF(COUNTIFS('2024 Full View'!$K:$K,$B207,'2024 Full View'!C:C,"&lt;&gt;")+COUNTIFS('2024 Full View'!$F:$F,$B207,'2024 Full View'!C:C,"&lt;&gt;")=0,"",COUNTIFS('2024 Full View'!$K:$K,$B207,'2024 Full View'!C:C,"&lt;&gt;")+COUNTIFS('2024 Full View'!$F:$F,$B207,'2024 Full View'!C:C,"&lt;&gt;"))</f>
        <v/>
      </c>
      <c r="E207" s="21">
        <f>IF(COUNTIFS('2024 Full View'!$K:$K,$B207,'2024 Full View'!D:D,"&lt;&gt;")+COUNTIFS('2024 Full View'!$F:$F,$B207,'2024 Full View'!D:D,"&lt;&gt;")=0,"",COUNTIFS('2024 Full View'!$K:$K,$B207,'2024 Full View'!D:D,"&lt;&gt;")+COUNTIFS('2024 Full View'!$F:$F,$B207,'2024 Full View'!D:D,"&lt;&gt;"))</f>
        <v>1</v>
      </c>
      <c r="F207" s="21" t="str">
        <f>IF(COUNTIFS('2024 Full View'!$K:$K,$B207,'2024 Full View'!E:E,"&lt;&gt;")+COUNTIFS('2024 Full View'!$F:$F,$B207,'2024 Full View'!E:E,"&lt;&gt;")=0,"",COUNTIFS('2024 Full View'!$K:$K,$B207,'2024 Full View'!E:E,"&lt;&gt;")+COUNTIFS('2024 Full View'!$F:$F,$B207,'2024 Full View'!E:E,"&lt;&gt;"))</f>
        <v/>
      </c>
      <c r="G207" s="21">
        <f t="shared" si="0"/>
        <v>1</v>
      </c>
    </row>
    <row r="208" spans="2:7" ht="13">
      <c r="B208" s="3" t="s">
        <v>566</v>
      </c>
      <c r="C208" s="21" t="str">
        <f>IF(COUNTIFS('2024 Full View'!$K:$K,$B208,'2024 Full View'!B:B,"&lt;&gt;")+COUNTIFS('2024 Full View'!$F:$F,$B208,'2024 Full View'!B:B,"&lt;&gt;")=0,"",COUNTIFS('2024 Full View'!$K:$K,$B208,'2024 Full View'!B:B,"&lt;&gt;")+COUNTIFS('2024 Full View'!$F:$F,$B208,'2024 Full View'!B:B,"&lt;&gt;"))</f>
        <v/>
      </c>
      <c r="D208" s="21" t="str">
        <f>IF(COUNTIFS('2024 Full View'!$K:$K,$B208,'2024 Full View'!C:C,"&lt;&gt;")+COUNTIFS('2024 Full View'!$F:$F,$B208,'2024 Full View'!C:C,"&lt;&gt;")=0,"",COUNTIFS('2024 Full View'!$K:$K,$B208,'2024 Full View'!C:C,"&lt;&gt;")+COUNTIFS('2024 Full View'!$F:$F,$B208,'2024 Full View'!C:C,"&lt;&gt;"))</f>
        <v/>
      </c>
      <c r="E208" s="21" t="str">
        <f>IF(COUNTIFS('2024 Full View'!$K:$K,$B208,'2024 Full View'!D:D,"&lt;&gt;")+COUNTIFS('2024 Full View'!$F:$F,$B208,'2024 Full View'!D:D,"&lt;&gt;")=0,"",COUNTIFS('2024 Full View'!$K:$K,$B208,'2024 Full View'!D:D,"&lt;&gt;")+COUNTIFS('2024 Full View'!$F:$F,$B208,'2024 Full View'!D:D,"&lt;&gt;"))</f>
        <v/>
      </c>
      <c r="F208" s="21">
        <f>IF(COUNTIFS('2024 Full View'!$K:$K,$B208,'2024 Full View'!E:E,"&lt;&gt;")+COUNTIFS('2024 Full View'!$F:$F,$B208,'2024 Full View'!E:E,"&lt;&gt;")=0,"",COUNTIFS('2024 Full View'!$K:$K,$B208,'2024 Full View'!E:E,"&lt;&gt;")+COUNTIFS('2024 Full View'!$F:$F,$B208,'2024 Full View'!E:E,"&lt;&gt;"))</f>
        <v>1</v>
      </c>
      <c r="G208" s="21">
        <f t="shared" si="0"/>
        <v>1</v>
      </c>
    </row>
    <row r="209" spans="2:7" ht="13">
      <c r="B209" s="3" t="s">
        <v>567</v>
      </c>
      <c r="C209" s="21" t="str">
        <f>IF(COUNTIFS('2024 Full View'!$K:$K,$B209,'2024 Full View'!B:B,"&lt;&gt;")+COUNTIFS('2024 Full View'!$F:$F,$B209,'2024 Full View'!B:B,"&lt;&gt;")=0,"",COUNTIFS('2024 Full View'!$K:$K,$B209,'2024 Full View'!B:B,"&lt;&gt;")+COUNTIFS('2024 Full View'!$F:$F,$B209,'2024 Full View'!B:B,"&lt;&gt;"))</f>
        <v/>
      </c>
      <c r="D209" s="21" t="str">
        <f>IF(COUNTIFS('2024 Full View'!$K:$K,$B209,'2024 Full View'!C:C,"&lt;&gt;")+COUNTIFS('2024 Full View'!$F:$F,$B209,'2024 Full View'!C:C,"&lt;&gt;")=0,"",COUNTIFS('2024 Full View'!$K:$K,$B209,'2024 Full View'!C:C,"&lt;&gt;")+COUNTIFS('2024 Full View'!$F:$F,$B209,'2024 Full View'!C:C,"&lt;&gt;"))</f>
        <v/>
      </c>
      <c r="E209" s="21">
        <f>IF(COUNTIFS('2024 Full View'!$K:$K,$B209,'2024 Full View'!D:D,"&lt;&gt;")+COUNTIFS('2024 Full View'!$F:$F,$B209,'2024 Full View'!D:D,"&lt;&gt;")=0,"",COUNTIFS('2024 Full View'!$K:$K,$B209,'2024 Full View'!D:D,"&lt;&gt;")+COUNTIFS('2024 Full View'!$F:$F,$B209,'2024 Full View'!D:D,"&lt;&gt;"))</f>
        <v>1</v>
      </c>
      <c r="F209" s="21" t="str">
        <f>IF(COUNTIFS('2024 Full View'!$K:$K,$B209,'2024 Full View'!E:E,"&lt;&gt;")+COUNTIFS('2024 Full View'!$F:$F,$B209,'2024 Full View'!E:E,"&lt;&gt;")=0,"",COUNTIFS('2024 Full View'!$K:$K,$B209,'2024 Full View'!E:E,"&lt;&gt;")+COUNTIFS('2024 Full View'!$F:$F,$B209,'2024 Full View'!E:E,"&lt;&gt;"))</f>
        <v/>
      </c>
      <c r="G209" s="21">
        <f t="shared" si="0"/>
        <v>1</v>
      </c>
    </row>
    <row r="210" spans="2:7" ht="13">
      <c r="B210" s="3" t="s">
        <v>568</v>
      </c>
      <c r="C210" s="21" t="str">
        <f>IF(COUNTIFS('2024 Full View'!$K:$K,$B210,'2024 Full View'!B:B,"&lt;&gt;")+COUNTIFS('2024 Full View'!$F:$F,$B210,'2024 Full View'!B:B,"&lt;&gt;")=0,"",COUNTIFS('2024 Full View'!$K:$K,$B210,'2024 Full View'!B:B,"&lt;&gt;")+COUNTIFS('2024 Full View'!$F:$F,$B210,'2024 Full View'!B:B,"&lt;&gt;"))</f>
        <v/>
      </c>
      <c r="D210" s="21" t="str">
        <f>IF(COUNTIFS('2024 Full View'!$K:$K,$B210,'2024 Full View'!C:C,"&lt;&gt;")+COUNTIFS('2024 Full View'!$F:$F,$B210,'2024 Full View'!C:C,"&lt;&gt;")=0,"",COUNTIFS('2024 Full View'!$K:$K,$B210,'2024 Full View'!C:C,"&lt;&gt;")+COUNTIFS('2024 Full View'!$F:$F,$B210,'2024 Full View'!C:C,"&lt;&gt;"))</f>
        <v/>
      </c>
      <c r="E210" s="21">
        <f>IF(COUNTIFS('2024 Full View'!$K:$K,$B210,'2024 Full View'!D:D,"&lt;&gt;")+COUNTIFS('2024 Full View'!$F:$F,$B210,'2024 Full View'!D:D,"&lt;&gt;")=0,"",COUNTIFS('2024 Full View'!$K:$K,$B210,'2024 Full View'!D:D,"&lt;&gt;")+COUNTIFS('2024 Full View'!$F:$F,$B210,'2024 Full View'!D:D,"&lt;&gt;"))</f>
        <v>1</v>
      </c>
      <c r="F210" s="21" t="str">
        <f>IF(COUNTIFS('2024 Full View'!$K:$K,$B210,'2024 Full View'!E:E,"&lt;&gt;")+COUNTIFS('2024 Full View'!$F:$F,$B210,'2024 Full View'!E:E,"&lt;&gt;")=0,"",COUNTIFS('2024 Full View'!$K:$K,$B210,'2024 Full View'!E:E,"&lt;&gt;")+COUNTIFS('2024 Full View'!$F:$F,$B210,'2024 Full View'!E:E,"&lt;&gt;"))</f>
        <v/>
      </c>
      <c r="G210" s="21">
        <f t="shared" si="0"/>
        <v>1</v>
      </c>
    </row>
    <row r="211" spans="2:7" ht="13">
      <c r="B211" s="3" t="s">
        <v>569</v>
      </c>
      <c r="C211" s="21" t="str">
        <f>IF(COUNTIFS('2024 Full View'!$K:$K,$B211,'2024 Full View'!B:B,"&lt;&gt;")+COUNTIFS('2024 Full View'!$F:$F,$B211,'2024 Full View'!B:B,"&lt;&gt;")=0,"",COUNTIFS('2024 Full View'!$K:$K,$B211,'2024 Full View'!B:B,"&lt;&gt;")+COUNTIFS('2024 Full View'!$F:$F,$B211,'2024 Full View'!B:B,"&lt;&gt;"))</f>
        <v/>
      </c>
      <c r="D211" s="21" t="str">
        <f>IF(COUNTIFS('2024 Full View'!$K:$K,$B211,'2024 Full View'!C:C,"&lt;&gt;")+COUNTIFS('2024 Full View'!$F:$F,$B211,'2024 Full View'!C:C,"&lt;&gt;")=0,"",COUNTIFS('2024 Full View'!$K:$K,$B211,'2024 Full View'!C:C,"&lt;&gt;")+COUNTIFS('2024 Full View'!$F:$F,$B211,'2024 Full View'!C:C,"&lt;&gt;"))</f>
        <v/>
      </c>
      <c r="E211" s="21">
        <f>IF(COUNTIFS('2024 Full View'!$K:$K,$B211,'2024 Full View'!D:D,"&lt;&gt;")+COUNTIFS('2024 Full View'!$F:$F,$B211,'2024 Full View'!D:D,"&lt;&gt;")=0,"",COUNTIFS('2024 Full View'!$K:$K,$B211,'2024 Full View'!D:D,"&lt;&gt;")+COUNTIFS('2024 Full View'!$F:$F,$B211,'2024 Full View'!D:D,"&lt;&gt;"))</f>
        <v>1</v>
      </c>
      <c r="F211" s="21" t="str">
        <f>IF(COUNTIFS('2024 Full View'!$K:$K,$B211,'2024 Full View'!E:E,"&lt;&gt;")+COUNTIFS('2024 Full View'!$F:$F,$B211,'2024 Full View'!E:E,"&lt;&gt;")=0,"",COUNTIFS('2024 Full View'!$K:$K,$B211,'2024 Full View'!E:E,"&lt;&gt;")+COUNTIFS('2024 Full View'!$F:$F,$B211,'2024 Full View'!E:E,"&lt;&gt;"))</f>
        <v/>
      </c>
      <c r="G211" s="21">
        <f t="shared" si="0"/>
        <v>1</v>
      </c>
    </row>
    <row r="212" spans="2:7" ht="13">
      <c r="B212" s="3" t="s">
        <v>570</v>
      </c>
      <c r="C212" s="21" t="str">
        <f>IF(COUNTIFS('2024 Full View'!$K:$K,$B212,'2024 Full View'!B:B,"&lt;&gt;")+COUNTIFS('2024 Full View'!$F:$F,$B212,'2024 Full View'!B:B,"&lt;&gt;")=0,"",COUNTIFS('2024 Full View'!$K:$K,$B212,'2024 Full View'!B:B,"&lt;&gt;")+COUNTIFS('2024 Full View'!$F:$F,$B212,'2024 Full View'!B:B,"&lt;&gt;"))</f>
        <v/>
      </c>
      <c r="D212" s="21" t="str">
        <f>IF(COUNTIFS('2024 Full View'!$K:$K,$B212,'2024 Full View'!C:C,"&lt;&gt;")+COUNTIFS('2024 Full View'!$F:$F,$B212,'2024 Full View'!C:C,"&lt;&gt;")=0,"",COUNTIFS('2024 Full View'!$K:$K,$B212,'2024 Full View'!C:C,"&lt;&gt;")+COUNTIFS('2024 Full View'!$F:$F,$B212,'2024 Full View'!C:C,"&lt;&gt;"))</f>
        <v/>
      </c>
      <c r="E212" s="21">
        <f>IF(COUNTIFS('2024 Full View'!$K:$K,$B212,'2024 Full View'!D:D,"&lt;&gt;")+COUNTIFS('2024 Full View'!$F:$F,$B212,'2024 Full View'!D:D,"&lt;&gt;")=0,"",COUNTIFS('2024 Full View'!$K:$K,$B212,'2024 Full View'!D:D,"&lt;&gt;")+COUNTIFS('2024 Full View'!$F:$F,$B212,'2024 Full View'!D:D,"&lt;&gt;"))</f>
        <v>1</v>
      </c>
      <c r="F212" s="21" t="str">
        <f>IF(COUNTIFS('2024 Full View'!$K:$K,$B212,'2024 Full View'!E:E,"&lt;&gt;")+COUNTIFS('2024 Full View'!$F:$F,$B212,'2024 Full View'!E:E,"&lt;&gt;")=0,"",COUNTIFS('2024 Full View'!$K:$K,$B212,'2024 Full View'!E:E,"&lt;&gt;")+COUNTIFS('2024 Full View'!$F:$F,$B212,'2024 Full View'!E:E,"&lt;&gt;"))</f>
        <v/>
      </c>
      <c r="G212" s="21">
        <f t="shared" si="0"/>
        <v>1</v>
      </c>
    </row>
    <row r="213" spans="2:7" ht="13">
      <c r="B213" s="3" t="s">
        <v>571</v>
      </c>
      <c r="C213" s="21" t="str">
        <f>IF(COUNTIFS('2024 Full View'!$K:$K,$B213,'2024 Full View'!B:B,"&lt;&gt;")+COUNTIFS('2024 Full View'!$F:$F,$B213,'2024 Full View'!B:B,"&lt;&gt;")=0,"",COUNTIFS('2024 Full View'!$K:$K,$B213,'2024 Full View'!B:B,"&lt;&gt;")+COUNTIFS('2024 Full View'!$F:$F,$B213,'2024 Full View'!B:B,"&lt;&gt;"))</f>
        <v/>
      </c>
      <c r="D213" s="21" t="str">
        <f>IF(COUNTIFS('2024 Full View'!$K:$K,$B213,'2024 Full View'!C:C,"&lt;&gt;")+COUNTIFS('2024 Full View'!$F:$F,$B213,'2024 Full View'!C:C,"&lt;&gt;")=0,"",COUNTIFS('2024 Full View'!$K:$K,$B213,'2024 Full View'!C:C,"&lt;&gt;")+COUNTIFS('2024 Full View'!$F:$F,$B213,'2024 Full View'!C:C,"&lt;&gt;"))</f>
        <v/>
      </c>
      <c r="E213" s="21">
        <f>IF(COUNTIFS('2024 Full View'!$K:$K,$B213,'2024 Full View'!D:D,"&lt;&gt;")+COUNTIFS('2024 Full View'!$F:$F,$B213,'2024 Full View'!D:D,"&lt;&gt;")=0,"",COUNTIFS('2024 Full View'!$K:$K,$B213,'2024 Full View'!D:D,"&lt;&gt;")+COUNTIFS('2024 Full View'!$F:$F,$B213,'2024 Full View'!D:D,"&lt;&gt;"))</f>
        <v>1</v>
      </c>
      <c r="F213" s="21" t="str">
        <f>IF(COUNTIFS('2024 Full View'!$K:$K,$B213,'2024 Full View'!E:E,"&lt;&gt;")+COUNTIFS('2024 Full View'!$F:$F,$B213,'2024 Full View'!E:E,"&lt;&gt;")=0,"",COUNTIFS('2024 Full View'!$K:$K,$B213,'2024 Full View'!E:E,"&lt;&gt;")+COUNTIFS('2024 Full View'!$F:$F,$B213,'2024 Full View'!E:E,"&lt;&gt;"))</f>
        <v/>
      </c>
      <c r="G213" s="21">
        <f t="shared" si="0"/>
        <v>1</v>
      </c>
    </row>
    <row r="214" spans="2:7" ht="13">
      <c r="B214" s="3" t="s">
        <v>572</v>
      </c>
      <c r="C214" s="21" t="str">
        <f>IF(COUNTIFS('2024 Full View'!$K:$K,$B214,'2024 Full View'!B:B,"&lt;&gt;")+COUNTIFS('2024 Full View'!$F:$F,$B214,'2024 Full View'!B:B,"&lt;&gt;")=0,"",COUNTIFS('2024 Full View'!$K:$K,$B214,'2024 Full View'!B:B,"&lt;&gt;")+COUNTIFS('2024 Full View'!$F:$F,$B214,'2024 Full View'!B:B,"&lt;&gt;"))</f>
        <v/>
      </c>
      <c r="D214" s="21" t="str">
        <f>IF(COUNTIFS('2024 Full View'!$K:$K,$B214,'2024 Full View'!C:C,"&lt;&gt;")+COUNTIFS('2024 Full View'!$F:$F,$B214,'2024 Full View'!C:C,"&lt;&gt;")=0,"",COUNTIFS('2024 Full View'!$K:$K,$B214,'2024 Full View'!C:C,"&lt;&gt;")+COUNTIFS('2024 Full View'!$F:$F,$B214,'2024 Full View'!C:C,"&lt;&gt;"))</f>
        <v/>
      </c>
      <c r="E214" s="21">
        <f>IF(COUNTIFS('2024 Full View'!$K:$K,$B214,'2024 Full View'!D:D,"&lt;&gt;")+COUNTIFS('2024 Full View'!$F:$F,$B214,'2024 Full View'!D:D,"&lt;&gt;")=0,"",COUNTIFS('2024 Full View'!$K:$K,$B214,'2024 Full View'!D:D,"&lt;&gt;")+COUNTIFS('2024 Full View'!$F:$F,$B214,'2024 Full View'!D:D,"&lt;&gt;"))</f>
        <v>1</v>
      </c>
      <c r="F214" s="21" t="str">
        <f>IF(COUNTIFS('2024 Full View'!$K:$K,$B214,'2024 Full View'!E:E,"&lt;&gt;")+COUNTIFS('2024 Full View'!$F:$F,$B214,'2024 Full View'!E:E,"&lt;&gt;")=0,"",COUNTIFS('2024 Full View'!$K:$K,$B214,'2024 Full View'!E:E,"&lt;&gt;")+COUNTIFS('2024 Full View'!$F:$F,$B214,'2024 Full View'!E:E,"&lt;&gt;"))</f>
        <v/>
      </c>
      <c r="G214" s="21">
        <f t="shared" si="0"/>
        <v>1</v>
      </c>
    </row>
    <row r="215" spans="2:7" ht="13">
      <c r="B215" s="3" t="s">
        <v>573</v>
      </c>
      <c r="C215" s="21" t="str">
        <f>IF(COUNTIFS('2024 Full View'!$K:$K,$B215,'2024 Full View'!B:B,"&lt;&gt;")+COUNTIFS('2024 Full View'!$F:$F,$B215,'2024 Full View'!B:B,"&lt;&gt;")=0,"",COUNTIFS('2024 Full View'!$K:$K,$B215,'2024 Full View'!B:B,"&lt;&gt;")+COUNTIFS('2024 Full View'!$F:$F,$B215,'2024 Full View'!B:B,"&lt;&gt;"))</f>
        <v/>
      </c>
      <c r="D215" s="21" t="str">
        <f>IF(COUNTIFS('2024 Full View'!$K:$K,$B215,'2024 Full View'!C:C,"&lt;&gt;")+COUNTIFS('2024 Full View'!$F:$F,$B215,'2024 Full View'!C:C,"&lt;&gt;")=0,"",COUNTIFS('2024 Full View'!$K:$K,$B215,'2024 Full View'!C:C,"&lt;&gt;")+COUNTIFS('2024 Full View'!$F:$F,$B215,'2024 Full View'!C:C,"&lt;&gt;"))</f>
        <v/>
      </c>
      <c r="E215" s="21">
        <f>IF(COUNTIFS('2024 Full View'!$K:$K,$B215,'2024 Full View'!D:D,"&lt;&gt;")+COUNTIFS('2024 Full View'!$F:$F,$B215,'2024 Full View'!D:D,"&lt;&gt;")=0,"",COUNTIFS('2024 Full View'!$K:$K,$B215,'2024 Full View'!D:D,"&lt;&gt;")+COUNTIFS('2024 Full View'!$F:$F,$B215,'2024 Full View'!D:D,"&lt;&gt;"))</f>
        <v>1</v>
      </c>
      <c r="F215" s="21" t="str">
        <f>IF(COUNTIFS('2024 Full View'!$K:$K,$B215,'2024 Full View'!E:E,"&lt;&gt;")+COUNTIFS('2024 Full View'!$F:$F,$B215,'2024 Full View'!E:E,"&lt;&gt;")=0,"",COUNTIFS('2024 Full View'!$K:$K,$B215,'2024 Full View'!E:E,"&lt;&gt;")+COUNTIFS('2024 Full View'!$F:$F,$B215,'2024 Full View'!E:E,"&lt;&gt;"))</f>
        <v/>
      </c>
      <c r="G215" s="21">
        <f t="shared" si="0"/>
        <v>1</v>
      </c>
    </row>
    <row r="216" spans="2:7" ht="13">
      <c r="B216" s="3" t="s">
        <v>574</v>
      </c>
      <c r="C216" s="21" t="str">
        <f>IF(COUNTIFS('2024 Full View'!$K:$K,$B216,'2024 Full View'!B:B,"&lt;&gt;")+COUNTIFS('2024 Full View'!$F:$F,$B216,'2024 Full View'!B:B,"&lt;&gt;")=0,"",COUNTIFS('2024 Full View'!$K:$K,$B216,'2024 Full View'!B:B,"&lt;&gt;")+COUNTIFS('2024 Full View'!$F:$F,$B216,'2024 Full View'!B:B,"&lt;&gt;"))</f>
        <v/>
      </c>
      <c r="D216" s="21" t="str">
        <f>IF(COUNTIFS('2024 Full View'!$K:$K,$B216,'2024 Full View'!C:C,"&lt;&gt;")+COUNTIFS('2024 Full View'!$F:$F,$B216,'2024 Full View'!C:C,"&lt;&gt;")=0,"",COUNTIFS('2024 Full View'!$K:$K,$B216,'2024 Full View'!C:C,"&lt;&gt;")+COUNTIFS('2024 Full View'!$F:$F,$B216,'2024 Full View'!C:C,"&lt;&gt;"))</f>
        <v/>
      </c>
      <c r="E216" s="21">
        <f>IF(COUNTIFS('2024 Full View'!$K:$K,$B216,'2024 Full View'!D:D,"&lt;&gt;")+COUNTIFS('2024 Full View'!$F:$F,$B216,'2024 Full View'!D:D,"&lt;&gt;")=0,"",COUNTIFS('2024 Full View'!$K:$K,$B216,'2024 Full View'!D:D,"&lt;&gt;")+COUNTIFS('2024 Full View'!$F:$F,$B216,'2024 Full View'!D:D,"&lt;&gt;"))</f>
        <v>1</v>
      </c>
      <c r="F216" s="21" t="str">
        <f>IF(COUNTIFS('2024 Full View'!$K:$K,$B216,'2024 Full View'!E:E,"&lt;&gt;")+COUNTIFS('2024 Full View'!$F:$F,$B216,'2024 Full View'!E:E,"&lt;&gt;")=0,"",COUNTIFS('2024 Full View'!$K:$K,$B216,'2024 Full View'!E:E,"&lt;&gt;")+COUNTIFS('2024 Full View'!$F:$F,$B216,'2024 Full View'!E:E,"&lt;&gt;"))</f>
        <v/>
      </c>
      <c r="G216" s="21">
        <f t="shared" si="0"/>
        <v>1</v>
      </c>
    </row>
    <row r="217" spans="2:7" ht="13">
      <c r="B217" s="3" t="s">
        <v>575</v>
      </c>
      <c r="C217" s="21" t="str">
        <f>IF(COUNTIFS('2024 Full View'!$K:$K,$B217,'2024 Full View'!B:B,"&lt;&gt;")+COUNTIFS('2024 Full View'!$F:$F,$B217,'2024 Full View'!B:B,"&lt;&gt;")=0,"",COUNTIFS('2024 Full View'!$K:$K,$B217,'2024 Full View'!B:B,"&lt;&gt;")+COUNTIFS('2024 Full View'!$F:$F,$B217,'2024 Full View'!B:B,"&lt;&gt;"))</f>
        <v/>
      </c>
      <c r="D217" s="21" t="str">
        <f>IF(COUNTIFS('2024 Full View'!$K:$K,$B217,'2024 Full View'!C:C,"&lt;&gt;")+COUNTIFS('2024 Full View'!$F:$F,$B217,'2024 Full View'!C:C,"&lt;&gt;")=0,"",COUNTIFS('2024 Full View'!$K:$K,$B217,'2024 Full View'!C:C,"&lt;&gt;")+COUNTIFS('2024 Full View'!$F:$F,$B217,'2024 Full View'!C:C,"&lt;&gt;"))</f>
        <v/>
      </c>
      <c r="E217" s="21">
        <f>IF(COUNTIFS('2024 Full View'!$K:$K,$B217,'2024 Full View'!D:D,"&lt;&gt;")+COUNTIFS('2024 Full View'!$F:$F,$B217,'2024 Full View'!D:D,"&lt;&gt;")=0,"",COUNTIFS('2024 Full View'!$K:$K,$B217,'2024 Full View'!D:D,"&lt;&gt;")+COUNTIFS('2024 Full View'!$F:$F,$B217,'2024 Full View'!D:D,"&lt;&gt;"))</f>
        <v>1</v>
      </c>
      <c r="F217" s="21" t="str">
        <f>IF(COUNTIFS('2024 Full View'!$K:$K,$B217,'2024 Full View'!E:E,"&lt;&gt;")+COUNTIFS('2024 Full View'!$F:$F,$B217,'2024 Full View'!E:E,"&lt;&gt;")=0,"",COUNTIFS('2024 Full View'!$K:$K,$B217,'2024 Full View'!E:E,"&lt;&gt;")+COUNTIFS('2024 Full View'!$F:$F,$B217,'2024 Full View'!E:E,"&lt;&gt;"))</f>
        <v/>
      </c>
      <c r="G217" s="21">
        <f t="shared" si="0"/>
        <v>1</v>
      </c>
    </row>
    <row r="218" spans="2:7" ht="13">
      <c r="B218" s="3" t="s">
        <v>576</v>
      </c>
      <c r="C218" s="21" t="str">
        <f>IF(COUNTIFS('2024 Full View'!$K:$K,$B218,'2024 Full View'!B:B,"&lt;&gt;")+COUNTIFS('2024 Full View'!$F:$F,$B218,'2024 Full View'!B:B,"&lt;&gt;")=0,"",COUNTIFS('2024 Full View'!$K:$K,$B218,'2024 Full View'!B:B,"&lt;&gt;")+COUNTIFS('2024 Full View'!$F:$F,$B218,'2024 Full View'!B:B,"&lt;&gt;"))</f>
        <v/>
      </c>
      <c r="D218" s="21" t="str">
        <f>IF(COUNTIFS('2024 Full View'!$K:$K,$B218,'2024 Full View'!C:C,"&lt;&gt;")+COUNTIFS('2024 Full View'!$F:$F,$B218,'2024 Full View'!C:C,"&lt;&gt;")=0,"",COUNTIFS('2024 Full View'!$K:$K,$B218,'2024 Full View'!C:C,"&lt;&gt;")+COUNTIFS('2024 Full View'!$F:$F,$B218,'2024 Full View'!C:C,"&lt;&gt;"))</f>
        <v/>
      </c>
      <c r="E218" s="21">
        <f>IF(COUNTIFS('2024 Full View'!$K:$K,$B218,'2024 Full View'!D:D,"&lt;&gt;")+COUNTIFS('2024 Full View'!$F:$F,$B218,'2024 Full View'!D:D,"&lt;&gt;")=0,"",COUNTIFS('2024 Full View'!$K:$K,$B218,'2024 Full View'!D:D,"&lt;&gt;")+COUNTIFS('2024 Full View'!$F:$F,$B218,'2024 Full View'!D:D,"&lt;&gt;"))</f>
        <v>1</v>
      </c>
      <c r="F218" s="21" t="str">
        <f>IF(COUNTIFS('2024 Full View'!$K:$K,$B218,'2024 Full View'!E:E,"&lt;&gt;")+COUNTIFS('2024 Full View'!$F:$F,$B218,'2024 Full View'!E:E,"&lt;&gt;")=0,"",COUNTIFS('2024 Full View'!$K:$K,$B218,'2024 Full View'!E:E,"&lt;&gt;")+COUNTIFS('2024 Full View'!$F:$F,$B218,'2024 Full View'!E:E,"&lt;&gt;"))</f>
        <v/>
      </c>
      <c r="G218" s="21">
        <f t="shared" si="0"/>
        <v>1</v>
      </c>
    </row>
    <row r="219" spans="2:7" ht="13">
      <c r="B219" s="3" t="s">
        <v>577</v>
      </c>
      <c r="C219" s="21" t="str">
        <f>IF(COUNTIFS('2024 Full View'!$K:$K,$B219,'2024 Full View'!B:B,"&lt;&gt;")+COUNTIFS('2024 Full View'!$F:$F,$B219,'2024 Full View'!B:B,"&lt;&gt;")=0,"",COUNTIFS('2024 Full View'!$K:$K,$B219,'2024 Full View'!B:B,"&lt;&gt;")+COUNTIFS('2024 Full View'!$F:$F,$B219,'2024 Full View'!B:B,"&lt;&gt;"))</f>
        <v/>
      </c>
      <c r="D219" s="21" t="str">
        <f>IF(COUNTIFS('2024 Full View'!$K:$K,$B219,'2024 Full View'!C:C,"&lt;&gt;")+COUNTIFS('2024 Full View'!$F:$F,$B219,'2024 Full View'!C:C,"&lt;&gt;")=0,"",COUNTIFS('2024 Full View'!$K:$K,$B219,'2024 Full View'!C:C,"&lt;&gt;")+COUNTIFS('2024 Full View'!$F:$F,$B219,'2024 Full View'!C:C,"&lt;&gt;"))</f>
        <v/>
      </c>
      <c r="E219" s="21">
        <f>IF(COUNTIFS('2024 Full View'!$K:$K,$B219,'2024 Full View'!D:D,"&lt;&gt;")+COUNTIFS('2024 Full View'!$F:$F,$B219,'2024 Full View'!D:D,"&lt;&gt;")=0,"",COUNTIFS('2024 Full View'!$K:$K,$B219,'2024 Full View'!D:D,"&lt;&gt;")+COUNTIFS('2024 Full View'!$F:$F,$B219,'2024 Full View'!D:D,"&lt;&gt;"))</f>
        <v>1</v>
      </c>
      <c r="F219" s="21" t="str">
        <f>IF(COUNTIFS('2024 Full View'!$K:$K,$B219,'2024 Full View'!E:E,"&lt;&gt;")+COUNTIFS('2024 Full View'!$F:$F,$B219,'2024 Full View'!E:E,"&lt;&gt;")=0,"",COUNTIFS('2024 Full View'!$K:$K,$B219,'2024 Full View'!E:E,"&lt;&gt;")+COUNTIFS('2024 Full View'!$F:$F,$B219,'2024 Full View'!E:E,"&lt;&gt;"))</f>
        <v/>
      </c>
      <c r="G219" s="21">
        <f t="shared" si="0"/>
        <v>1</v>
      </c>
    </row>
    <row r="220" spans="2:7" ht="13">
      <c r="B220" s="26"/>
    </row>
    <row r="221" spans="2:7" ht="13">
      <c r="B221" s="26"/>
    </row>
    <row r="222" spans="2:7" ht="13">
      <c r="B222" s="26"/>
    </row>
    <row r="223" spans="2:7" ht="13">
      <c r="B223" s="26"/>
    </row>
    <row r="224" spans="2:7" ht="13">
      <c r="B224" s="26"/>
    </row>
    <row r="225" spans="2:2" ht="13">
      <c r="B225" s="26"/>
    </row>
    <row r="226" spans="2:2" ht="13">
      <c r="B226" s="26"/>
    </row>
    <row r="227" spans="2:2" ht="13">
      <c r="B227" s="26"/>
    </row>
    <row r="228" spans="2:2" ht="13">
      <c r="B228" s="26"/>
    </row>
    <row r="229" spans="2:2" ht="13">
      <c r="B229" s="26"/>
    </row>
    <row r="230" spans="2:2" ht="13">
      <c r="B230" s="26"/>
    </row>
    <row r="231" spans="2:2" ht="13">
      <c r="B231" s="26"/>
    </row>
    <row r="232" spans="2:2" ht="13">
      <c r="B232" s="26"/>
    </row>
    <row r="233" spans="2:2" ht="13">
      <c r="B233" s="26"/>
    </row>
    <row r="234" spans="2:2" ht="13">
      <c r="B234" s="26"/>
    </row>
    <row r="235" spans="2:2" ht="13">
      <c r="B235" s="26"/>
    </row>
    <row r="236" spans="2:2" ht="13">
      <c r="B236" s="26"/>
    </row>
    <row r="237" spans="2:2" ht="13">
      <c r="B237" s="26"/>
    </row>
    <row r="238" spans="2:2" ht="13">
      <c r="B238" s="26"/>
    </row>
    <row r="239" spans="2:2" ht="13">
      <c r="B239" s="26"/>
    </row>
    <row r="240" spans="2:2" ht="13">
      <c r="B240" s="26"/>
    </row>
    <row r="241" spans="2:2" ht="13">
      <c r="B241" s="26"/>
    </row>
    <row r="242" spans="2:2" ht="13">
      <c r="B242" s="26"/>
    </row>
    <row r="243" spans="2:2" ht="13">
      <c r="B243" s="26"/>
    </row>
    <row r="244" spans="2:2" ht="13">
      <c r="B244" s="26"/>
    </row>
    <row r="245" spans="2:2" ht="13">
      <c r="B245" s="26"/>
    </row>
    <row r="246" spans="2:2" ht="13">
      <c r="B246" s="26"/>
    </row>
    <row r="247" spans="2:2" ht="13">
      <c r="B247" s="26"/>
    </row>
    <row r="248" spans="2:2" ht="13">
      <c r="B248" s="26"/>
    </row>
    <row r="249" spans="2:2" ht="13">
      <c r="B249" s="26"/>
    </row>
    <row r="250" spans="2:2" ht="13">
      <c r="B250" s="26"/>
    </row>
    <row r="251" spans="2:2" ht="13">
      <c r="B251" s="26"/>
    </row>
    <row r="252" spans="2:2" ht="13">
      <c r="B252" s="26"/>
    </row>
    <row r="253" spans="2:2" ht="13">
      <c r="B253" s="26"/>
    </row>
    <row r="254" spans="2:2" ht="13">
      <c r="B254" s="26"/>
    </row>
    <row r="255" spans="2:2" ht="13">
      <c r="B255" s="26"/>
    </row>
    <row r="256" spans="2:2" ht="13">
      <c r="B256" s="26"/>
    </row>
    <row r="257" spans="2:2" ht="13">
      <c r="B257" s="26"/>
    </row>
    <row r="258" spans="2:2" ht="13">
      <c r="B258" s="26"/>
    </row>
    <row r="259" spans="2:2" ht="13">
      <c r="B259" s="26"/>
    </row>
    <row r="260" spans="2:2" ht="13">
      <c r="B260" s="26"/>
    </row>
    <row r="261" spans="2:2" ht="13">
      <c r="B261" s="26"/>
    </row>
    <row r="262" spans="2:2" ht="13">
      <c r="B262" s="26"/>
    </row>
    <row r="263" spans="2:2" ht="13">
      <c r="B263" s="26"/>
    </row>
    <row r="264" spans="2:2" ht="13">
      <c r="B264" s="26"/>
    </row>
    <row r="265" spans="2:2" ht="13">
      <c r="B265" s="26"/>
    </row>
    <row r="266" spans="2:2" ht="13">
      <c r="B266" s="26"/>
    </row>
    <row r="267" spans="2:2" ht="13">
      <c r="B267" s="26"/>
    </row>
    <row r="268" spans="2:2" ht="13">
      <c r="B268" s="26"/>
    </row>
    <row r="269" spans="2:2" ht="13">
      <c r="B269" s="26"/>
    </row>
    <row r="270" spans="2:2" ht="13">
      <c r="B270" s="26"/>
    </row>
    <row r="271" spans="2:2" ht="13">
      <c r="B271" s="26"/>
    </row>
    <row r="272" spans="2:2" ht="13">
      <c r="B272" s="26"/>
    </row>
    <row r="273" spans="2:2" ht="13">
      <c r="B273" s="26"/>
    </row>
    <row r="274" spans="2:2" ht="13">
      <c r="B274" s="26"/>
    </row>
    <row r="275" spans="2:2" ht="13">
      <c r="B275" s="26"/>
    </row>
    <row r="276" spans="2:2" ht="13">
      <c r="B276" s="26"/>
    </row>
    <row r="277" spans="2:2" ht="13">
      <c r="B277" s="26"/>
    </row>
    <row r="278" spans="2:2" ht="13">
      <c r="B278" s="26"/>
    </row>
    <row r="279" spans="2:2" ht="13">
      <c r="B279" s="26"/>
    </row>
    <row r="280" spans="2:2" ht="13">
      <c r="B280" s="26"/>
    </row>
    <row r="281" spans="2:2" ht="13">
      <c r="B281" s="26"/>
    </row>
    <row r="282" spans="2:2" ht="13">
      <c r="B282" s="26"/>
    </row>
    <row r="283" spans="2:2" ht="13">
      <c r="B283" s="26"/>
    </row>
    <row r="284" spans="2:2" ht="13">
      <c r="B284" s="26"/>
    </row>
    <row r="285" spans="2:2" ht="13">
      <c r="B285" s="26"/>
    </row>
    <row r="286" spans="2:2" ht="13">
      <c r="B286" s="26"/>
    </row>
    <row r="287" spans="2:2" ht="13">
      <c r="B287" s="26"/>
    </row>
    <row r="288" spans="2:2" ht="13">
      <c r="B288" s="26"/>
    </row>
    <row r="289" spans="2:2" ht="13">
      <c r="B289" s="26"/>
    </row>
    <row r="290" spans="2:2" ht="13">
      <c r="B290" s="26"/>
    </row>
    <row r="291" spans="2:2" ht="13">
      <c r="B291" s="26"/>
    </row>
    <row r="292" spans="2:2" ht="13">
      <c r="B292" s="26"/>
    </row>
    <row r="293" spans="2:2" ht="13">
      <c r="B293" s="26"/>
    </row>
    <row r="294" spans="2:2" ht="13">
      <c r="B294" s="26"/>
    </row>
    <row r="295" spans="2:2" ht="13">
      <c r="B295" s="26"/>
    </row>
    <row r="296" spans="2:2" ht="13">
      <c r="B296" s="26"/>
    </row>
    <row r="297" spans="2:2" ht="13">
      <c r="B297" s="26"/>
    </row>
    <row r="298" spans="2:2" ht="13">
      <c r="B298" s="26"/>
    </row>
    <row r="299" spans="2:2" ht="13">
      <c r="B299" s="26"/>
    </row>
    <row r="300" spans="2:2" ht="13">
      <c r="B300" s="26"/>
    </row>
    <row r="301" spans="2:2" ht="13">
      <c r="B301" s="26"/>
    </row>
    <row r="302" spans="2:2" ht="13">
      <c r="B302" s="26"/>
    </row>
    <row r="303" spans="2:2" ht="13">
      <c r="B303" s="26"/>
    </row>
    <row r="304" spans="2:2" ht="13">
      <c r="B304" s="26"/>
    </row>
    <row r="305" spans="2:2" ht="13">
      <c r="B305" s="26"/>
    </row>
    <row r="306" spans="2:2" ht="13">
      <c r="B306" s="26"/>
    </row>
    <row r="307" spans="2:2" ht="13">
      <c r="B307" s="26"/>
    </row>
    <row r="308" spans="2:2" ht="13">
      <c r="B308" s="26"/>
    </row>
    <row r="309" spans="2:2" ht="13">
      <c r="B309" s="26"/>
    </row>
    <row r="310" spans="2:2" ht="13">
      <c r="B310" s="26"/>
    </row>
    <row r="311" spans="2:2" ht="13">
      <c r="B311" s="26"/>
    </row>
    <row r="312" spans="2:2" ht="13">
      <c r="B312" s="26"/>
    </row>
    <row r="313" spans="2:2" ht="13">
      <c r="B313" s="26"/>
    </row>
    <row r="314" spans="2:2" ht="13">
      <c r="B314" s="26"/>
    </row>
    <row r="315" spans="2:2" ht="13">
      <c r="B315" s="26"/>
    </row>
    <row r="316" spans="2:2" ht="13">
      <c r="B316" s="26"/>
    </row>
    <row r="317" spans="2:2" ht="13">
      <c r="B317" s="26"/>
    </row>
    <row r="318" spans="2:2" ht="13">
      <c r="B318" s="26"/>
    </row>
    <row r="319" spans="2:2" ht="13">
      <c r="B319" s="26"/>
    </row>
    <row r="320" spans="2:2" ht="13">
      <c r="B320" s="26"/>
    </row>
    <row r="321" spans="2:2" ht="13">
      <c r="B321" s="26"/>
    </row>
    <row r="322" spans="2:2" ht="13">
      <c r="B322" s="26"/>
    </row>
    <row r="323" spans="2:2" ht="13">
      <c r="B323" s="26"/>
    </row>
    <row r="324" spans="2:2" ht="13">
      <c r="B324" s="26"/>
    </row>
    <row r="325" spans="2:2" ht="13">
      <c r="B325" s="26"/>
    </row>
    <row r="326" spans="2:2" ht="13">
      <c r="B326" s="26"/>
    </row>
    <row r="327" spans="2:2" ht="13">
      <c r="B327" s="26"/>
    </row>
    <row r="328" spans="2:2" ht="13">
      <c r="B328" s="26"/>
    </row>
    <row r="329" spans="2:2" ht="13">
      <c r="B329" s="26"/>
    </row>
    <row r="330" spans="2:2" ht="13">
      <c r="B330" s="26"/>
    </row>
    <row r="331" spans="2:2" ht="13">
      <c r="B331" s="26"/>
    </row>
    <row r="332" spans="2:2" ht="13">
      <c r="B332" s="26"/>
    </row>
    <row r="333" spans="2:2" ht="13">
      <c r="B333" s="26"/>
    </row>
    <row r="334" spans="2:2" ht="13">
      <c r="B334" s="26"/>
    </row>
    <row r="335" spans="2:2" ht="13">
      <c r="B335" s="26"/>
    </row>
    <row r="336" spans="2:2" ht="13">
      <c r="B336" s="26"/>
    </row>
    <row r="337" spans="2:2" ht="13">
      <c r="B337" s="26"/>
    </row>
    <row r="338" spans="2:2" ht="13">
      <c r="B338" s="26"/>
    </row>
    <row r="339" spans="2:2" ht="13">
      <c r="B339" s="26"/>
    </row>
    <row r="340" spans="2:2" ht="13">
      <c r="B340" s="26"/>
    </row>
    <row r="341" spans="2:2" ht="13">
      <c r="B341" s="26"/>
    </row>
    <row r="342" spans="2:2" ht="13">
      <c r="B342" s="26"/>
    </row>
    <row r="343" spans="2:2" ht="13">
      <c r="B343" s="26"/>
    </row>
    <row r="344" spans="2:2" ht="13">
      <c r="B344" s="26"/>
    </row>
    <row r="345" spans="2:2" ht="13">
      <c r="B345" s="26"/>
    </row>
    <row r="346" spans="2:2" ht="13">
      <c r="B346" s="26"/>
    </row>
    <row r="347" spans="2:2" ht="13">
      <c r="B347" s="26"/>
    </row>
    <row r="348" spans="2:2" ht="13">
      <c r="B348" s="26"/>
    </row>
    <row r="349" spans="2:2" ht="13">
      <c r="B349" s="26"/>
    </row>
    <row r="350" spans="2:2" ht="13">
      <c r="B350" s="26"/>
    </row>
    <row r="351" spans="2:2" ht="13">
      <c r="B351" s="26"/>
    </row>
    <row r="352" spans="2:2" ht="13">
      <c r="B352" s="26"/>
    </row>
    <row r="353" spans="2:2" ht="13">
      <c r="B353" s="26"/>
    </row>
    <row r="354" spans="2:2" ht="13">
      <c r="B354" s="26"/>
    </row>
    <row r="355" spans="2:2" ht="13">
      <c r="B355" s="26"/>
    </row>
    <row r="356" spans="2:2" ht="13">
      <c r="B356" s="26"/>
    </row>
    <row r="357" spans="2:2" ht="13">
      <c r="B357" s="26"/>
    </row>
    <row r="358" spans="2:2" ht="13">
      <c r="B358" s="26"/>
    </row>
    <row r="359" spans="2:2" ht="13">
      <c r="B359" s="26"/>
    </row>
    <row r="360" spans="2:2" ht="13">
      <c r="B360" s="26"/>
    </row>
    <row r="361" spans="2:2" ht="13">
      <c r="B361" s="26"/>
    </row>
    <row r="362" spans="2:2" ht="13">
      <c r="B362" s="26"/>
    </row>
    <row r="363" spans="2:2" ht="13">
      <c r="B363" s="26"/>
    </row>
    <row r="364" spans="2:2" ht="13">
      <c r="B364" s="26"/>
    </row>
    <row r="365" spans="2:2" ht="13">
      <c r="B365" s="26"/>
    </row>
    <row r="366" spans="2:2" ht="13">
      <c r="B366" s="26"/>
    </row>
    <row r="367" spans="2:2" ht="13">
      <c r="B367" s="26"/>
    </row>
    <row r="368" spans="2:2" ht="13">
      <c r="B368" s="26"/>
    </row>
    <row r="369" spans="2:2" ht="13">
      <c r="B369" s="26"/>
    </row>
    <row r="370" spans="2:2" ht="13">
      <c r="B370" s="26"/>
    </row>
    <row r="371" spans="2:2" ht="13">
      <c r="B371" s="26"/>
    </row>
    <row r="372" spans="2:2" ht="13">
      <c r="B372" s="26"/>
    </row>
    <row r="373" spans="2:2" ht="13">
      <c r="B373" s="26"/>
    </row>
    <row r="374" spans="2:2" ht="13">
      <c r="B374" s="26"/>
    </row>
    <row r="375" spans="2:2" ht="13">
      <c r="B375" s="26"/>
    </row>
    <row r="376" spans="2:2" ht="13">
      <c r="B376" s="26"/>
    </row>
    <row r="377" spans="2:2" ht="13">
      <c r="B377" s="26"/>
    </row>
    <row r="378" spans="2:2" ht="13">
      <c r="B378" s="26"/>
    </row>
    <row r="379" spans="2:2" ht="13">
      <c r="B379" s="26"/>
    </row>
    <row r="380" spans="2:2" ht="13">
      <c r="B380" s="26"/>
    </row>
    <row r="381" spans="2:2" ht="13">
      <c r="B381" s="26"/>
    </row>
    <row r="382" spans="2:2" ht="13">
      <c r="B382" s="26"/>
    </row>
    <row r="383" spans="2:2" ht="13">
      <c r="B383" s="26"/>
    </row>
    <row r="384" spans="2:2" ht="13">
      <c r="B384" s="26"/>
    </row>
    <row r="385" spans="2:2" ht="13">
      <c r="B385" s="26"/>
    </row>
    <row r="386" spans="2:2" ht="13">
      <c r="B386" s="26"/>
    </row>
    <row r="387" spans="2:2" ht="13">
      <c r="B387" s="26"/>
    </row>
    <row r="388" spans="2:2" ht="13">
      <c r="B388" s="26"/>
    </row>
    <row r="389" spans="2:2" ht="13">
      <c r="B389" s="26"/>
    </row>
    <row r="390" spans="2:2" ht="13">
      <c r="B390" s="26"/>
    </row>
    <row r="391" spans="2:2" ht="13">
      <c r="B391" s="26"/>
    </row>
    <row r="392" spans="2:2" ht="13">
      <c r="B392" s="26"/>
    </row>
    <row r="393" spans="2:2" ht="13">
      <c r="B393" s="26"/>
    </row>
    <row r="394" spans="2:2" ht="13">
      <c r="B394" s="26"/>
    </row>
    <row r="395" spans="2:2" ht="13">
      <c r="B395" s="26"/>
    </row>
    <row r="396" spans="2:2" ht="13">
      <c r="B396" s="26"/>
    </row>
    <row r="397" spans="2:2" ht="13">
      <c r="B397" s="26"/>
    </row>
    <row r="398" spans="2:2" ht="13">
      <c r="B398" s="26"/>
    </row>
    <row r="399" spans="2:2" ht="13">
      <c r="B399" s="26"/>
    </row>
    <row r="400" spans="2:2" ht="13">
      <c r="B400" s="26"/>
    </row>
    <row r="401" spans="2:2" ht="13">
      <c r="B401" s="26"/>
    </row>
    <row r="402" spans="2:2" ht="13">
      <c r="B402" s="26"/>
    </row>
    <row r="403" spans="2:2" ht="13">
      <c r="B403" s="26"/>
    </row>
    <row r="404" spans="2:2" ht="13">
      <c r="B404" s="26"/>
    </row>
    <row r="405" spans="2:2" ht="13">
      <c r="B405" s="26"/>
    </row>
    <row r="406" spans="2:2" ht="13">
      <c r="B406" s="26"/>
    </row>
    <row r="407" spans="2:2" ht="13">
      <c r="B407" s="26"/>
    </row>
    <row r="408" spans="2:2" ht="13">
      <c r="B408" s="26"/>
    </row>
    <row r="409" spans="2:2" ht="13">
      <c r="B409" s="26"/>
    </row>
    <row r="410" spans="2:2" ht="13">
      <c r="B410" s="26"/>
    </row>
    <row r="411" spans="2:2" ht="13">
      <c r="B411" s="26"/>
    </row>
    <row r="412" spans="2:2" ht="13">
      <c r="B412" s="26"/>
    </row>
    <row r="413" spans="2:2" ht="13">
      <c r="B413" s="26"/>
    </row>
    <row r="414" spans="2:2" ht="13">
      <c r="B414" s="26"/>
    </row>
    <row r="415" spans="2:2" ht="13">
      <c r="B415" s="26"/>
    </row>
    <row r="416" spans="2:2" ht="13">
      <c r="B416" s="26"/>
    </row>
    <row r="417" spans="2:2" ht="13">
      <c r="B417" s="26"/>
    </row>
    <row r="418" spans="2:2" ht="13">
      <c r="B418" s="26"/>
    </row>
    <row r="419" spans="2:2" ht="13">
      <c r="B419" s="26"/>
    </row>
    <row r="420" spans="2:2" ht="13">
      <c r="B420" s="26"/>
    </row>
    <row r="421" spans="2:2" ht="13">
      <c r="B421" s="26"/>
    </row>
    <row r="422" spans="2:2" ht="13">
      <c r="B422" s="26"/>
    </row>
    <row r="423" spans="2:2" ht="13">
      <c r="B423" s="26"/>
    </row>
    <row r="424" spans="2:2" ht="13">
      <c r="B424" s="26"/>
    </row>
    <row r="425" spans="2:2" ht="13">
      <c r="B425" s="26"/>
    </row>
    <row r="426" spans="2:2" ht="13">
      <c r="B426" s="26"/>
    </row>
    <row r="427" spans="2:2" ht="13">
      <c r="B427" s="26"/>
    </row>
    <row r="428" spans="2:2" ht="13">
      <c r="B428" s="26"/>
    </row>
    <row r="429" spans="2:2" ht="13">
      <c r="B429" s="26"/>
    </row>
    <row r="430" spans="2:2" ht="13">
      <c r="B430" s="26"/>
    </row>
    <row r="431" spans="2:2" ht="13">
      <c r="B431" s="26"/>
    </row>
    <row r="432" spans="2:2" ht="13">
      <c r="B432" s="26"/>
    </row>
    <row r="433" spans="2:2" ht="13">
      <c r="B433" s="26"/>
    </row>
    <row r="434" spans="2:2" ht="13">
      <c r="B434" s="26"/>
    </row>
    <row r="435" spans="2:2" ht="13">
      <c r="B435" s="26"/>
    </row>
    <row r="436" spans="2:2" ht="13">
      <c r="B436" s="26"/>
    </row>
    <row r="437" spans="2:2" ht="13">
      <c r="B437" s="26"/>
    </row>
    <row r="438" spans="2:2" ht="13">
      <c r="B438" s="26"/>
    </row>
    <row r="439" spans="2:2" ht="13">
      <c r="B439" s="26"/>
    </row>
    <row r="440" spans="2:2" ht="13">
      <c r="B440" s="26"/>
    </row>
    <row r="441" spans="2:2" ht="13">
      <c r="B441" s="26"/>
    </row>
    <row r="442" spans="2:2" ht="13">
      <c r="B442" s="26"/>
    </row>
    <row r="443" spans="2:2" ht="13">
      <c r="B443" s="26"/>
    </row>
    <row r="444" spans="2:2" ht="13">
      <c r="B444" s="26"/>
    </row>
    <row r="445" spans="2:2" ht="13">
      <c r="B445" s="26"/>
    </row>
    <row r="446" spans="2:2" ht="13">
      <c r="B446" s="26"/>
    </row>
    <row r="447" spans="2:2" ht="13">
      <c r="B447" s="26"/>
    </row>
    <row r="448" spans="2:2" ht="13">
      <c r="B448" s="26"/>
    </row>
    <row r="449" spans="2:2" ht="13">
      <c r="B449" s="26"/>
    </row>
    <row r="450" spans="2:2" ht="13">
      <c r="B450" s="26"/>
    </row>
    <row r="451" spans="2:2" ht="13">
      <c r="B451" s="26"/>
    </row>
    <row r="452" spans="2:2" ht="13">
      <c r="B452" s="26"/>
    </row>
    <row r="453" spans="2:2" ht="13">
      <c r="B453" s="26"/>
    </row>
    <row r="454" spans="2:2" ht="13">
      <c r="B454" s="26"/>
    </row>
    <row r="455" spans="2:2" ht="13">
      <c r="B455" s="26"/>
    </row>
    <row r="456" spans="2:2" ht="13">
      <c r="B456" s="26"/>
    </row>
    <row r="457" spans="2:2" ht="13">
      <c r="B457" s="26"/>
    </row>
    <row r="458" spans="2:2" ht="13">
      <c r="B458" s="26"/>
    </row>
    <row r="459" spans="2:2" ht="13">
      <c r="B459" s="26"/>
    </row>
    <row r="460" spans="2:2" ht="13">
      <c r="B460" s="26"/>
    </row>
    <row r="461" spans="2:2" ht="13">
      <c r="B461" s="26"/>
    </row>
    <row r="462" spans="2:2" ht="13">
      <c r="B462" s="26"/>
    </row>
    <row r="463" spans="2:2" ht="13">
      <c r="B463" s="26"/>
    </row>
    <row r="464" spans="2:2" ht="13">
      <c r="B464" s="26"/>
    </row>
    <row r="465" spans="2:2" ht="13">
      <c r="B465" s="26"/>
    </row>
    <row r="466" spans="2:2" ht="13">
      <c r="B466" s="26"/>
    </row>
    <row r="467" spans="2:2" ht="13">
      <c r="B467" s="26"/>
    </row>
    <row r="468" spans="2:2" ht="13">
      <c r="B468" s="26"/>
    </row>
    <row r="469" spans="2:2" ht="13">
      <c r="B469" s="26"/>
    </row>
    <row r="470" spans="2:2" ht="13">
      <c r="B470" s="26"/>
    </row>
    <row r="471" spans="2:2" ht="13">
      <c r="B471" s="26"/>
    </row>
    <row r="472" spans="2:2" ht="13">
      <c r="B472" s="26"/>
    </row>
    <row r="473" spans="2:2" ht="13">
      <c r="B473" s="26"/>
    </row>
    <row r="474" spans="2:2" ht="13">
      <c r="B474" s="26"/>
    </row>
    <row r="475" spans="2:2" ht="13">
      <c r="B475" s="26"/>
    </row>
    <row r="476" spans="2:2" ht="13">
      <c r="B476" s="26"/>
    </row>
    <row r="477" spans="2:2" ht="13">
      <c r="B477" s="26"/>
    </row>
    <row r="478" spans="2:2" ht="13">
      <c r="B478" s="26"/>
    </row>
    <row r="479" spans="2:2" ht="13">
      <c r="B479" s="26"/>
    </row>
    <row r="480" spans="2:2" ht="13">
      <c r="B480" s="26"/>
    </row>
    <row r="481" spans="2:2" ht="13">
      <c r="B481" s="26"/>
    </row>
    <row r="482" spans="2:2" ht="13">
      <c r="B482" s="26"/>
    </row>
    <row r="483" spans="2:2" ht="13">
      <c r="B483" s="26"/>
    </row>
    <row r="484" spans="2:2" ht="13">
      <c r="B484" s="26"/>
    </row>
    <row r="485" spans="2:2" ht="13">
      <c r="B485" s="26"/>
    </row>
    <row r="486" spans="2:2" ht="13">
      <c r="B486" s="26"/>
    </row>
    <row r="487" spans="2:2" ht="13">
      <c r="B487" s="26"/>
    </row>
    <row r="488" spans="2:2" ht="13">
      <c r="B488" s="26"/>
    </row>
    <row r="489" spans="2:2" ht="13">
      <c r="B489" s="26"/>
    </row>
    <row r="490" spans="2:2" ht="13">
      <c r="B490" s="26"/>
    </row>
    <row r="491" spans="2:2" ht="13">
      <c r="B491" s="26"/>
    </row>
    <row r="492" spans="2:2" ht="13">
      <c r="B492" s="26"/>
    </row>
    <row r="493" spans="2:2" ht="13">
      <c r="B493" s="26"/>
    </row>
    <row r="494" spans="2:2" ht="13">
      <c r="B494" s="26"/>
    </row>
    <row r="495" spans="2:2" ht="13">
      <c r="B495" s="26"/>
    </row>
    <row r="496" spans="2:2" ht="13">
      <c r="B496" s="26"/>
    </row>
    <row r="497" spans="2:2" ht="13">
      <c r="B497" s="26"/>
    </row>
    <row r="498" spans="2:2" ht="13">
      <c r="B498" s="26"/>
    </row>
    <row r="499" spans="2:2" ht="13">
      <c r="B499" s="26"/>
    </row>
    <row r="500" spans="2:2" ht="13">
      <c r="B500" s="26"/>
    </row>
    <row r="501" spans="2:2" ht="13">
      <c r="B501" s="26"/>
    </row>
    <row r="502" spans="2:2" ht="13">
      <c r="B502" s="26"/>
    </row>
    <row r="503" spans="2:2" ht="13">
      <c r="B503" s="26"/>
    </row>
    <row r="504" spans="2:2" ht="13">
      <c r="B504" s="26"/>
    </row>
    <row r="505" spans="2:2" ht="13">
      <c r="B505" s="26"/>
    </row>
    <row r="506" spans="2:2" ht="13">
      <c r="B506" s="26"/>
    </row>
    <row r="507" spans="2:2" ht="13">
      <c r="B507" s="26"/>
    </row>
    <row r="508" spans="2:2" ht="13">
      <c r="B508" s="26"/>
    </row>
    <row r="509" spans="2:2" ht="13">
      <c r="B509" s="26"/>
    </row>
    <row r="510" spans="2:2" ht="13">
      <c r="B510" s="26"/>
    </row>
    <row r="511" spans="2:2" ht="13">
      <c r="B511" s="26"/>
    </row>
    <row r="512" spans="2:2" ht="13">
      <c r="B512" s="26"/>
    </row>
    <row r="513" spans="2:2" ht="13">
      <c r="B513" s="26"/>
    </row>
    <row r="514" spans="2:2" ht="13">
      <c r="B514" s="26"/>
    </row>
    <row r="515" spans="2:2" ht="13">
      <c r="B515" s="26"/>
    </row>
    <row r="516" spans="2:2" ht="13">
      <c r="B516" s="26"/>
    </row>
    <row r="517" spans="2:2" ht="13">
      <c r="B517" s="26"/>
    </row>
    <row r="518" spans="2:2" ht="13">
      <c r="B518" s="26"/>
    </row>
    <row r="519" spans="2:2" ht="13">
      <c r="B519" s="26"/>
    </row>
    <row r="520" spans="2:2" ht="13">
      <c r="B520" s="26"/>
    </row>
    <row r="521" spans="2:2" ht="13">
      <c r="B521" s="26"/>
    </row>
    <row r="522" spans="2:2" ht="13">
      <c r="B522" s="26"/>
    </row>
    <row r="523" spans="2:2" ht="13">
      <c r="B523" s="26"/>
    </row>
    <row r="524" spans="2:2" ht="13">
      <c r="B524" s="26"/>
    </row>
    <row r="525" spans="2:2" ht="13">
      <c r="B525" s="26"/>
    </row>
    <row r="526" spans="2:2" ht="13">
      <c r="B526" s="26"/>
    </row>
    <row r="527" spans="2:2" ht="13">
      <c r="B527" s="26"/>
    </row>
    <row r="528" spans="2:2" ht="13">
      <c r="B528" s="26"/>
    </row>
    <row r="529" spans="2:2" ht="13">
      <c r="B529" s="26"/>
    </row>
    <row r="530" spans="2:2" ht="13">
      <c r="B530" s="26"/>
    </row>
    <row r="531" spans="2:2" ht="13">
      <c r="B531" s="26"/>
    </row>
    <row r="532" spans="2:2" ht="13">
      <c r="B532" s="26"/>
    </row>
    <row r="533" spans="2:2" ht="13">
      <c r="B533" s="26"/>
    </row>
    <row r="534" spans="2:2" ht="13">
      <c r="B534" s="26"/>
    </row>
    <row r="535" spans="2:2" ht="13">
      <c r="B535" s="26"/>
    </row>
    <row r="536" spans="2:2" ht="13">
      <c r="B536" s="26"/>
    </row>
    <row r="537" spans="2:2" ht="13">
      <c r="B537" s="26"/>
    </row>
    <row r="538" spans="2:2" ht="13">
      <c r="B538" s="26"/>
    </row>
    <row r="539" spans="2:2" ht="13">
      <c r="B539" s="26"/>
    </row>
    <row r="540" spans="2:2" ht="13">
      <c r="B540" s="26"/>
    </row>
    <row r="541" spans="2:2" ht="13">
      <c r="B541" s="26"/>
    </row>
    <row r="542" spans="2:2" ht="13">
      <c r="B542" s="26"/>
    </row>
    <row r="543" spans="2:2" ht="13">
      <c r="B543" s="26"/>
    </row>
    <row r="544" spans="2:2" ht="13">
      <c r="B544" s="26"/>
    </row>
    <row r="545" spans="2:2" ht="13">
      <c r="B545" s="26"/>
    </row>
    <row r="546" spans="2:2" ht="13">
      <c r="B546" s="26"/>
    </row>
    <row r="547" spans="2:2" ht="13">
      <c r="B547" s="26"/>
    </row>
    <row r="548" spans="2:2" ht="13">
      <c r="B548" s="26"/>
    </row>
    <row r="549" spans="2:2" ht="13">
      <c r="B549" s="26"/>
    </row>
    <row r="550" spans="2:2" ht="13">
      <c r="B550" s="26"/>
    </row>
    <row r="551" spans="2:2" ht="13">
      <c r="B551" s="26"/>
    </row>
    <row r="552" spans="2:2" ht="13">
      <c r="B552" s="26"/>
    </row>
    <row r="553" spans="2:2" ht="13">
      <c r="B553" s="26"/>
    </row>
    <row r="554" spans="2:2" ht="13">
      <c r="B554" s="26"/>
    </row>
    <row r="555" spans="2:2" ht="13">
      <c r="B555" s="26"/>
    </row>
    <row r="556" spans="2:2" ht="13">
      <c r="B556" s="26"/>
    </row>
    <row r="557" spans="2:2" ht="13">
      <c r="B557" s="26"/>
    </row>
    <row r="558" spans="2:2" ht="13">
      <c r="B558" s="26"/>
    </row>
    <row r="559" spans="2:2" ht="13">
      <c r="B559" s="26"/>
    </row>
    <row r="560" spans="2:2" ht="13">
      <c r="B560" s="26"/>
    </row>
    <row r="561" spans="2:2" ht="13">
      <c r="B561" s="26"/>
    </row>
    <row r="562" spans="2:2" ht="13">
      <c r="B562" s="26"/>
    </row>
    <row r="563" spans="2:2" ht="13">
      <c r="B563" s="26"/>
    </row>
    <row r="564" spans="2:2" ht="13">
      <c r="B564" s="26"/>
    </row>
    <row r="565" spans="2:2" ht="13">
      <c r="B565" s="26"/>
    </row>
    <row r="566" spans="2:2" ht="13">
      <c r="B566" s="26"/>
    </row>
    <row r="567" spans="2:2" ht="13">
      <c r="B567" s="26"/>
    </row>
    <row r="568" spans="2:2" ht="13">
      <c r="B568" s="26"/>
    </row>
    <row r="569" spans="2:2" ht="13">
      <c r="B569" s="26"/>
    </row>
    <row r="570" spans="2:2" ht="13">
      <c r="B570" s="26"/>
    </row>
    <row r="571" spans="2:2" ht="13">
      <c r="B571" s="26"/>
    </row>
    <row r="572" spans="2:2" ht="13">
      <c r="B572" s="26"/>
    </row>
    <row r="573" spans="2:2" ht="13">
      <c r="B573" s="26"/>
    </row>
    <row r="574" spans="2:2" ht="13">
      <c r="B574" s="26"/>
    </row>
    <row r="575" spans="2:2" ht="13">
      <c r="B575" s="26"/>
    </row>
    <row r="576" spans="2:2" ht="13">
      <c r="B576" s="26"/>
    </row>
    <row r="577" spans="2:2" ht="13">
      <c r="B577" s="26"/>
    </row>
    <row r="578" spans="2:2" ht="13">
      <c r="B578" s="26"/>
    </row>
    <row r="579" spans="2:2" ht="13">
      <c r="B579" s="26"/>
    </row>
    <row r="580" spans="2:2" ht="13">
      <c r="B580" s="26"/>
    </row>
    <row r="581" spans="2:2" ht="13">
      <c r="B581" s="26"/>
    </row>
    <row r="582" spans="2:2" ht="13">
      <c r="B582" s="26"/>
    </row>
    <row r="583" spans="2:2" ht="13">
      <c r="B583" s="26"/>
    </row>
    <row r="584" spans="2:2" ht="13">
      <c r="B584" s="26"/>
    </row>
    <row r="585" spans="2:2" ht="13">
      <c r="B585" s="26"/>
    </row>
    <row r="586" spans="2:2" ht="13">
      <c r="B586" s="26"/>
    </row>
    <row r="587" spans="2:2" ht="13">
      <c r="B587" s="26"/>
    </row>
    <row r="588" spans="2:2" ht="13">
      <c r="B588" s="26"/>
    </row>
    <row r="589" spans="2:2" ht="13">
      <c r="B589" s="26"/>
    </row>
    <row r="590" spans="2:2" ht="13">
      <c r="B590" s="26"/>
    </row>
    <row r="591" spans="2:2" ht="13">
      <c r="B591" s="26"/>
    </row>
    <row r="592" spans="2:2" ht="13">
      <c r="B592" s="26"/>
    </row>
    <row r="593" spans="2:2" ht="13">
      <c r="B593" s="26"/>
    </row>
    <row r="594" spans="2:2" ht="13">
      <c r="B594" s="26"/>
    </row>
    <row r="595" spans="2:2" ht="13">
      <c r="B595" s="26"/>
    </row>
    <row r="596" spans="2:2" ht="13">
      <c r="B596" s="26"/>
    </row>
    <row r="597" spans="2:2" ht="13">
      <c r="B597" s="26"/>
    </row>
    <row r="598" spans="2:2" ht="13">
      <c r="B598" s="26"/>
    </row>
    <row r="599" spans="2:2" ht="13">
      <c r="B599" s="26"/>
    </row>
    <row r="600" spans="2:2" ht="13">
      <c r="B600" s="26"/>
    </row>
    <row r="601" spans="2:2" ht="13">
      <c r="B601" s="26"/>
    </row>
    <row r="602" spans="2:2" ht="13">
      <c r="B602" s="26"/>
    </row>
    <row r="603" spans="2:2" ht="13">
      <c r="B603" s="26"/>
    </row>
    <row r="604" spans="2:2" ht="13">
      <c r="B604" s="26"/>
    </row>
    <row r="605" spans="2:2" ht="13">
      <c r="B605" s="26"/>
    </row>
    <row r="606" spans="2:2" ht="13">
      <c r="B606" s="26"/>
    </row>
    <row r="607" spans="2:2" ht="13">
      <c r="B607" s="26"/>
    </row>
    <row r="608" spans="2:2" ht="13">
      <c r="B608" s="26"/>
    </row>
    <row r="609" spans="2:2" ht="13">
      <c r="B609" s="26"/>
    </row>
    <row r="610" spans="2:2" ht="13">
      <c r="B610" s="26"/>
    </row>
    <row r="611" spans="2:2" ht="13">
      <c r="B611" s="26"/>
    </row>
    <row r="612" spans="2:2" ht="13">
      <c r="B612" s="26"/>
    </row>
    <row r="613" spans="2:2" ht="13">
      <c r="B613" s="26"/>
    </row>
    <row r="614" spans="2:2" ht="13">
      <c r="B614" s="26"/>
    </row>
    <row r="615" spans="2:2" ht="13">
      <c r="B615" s="26"/>
    </row>
    <row r="616" spans="2:2" ht="13">
      <c r="B616" s="26"/>
    </row>
    <row r="617" spans="2:2" ht="13">
      <c r="B617" s="26"/>
    </row>
    <row r="618" spans="2:2" ht="13">
      <c r="B618" s="26"/>
    </row>
    <row r="619" spans="2:2" ht="13">
      <c r="B619" s="26"/>
    </row>
    <row r="620" spans="2:2" ht="13">
      <c r="B620" s="26"/>
    </row>
    <row r="621" spans="2:2" ht="13">
      <c r="B621" s="26"/>
    </row>
    <row r="622" spans="2:2" ht="13">
      <c r="B622" s="26"/>
    </row>
    <row r="623" spans="2:2" ht="13">
      <c r="B623" s="26"/>
    </row>
    <row r="624" spans="2:2" ht="13">
      <c r="B624" s="26"/>
    </row>
    <row r="625" spans="2:2" ht="13">
      <c r="B625" s="26"/>
    </row>
    <row r="626" spans="2:2" ht="13">
      <c r="B626" s="26"/>
    </row>
    <row r="627" spans="2:2" ht="13">
      <c r="B627" s="26"/>
    </row>
    <row r="628" spans="2:2" ht="13">
      <c r="B628" s="26"/>
    </row>
    <row r="629" spans="2:2" ht="13">
      <c r="B629" s="26"/>
    </row>
    <row r="630" spans="2:2" ht="13">
      <c r="B630" s="26"/>
    </row>
    <row r="631" spans="2:2" ht="13">
      <c r="B631" s="26"/>
    </row>
    <row r="632" spans="2:2" ht="13">
      <c r="B632" s="26"/>
    </row>
    <row r="633" spans="2:2" ht="13">
      <c r="B633" s="26"/>
    </row>
    <row r="634" spans="2:2" ht="13">
      <c r="B634" s="26"/>
    </row>
    <row r="635" spans="2:2" ht="13">
      <c r="B635" s="26"/>
    </row>
    <row r="636" spans="2:2" ht="13">
      <c r="B636" s="26"/>
    </row>
    <row r="637" spans="2:2" ht="13">
      <c r="B637" s="26"/>
    </row>
    <row r="638" spans="2:2" ht="13">
      <c r="B638" s="26"/>
    </row>
    <row r="639" spans="2:2" ht="13">
      <c r="B639" s="26"/>
    </row>
    <row r="640" spans="2:2" ht="13">
      <c r="B640" s="26"/>
    </row>
    <row r="641" spans="2:2" ht="13">
      <c r="B641" s="26"/>
    </row>
    <row r="642" spans="2:2" ht="13">
      <c r="B642" s="26"/>
    </row>
    <row r="643" spans="2:2" ht="13">
      <c r="B643" s="26"/>
    </row>
    <row r="644" spans="2:2" ht="13">
      <c r="B644" s="26"/>
    </row>
    <row r="645" spans="2:2" ht="13">
      <c r="B645" s="26"/>
    </row>
    <row r="646" spans="2:2" ht="13">
      <c r="B646" s="26"/>
    </row>
    <row r="647" spans="2:2" ht="13">
      <c r="B647" s="26"/>
    </row>
    <row r="648" spans="2:2" ht="13">
      <c r="B648" s="26"/>
    </row>
    <row r="649" spans="2:2" ht="13">
      <c r="B649" s="26"/>
    </row>
    <row r="650" spans="2:2" ht="13">
      <c r="B650" s="26"/>
    </row>
    <row r="651" spans="2:2" ht="13">
      <c r="B651" s="26"/>
    </row>
    <row r="652" spans="2:2" ht="13">
      <c r="B652" s="26"/>
    </row>
    <row r="653" spans="2:2" ht="13">
      <c r="B653" s="26"/>
    </row>
    <row r="654" spans="2:2" ht="13">
      <c r="B654" s="26"/>
    </row>
    <row r="655" spans="2:2" ht="13">
      <c r="B655" s="26"/>
    </row>
    <row r="656" spans="2:2" ht="13">
      <c r="B656" s="26"/>
    </row>
    <row r="657" spans="2:2" ht="13">
      <c r="B657" s="26"/>
    </row>
    <row r="658" spans="2:2" ht="13">
      <c r="B658" s="26"/>
    </row>
    <row r="659" spans="2:2" ht="13">
      <c r="B659" s="26"/>
    </row>
    <row r="660" spans="2:2" ht="13">
      <c r="B660" s="26"/>
    </row>
    <row r="661" spans="2:2" ht="13">
      <c r="B661" s="26"/>
    </row>
    <row r="662" spans="2:2" ht="13">
      <c r="B662" s="26"/>
    </row>
    <row r="663" spans="2:2" ht="13">
      <c r="B663" s="26"/>
    </row>
    <row r="664" spans="2:2" ht="13">
      <c r="B664" s="26"/>
    </row>
    <row r="665" spans="2:2" ht="13">
      <c r="B665" s="26"/>
    </row>
    <row r="666" spans="2:2" ht="13">
      <c r="B666" s="26"/>
    </row>
    <row r="667" spans="2:2" ht="13">
      <c r="B667" s="26"/>
    </row>
    <row r="668" spans="2:2" ht="13">
      <c r="B668" s="26"/>
    </row>
    <row r="669" spans="2:2" ht="13">
      <c r="B669" s="26"/>
    </row>
    <row r="670" spans="2:2" ht="13">
      <c r="B670" s="26"/>
    </row>
    <row r="671" spans="2:2" ht="13">
      <c r="B671" s="26"/>
    </row>
    <row r="672" spans="2:2" ht="13">
      <c r="B672" s="26"/>
    </row>
    <row r="673" spans="2:2" ht="13">
      <c r="B673" s="26"/>
    </row>
    <row r="674" spans="2:2" ht="13">
      <c r="B674" s="26"/>
    </row>
    <row r="675" spans="2:2" ht="13">
      <c r="B675" s="26"/>
    </row>
    <row r="676" spans="2:2" ht="13">
      <c r="B676" s="26"/>
    </row>
    <row r="677" spans="2:2" ht="13">
      <c r="B677" s="26"/>
    </row>
    <row r="678" spans="2:2" ht="13">
      <c r="B678" s="26"/>
    </row>
    <row r="679" spans="2:2" ht="13">
      <c r="B679" s="26"/>
    </row>
    <row r="680" spans="2:2" ht="13">
      <c r="B680" s="26"/>
    </row>
    <row r="681" spans="2:2" ht="13">
      <c r="B681" s="26"/>
    </row>
    <row r="682" spans="2:2" ht="13">
      <c r="B682" s="26"/>
    </row>
    <row r="683" spans="2:2" ht="13">
      <c r="B683" s="26"/>
    </row>
    <row r="684" spans="2:2" ht="13">
      <c r="B684" s="26"/>
    </row>
    <row r="685" spans="2:2" ht="13">
      <c r="B685" s="26"/>
    </row>
    <row r="686" spans="2:2" ht="13">
      <c r="B686" s="26"/>
    </row>
    <row r="687" spans="2:2" ht="13">
      <c r="B687" s="26"/>
    </row>
    <row r="688" spans="2:2" ht="13">
      <c r="B688" s="26"/>
    </row>
    <row r="689" spans="2:2" ht="13">
      <c r="B689" s="26"/>
    </row>
    <row r="690" spans="2:2" ht="13">
      <c r="B690" s="26"/>
    </row>
    <row r="691" spans="2:2" ht="13">
      <c r="B691" s="26"/>
    </row>
    <row r="692" spans="2:2" ht="13">
      <c r="B692" s="26"/>
    </row>
    <row r="693" spans="2:2" ht="13">
      <c r="B693" s="26"/>
    </row>
    <row r="694" spans="2:2" ht="13">
      <c r="B694" s="26"/>
    </row>
    <row r="695" spans="2:2" ht="13">
      <c r="B695" s="26"/>
    </row>
    <row r="696" spans="2:2" ht="13">
      <c r="B696" s="26"/>
    </row>
    <row r="697" spans="2:2" ht="13">
      <c r="B697" s="26"/>
    </row>
    <row r="698" spans="2:2" ht="13">
      <c r="B698" s="26"/>
    </row>
    <row r="699" spans="2:2" ht="13">
      <c r="B699" s="26"/>
    </row>
    <row r="700" spans="2:2" ht="13">
      <c r="B700" s="26"/>
    </row>
    <row r="701" spans="2:2" ht="13">
      <c r="B701" s="26"/>
    </row>
    <row r="702" spans="2:2" ht="13">
      <c r="B702" s="26"/>
    </row>
    <row r="703" spans="2:2" ht="13">
      <c r="B703" s="26"/>
    </row>
    <row r="704" spans="2:2" ht="13">
      <c r="B704" s="26"/>
    </row>
    <row r="705" spans="2:2" ht="13">
      <c r="B705" s="26"/>
    </row>
    <row r="706" spans="2:2" ht="13">
      <c r="B706" s="26"/>
    </row>
    <row r="707" spans="2:2" ht="13">
      <c r="B707" s="26"/>
    </row>
    <row r="708" spans="2:2" ht="13">
      <c r="B708" s="26"/>
    </row>
    <row r="709" spans="2:2" ht="13">
      <c r="B709" s="26"/>
    </row>
    <row r="710" spans="2:2" ht="13">
      <c r="B710" s="26"/>
    </row>
    <row r="711" spans="2:2" ht="13">
      <c r="B711" s="26"/>
    </row>
    <row r="712" spans="2:2" ht="13">
      <c r="B712" s="26"/>
    </row>
    <row r="713" spans="2:2" ht="13">
      <c r="B713" s="26"/>
    </row>
    <row r="714" spans="2:2" ht="13">
      <c r="B714" s="26"/>
    </row>
    <row r="715" spans="2:2" ht="13">
      <c r="B715" s="26"/>
    </row>
    <row r="716" spans="2:2" ht="13">
      <c r="B716" s="26"/>
    </row>
    <row r="717" spans="2:2" ht="13">
      <c r="B717" s="26"/>
    </row>
    <row r="718" spans="2:2" ht="13">
      <c r="B718" s="26"/>
    </row>
    <row r="719" spans="2:2" ht="13">
      <c r="B719" s="26"/>
    </row>
    <row r="720" spans="2:2" ht="13">
      <c r="B720" s="26"/>
    </row>
    <row r="721" spans="2:2" ht="13">
      <c r="B721" s="26"/>
    </row>
    <row r="722" spans="2:2" ht="13">
      <c r="B722" s="26"/>
    </row>
    <row r="723" spans="2:2" ht="13">
      <c r="B723" s="26"/>
    </row>
    <row r="724" spans="2:2" ht="13">
      <c r="B724" s="26"/>
    </row>
    <row r="725" spans="2:2" ht="13">
      <c r="B725" s="26"/>
    </row>
    <row r="726" spans="2:2" ht="13">
      <c r="B726" s="26"/>
    </row>
    <row r="727" spans="2:2" ht="13">
      <c r="B727" s="26"/>
    </row>
    <row r="728" spans="2:2" ht="13">
      <c r="B728" s="26"/>
    </row>
    <row r="729" spans="2:2" ht="13">
      <c r="B729" s="26"/>
    </row>
    <row r="730" spans="2:2" ht="13">
      <c r="B730" s="26"/>
    </row>
    <row r="731" spans="2:2" ht="13">
      <c r="B731" s="26"/>
    </row>
    <row r="732" spans="2:2" ht="13">
      <c r="B732" s="26"/>
    </row>
    <row r="733" spans="2:2" ht="13">
      <c r="B733" s="26"/>
    </row>
    <row r="734" spans="2:2" ht="13">
      <c r="B734" s="26"/>
    </row>
    <row r="735" spans="2:2" ht="13">
      <c r="B735" s="26"/>
    </row>
    <row r="736" spans="2:2" ht="13">
      <c r="B736" s="26"/>
    </row>
    <row r="737" spans="2:2" ht="13">
      <c r="B737" s="26"/>
    </row>
    <row r="738" spans="2:2" ht="13">
      <c r="B738" s="26"/>
    </row>
    <row r="739" spans="2:2" ht="13">
      <c r="B739" s="26"/>
    </row>
    <row r="740" spans="2:2" ht="13">
      <c r="B740" s="26"/>
    </row>
    <row r="741" spans="2:2" ht="13">
      <c r="B741" s="26"/>
    </row>
    <row r="742" spans="2:2" ht="13">
      <c r="B742" s="26"/>
    </row>
    <row r="743" spans="2:2" ht="13">
      <c r="B743" s="26"/>
    </row>
    <row r="744" spans="2:2" ht="13">
      <c r="B744" s="26"/>
    </row>
    <row r="745" spans="2:2" ht="13">
      <c r="B745" s="26"/>
    </row>
    <row r="746" spans="2:2" ht="13">
      <c r="B746" s="26"/>
    </row>
    <row r="747" spans="2:2" ht="13">
      <c r="B747" s="26"/>
    </row>
    <row r="748" spans="2:2" ht="13">
      <c r="B748" s="26"/>
    </row>
    <row r="749" spans="2:2" ht="13">
      <c r="B749" s="26"/>
    </row>
    <row r="750" spans="2:2" ht="13">
      <c r="B750" s="26"/>
    </row>
    <row r="751" spans="2:2" ht="13">
      <c r="B751" s="26"/>
    </row>
    <row r="752" spans="2:2" ht="13">
      <c r="B752" s="26"/>
    </row>
    <row r="753" spans="2:2" ht="13">
      <c r="B753" s="26"/>
    </row>
    <row r="754" spans="2:2" ht="13">
      <c r="B754" s="26"/>
    </row>
    <row r="755" spans="2:2" ht="13">
      <c r="B755" s="26"/>
    </row>
    <row r="756" spans="2:2" ht="13">
      <c r="B756" s="26"/>
    </row>
    <row r="757" spans="2:2" ht="13">
      <c r="B757" s="26"/>
    </row>
    <row r="758" spans="2:2" ht="13">
      <c r="B758" s="26"/>
    </row>
    <row r="759" spans="2:2" ht="13">
      <c r="B759" s="26"/>
    </row>
    <row r="760" spans="2:2" ht="13">
      <c r="B760" s="26"/>
    </row>
    <row r="761" spans="2:2" ht="13">
      <c r="B761" s="26"/>
    </row>
    <row r="762" spans="2:2" ht="13">
      <c r="B762" s="26"/>
    </row>
    <row r="763" spans="2:2" ht="13">
      <c r="B763" s="26"/>
    </row>
    <row r="764" spans="2:2" ht="13">
      <c r="B764" s="26"/>
    </row>
    <row r="765" spans="2:2" ht="13">
      <c r="B765" s="26"/>
    </row>
    <row r="766" spans="2:2" ht="13">
      <c r="B766" s="26"/>
    </row>
    <row r="767" spans="2:2" ht="13">
      <c r="B767" s="26"/>
    </row>
    <row r="768" spans="2:2" ht="13">
      <c r="B768" s="26"/>
    </row>
    <row r="769" spans="2:2" ht="13">
      <c r="B769" s="26"/>
    </row>
    <row r="770" spans="2:2" ht="13">
      <c r="B770" s="26"/>
    </row>
    <row r="771" spans="2:2" ht="13">
      <c r="B771" s="26"/>
    </row>
    <row r="772" spans="2:2" ht="13">
      <c r="B772" s="26"/>
    </row>
    <row r="773" spans="2:2" ht="13">
      <c r="B773" s="26"/>
    </row>
    <row r="774" spans="2:2" ht="13">
      <c r="B774" s="26"/>
    </row>
    <row r="775" spans="2:2" ht="13">
      <c r="B775" s="26"/>
    </row>
    <row r="776" spans="2:2" ht="13">
      <c r="B776" s="26"/>
    </row>
    <row r="777" spans="2:2" ht="13">
      <c r="B777" s="26"/>
    </row>
    <row r="778" spans="2:2" ht="13">
      <c r="B778" s="26"/>
    </row>
    <row r="779" spans="2:2" ht="13">
      <c r="B779" s="26"/>
    </row>
    <row r="780" spans="2:2" ht="13">
      <c r="B780" s="26"/>
    </row>
    <row r="781" spans="2:2" ht="13">
      <c r="B781" s="26"/>
    </row>
    <row r="782" spans="2:2" ht="13">
      <c r="B782" s="26"/>
    </row>
    <row r="783" spans="2:2" ht="13">
      <c r="B783" s="26"/>
    </row>
    <row r="784" spans="2:2" ht="13">
      <c r="B784" s="26"/>
    </row>
    <row r="785" spans="2:2" ht="13">
      <c r="B785" s="26"/>
    </row>
    <row r="786" spans="2:2" ht="13">
      <c r="B786" s="26"/>
    </row>
    <row r="787" spans="2:2" ht="13">
      <c r="B787" s="26"/>
    </row>
    <row r="788" spans="2:2" ht="13">
      <c r="B788" s="26"/>
    </row>
    <row r="789" spans="2:2" ht="13">
      <c r="B789" s="26"/>
    </row>
    <row r="790" spans="2:2" ht="13">
      <c r="B790" s="26"/>
    </row>
    <row r="791" spans="2:2" ht="13">
      <c r="B791" s="26"/>
    </row>
    <row r="792" spans="2:2" ht="13">
      <c r="B792" s="26"/>
    </row>
    <row r="793" spans="2:2" ht="13">
      <c r="B793" s="26"/>
    </row>
    <row r="794" spans="2:2" ht="13">
      <c r="B794" s="26"/>
    </row>
    <row r="795" spans="2:2" ht="13">
      <c r="B795" s="26"/>
    </row>
    <row r="796" spans="2:2" ht="13">
      <c r="B796" s="26"/>
    </row>
    <row r="797" spans="2:2" ht="13">
      <c r="B797" s="26"/>
    </row>
    <row r="798" spans="2:2" ht="13">
      <c r="B798" s="26"/>
    </row>
    <row r="799" spans="2:2" ht="13">
      <c r="B799" s="26"/>
    </row>
    <row r="800" spans="2:2" ht="13">
      <c r="B800" s="26"/>
    </row>
    <row r="801" spans="2:2" ht="13">
      <c r="B801" s="26"/>
    </row>
    <row r="802" spans="2:2" ht="13">
      <c r="B802" s="26"/>
    </row>
    <row r="803" spans="2:2" ht="13">
      <c r="B803" s="26"/>
    </row>
    <row r="804" spans="2:2" ht="13">
      <c r="B804" s="26"/>
    </row>
    <row r="805" spans="2:2" ht="13">
      <c r="B805" s="26"/>
    </row>
    <row r="806" spans="2:2" ht="13">
      <c r="B806" s="26"/>
    </row>
    <row r="807" spans="2:2" ht="13">
      <c r="B807" s="26"/>
    </row>
    <row r="808" spans="2:2" ht="13">
      <c r="B808" s="26"/>
    </row>
    <row r="809" spans="2:2" ht="13">
      <c r="B809" s="26"/>
    </row>
    <row r="810" spans="2:2" ht="13">
      <c r="B810" s="26"/>
    </row>
    <row r="811" spans="2:2" ht="13">
      <c r="B811" s="26"/>
    </row>
    <row r="812" spans="2:2" ht="13">
      <c r="B812" s="26"/>
    </row>
    <row r="813" spans="2:2" ht="13">
      <c r="B813" s="26"/>
    </row>
    <row r="814" spans="2:2" ht="13">
      <c r="B814" s="26"/>
    </row>
    <row r="815" spans="2:2" ht="13">
      <c r="B815" s="26"/>
    </row>
    <row r="816" spans="2:2" ht="13">
      <c r="B816" s="26"/>
    </row>
    <row r="817" spans="2:2" ht="13">
      <c r="B817" s="26"/>
    </row>
    <row r="818" spans="2:2" ht="13">
      <c r="B818" s="26"/>
    </row>
    <row r="819" spans="2:2" ht="13">
      <c r="B819" s="26"/>
    </row>
    <row r="820" spans="2:2" ht="13">
      <c r="B820" s="26"/>
    </row>
    <row r="821" spans="2:2" ht="13">
      <c r="B821" s="26"/>
    </row>
    <row r="822" spans="2:2" ht="13">
      <c r="B822" s="26"/>
    </row>
    <row r="823" spans="2:2" ht="13">
      <c r="B823" s="26"/>
    </row>
    <row r="824" spans="2:2" ht="13">
      <c r="B824" s="26"/>
    </row>
    <row r="825" spans="2:2" ht="13">
      <c r="B825" s="26"/>
    </row>
    <row r="826" spans="2:2" ht="13">
      <c r="B826" s="26"/>
    </row>
    <row r="827" spans="2:2" ht="13">
      <c r="B827" s="26"/>
    </row>
    <row r="828" spans="2:2" ht="13">
      <c r="B828" s="26"/>
    </row>
    <row r="829" spans="2:2" ht="13">
      <c r="B829" s="26"/>
    </row>
    <row r="830" spans="2:2" ht="13">
      <c r="B830" s="26"/>
    </row>
    <row r="831" spans="2:2" ht="13">
      <c r="B831" s="26"/>
    </row>
    <row r="832" spans="2:2" ht="13">
      <c r="B832" s="26"/>
    </row>
    <row r="833" spans="2:2" ht="13">
      <c r="B833" s="26"/>
    </row>
    <row r="834" spans="2:2" ht="13">
      <c r="B834" s="26"/>
    </row>
    <row r="835" spans="2:2" ht="13">
      <c r="B835" s="26"/>
    </row>
    <row r="836" spans="2:2" ht="13">
      <c r="B836" s="26"/>
    </row>
    <row r="837" spans="2:2" ht="13">
      <c r="B837" s="26"/>
    </row>
    <row r="838" spans="2:2" ht="13">
      <c r="B838" s="26"/>
    </row>
    <row r="839" spans="2:2" ht="13">
      <c r="B839" s="26"/>
    </row>
    <row r="840" spans="2:2" ht="13">
      <c r="B840" s="26"/>
    </row>
    <row r="841" spans="2:2" ht="13">
      <c r="B841" s="26"/>
    </row>
    <row r="842" spans="2:2" ht="13">
      <c r="B842" s="26"/>
    </row>
    <row r="843" spans="2:2" ht="13">
      <c r="B843" s="26"/>
    </row>
    <row r="844" spans="2:2" ht="13">
      <c r="B844" s="26"/>
    </row>
    <row r="845" spans="2:2" ht="13">
      <c r="B845" s="26"/>
    </row>
    <row r="846" spans="2:2" ht="13">
      <c r="B846" s="26"/>
    </row>
    <row r="847" spans="2:2" ht="13">
      <c r="B847" s="26"/>
    </row>
    <row r="848" spans="2:2" ht="13">
      <c r="B848" s="26"/>
    </row>
    <row r="849" spans="2:2" ht="13">
      <c r="B849" s="26"/>
    </row>
    <row r="850" spans="2:2" ht="13">
      <c r="B850" s="26"/>
    </row>
    <row r="851" spans="2:2" ht="13">
      <c r="B851" s="26"/>
    </row>
    <row r="852" spans="2:2" ht="13">
      <c r="B852" s="26"/>
    </row>
    <row r="853" spans="2:2" ht="13">
      <c r="B853" s="26"/>
    </row>
    <row r="854" spans="2:2" ht="13">
      <c r="B854" s="26"/>
    </row>
    <row r="855" spans="2:2" ht="13">
      <c r="B855" s="26"/>
    </row>
    <row r="856" spans="2:2" ht="13">
      <c r="B856" s="26"/>
    </row>
    <row r="857" spans="2:2" ht="13">
      <c r="B857" s="26"/>
    </row>
    <row r="858" spans="2:2" ht="13">
      <c r="B858" s="26"/>
    </row>
    <row r="859" spans="2:2" ht="13">
      <c r="B859" s="26"/>
    </row>
    <row r="860" spans="2:2" ht="13">
      <c r="B860" s="26"/>
    </row>
    <row r="861" spans="2:2" ht="13">
      <c r="B861" s="26"/>
    </row>
    <row r="862" spans="2:2" ht="13">
      <c r="B862" s="26"/>
    </row>
    <row r="863" spans="2:2" ht="13">
      <c r="B863" s="26"/>
    </row>
    <row r="864" spans="2:2" ht="13">
      <c r="B864" s="26"/>
    </row>
    <row r="865" spans="2:2" ht="13">
      <c r="B865" s="26"/>
    </row>
    <row r="866" spans="2:2" ht="13">
      <c r="B866" s="26"/>
    </row>
    <row r="867" spans="2:2" ht="13">
      <c r="B867" s="26"/>
    </row>
    <row r="868" spans="2:2" ht="13">
      <c r="B868" s="26"/>
    </row>
    <row r="869" spans="2:2" ht="13">
      <c r="B869" s="26"/>
    </row>
    <row r="870" spans="2:2" ht="13">
      <c r="B870" s="26"/>
    </row>
    <row r="871" spans="2:2" ht="13">
      <c r="B871" s="26"/>
    </row>
    <row r="872" spans="2:2" ht="13">
      <c r="B872" s="26"/>
    </row>
    <row r="873" spans="2:2" ht="13">
      <c r="B873" s="26"/>
    </row>
    <row r="874" spans="2:2" ht="13">
      <c r="B874" s="26"/>
    </row>
    <row r="875" spans="2:2" ht="13">
      <c r="B875" s="26"/>
    </row>
    <row r="876" spans="2:2" ht="13">
      <c r="B876" s="26"/>
    </row>
    <row r="877" spans="2:2" ht="13">
      <c r="B877" s="26"/>
    </row>
    <row r="878" spans="2:2" ht="13">
      <c r="B878" s="26"/>
    </row>
    <row r="879" spans="2:2" ht="13">
      <c r="B879" s="26"/>
    </row>
    <row r="880" spans="2:2" ht="13">
      <c r="B880" s="26"/>
    </row>
    <row r="881" spans="2:2" ht="13">
      <c r="B881" s="26"/>
    </row>
    <row r="882" spans="2:2" ht="13">
      <c r="B882" s="26"/>
    </row>
    <row r="883" spans="2:2" ht="13">
      <c r="B883" s="26"/>
    </row>
    <row r="884" spans="2:2" ht="13">
      <c r="B884" s="26"/>
    </row>
    <row r="885" spans="2:2" ht="13">
      <c r="B885" s="26"/>
    </row>
    <row r="886" spans="2:2" ht="13">
      <c r="B886" s="26"/>
    </row>
    <row r="887" spans="2:2" ht="13">
      <c r="B887" s="26"/>
    </row>
    <row r="888" spans="2:2" ht="13">
      <c r="B888" s="26"/>
    </row>
    <row r="889" spans="2:2" ht="13">
      <c r="B889" s="26"/>
    </row>
    <row r="890" spans="2:2" ht="13">
      <c r="B890" s="26"/>
    </row>
    <row r="891" spans="2:2" ht="13">
      <c r="B891" s="26"/>
    </row>
    <row r="892" spans="2:2" ht="13">
      <c r="B892" s="26"/>
    </row>
    <row r="893" spans="2:2" ht="13">
      <c r="B893" s="26"/>
    </row>
    <row r="894" spans="2:2" ht="13">
      <c r="B894" s="26"/>
    </row>
    <row r="895" spans="2:2" ht="13">
      <c r="B895" s="26"/>
    </row>
    <row r="896" spans="2:2" ht="13">
      <c r="B896" s="26"/>
    </row>
    <row r="897" spans="2:2" ht="13">
      <c r="B897" s="26"/>
    </row>
    <row r="898" spans="2:2" ht="13">
      <c r="B898" s="26"/>
    </row>
    <row r="899" spans="2:2" ht="13">
      <c r="B899" s="26"/>
    </row>
    <row r="900" spans="2:2" ht="13">
      <c r="B900" s="26"/>
    </row>
    <row r="901" spans="2:2" ht="13">
      <c r="B901" s="26"/>
    </row>
    <row r="902" spans="2:2" ht="13">
      <c r="B902" s="26"/>
    </row>
    <row r="903" spans="2:2" ht="13">
      <c r="B903" s="26"/>
    </row>
    <row r="904" spans="2:2" ht="13">
      <c r="B904" s="26"/>
    </row>
    <row r="905" spans="2:2" ht="13">
      <c r="B905" s="26"/>
    </row>
    <row r="906" spans="2:2" ht="13">
      <c r="B906" s="26"/>
    </row>
    <row r="907" spans="2:2" ht="13">
      <c r="B907" s="26"/>
    </row>
    <row r="908" spans="2:2" ht="13">
      <c r="B908" s="26"/>
    </row>
    <row r="909" spans="2:2" ht="13">
      <c r="B909" s="26"/>
    </row>
    <row r="910" spans="2:2" ht="13">
      <c r="B910" s="26"/>
    </row>
    <row r="911" spans="2:2" ht="13">
      <c r="B911" s="26"/>
    </row>
    <row r="912" spans="2:2" ht="13">
      <c r="B912" s="26"/>
    </row>
    <row r="913" spans="2:2" ht="13">
      <c r="B913" s="26"/>
    </row>
    <row r="914" spans="2:2" ht="13">
      <c r="B914" s="26"/>
    </row>
    <row r="915" spans="2:2" ht="13">
      <c r="B915" s="26"/>
    </row>
    <row r="916" spans="2:2" ht="13">
      <c r="B916" s="26"/>
    </row>
    <row r="917" spans="2:2" ht="13">
      <c r="B917" s="26"/>
    </row>
    <row r="918" spans="2:2" ht="13">
      <c r="B918" s="26"/>
    </row>
    <row r="919" spans="2:2" ht="13">
      <c r="B919" s="26"/>
    </row>
    <row r="920" spans="2:2" ht="13">
      <c r="B920" s="26"/>
    </row>
    <row r="921" spans="2:2" ht="13">
      <c r="B921" s="26"/>
    </row>
    <row r="922" spans="2:2" ht="13">
      <c r="B922" s="26"/>
    </row>
    <row r="923" spans="2:2" ht="13">
      <c r="B923" s="26"/>
    </row>
    <row r="924" spans="2:2" ht="13">
      <c r="B924" s="26"/>
    </row>
    <row r="925" spans="2:2" ht="13">
      <c r="B925" s="26"/>
    </row>
    <row r="926" spans="2:2" ht="13">
      <c r="B926" s="26"/>
    </row>
    <row r="927" spans="2:2" ht="13">
      <c r="B927" s="26"/>
    </row>
    <row r="928" spans="2:2" ht="13">
      <c r="B928" s="26"/>
    </row>
    <row r="929" spans="2:2" ht="13">
      <c r="B929" s="26"/>
    </row>
    <row r="930" spans="2:2" ht="13">
      <c r="B930" s="26"/>
    </row>
    <row r="931" spans="2:2" ht="13">
      <c r="B931" s="26"/>
    </row>
    <row r="932" spans="2:2" ht="13">
      <c r="B932" s="26"/>
    </row>
    <row r="933" spans="2:2" ht="13">
      <c r="B933" s="26"/>
    </row>
    <row r="934" spans="2:2" ht="13">
      <c r="B934" s="26"/>
    </row>
    <row r="935" spans="2:2" ht="13">
      <c r="B935" s="26"/>
    </row>
    <row r="936" spans="2:2" ht="13">
      <c r="B936" s="26"/>
    </row>
    <row r="937" spans="2:2" ht="13">
      <c r="B937" s="26"/>
    </row>
    <row r="938" spans="2:2" ht="13">
      <c r="B938" s="26"/>
    </row>
    <row r="939" spans="2:2" ht="13">
      <c r="B939" s="26"/>
    </row>
    <row r="940" spans="2:2" ht="13">
      <c r="B940" s="26"/>
    </row>
    <row r="941" spans="2:2" ht="13">
      <c r="B941" s="26"/>
    </row>
    <row r="942" spans="2:2" ht="13">
      <c r="B942" s="26"/>
    </row>
    <row r="943" spans="2:2" ht="13">
      <c r="B943" s="26"/>
    </row>
    <row r="944" spans="2:2" ht="13">
      <c r="B944" s="26"/>
    </row>
    <row r="945" spans="2:2" ht="13">
      <c r="B945" s="26"/>
    </row>
    <row r="946" spans="2:2" ht="13">
      <c r="B946" s="26"/>
    </row>
    <row r="947" spans="2:2" ht="13">
      <c r="B947" s="26"/>
    </row>
    <row r="948" spans="2:2" ht="13">
      <c r="B948" s="26"/>
    </row>
    <row r="949" spans="2:2" ht="13">
      <c r="B949" s="26"/>
    </row>
    <row r="950" spans="2:2" ht="13">
      <c r="B950" s="26"/>
    </row>
    <row r="951" spans="2:2" ht="13">
      <c r="B951" s="26"/>
    </row>
    <row r="952" spans="2:2" ht="13">
      <c r="B952" s="26"/>
    </row>
    <row r="953" spans="2:2" ht="13">
      <c r="B953" s="26"/>
    </row>
    <row r="954" spans="2:2" ht="13">
      <c r="B954" s="26"/>
    </row>
    <row r="955" spans="2:2" ht="13">
      <c r="B955" s="26"/>
    </row>
    <row r="956" spans="2:2" ht="13">
      <c r="B956" s="26"/>
    </row>
    <row r="957" spans="2:2" ht="13">
      <c r="B957" s="26"/>
    </row>
    <row r="958" spans="2:2" ht="13">
      <c r="B958" s="26"/>
    </row>
    <row r="959" spans="2:2" ht="13">
      <c r="B959" s="26"/>
    </row>
    <row r="960" spans="2:2" ht="13">
      <c r="B960" s="26"/>
    </row>
    <row r="961" spans="2:2" ht="13">
      <c r="B961" s="26"/>
    </row>
    <row r="962" spans="2:2" ht="13">
      <c r="B962" s="26"/>
    </row>
    <row r="963" spans="2:2" ht="13">
      <c r="B963" s="26"/>
    </row>
    <row r="964" spans="2:2" ht="13">
      <c r="B964" s="26"/>
    </row>
    <row r="965" spans="2:2" ht="13">
      <c r="B965" s="26"/>
    </row>
    <row r="966" spans="2:2" ht="13">
      <c r="B966" s="26"/>
    </row>
    <row r="967" spans="2:2" ht="13">
      <c r="B967" s="26"/>
    </row>
    <row r="968" spans="2:2" ht="13">
      <c r="B968" s="26"/>
    </row>
    <row r="969" spans="2:2" ht="13">
      <c r="B969" s="26"/>
    </row>
    <row r="970" spans="2:2" ht="13">
      <c r="B970" s="26"/>
    </row>
    <row r="971" spans="2:2" ht="13">
      <c r="B971" s="26"/>
    </row>
    <row r="972" spans="2:2" ht="13">
      <c r="B972" s="26"/>
    </row>
    <row r="973" spans="2:2" ht="13">
      <c r="B973" s="26"/>
    </row>
    <row r="974" spans="2:2" ht="13">
      <c r="B974" s="26"/>
    </row>
    <row r="975" spans="2:2" ht="13">
      <c r="B975" s="26"/>
    </row>
    <row r="976" spans="2:2" ht="13">
      <c r="B976" s="26"/>
    </row>
    <row r="977" spans="2:2" ht="13">
      <c r="B977" s="26"/>
    </row>
    <row r="978" spans="2:2" ht="13">
      <c r="B978" s="26"/>
    </row>
    <row r="979" spans="2:2" ht="13">
      <c r="B979" s="26"/>
    </row>
    <row r="980" spans="2:2" ht="13">
      <c r="B980" s="26"/>
    </row>
    <row r="981" spans="2:2" ht="13">
      <c r="B981" s="26"/>
    </row>
    <row r="982" spans="2:2" ht="13">
      <c r="B982" s="26"/>
    </row>
    <row r="983" spans="2:2" ht="13">
      <c r="B983" s="26"/>
    </row>
    <row r="984" spans="2:2" ht="13">
      <c r="B984" s="26"/>
    </row>
    <row r="985" spans="2:2" ht="13">
      <c r="B985" s="26"/>
    </row>
    <row r="986" spans="2:2" ht="13">
      <c r="B986" s="26"/>
    </row>
    <row r="987" spans="2:2" ht="13">
      <c r="B987" s="26"/>
    </row>
    <row r="988" spans="2:2" ht="13">
      <c r="B988" s="26"/>
    </row>
    <row r="989" spans="2:2" ht="13">
      <c r="B989" s="26"/>
    </row>
    <row r="990" spans="2:2" ht="13">
      <c r="B990" s="26"/>
    </row>
    <row r="991" spans="2:2" ht="13">
      <c r="B991" s="26"/>
    </row>
    <row r="992" spans="2:2" ht="13">
      <c r="B992" s="26"/>
    </row>
    <row r="993" spans="2:2" ht="13">
      <c r="B993" s="26"/>
    </row>
    <row r="994" spans="2:2" ht="13">
      <c r="B994" s="26"/>
    </row>
    <row r="995" spans="2:2" ht="13">
      <c r="B995" s="26"/>
    </row>
    <row r="996" spans="2:2" ht="13">
      <c r="B996" s="26"/>
    </row>
    <row r="997" spans="2:2" ht="13">
      <c r="B997" s="26"/>
    </row>
    <row r="998" spans="2:2" ht="13">
      <c r="B998" s="26"/>
    </row>
    <row r="999" spans="2:2" ht="13">
      <c r="B999" s="26"/>
    </row>
    <row r="1000" spans="2:2" ht="13">
      <c r="B1000" s="26"/>
    </row>
  </sheetData>
  <autoFilter ref="B1:G219" xr:uid="{00000000-0009-0000-0000-000001000000}"/>
  <mergeCells count="5">
    <mergeCell ref="I1:J1"/>
    <mergeCell ref="M1:P1"/>
    <mergeCell ref="T1:V1"/>
    <mergeCell ref="I7:J7"/>
    <mergeCell ref="I13:J13"/>
  </mergeCells>
  <conditionalFormatting sqref="O3:P58 V3:V16">
    <cfRule type="containsBlanks" dxfId="7" priority="5">
      <formula>LEN(TRIM(O3))=0</formula>
    </cfRule>
  </conditionalFormatting>
  <conditionalFormatting sqref="O3:P58">
    <cfRule type="cellIs" dxfId="6" priority="1" operator="equal">
      <formula>"Zach"</formula>
    </cfRule>
    <cfRule type="cellIs" dxfId="5" priority="2" operator="equal">
      <formula>"Jamie"</formula>
    </cfRule>
    <cfRule type="cellIs" dxfId="4" priority="3" operator="equal">
      <formula>"Bryce"</formula>
    </cfRule>
    <cfRule type="cellIs" dxfId="3" priority="4" operator="equal">
      <formula>"Maggie"</formula>
    </cfRule>
  </conditionalFormatting>
  <conditionalFormatting sqref="Q3:Q58">
    <cfRule type="cellIs" dxfId="2" priority="7" operator="equal">
      <formula>"TRUE"</formula>
    </cfRule>
  </conditionalFormatting>
  <conditionalFormatting sqref="V3:V16 O3:P58">
    <cfRule type="notContainsBlanks" dxfId="1" priority="6">
      <formula>LEN(TRIM(O3))&gt;0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999"/>
  <sheetViews>
    <sheetView tabSelected="1" workbookViewId="0">
      <pane ySplit="1" topLeftCell="A346" activePane="bottomLeft" state="frozen"/>
      <selection pane="bottomLeft" sqref="A1:L356"/>
    </sheetView>
  </sheetViews>
  <sheetFormatPr baseColWidth="10" defaultColWidth="12.6640625" defaultRowHeight="15.75" customHeight="1"/>
  <cols>
    <col min="1" max="1" width="6.1640625" customWidth="1"/>
    <col min="14" max="14" width="12.6640625" hidden="1"/>
    <col min="15" max="15" width="14.1640625" hidden="1" customWidth="1"/>
    <col min="16" max="16" width="12.6640625" hidden="1"/>
  </cols>
  <sheetData>
    <row r="1" spans="1:18" ht="15.75" customHeight="1">
      <c r="A1" s="34" t="s">
        <v>578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579</v>
      </c>
      <c r="G1" s="34" t="s">
        <v>580</v>
      </c>
      <c r="H1" s="34" t="s">
        <v>581</v>
      </c>
      <c r="I1" s="34" t="s">
        <v>582</v>
      </c>
      <c r="J1" s="34" t="s">
        <v>583</v>
      </c>
      <c r="K1" s="34" t="s">
        <v>357</v>
      </c>
      <c r="L1" s="34" t="s">
        <v>358</v>
      </c>
      <c r="N1" s="3" t="s">
        <v>584</v>
      </c>
      <c r="O1" s="3" t="s">
        <v>585</v>
      </c>
      <c r="P1" s="3" t="s">
        <v>355</v>
      </c>
    </row>
    <row r="2" spans="1:18" ht="15.75" customHeight="1">
      <c r="A2" s="33" t="s">
        <v>2018</v>
      </c>
      <c r="B2" s="33"/>
      <c r="C2" s="33">
        <v>41</v>
      </c>
      <c r="D2" s="33"/>
      <c r="E2" s="33"/>
      <c r="F2" s="33"/>
      <c r="G2" s="33">
        <v>133166</v>
      </c>
      <c r="H2" s="43">
        <v>45417</v>
      </c>
      <c r="I2" s="33">
        <v>1</v>
      </c>
      <c r="J2" s="33"/>
      <c r="K2" s="33" t="s">
        <v>407</v>
      </c>
      <c r="L2" s="33" t="s">
        <v>968</v>
      </c>
      <c r="N2" s="3" t="b">
        <f t="shared" ref="N2:N206" si="0">IF(COUNT(B2:E2)&gt;1,TRUE,FALSE)</f>
        <v>0</v>
      </c>
      <c r="O2" s="23" t="str">
        <f>IFERROR(VLOOKUP(A2, '2023 Full View'!$1:$1000, 1, FALSE), "")</f>
        <v/>
      </c>
      <c r="P2" s="3" t="str">
        <f ca="1">IFERROR(__xludf.DUMMYFUNCTION("iferror(TEXTJOIN("", "",TRUE, FILTER($B$1:$E$1,B2:E2&lt;&gt;"""")),"""")"),"Maggie")</f>
        <v>Maggie</v>
      </c>
      <c r="R2" s="3"/>
    </row>
    <row r="3" spans="1:18" ht="15.75" customHeight="1">
      <c r="A3" s="33" t="s">
        <v>1896</v>
      </c>
      <c r="B3" s="33"/>
      <c r="C3" s="33">
        <v>73</v>
      </c>
      <c r="D3" s="33"/>
      <c r="E3" s="33"/>
      <c r="F3" s="33"/>
      <c r="G3" s="33">
        <v>159408</v>
      </c>
      <c r="H3" s="43">
        <v>44789</v>
      </c>
      <c r="I3" s="33">
        <v>2</v>
      </c>
      <c r="J3" s="33" t="s">
        <v>2463</v>
      </c>
      <c r="K3" s="33" t="s">
        <v>385</v>
      </c>
      <c r="L3" s="33" t="s">
        <v>817</v>
      </c>
      <c r="N3" s="3" t="b">
        <f t="shared" si="0"/>
        <v>0</v>
      </c>
      <c r="O3" s="23" t="str">
        <f>IFERROR(VLOOKUP(A3, '2023 Full View'!$1:$1000, 1, FALSE), "")</f>
        <v/>
      </c>
      <c r="P3" s="3" t="str">
        <f ca="1">IFERROR(__xludf.DUMMYFUNCTION("iferror(TEXTJOIN("", "",TRUE, FILTER($B$1:$E$1,B3:E3&lt;&gt;"""")),"""")"),"Maggie")</f>
        <v>Maggie</v>
      </c>
    </row>
    <row r="4" spans="1:18" ht="15.75" customHeight="1">
      <c r="A4" s="33" t="s">
        <v>1908</v>
      </c>
      <c r="B4" s="33"/>
      <c r="C4" s="33">
        <v>70</v>
      </c>
      <c r="D4" s="33"/>
      <c r="E4" s="33"/>
      <c r="F4" s="33"/>
      <c r="G4" s="33">
        <v>178573</v>
      </c>
      <c r="H4" s="43">
        <v>43763</v>
      </c>
      <c r="I4" s="33">
        <v>14</v>
      </c>
      <c r="J4" s="33"/>
      <c r="K4" s="33" t="s">
        <v>400</v>
      </c>
      <c r="L4" s="33" t="s">
        <v>766</v>
      </c>
      <c r="N4" s="3" t="b">
        <f t="shared" si="0"/>
        <v>0</v>
      </c>
      <c r="O4" s="23" t="str">
        <f>IFERROR(VLOOKUP(A4, '2023 Full View'!$1:$1000, 1, FALSE), "")</f>
        <v>Tout au bout du mondeTibz</v>
      </c>
      <c r="P4" s="3" t="str">
        <f ca="1">IFERROR(__xludf.DUMMYFUNCTION("iferror(TEXTJOIN("", "",TRUE, FILTER($B$1:$E$1,B4:E4&lt;&gt;"""")),"""")"),"Maggie")</f>
        <v>Maggie</v>
      </c>
    </row>
    <row r="5" spans="1:18" ht="15.75" customHeight="1">
      <c r="A5" s="33" t="s">
        <v>2004</v>
      </c>
      <c r="B5" s="33"/>
      <c r="C5" s="33">
        <v>45</v>
      </c>
      <c r="D5" s="33"/>
      <c r="E5" s="33"/>
      <c r="F5" s="33"/>
      <c r="G5" s="33">
        <v>186038</v>
      </c>
      <c r="H5" s="43">
        <v>41226</v>
      </c>
      <c r="I5" s="33">
        <v>14</v>
      </c>
      <c r="J5" s="33"/>
      <c r="K5" s="33" t="s">
        <v>388</v>
      </c>
      <c r="L5" s="33" t="s">
        <v>702</v>
      </c>
      <c r="N5" s="3" t="b">
        <f t="shared" si="0"/>
        <v>0</v>
      </c>
      <c r="O5" s="23" t="str">
        <f>IFERROR(VLOOKUP(A5, '2023 Full View'!$1:$1000, 1, FALSE), "")</f>
        <v/>
      </c>
      <c r="P5" s="3" t="str">
        <f ca="1">IFERROR(__xludf.DUMMYFUNCTION("iferror(TEXTJOIN("", "",TRUE, FILTER($B$1:$E$1,B5:E5&lt;&gt;"""")),"""")"),"Maggie")</f>
        <v>Maggie</v>
      </c>
    </row>
    <row r="6" spans="1:18" ht="15.75" customHeight="1">
      <c r="A6" s="33" t="s">
        <v>2139</v>
      </c>
      <c r="B6" s="33"/>
      <c r="C6" s="33">
        <v>10</v>
      </c>
      <c r="D6" s="33"/>
      <c r="E6" s="33"/>
      <c r="F6" s="33"/>
      <c r="G6" s="33">
        <v>188152</v>
      </c>
      <c r="H6" s="43">
        <v>45436</v>
      </c>
      <c r="I6" s="33">
        <v>14</v>
      </c>
      <c r="J6" s="33"/>
      <c r="K6" s="33" t="s">
        <v>1788</v>
      </c>
      <c r="L6" s="33" t="s">
        <v>1787</v>
      </c>
      <c r="N6" s="3" t="b">
        <f t="shared" si="0"/>
        <v>0</v>
      </c>
      <c r="O6" s="23" t="str">
        <f>IFERROR(VLOOKUP(A6, '2023 Full View'!$1:$1000, 1, FALSE), "")</f>
        <v/>
      </c>
      <c r="P6" s="3" t="str">
        <f ca="1">IFERROR(__xludf.DUMMYFUNCTION("iferror(TEXTJOIN("", "",TRUE, FILTER($B$1:$E$1,B6:E6&lt;&gt;"""")),"""")"),"Maggie")</f>
        <v>Maggie</v>
      </c>
    </row>
    <row r="7" spans="1:18" ht="15.75" customHeight="1">
      <c r="A7" s="33" t="s">
        <v>2131</v>
      </c>
      <c r="B7" s="33"/>
      <c r="C7" s="33">
        <v>13</v>
      </c>
      <c r="D7" s="33"/>
      <c r="E7" s="33"/>
      <c r="F7" s="33"/>
      <c r="G7" s="33">
        <v>214333</v>
      </c>
      <c r="H7" s="43">
        <v>45527</v>
      </c>
      <c r="I7" s="33">
        <v>19</v>
      </c>
      <c r="J7" s="33"/>
      <c r="K7" s="33" t="s">
        <v>1631</v>
      </c>
      <c r="L7" s="33" t="s">
        <v>1776</v>
      </c>
      <c r="N7" s="3" t="b">
        <f t="shared" si="0"/>
        <v>0</v>
      </c>
      <c r="O7" s="23" t="str">
        <f>IFERROR(VLOOKUP(A7, '2023 Full View'!$1:$1000, 1, FALSE), "")</f>
        <v/>
      </c>
      <c r="P7" s="3" t="str">
        <f ca="1">IFERROR(__xludf.DUMMYFUNCTION("iferror(TEXTJOIN("", "",TRUE, FILTER($B$1:$E$1,B7:E7&lt;&gt;"""")),"""")"),"Maggie")</f>
        <v>Maggie</v>
      </c>
    </row>
    <row r="8" spans="1:18" ht="15.75" customHeight="1">
      <c r="A8" s="33" t="s">
        <v>1923</v>
      </c>
      <c r="B8" s="33">
        <v>66</v>
      </c>
      <c r="C8" s="33"/>
      <c r="D8" s="33"/>
      <c r="E8" s="33"/>
      <c r="F8" s="33"/>
      <c r="G8" s="33">
        <v>168637</v>
      </c>
      <c r="H8" s="43">
        <v>45583</v>
      </c>
      <c r="I8" s="33">
        <v>20</v>
      </c>
      <c r="J8" s="33"/>
      <c r="K8" s="33" t="s">
        <v>478</v>
      </c>
      <c r="L8" s="33" t="s">
        <v>1027</v>
      </c>
      <c r="N8" s="3" t="b">
        <f t="shared" si="0"/>
        <v>0</v>
      </c>
      <c r="O8" s="23" t="str">
        <f>IFERROR(VLOOKUP(A8, '2023 Full View'!$1:$1000, 1, FALSE), "")</f>
        <v/>
      </c>
      <c r="P8" s="3" t="str">
        <f ca="1">IFERROR(__xludf.DUMMYFUNCTION("iferror(TEXTJOIN("", "",TRUE, FILTER($B$1:$E$1,B8:E8&lt;&gt;"""")),"""")"),"Maggie")</f>
        <v>Maggie</v>
      </c>
    </row>
    <row r="9" spans="1:18" ht="15.75" customHeight="1">
      <c r="A9" s="33" t="s">
        <v>1989</v>
      </c>
      <c r="B9" s="33">
        <v>49</v>
      </c>
      <c r="C9" s="33"/>
      <c r="D9" s="33"/>
      <c r="E9" s="33"/>
      <c r="F9" s="33"/>
      <c r="G9" s="33">
        <v>209040</v>
      </c>
      <c r="H9" s="43">
        <v>45324</v>
      </c>
      <c r="I9" s="33">
        <v>21</v>
      </c>
      <c r="J9" s="33" t="s">
        <v>914</v>
      </c>
      <c r="K9" s="33" t="s">
        <v>481</v>
      </c>
      <c r="L9" s="33" t="s">
        <v>915</v>
      </c>
      <c r="N9" s="3" t="b">
        <f t="shared" si="0"/>
        <v>0</v>
      </c>
      <c r="O9" s="23" t="str">
        <f>IFERROR(VLOOKUP(A9, '2023 Full View'!$1:$1000, 1, FALSE), "")</f>
        <v/>
      </c>
      <c r="P9" s="3" t="str">
        <f ca="1">IFERROR(__xludf.DUMMYFUNCTION("iferror(TEXTJOIN("", "",TRUE, FILTER($B$1:$E$1,B9:E9&lt;&gt;"""")),"""")"),"Maggie")</f>
        <v>Maggie</v>
      </c>
    </row>
    <row r="10" spans="1:18" ht="15.75" customHeight="1">
      <c r="A10" s="33" t="s">
        <v>2003</v>
      </c>
      <c r="B10" s="33">
        <v>45</v>
      </c>
      <c r="C10" s="33"/>
      <c r="D10" s="33"/>
      <c r="E10" s="33"/>
      <c r="F10" s="33"/>
      <c r="G10" s="33">
        <v>178800</v>
      </c>
      <c r="H10" s="43">
        <v>45324</v>
      </c>
      <c r="I10" s="33">
        <v>21</v>
      </c>
      <c r="J10" s="33" t="s">
        <v>914</v>
      </c>
      <c r="K10" s="33" t="s">
        <v>481</v>
      </c>
      <c r="L10" s="33" t="s">
        <v>916</v>
      </c>
      <c r="N10" s="3" t="b">
        <f t="shared" si="0"/>
        <v>0</v>
      </c>
      <c r="O10" s="23" t="str">
        <f>IFERROR(VLOOKUP(A10, '2023 Full View'!$1:$1000, 1, FALSE), "")</f>
        <v/>
      </c>
      <c r="P10" s="3" t="str">
        <f ca="1">IFERROR(__xludf.DUMMYFUNCTION("iferror(TEXTJOIN("", "",TRUE, FILTER($B$1:$E$1,B10:E10&lt;&gt;"""")),"""")"),"Maggie")</f>
        <v>Maggie</v>
      </c>
    </row>
    <row r="11" spans="1:18" ht="15.75" customHeight="1">
      <c r="A11" s="33" t="s">
        <v>1943</v>
      </c>
      <c r="B11" s="33">
        <v>61</v>
      </c>
      <c r="C11" s="33"/>
      <c r="D11" s="33"/>
      <c r="E11" s="33"/>
      <c r="F11" s="33"/>
      <c r="G11" s="33">
        <v>227440</v>
      </c>
      <c r="H11" s="43">
        <v>45324</v>
      </c>
      <c r="I11" s="33">
        <v>22</v>
      </c>
      <c r="J11" s="33" t="s">
        <v>914</v>
      </c>
      <c r="K11" s="33" t="s">
        <v>481</v>
      </c>
      <c r="L11" s="33" t="s">
        <v>917</v>
      </c>
      <c r="N11" s="3" t="b">
        <f t="shared" si="0"/>
        <v>0</v>
      </c>
      <c r="O11" s="23" t="str">
        <f>IFERROR(VLOOKUP(A11, '2023 Full View'!$1:$1000, 1, FALSE), "")</f>
        <v/>
      </c>
      <c r="P11" s="3" t="str">
        <f ca="1">IFERROR(__xludf.DUMMYFUNCTION("iferror(TEXTJOIN("", "",TRUE, FILTER($B$1:$E$1,B11:E11&lt;&gt;"""")),"""")"),"Maggie")</f>
        <v>Maggie</v>
      </c>
    </row>
    <row r="12" spans="1:18" ht="15.75" customHeight="1">
      <c r="A12" s="33" t="s">
        <v>2033</v>
      </c>
      <c r="B12" s="33"/>
      <c r="C12" s="33"/>
      <c r="D12" s="33">
        <v>38</v>
      </c>
      <c r="E12" s="33"/>
      <c r="F12" s="33"/>
      <c r="G12" s="33">
        <v>228466</v>
      </c>
      <c r="H12" s="43">
        <v>27030</v>
      </c>
      <c r="I12" s="33">
        <v>23</v>
      </c>
      <c r="J12" s="33" t="s">
        <v>633</v>
      </c>
      <c r="K12" s="33" t="s">
        <v>497</v>
      </c>
      <c r="L12" s="33" t="s">
        <v>633</v>
      </c>
      <c r="N12" s="3" t="b">
        <f t="shared" si="0"/>
        <v>0</v>
      </c>
      <c r="O12" s="23" t="str">
        <f>IFERROR(VLOOKUP(A12, '2023 Full View'!$1:$1000, 1, FALSE), "")</f>
        <v/>
      </c>
      <c r="P12" s="3" t="str">
        <f ca="1">IFERROR(__xludf.DUMMYFUNCTION("iferror(TEXTJOIN("", "",TRUE, FILTER($B$1:$E$1,B12:E12&lt;&gt;"""")),"""")"),"Maggie")</f>
        <v>Maggie</v>
      </c>
    </row>
    <row r="13" spans="1:18" ht="15.75" customHeight="1">
      <c r="A13" s="33" t="s">
        <v>1833</v>
      </c>
      <c r="B13" s="33">
        <v>88</v>
      </c>
      <c r="C13" s="33"/>
      <c r="D13" s="33"/>
      <c r="E13" s="33"/>
      <c r="F13" s="33"/>
      <c r="G13" s="33">
        <v>219866</v>
      </c>
      <c r="H13" s="43">
        <v>45205</v>
      </c>
      <c r="I13" s="33">
        <v>24</v>
      </c>
      <c r="J13" s="33" t="s">
        <v>899</v>
      </c>
      <c r="K13" s="33" t="s">
        <v>361</v>
      </c>
      <c r="L13" s="33" t="s">
        <v>900</v>
      </c>
      <c r="N13" s="3" t="b">
        <f t="shared" si="0"/>
        <v>0</v>
      </c>
      <c r="O13" s="23" t="str">
        <f>IFERROR(VLOOKUP(A13, '2023 Full View'!$1:$1000, 1, FALSE), "")</f>
        <v/>
      </c>
      <c r="P13" s="3" t="str">
        <f ca="1">IFERROR(__xludf.DUMMYFUNCTION("iferror(TEXTJOIN("", "",TRUE, FILTER($B$1:$E$1,B13:E13&lt;&gt;"""")),"""")"),"Bryce")</f>
        <v>Bryce</v>
      </c>
    </row>
    <row r="14" spans="1:18" ht="15.75" customHeight="1">
      <c r="A14" s="33" t="s">
        <v>1821</v>
      </c>
      <c r="B14" s="33"/>
      <c r="C14" s="33"/>
      <c r="D14" s="33"/>
      <c r="E14" s="33">
        <v>91</v>
      </c>
      <c r="F14" s="33"/>
      <c r="G14" s="33">
        <v>198671</v>
      </c>
      <c r="H14" s="43">
        <v>45128</v>
      </c>
      <c r="I14" s="33">
        <v>25</v>
      </c>
      <c r="J14" s="33" t="s">
        <v>2464</v>
      </c>
      <c r="K14" s="33" t="s">
        <v>439</v>
      </c>
      <c r="L14" s="33" t="s">
        <v>891</v>
      </c>
      <c r="N14" s="3" t="b">
        <f t="shared" si="0"/>
        <v>0</v>
      </c>
      <c r="O14" s="23" t="str">
        <f>IFERROR(VLOOKUP(A14, '2023 Full View'!$1:$1000, 1, FALSE), "")</f>
        <v/>
      </c>
      <c r="P14" s="3" t="str">
        <f ca="1">IFERROR(__xludf.DUMMYFUNCTION("iferror(TEXTJOIN("", "",TRUE, FILTER($B$1:$E$1,B14:E14&lt;&gt;"""")),"""")"),"Maggie")</f>
        <v>Maggie</v>
      </c>
    </row>
    <row r="15" spans="1:18" ht="15.75" customHeight="1">
      <c r="A15" s="33" t="s">
        <v>1904</v>
      </c>
      <c r="B15" s="33"/>
      <c r="C15" s="33">
        <v>71</v>
      </c>
      <c r="D15" s="33"/>
      <c r="E15" s="33"/>
      <c r="F15" s="33"/>
      <c r="G15" s="33">
        <v>155624</v>
      </c>
      <c r="H15" s="43">
        <v>45527</v>
      </c>
      <c r="I15" s="33">
        <v>25</v>
      </c>
      <c r="J15" s="33"/>
      <c r="K15" s="33" t="s">
        <v>395</v>
      </c>
      <c r="L15" s="33" t="s">
        <v>1016</v>
      </c>
      <c r="N15" s="3" t="b">
        <f t="shared" si="0"/>
        <v>0</v>
      </c>
      <c r="O15" s="23" t="str">
        <f>IFERROR(VLOOKUP(A15, '2023 Full View'!$1:$1000, 1, FALSE), "")</f>
        <v/>
      </c>
      <c r="P15" s="3" t="str">
        <f ca="1">IFERROR(__xludf.DUMMYFUNCTION("iferror(TEXTJOIN("", "",TRUE, FILTER($B$1:$E$1,B15:E15&lt;&gt;"""")),"""")"),"Maggie")</f>
        <v>Maggie</v>
      </c>
    </row>
    <row r="16" spans="1:18" ht="15.75" customHeight="1">
      <c r="A16" s="33" t="s">
        <v>2061</v>
      </c>
      <c r="B16" s="33"/>
      <c r="C16" s="33"/>
      <c r="D16" s="33"/>
      <c r="E16" s="33">
        <v>31</v>
      </c>
      <c r="F16" s="33"/>
      <c r="G16" s="33">
        <v>210130</v>
      </c>
      <c r="H16" s="43">
        <v>45128</v>
      </c>
      <c r="I16" s="33">
        <v>25</v>
      </c>
      <c r="J16" s="33" t="s">
        <v>2464</v>
      </c>
      <c r="K16" s="33" t="s">
        <v>439</v>
      </c>
      <c r="L16" s="33" t="s">
        <v>892</v>
      </c>
      <c r="N16" s="3" t="b">
        <f t="shared" si="0"/>
        <v>0</v>
      </c>
      <c r="O16" s="23" t="str">
        <f>IFERROR(VLOOKUP(A16, '2023 Full View'!$1:$1000, 1, FALSE), "")</f>
        <v/>
      </c>
      <c r="P16" s="3" t="str">
        <f ca="1">IFERROR(__xludf.DUMMYFUNCTION("iferror(TEXTJOIN("", "",TRUE, FILTER($B$1:$E$1,B16:E16&lt;&gt;"""")),"""")"),"Maggie")</f>
        <v>Maggie</v>
      </c>
    </row>
    <row r="17" spans="1:16" ht="15.75" customHeight="1">
      <c r="A17" s="33" t="s">
        <v>1938</v>
      </c>
      <c r="B17" s="33">
        <v>62</v>
      </c>
      <c r="C17" s="33"/>
      <c r="D17" s="33"/>
      <c r="E17" s="33"/>
      <c r="F17" s="33" t="s">
        <v>443</v>
      </c>
      <c r="G17" s="33">
        <v>170645</v>
      </c>
      <c r="H17" s="43">
        <v>45583</v>
      </c>
      <c r="I17" s="33">
        <v>26</v>
      </c>
      <c r="J17" s="33"/>
      <c r="K17" s="33" t="s">
        <v>478</v>
      </c>
      <c r="L17" s="33" t="s">
        <v>1028</v>
      </c>
      <c r="N17" s="3" t="b">
        <f t="shared" si="0"/>
        <v>0</v>
      </c>
      <c r="O17" s="23" t="str">
        <f>IFERROR(VLOOKUP(A17, '2023 Full View'!$1:$1000, 1, FALSE), "")</f>
        <v/>
      </c>
      <c r="P17" s="3" t="str">
        <f ca="1">IFERROR(__xludf.DUMMYFUNCTION("iferror(TEXTJOIN("", "",TRUE, FILTER($B$1:$E$1,B17:E17&lt;&gt;"""")),"""")"),"Bryce")</f>
        <v>Bryce</v>
      </c>
    </row>
    <row r="18" spans="1:16" ht="15.75" customHeight="1">
      <c r="A18" s="33" t="s">
        <v>1864</v>
      </c>
      <c r="B18" s="33"/>
      <c r="C18" s="33"/>
      <c r="D18" s="33">
        <v>81</v>
      </c>
      <c r="E18" s="33"/>
      <c r="F18" s="33"/>
      <c r="G18" s="33">
        <v>195157</v>
      </c>
      <c r="H18" s="43">
        <v>44393</v>
      </c>
      <c r="I18" s="33">
        <v>27</v>
      </c>
      <c r="J18" s="33"/>
      <c r="K18" s="33" t="s">
        <v>439</v>
      </c>
      <c r="L18" s="33" t="s">
        <v>789</v>
      </c>
      <c r="N18" s="3" t="b">
        <f t="shared" si="0"/>
        <v>0</v>
      </c>
      <c r="O18" s="23" t="str">
        <f>IFERROR(VLOOKUP(A18, '2023 Full View'!$1:$1000, 1, FALSE), "")</f>
        <v>This Is ItTrousdale</v>
      </c>
      <c r="P18" s="3" t="str">
        <f ca="1">IFERROR(__xludf.DUMMYFUNCTION("iferror(TEXTJOIN("", "",TRUE, FILTER($B$1:$E$1,B18:E18&lt;&gt;"""")),"""")"),"Maggie")</f>
        <v>Maggie</v>
      </c>
    </row>
    <row r="19" spans="1:16" ht="15.75" customHeight="1">
      <c r="A19" s="33" t="s">
        <v>2094</v>
      </c>
      <c r="B19" s="33"/>
      <c r="C19" s="33">
        <v>22</v>
      </c>
      <c r="D19" s="33"/>
      <c r="E19" s="33"/>
      <c r="F19" s="33" t="s">
        <v>423</v>
      </c>
      <c r="G19" s="33">
        <v>158145</v>
      </c>
      <c r="H19" s="43">
        <v>45380</v>
      </c>
      <c r="I19" s="33">
        <v>29</v>
      </c>
      <c r="J19" s="33"/>
      <c r="K19" s="33" t="s">
        <v>436</v>
      </c>
      <c r="L19" s="33" t="s">
        <v>938</v>
      </c>
      <c r="N19" s="3" t="b">
        <f t="shared" si="0"/>
        <v>0</v>
      </c>
      <c r="O19" s="23" t="str">
        <f>IFERROR(VLOOKUP(A19, '2023 Full View'!$1:$1000, 1, FALSE), "")</f>
        <v/>
      </c>
      <c r="P19" s="3" t="str">
        <f ca="1">IFERROR(__xludf.DUMMYFUNCTION("iferror(TEXTJOIN("", "",TRUE, FILTER($B$1:$E$1,B19:E19&lt;&gt;"""")),"""")"),"Jamie")</f>
        <v>Jamie</v>
      </c>
    </row>
    <row r="20" spans="1:16" ht="15.75" customHeight="1">
      <c r="A20" s="33" t="s">
        <v>2008</v>
      </c>
      <c r="B20" s="33"/>
      <c r="C20" s="33">
        <v>44</v>
      </c>
      <c r="D20" s="33"/>
      <c r="E20" s="33"/>
      <c r="F20" s="33"/>
      <c r="G20" s="33">
        <v>209503</v>
      </c>
      <c r="H20" s="43">
        <v>44519</v>
      </c>
      <c r="I20" s="33">
        <v>29</v>
      </c>
      <c r="J20" s="33" t="s">
        <v>798</v>
      </c>
      <c r="K20" s="33" t="s">
        <v>399</v>
      </c>
      <c r="L20" s="33" t="s">
        <v>799</v>
      </c>
      <c r="N20" s="3" t="b">
        <f t="shared" si="0"/>
        <v>0</v>
      </c>
      <c r="O20" s="23" t="str">
        <f>IFERROR(VLOOKUP(A20, '2023 Full View'!$1:$1000, 1, FALSE), "")</f>
        <v>EmmaVianney</v>
      </c>
      <c r="P20" s="3" t="str">
        <f ca="1">IFERROR(__xludf.DUMMYFUNCTION("iferror(TEXTJOIN("", "",TRUE, FILTER($B$1:$E$1,B20:E20&lt;&gt;"""")),"""")"),"Jamie")</f>
        <v>Jamie</v>
      </c>
    </row>
    <row r="21" spans="1:16" ht="15.75" customHeight="1">
      <c r="A21" s="33" t="s">
        <v>1995</v>
      </c>
      <c r="B21" s="33"/>
      <c r="C21" s="33"/>
      <c r="D21" s="33"/>
      <c r="E21" s="33">
        <v>48</v>
      </c>
      <c r="F21" s="33"/>
      <c r="G21" s="33">
        <v>202316</v>
      </c>
      <c r="H21" s="43">
        <v>45184</v>
      </c>
      <c r="I21" s="33">
        <v>30</v>
      </c>
      <c r="J21" s="33" t="s">
        <v>2464</v>
      </c>
      <c r="K21" s="33" t="s">
        <v>439</v>
      </c>
      <c r="L21" s="33" t="s">
        <v>885</v>
      </c>
      <c r="N21" s="3" t="b">
        <f t="shared" si="0"/>
        <v>0</v>
      </c>
      <c r="O21" s="23" t="str">
        <f>IFERROR(VLOOKUP(A21, '2023 Full View'!$1:$1000, 1, FALSE), "")</f>
        <v/>
      </c>
      <c r="P21" s="3" t="str">
        <f ca="1">IFERROR(__xludf.DUMMYFUNCTION("iferror(TEXTJOIN("", "",TRUE, FILTER($B$1:$E$1,B21:E21&lt;&gt;"""")),"""")"),"Maggie")</f>
        <v>Maggie</v>
      </c>
    </row>
    <row r="22" spans="1:16" ht="15.75" customHeight="1">
      <c r="A22" s="33" t="s">
        <v>2103</v>
      </c>
      <c r="B22" s="33"/>
      <c r="C22" s="33"/>
      <c r="D22" s="33"/>
      <c r="E22" s="33">
        <v>20</v>
      </c>
      <c r="F22" s="33"/>
      <c r="G22" s="33">
        <v>281640</v>
      </c>
      <c r="H22" s="43">
        <v>45184</v>
      </c>
      <c r="I22" s="33">
        <v>30</v>
      </c>
      <c r="J22" s="33" t="s">
        <v>2464</v>
      </c>
      <c r="K22" s="33" t="s">
        <v>439</v>
      </c>
      <c r="L22" s="33" t="s">
        <v>884</v>
      </c>
      <c r="N22" s="3" t="b">
        <f t="shared" si="0"/>
        <v>0</v>
      </c>
      <c r="O22" s="23" t="str">
        <f>IFERROR(VLOOKUP(A22, '2023 Full View'!$1:$1000, 1, FALSE), "")</f>
        <v/>
      </c>
      <c r="P22" s="3" t="str">
        <f ca="1">IFERROR(__xludf.DUMMYFUNCTION("iferror(TEXTJOIN("", "",TRUE, FILTER($B$1:$E$1,B22:E22&lt;&gt;"""")),"""")"),"Maggie")</f>
        <v>Maggie</v>
      </c>
    </row>
    <row r="23" spans="1:16" ht="15.75" customHeight="1">
      <c r="A23" s="33" t="s">
        <v>1986</v>
      </c>
      <c r="B23" s="33"/>
      <c r="C23" s="33">
        <v>50</v>
      </c>
      <c r="D23" s="33"/>
      <c r="E23" s="33"/>
      <c r="F23" s="33" t="s">
        <v>425</v>
      </c>
      <c r="G23" s="33">
        <v>224332</v>
      </c>
      <c r="H23" s="43">
        <v>43873</v>
      </c>
      <c r="I23" s="33">
        <v>31</v>
      </c>
      <c r="J23" s="33"/>
      <c r="K23" s="33" t="s">
        <v>402</v>
      </c>
      <c r="L23" s="33" t="s">
        <v>772</v>
      </c>
      <c r="N23" s="3" t="b">
        <f t="shared" si="0"/>
        <v>0</v>
      </c>
      <c r="O23" s="23" t="str">
        <f>IFERROR(VLOOKUP(A23, '2023 Full View'!$1:$1000, 1, FALSE), "")</f>
        <v/>
      </c>
      <c r="P23" s="3" t="str">
        <f ca="1">IFERROR(__xludf.DUMMYFUNCTION("iferror(TEXTJOIN("", "",TRUE, FILTER($B$1:$E$1,B23:E23&lt;&gt;"""")),"""")"),"Maggie")</f>
        <v>Maggie</v>
      </c>
    </row>
    <row r="24" spans="1:16" ht="15.75" customHeight="1">
      <c r="A24" s="33" t="s">
        <v>1838</v>
      </c>
      <c r="B24" s="33"/>
      <c r="C24" s="33">
        <v>87</v>
      </c>
      <c r="D24" s="33"/>
      <c r="E24" s="33"/>
      <c r="F24" s="33"/>
      <c r="G24" s="33">
        <v>309734</v>
      </c>
      <c r="H24" s="43">
        <v>41089</v>
      </c>
      <c r="I24" s="33">
        <v>31</v>
      </c>
      <c r="J24" s="33" t="s">
        <v>390</v>
      </c>
      <c r="K24" s="33" t="s">
        <v>390</v>
      </c>
      <c r="L24" s="33" t="s">
        <v>701</v>
      </c>
      <c r="N24" s="3" t="b">
        <f t="shared" si="0"/>
        <v>0</v>
      </c>
      <c r="O24" s="23" t="str">
        <f>IFERROR(VLOOKUP(A24, '2023 Full View'!$1:$1000, 1, FALSE), "")</f>
        <v/>
      </c>
      <c r="P24" s="3" t="str">
        <f ca="1">IFERROR(__xludf.DUMMYFUNCTION("iferror(TEXTJOIN("", "",TRUE, FILTER($B$1:$E$1,B24:E24&lt;&gt;"""")),"""")"),"Maggie")</f>
        <v>Maggie</v>
      </c>
    </row>
    <row r="25" spans="1:16" ht="15.75" customHeight="1">
      <c r="A25" s="33" t="s">
        <v>1910</v>
      </c>
      <c r="B25" s="33"/>
      <c r="C25" s="33"/>
      <c r="D25" s="33"/>
      <c r="E25" s="33">
        <v>70</v>
      </c>
      <c r="F25" s="33"/>
      <c r="G25" s="33">
        <v>257118</v>
      </c>
      <c r="H25" s="43">
        <v>45369</v>
      </c>
      <c r="I25" s="33">
        <v>31</v>
      </c>
      <c r="J25" s="33" t="s">
        <v>1032</v>
      </c>
      <c r="K25" s="33" t="s">
        <v>533</v>
      </c>
      <c r="L25" s="33" t="s">
        <v>1033</v>
      </c>
      <c r="N25" s="3" t="b">
        <f t="shared" si="0"/>
        <v>0</v>
      </c>
      <c r="O25" s="23" t="str">
        <f>IFERROR(VLOOKUP(A25, '2023 Full View'!$1:$1000, 1, FALSE), "")</f>
        <v/>
      </c>
      <c r="P25" s="3" t="str">
        <f ca="1">IFERROR(__xludf.DUMMYFUNCTION("iferror(TEXTJOIN("", "",TRUE, FILTER($B$1:$E$1,B25:E25&lt;&gt;"""")),"""")"),"Maggie")</f>
        <v>Maggie</v>
      </c>
    </row>
    <row r="26" spans="1:16" ht="15.75" customHeight="1">
      <c r="A26" s="33" t="s">
        <v>1991</v>
      </c>
      <c r="B26" s="33"/>
      <c r="C26" s="33"/>
      <c r="D26" s="33"/>
      <c r="E26" s="33">
        <v>49</v>
      </c>
      <c r="F26" s="33"/>
      <c r="G26" s="33">
        <v>171161</v>
      </c>
      <c r="H26" s="43">
        <v>44846</v>
      </c>
      <c r="I26" s="33">
        <v>31</v>
      </c>
      <c r="J26" s="33" t="s">
        <v>823</v>
      </c>
      <c r="K26" s="33" t="s">
        <v>486</v>
      </c>
      <c r="L26" s="33" t="s">
        <v>824</v>
      </c>
      <c r="N26" s="3" t="b">
        <f t="shared" si="0"/>
        <v>0</v>
      </c>
      <c r="O26" s="23" t="str">
        <f>IFERROR(VLOOKUP(A26, '2023 Full View'!$1:$1000, 1, FALSE), "")</f>
        <v/>
      </c>
      <c r="P26" s="3" t="str">
        <f ca="1">IFERROR(__xludf.DUMMYFUNCTION("iferror(TEXTJOIN("", "",TRUE, FILTER($B$1:$E$1,B26:E26&lt;&gt;"""")),"""")"),"Maggie")</f>
        <v>Maggie</v>
      </c>
    </row>
    <row r="27" spans="1:16" ht="15.75" customHeight="1">
      <c r="A27" s="33" t="s">
        <v>2034</v>
      </c>
      <c r="B27" s="33"/>
      <c r="C27" s="33"/>
      <c r="D27" s="33"/>
      <c r="E27" s="33">
        <v>38</v>
      </c>
      <c r="F27" s="33"/>
      <c r="G27" s="33">
        <v>184479</v>
      </c>
      <c r="H27" s="43">
        <v>44771</v>
      </c>
      <c r="I27" s="33">
        <v>31</v>
      </c>
      <c r="J27" s="33" t="s">
        <v>823</v>
      </c>
      <c r="K27" s="33" t="s">
        <v>486</v>
      </c>
      <c r="L27" s="33" t="s">
        <v>827</v>
      </c>
      <c r="N27" s="3" t="b">
        <f t="shared" si="0"/>
        <v>0</v>
      </c>
      <c r="O27" s="23" t="str">
        <f>IFERROR(VLOOKUP(A27, '2023 Full View'!$1:$1000, 1, FALSE), "")</f>
        <v/>
      </c>
      <c r="P27" s="3" t="str">
        <f ca="1">IFERROR(__xludf.DUMMYFUNCTION("iferror(TEXTJOIN("", "",TRUE, FILTER($B$1:$E$1,B27:E27&lt;&gt;"""")),"""")"),"Maggie")</f>
        <v>Maggie</v>
      </c>
    </row>
    <row r="28" spans="1:16" ht="15.75" customHeight="1">
      <c r="A28" s="33" t="s">
        <v>2065</v>
      </c>
      <c r="B28" s="33"/>
      <c r="C28" s="33"/>
      <c r="D28" s="33"/>
      <c r="E28" s="33">
        <v>30</v>
      </c>
      <c r="F28" s="33"/>
      <c r="G28" s="33">
        <v>170241</v>
      </c>
      <c r="H28" s="43">
        <v>44307</v>
      </c>
      <c r="I28" s="33">
        <v>31</v>
      </c>
      <c r="J28" s="33" t="s">
        <v>784</v>
      </c>
      <c r="K28" s="33" t="s">
        <v>486</v>
      </c>
      <c r="L28" s="33" t="s">
        <v>785</v>
      </c>
      <c r="N28" s="3" t="b">
        <f t="shared" si="0"/>
        <v>0</v>
      </c>
      <c r="O28" s="23" t="str">
        <f>IFERROR(VLOOKUP(A28, '2023 Full View'!$1:$1000, 1, FALSE), "")</f>
        <v/>
      </c>
      <c r="P28" s="3" t="str">
        <f ca="1">IFERROR(__xludf.DUMMYFUNCTION("iferror(TEXTJOIN("", "",TRUE, FILTER($B$1:$E$1,B28:E28&lt;&gt;"""")),"""")"),"Maggie")</f>
        <v>Maggie</v>
      </c>
    </row>
    <row r="29" spans="1:16" ht="15.75" customHeight="1">
      <c r="A29" s="33" t="s">
        <v>1793</v>
      </c>
      <c r="B29" s="33"/>
      <c r="C29" s="33"/>
      <c r="D29" s="33"/>
      <c r="E29" s="33">
        <v>98</v>
      </c>
      <c r="F29" s="33"/>
      <c r="G29" s="33">
        <v>165764</v>
      </c>
      <c r="H29" s="43">
        <v>45016</v>
      </c>
      <c r="I29" s="33">
        <v>32</v>
      </c>
      <c r="J29" s="33" t="s">
        <v>2464</v>
      </c>
      <c r="K29" s="33" t="s">
        <v>439</v>
      </c>
      <c r="L29" s="33" t="s">
        <v>890</v>
      </c>
      <c r="N29" s="3" t="b">
        <f t="shared" si="0"/>
        <v>0</v>
      </c>
      <c r="O29" s="23" t="str">
        <f>IFERROR(VLOOKUP(A29, '2023 Full View'!$1:$1000, 1, FALSE), "")</f>
        <v>Bad BloodTrousdale</v>
      </c>
      <c r="P29" s="3" t="str">
        <f ca="1">IFERROR(__xludf.DUMMYFUNCTION("iferror(TEXTJOIN("", "",TRUE, FILTER($B$1:$E$1,B29:E29&lt;&gt;"""")),"""")"),"Bryce")</f>
        <v>Bryce</v>
      </c>
    </row>
    <row r="30" spans="1:16" ht="15.75" customHeight="1">
      <c r="A30" s="33" t="s">
        <v>1846</v>
      </c>
      <c r="B30" s="33"/>
      <c r="C30" s="33">
        <v>85</v>
      </c>
      <c r="D30" s="33"/>
      <c r="E30" s="33"/>
      <c r="F30" s="33"/>
      <c r="G30" s="33">
        <v>253640</v>
      </c>
      <c r="H30" s="43">
        <v>40183</v>
      </c>
      <c r="I30" s="33">
        <v>32</v>
      </c>
      <c r="J30" s="33"/>
      <c r="K30" s="33" t="s">
        <v>410</v>
      </c>
      <c r="L30" s="33" t="s">
        <v>687</v>
      </c>
      <c r="N30" s="3" t="b">
        <f t="shared" si="0"/>
        <v>0</v>
      </c>
      <c r="O30" s="23" t="str">
        <f>IFERROR(VLOOKUP(A30, '2023 Full View'!$1:$1000, 1, FALSE), "")</f>
        <v/>
      </c>
      <c r="P30" s="3" t="str">
        <f ca="1">IFERROR(__xludf.DUMMYFUNCTION("iferror(TEXTJOIN("", "",TRUE, FILTER($B$1:$E$1,B30:E30&lt;&gt;"""")),"""")"),"Maggie")</f>
        <v>Maggie</v>
      </c>
    </row>
    <row r="31" spans="1:16" ht="15.75" customHeight="1">
      <c r="A31" s="33" t="s">
        <v>2001</v>
      </c>
      <c r="B31" s="33"/>
      <c r="C31" s="33">
        <v>46</v>
      </c>
      <c r="D31" s="33"/>
      <c r="E31" s="33"/>
      <c r="F31" s="33"/>
      <c r="G31" s="33">
        <v>195982</v>
      </c>
      <c r="H31" s="43">
        <v>44491</v>
      </c>
      <c r="I31" s="33">
        <v>32</v>
      </c>
      <c r="J31" s="33"/>
      <c r="K31" s="33" t="s">
        <v>377</v>
      </c>
      <c r="L31" s="33" t="s">
        <v>792</v>
      </c>
      <c r="N31" s="3" t="b">
        <f t="shared" si="0"/>
        <v>0</v>
      </c>
      <c r="O31" s="23" t="str">
        <f>IFERROR(VLOOKUP(A31, '2023 Full View'!$1:$1000, 1, FALSE), "")</f>
        <v>On pourraitSARA'H</v>
      </c>
      <c r="P31" s="3" t="str">
        <f ca="1">IFERROR(__xludf.DUMMYFUNCTION("iferror(TEXTJOIN("", "",TRUE, FILTER($B$1:$E$1,B31:E31&lt;&gt;"""")),"""")"),"Maggie")</f>
        <v>Maggie</v>
      </c>
    </row>
    <row r="32" spans="1:16" ht="15.75" customHeight="1">
      <c r="A32" s="33" t="s">
        <v>2041</v>
      </c>
      <c r="B32" s="33"/>
      <c r="C32" s="33"/>
      <c r="D32" s="33">
        <v>36</v>
      </c>
      <c r="E32" s="33"/>
      <c r="F32" s="33"/>
      <c r="G32" s="33">
        <v>191666</v>
      </c>
      <c r="H32" s="43">
        <v>25684</v>
      </c>
      <c r="I32" s="33">
        <v>32</v>
      </c>
      <c r="J32" s="33" t="s">
        <v>2465</v>
      </c>
      <c r="K32" s="33" t="s">
        <v>521</v>
      </c>
      <c r="L32" s="33" t="s">
        <v>623</v>
      </c>
      <c r="N32" s="3" t="b">
        <f t="shared" si="0"/>
        <v>0</v>
      </c>
      <c r="O32" s="23" t="str">
        <f>IFERROR(VLOOKUP(A32, '2023 Full View'!$1:$1000, 1, FALSE), "")</f>
        <v>Up The Ladder To The RoofThe Supremes</v>
      </c>
      <c r="P32" s="3" t="str">
        <f ca="1">IFERROR(__xludf.DUMMYFUNCTION("iferror(TEXTJOIN("", "",TRUE, FILTER($B$1:$E$1,B32:E32&lt;&gt;"""")),"""")"),"Maggie")</f>
        <v>Maggie</v>
      </c>
    </row>
    <row r="33" spans="1:16" ht="15.75" customHeight="1">
      <c r="A33" s="33" t="s">
        <v>1998</v>
      </c>
      <c r="B33" s="33"/>
      <c r="C33" s="33"/>
      <c r="D33" s="33">
        <v>47</v>
      </c>
      <c r="E33" s="33"/>
      <c r="F33" s="33"/>
      <c r="G33" s="33">
        <v>223880</v>
      </c>
      <c r="H33" s="43">
        <v>44028</v>
      </c>
      <c r="I33" s="33">
        <v>33</v>
      </c>
      <c r="J33" s="33" t="s">
        <v>775</v>
      </c>
      <c r="K33" s="33" t="s">
        <v>443</v>
      </c>
      <c r="L33" s="33" t="s">
        <v>776</v>
      </c>
      <c r="N33" s="3" t="b">
        <f t="shared" si="0"/>
        <v>0</v>
      </c>
      <c r="O33" s="23" t="str">
        <f>IFERROR(VLOOKUP(A33, '2023 Full View'!$1:$1000, 1, FALSE), "")</f>
        <v/>
      </c>
      <c r="P33" s="3" t="str">
        <f ca="1">IFERROR(__xludf.DUMMYFUNCTION("iferror(TEXTJOIN("", "",TRUE, FILTER($B$1:$E$1,B33:E33&lt;&gt;"""")),"""")"),"Maggie")</f>
        <v>Maggie</v>
      </c>
    </row>
    <row r="34" spans="1:16" ht="15.75" customHeight="1">
      <c r="A34" s="33" t="s">
        <v>2050</v>
      </c>
      <c r="B34" s="33"/>
      <c r="C34" s="33"/>
      <c r="D34" s="33"/>
      <c r="E34" s="33">
        <v>34</v>
      </c>
      <c r="F34" s="33"/>
      <c r="G34" s="33">
        <v>189266</v>
      </c>
      <c r="H34" s="43">
        <v>45219</v>
      </c>
      <c r="I34" s="33">
        <v>33</v>
      </c>
      <c r="J34" s="33" t="s">
        <v>986</v>
      </c>
      <c r="K34" s="33" t="s">
        <v>489</v>
      </c>
      <c r="L34" s="33">
        <v>23</v>
      </c>
      <c r="N34" s="3" t="b">
        <f t="shared" si="0"/>
        <v>0</v>
      </c>
      <c r="O34" s="23" t="str">
        <f>IFERROR(VLOOKUP(A34, '2023 Full View'!$1:$1000, 1, FALSE), "")</f>
        <v/>
      </c>
      <c r="P34" s="3" t="str">
        <f ca="1">IFERROR(__xludf.DUMMYFUNCTION("iferror(TEXTJOIN("", "",TRUE, FILTER($B$1:$E$1,B34:E34&lt;&gt;"""")),"""")"),"Maggie")</f>
        <v>Maggie</v>
      </c>
    </row>
    <row r="35" spans="1:16" ht="15.75" customHeight="1">
      <c r="A35" s="33" t="s">
        <v>2071</v>
      </c>
      <c r="B35" s="33"/>
      <c r="C35" s="33">
        <v>28</v>
      </c>
      <c r="D35" s="33"/>
      <c r="E35" s="33"/>
      <c r="F35" s="33" t="s">
        <v>422</v>
      </c>
      <c r="G35" s="33">
        <v>205466</v>
      </c>
      <c r="H35" s="43">
        <v>45408</v>
      </c>
      <c r="I35" s="33">
        <v>34</v>
      </c>
      <c r="J35" s="33"/>
      <c r="K35" s="33" t="s">
        <v>361</v>
      </c>
      <c r="L35" s="33" t="s">
        <v>962</v>
      </c>
      <c r="N35" s="3" t="b">
        <f t="shared" si="0"/>
        <v>0</v>
      </c>
      <c r="O35" s="23" t="str">
        <f>IFERROR(VLOOKUP(A35, '2023 Full View'!$1:$1000, 1, FALSE), "")</f>
        <v/>
      </c>
      <c r="P35" s="3" t="str">
        <f ca="1">IFERROR(__xludf.DUMMYFUNCTION("iferror(TEXTJOIN("", "",TRUE, FILTER($B$1:$E$1,B35:E35&lt;&gt;"""")),"""")"),"Maggie")</f>
        <v>Maggie</v>
      </c>
    </row>
    <row r="36" spans="1:16" ht="15.75" customHeight="1">
      <c r="A36" s="33" t="s">
        <v>1852</v>
      </c>
      <c r="B36" s="33"/>
      <c r="C36" s="33"/>
      <c r="D36" s="33"/>
      <c r="E36" s="33">
        <v>84</v>
      </c>
      <c r="F36" s="33"/>
      <c r="G36" s="33">
        <v>220212</v>
      </c>
      <c r="H36" s="43">
        <v>45043</v>
      </c>
      <c r="I36" s="33">
        <v>34</v>
      </c>
      <c r="J36" s="33" t="s">
        <v>2464</v>
      </c>
      <c r="K36" s="33" t="s">
        <v>439</v>
      </c>
      <c r="L36" s="33" t="s">
        <v>886</v>
      </c>
      <c r="N36" s="3" t="b">
        <f t="shared" si="0"/>
        <v>0</v>
      </c>
      <c r="O36" s="23" t="str">
        <f>IFERROR(VLOOKUP(A36, '2023 Full View'!$1:$1000, 1, FALSE), "")</f>
        <v>Movie StarTrousdale</v>
      </c>
      <c r="P36" s="3" t="str">
        <f ca="1">IFERROR(__xludf.DUMMYFUNCTION("iferror(TEXTJOIN("", "",TRUE, FILTER($B$1:$E$1,B36:E36&lt;&gt;"""")),"""")"),"Maggie")</f>
        <v>Maggie</v>
      </c>
    </row>
    <row r="37" spans="1:16" ht="15.75" customHeight="1">
      <c r="A37" s="33" t="s">
        <v>2021</v>
      </c>
      <c r="B37" s="33">
        <v>40</v>
      </c>
      <c r="C37" s="33"/>
      <c r="D37" s="33"/>
      <c r="E37" s="33"/>
      <c r="F37" s="33"/>
      <c r="G37" s="33">
        <v>198280</v>
      </c>
      <c r="H37" s="43">
        <v>37622</v>
      </c>
      <c r="I37" s="33">
        <v>34</v>
      </c>
      <c r="J37" s="33" t="s">
        <v>2466</v>
      </c>
      <c r="K37" s="33" t="s">
        <v>448</v>
      </c>
      <c r="L37" s="33" t="s">
        <v>690</v>
      </c>
      <c r="N37" s="3" t="b">
        <f t="shared" si="0"/>
        <v>0</v>
      </c>
      <c r="O37" s="23" t="str">
        <f>IFERROR(VLOOKUP(A37, '2023 Full View'!$1:$1000, 1, FALSE), "")</f>
        <v/>
      </c>
      <c r="P37" s="3" t="str">
        <f ca="1">IFERROR(__xludf.DUMMYFUNCTION("iferror(TEXTJOIN("", "",TRUE, FILTER($B$1:$E$1,B37:E37&lt;&gt;"""")),"""")"),"Bryce")</f>
        <v>Bryce</v>
      </c>
    </row>
    <row r="38" spans="1:16" ht="15.75" customHeight="1">
      <c r="A38" s="33" t="s">
        <v>2144</v>
      </c>
      <c r="B38" s="33"/>
      <c r="C38" s="33"/>
      <c r="D38" s="33">
        <v>9</v>
      </c>
      <c r="E38" s="33"/>
      <c r="F38" s="33"/>
      <c r="G38" s="33">
        <v>181535</v>
      </c>
      <c r="H38" s="43">
        <v>43805</v>
      </c>
      <c r="I38" s="33">
        <v>34</v>
      </c>
      <c r="J38" s="33" t="s">
        <v>1824</v>
      </c>
      <c r="K38" s="33" t="s">
        <v>1825</v>
      </c>
      <c r="L38" s="33" t="s">
        <v>1826</v>
      </c>
      <c r="N38" s="3" t="b">
        <f t="shared" si="0"/>
        <v>0</v>
      </c>
      <c r="O38" s="23" t="str">
        <f>IFERROR(VLOOKUP(A38, '2023 Full View'!$1:$1000, 1, FALSE), "")</f>
        <v/>
      </c>
      <c r="P38" s="3" t="str">
        <f ca="1">IFERROR(__xludf.DUMMYFUNCTION("iferror(TEXTJOIN("", "",TRUE, FILTER($B$1:$E$1,B38:E38&lt;&gt;"""")),"""")"),"Maggie")</f>
        <v>Maggie</v>
      </c>
    </row>
    <row r="39" spans="1:16" ht="15.75" customHeight="1">
      <c r="A39" s="33" t="s">
        <v>1930</v>
      </c>
      <c r="B39" s="33"/>
      <c r="C39" s="33"/>
      <c r="D39" s="33"/>
      <c r="E39" s="33">
        <v>65</v>
      </c>
      <c r="F39" s="33"/>
      <c r="G39" s="33">
        <v>189470</v>
      </c>
      <c r="H39" s="43">
        <v>45233</v>
      </c>
      <c r="I39" s="33">
        <v>35</v>
      </c>
      <c r="J39" s="33"/>
      <c r="K39" s="33" t="s">
        <v>499</v>
      </c>
      <c r="L39" s="33" t="s">
        <v>908</v>
      </c>
      <c r="N39" s="3" t="b">
        <f t="shared" si="0"/>
        <v>0</v>
      </c>
      <c r="O39" s="23" t="str">
        <f>IFERROR(VLOOKUP(A39, '2023 Full View'!$1:$1000, 1, FALSE), "")</f>
        <v/>
      </c>
      <c r="P39" s="3" t="str">
        <f ca="1">IFERROR(__xludf.DUMMYFUNCTION("iferror(TEXTJOIN("", "",TRUE, FILTER($B$1:$E$1,B39:E39&lt;&gt;"""")),"""")"),"Jamie")</f>
        <v>Jamie</v>
      </c>
    </row>
    <row r="40" spans="1:16" ht="15.75" customHeight="1">
      <c r="A40" s="33" t="s">
        <v>1954</v>
      </c>
      <c r="B40" s="33">
        <v>58</v>
      </c>
      <c r="C40" s="33"/>
      <c r="D40" s="33"/>
      <c r="E40" s="33"/>
      <c r="F40" s="33"/>
      <c r="G40" s="33">
        <v>227880</v>
      </c>
      <c r="H40" s="43">
        <v>44586</v>
      </c>
      <c r="I40" s="33">
        <v>35</v>
      </c>
      <c r="J40" s="33"/>
      <c r="K40" s="33" t="s">
        <v>451</v>
      </c>
      <c r="L40" s="33" t="s">
        <v>802</v>
      </c>
      <c r="N40" s="3" t="b">
        <f t="shared" si="0"/>
        <v>0</v>
      </c>
      <c r="O40" s="23" t="str">
        <f>IFERROR(VLOOKUP(A40, '2023 Full View'!$1:$1000, 1, FALSE), "")</f>
        <v/>
      </c>
      <c r="P40" s="3" t="str">
        <f ca="1">IFERROR(__xludf.DUMMYFUNCTION("iferror(TEXTJOIN("", "",TRUE, FILTER($B$1:$E$1,B40:E40&lt;&gt;"""")),"""")"),"Bryce")</f>
        <v>Bryce</v>
      </c>
    </row>
    <row r="41" spans="1:16" ht="15.75" customHeight="1">
      <c r="A41" s="33" t="s">
        <v>2014</v>
      </c>
      <c r="B41" s="33"/>
      <c r="C41" s="33">
        <v>42</v>
      </c>
      <c r="D41" s="33"/>
      <c r="E41" s="33"/>
      <c r="F41" s="33"/>
      <c r="G41" s="33">
        <v>195897</v>
      </c>
      <c r="H41" s="43">
        <v>42538</v>
      </c>
      <c r="I41" s="33">
        <v>35</v>
      </c>
      <c r="J41" s="33" t="s">
        <v>2467</v>
      </c>
      <c r="K41" s="33" t="s">
        <v>392</v>
      </c>
      <c r="L41" s="33" t="s">
        <v>730</v>
      </c>
      <c r="N41" s="3" t="b">
        <f t="shared" si="0"/>
        <v>0</v>
      </c>
      <c r="O41" s="23" t="str">
        <f>IFERROR(VLOOKUP(A41, '2023 Full View'!$1:$1000, 1, FALSE), "")</f>
        <v>Rien qu'une foisKeen' V</v>
      </c>
      <c r="P41" s="3" t="str">
        <f ca="1">IFERROR(__xludf.DUMMYFUNCTION("iferror(TEXTJOIN("", "",TRUE, FILTER($B$1:$E$1,B41:E41&lt;&gt;"""")),"""")"),"Maggie")</f>
        <v>Maggie</v>
      </c>
    </row>
    <row r="42" spans="1:16" ht="15.75" customHeight="1">
      <c r="A42" s="33" t="s">
        <v>2106</v>
      </c>
      <c r="B42" s="33"/>
      <c r="C42" s="33"/>
      <c r="D42" s="33">
        <v>19</v>
      </c>
      <c r="E42" s="33"/>
      <c r="F42" s="33"/>
      <c r="G42" s="33">
        <v>210548</v>
      </c>
      <c r="H42" s="43">
        <v>45399</v>
      </c>
      <c r="I42" s="33">
        <v>35</v>
      </c>
      <c r="J42" s="33" t="s">
        <v>1038</v>
      </c>
      <c r="K42" s="33" t="s">
        <v>559</v>
      </c>
      <c r="L42" s="33" t="s">
        <v>1039</v>
      </c>
      <c r="N42" s="3" t="b">
        <f t="shared" si="0"/>
        <v>0</v>
      </c>
      <c r="O42" s="23" t="str">
        <f>IFERROR(VLOOKUP(A42, '2023 Full View'!$1:$1000, 1, FALSE), "")</f>
        <v/>
      </c>
      <c r="P42" s="3" t="str">
        <f ca="1">IFERROR(__xludf.DUMMYFUNCTION("iferror(TEXTJOIN("", "",TRUE, FILTER($B$1:$E$1,B42:E42&lt;&gt;"""")),"""")"),"Bryce")</f>
        <v>Bryce</v>
      </c>
    </row>
    <row r="43" spans="1:16" ht="15.75" customHeight="1">
      <c r="A43" s="33" t="s">
        <v>2152</v>
      </c>
      <c r="B43" s="33"/>
      <c r="C43" s="33"/>
      <c r="D43" s="33"/>
      <c r="E43" s="33">
        <v>7</v>
      </c>
      <c r="F43" s="33"/>
      <c r="G43" s="33">
        <v>250105</v>
      </c>
      <c r="H43" s="43">
        <v>45205</v>
      </c>
      <c r="I43" s="33">
        <v>35</v>
      </c>
      <c r="J43" s="33"/>
      <c r="K43" s="33" t="s">
        <v>499</v>
      </c>
      <c r="L43" s="33" t="s">
        <v>1780</v>
      </c>
      <c r="N43" s="3" t="b">
        <f t="shared" si="0"/>
        <v>0</v>
      </c>
      <c r="O43" s="23" t="str">
        <f>IFERROR(VLOOKUP(A43, '2023 Full View'!$1:$1000, 1, FALSE), "")</f>
        <v/>
      </c>
      <c r="P43" s="3" t="str">
        <f ca="1">IFERROR(__xludf.DUMMYFUNCTION("iferror(TEXTJOIN("", "",TRUE, FILTER($B$1:$E$1,B43:E43&lt;&gt;"""")),"""")"),"Bryce")</f>
        <v>Bryce</v>
      </c>
    </row>
    <row r="44" spans="1:16" ht="15.75" customHeight="1">
      <c r="A44" s="33" t="s">
        <v>2109</v>
      </c>
      <c r="B44" s="33"/>
      <c r="C44" s="33">
        <v>18</v>
      </c>
      <c r="D44" s="33"/>
      <c r="E44" s="33"/>
      <c r="F44" s="33"/>
      <c r="G44" s="33">
        <v>152121</v>
      </c>
      <c r="H44" s="43">
        <v>45338</v>
      </c>
      <c r="I44" s="33">
        <v>36</v>
      </c>
      <c r="J44" s="33" t="s">
        <v>923</v>
      </c>
      <c r="K44" s="33" t="s">
        <v>431</v>
      </c>
      <c r="L44" s="33" t="s">
        <v>924</v>
      </c>
      <c r="N44" s="3" t="b">
        <f t="shared" si="0"/>
        <v>0</v>
      </c>
      <c r="O44" s="23" t="str">
        <f>IFERROR(VLOOKUP(A44, '2023 Full View'!$1:$1000, 1, FALSE), "")</f>
        <v/>
      </c>
      <c r="P44" s="3" t="str">
        <f ca="1">IFERROR(__xludf.DUMMYFUNCTION("iferror(TEXTJOIN("", "",TRUE, FILTER($B$1:$E$1,B44:E44&lt;&gt;"""")),"""")"),"Maggie")</f>
        <v>Maggie</v>
      </c>
    </row>
    <row r="45" spans="1:16" ht="15.75" customHeight="1">
      <c r="A45" s="33" t="s">
        <v>1779</v>
      </c>
      <c r="B45" s="33">
        <v>100</v>
      </c>
      <c r="C45" s="33"/>
      <c r="D45" s="33"/>
      <c r="E45" s="33"/>
      <c r="F45" s="33"/>
      <c r="G45" s="33">
        <v>210120</v>
      </c>
      <c r="H45" s="43">
        <v>45541</v>
      </c>
      <c r="I45" s="33">
        <v>37</v>
      </c>
      <c r="J45" s="33" t="s">
        <v>1019</v>
      </c>
      <c r="K45" s="33" t="s">
        <v>475</v>
      </c>
      <c r="L45" s="33" t="s">
        <v>1020</v>
      </c>
      <c r="N45" s="3" t="b">
        <f t="shared" si="0"/>
        <v>0</v>
      </c>
      <c r="O45" s="23" t="str">
        <f>IFERROR(VLOOKUP(A45, '2023 Full View'!$1:$1000, 1, FALSE), "")</f>
        <v/>
      </c>
      <c r="P45" s="3" t="str">
        <f ca="1">IFERROR(__xludf.DUMMYFUNCTION("iferror(TEXTJOIN("", "",TRUE, FILTER($B$1:$E$1,B45:E45&lt;&gt;"""")),"""")"),"Maggie")</f>
        <v>Maggie</v>
      </c>
    </row>
    <row r="46" spans="1:16" ht="15.75" customHeight="1">
      <c r="A46" s="33" t="s">
        <v>1781</v>
      </c>
      <c r="B46" s="33"/>
      <c r="C46" s="33">
        <v>100</v>
      </c>
      <c r="D46" s="33"/>
      <c r="E46" s="33"/>
      <c r="F46" s="33" t="s">
        <v>417</v>
      </c>
      <c r="G46" s="33">
        <v>175648</v>
      </c>
      <c r="H46" s="43">
        <v>45008</v>
      </c>
      <c r="I46" s="33">
        <v>38</v>
      </c>
      <c r="J46" s="33"/>
      <c r="K46" s="33" t="s">
        <v>366</v>
      </c>
      <c r="L46" s="33" t="s">
        <v>849</v>
      </c>
      <c r="N46" s="3" t="b">
        <f t="shared" si="0"/>
        <v>0</v>
      </c>
      <c r="O46" s="23" t="str">
        <f>IFERROR(VLOOKUP(A46, '2023 Full View'!$1:$1000, 1, FALSE), "")</f>
        <v/>
      </c>
      <c r="P46" s="3" t="str">
        <f ca="1">IFERROR(__xludf.DUMMYFUNCTION("iferror(TEXTJOIN("", "",TRUE, FILTER($B$1:$E$1,B46:E46&lt;&gt;"""")),"""")"),"Maggie")</f>
        <v>Maggie</v>
      </c>
    </row>
    <row r="47" spans="1:16" ht="15.75" customHeight="1">
      <c r="A47" s="33" t="s">
        <v>1854</v>
      </c>
      <c r="B47" s="33"/>
      <c r="C47" s="33">
        <v>83</v>
      </c>
      <c r="D47" s="33"/>
      <c r="E47" s="33"/>
      <c r="F47" s="33" t="s">
        <v>418</v>
      </c>
      <c r="G47" s="33">
        <v>231520</v>
      </c>
      <c r="H47" s="43">
        <v>43581</v>
      </c>
      <c r="I47" s="33">
        <v>38</v>
      </c>
      <c r="J47" s="33" t="s">
        <v>2468</v>
      </c>
      <c r="K47" s="33" t="s">
        <v>433</v>
      </c>
      <c r="L47" s="33" t="s">
        <v>758</v>
      </c>
      <c r="N47" s="3" t="b">
        <f t="shared" si="0"/>
        <v>0</v>
      </c>
      <c r="O47" s="23" t="str">
        <f>IFERROR(VLOOKUP(A47, '2023 Full View'!$1:$1000, 1, FALSE), "")</f>
        <v/>
      </c>
      <c r="P47" s="3" t="str">
        <f ca="1">IFERROR(__xludf.DUMMYFUNCTION("iferror(TEXTJOIN("", "",TRUE, FILTER($B$1:$E$1,B47:E47&lt;&gt;"""")),"""")"),"Bryce")</f>
        <v>Bryce</v>
      </c>
    </row>
    <row r="48" spans="1:16" ht="15.75" customHeight="1">
      <c r="A48" s="33" t="s">
        <v>1843</v>
      </c>
      <c r="B48" s="33"/>
      <c r="C48" s="33"/>
      <c r="D48" s="33">
        <v>86</v>
      </c>
      <c r="E48" s="33"/>
      <c r="F48" s="33"/>
      <c r="G48" s="33">
        <v>188560</v>
      </c>
      <c r="H48" s="43">
        <v>40433</v>
      </c>
      <c r="I48" s="33">
        <v>38</v>
      </c>
      <c r="J48" s="33"/>
      <c r="K48" s="33" t="s">
        <v>492</v>
      </c>
      <c r="L48" s="33" t="s">
        <v>689</v>
      </c>
      <c r="N48" s="3" t="b">
        <f t="shared" si="0"/>
        <v>0</v>
      </c>
      <c r="O48" s="23" t="str">
        <f>IFERROR(VLOOKUP(A48, '2023 Full View'!$1:$1000, 1, FALSE), "")</f>
        <v/>
      </c>
      <c r="P48" s="3" t="str">
        <f ca="1">IFERROR(__xludf.DUMMYFUNCTION("iferror(TEXTJOIN("", "",TRUE, FILTER($B$1:$E$1,B48:E48&lt;&gt;"""")),"""")"),"Bryce")</f>
        <v>Bryce</v>
      </c>
    </row>
    <row r="49" spans="1:16" ht="15.75" customHeight="1">
      <c r="A49" s="33" t="s">
        <v>1961</v>
      </c>
      <c r="B49" s="33"/>
      <c r="C49" s="33"/>
      <c r="D49" s="33"/>
      <c r="E49" s="33">
        <v>57</v>
      </c>
      <c r="F49" s="33"/>
      <c r="G49" s="33">
        <v>252400</v>
      </c>
      <c r="H49" s="43">
        <v>43783</v>
      </c>
      <c r="I49" s="33">
        <v>38</v>
      </c>
      <c r="J49" s="33" t="s">
        <v>767</v>
      </c>
      <c r="K49" s="33" t="s">
        <v>500</v>
      </c>
      <c r="L49" s="33" t="s">
        <v>768</v>
      </c>
      <c r="N49" s="3" t="b">
        <f t="shared" si="0"/>
        <v>0</v>
      </c>
      <c r="O49" s="23" t="str">
        <f>IFERROR(VLOOKUP(A49, '2023 Full View'!$1:$1000, 1, FALSE), "")</f>
        <v/>
      </c>
      <c r="P49" s="3" t="str">
        <f ca="1">IFERROR(__xludf.DUMMYFUNCTION("iferror(TEXTJOIN("", "",TRUE, FILTER($B$1:$E$1,B49:E49&lt;&gt;"""")),"""")"),"Bryce")</f>
        <v>Bryce</v>
      </c>
    </row>
    <row r="50" spans="1:16" ht="15.75" customHeight="1">
      <c r="A50" s="33" t="s">
        <v>1844</v>
      </c>
      <c r="B50" s="33"/>
      <c r="C50" s="33"/>
      <c r="D50" s="33"/>
      <c r="E50" s="33">
        <v>86</v>
      </c>
      <c r="F50" s="33"/>
      <c r="G50" s="33">
        <v>262500</v>
      </c>
      <c r="H50" s="43">
        <v>43783</v>
      </c>
      <c r="I50" s="33">
        <v>39</v>
      </c>
      <c r="J50" s="33" t="s">
        <v>767</v>
      </c>
      <c r="K50" s="33" t="s">
        <v>500</v>
      </c>
      <c r="L50" s="33" t="s">
        <v>769</v>
      </c>
      <c r="N50" s="3" t="b">
        <f t="shared" si="0"/>
        <v>0</v>
      </c>
      <c r="O50" s="23" t="str">
        <f>IFERROR(VLOOKUP(A50, '2023 Full View'!$1:$1000, 1, FALSE), "")</f>
        <v/>
      </c>
      <c r="P50" s="3" t="str">
        <f ca="1">IFERROR(__xludf.DUMMYFUNCTION("iferror(TEXTJOIN("", "",TRUE, FILTER($B$1:$E$1,B50:E50&lt;&gt;"""")),"""")"),"Bryce")</f>
        <v>Bryce</v>
      </c>
    </row>
    <row r="51" spans="1:16" ht="13">
      <c r="A51" s="33" t="s">
        <v>1965</v>
      </c>
      <c r="B51" s="33"/>
      <c r="C51" s="33"/>
      <c r="D51" s="33"/>
      <c r="E51" s="33">
        <v>56</v>
      </c>
      <c r="F51" s="33"/>
      <c r="G51" s="33">
        <v>227200</v>
      </c>
      <c r="H51" s="43">
        <v>45387</v>
      </c>
      <c r="I51" s="33">
        <v>39</v>
      </c>
      <c r="J51" s="33" t="s">
        <v>986</v>
      </c>
      <c r="K51" s="33" t="s">
        <v>489</v>
      </c>
      <c r="L51" s="33" t="s">
        <v>987</v>
      </c>
      <c r="N51" s="3" t="b">
        <f t="shared" si="0"/>
        <v>0</v>
      </c>
      <c r="O51" s="23" t="str">
        <f>IFERROR(VLOOKUP(A51, '2023 Full View'!$1:$1000, 1, FALSE), "")</f>
        <v/>
      </c>
      <c r="P51" s="3" t="str">
        <f ca="1">IFERROR(__xludf.DUMMYFUNCTION("iferror(TEXTJOIN("", "",TRUE, FILTER($B$1:$E$1,B51:E51&lt;&gt;"""")),"""")"),"Maggie")</f>
        <v>Maggie</v>
      </c>
    </row>
    <row r="52" spans="1:16" ht="13">
      <c r="A52" s="33" t="s">
        <v>1967</v>
      </c>
      <c r="B52" s="33"/>
      <c r="C52" s="33">
        <v>55</v>
      </c>
      <c r="D52" s="33"/>
      <c r="E52" s="33"/>
      <c r="F52" s="33"/>
      <c r="G52" s="33">
        <v>223003</v>
      </c>
      <c r="H52" s="43">
        <v>45548</v>
      </c>
      <c r="I52" s="33">
        <v>39</v>
      </c>
      <c r="J52" s="33"/>
      <c r="K52" s="33" t="s">
        <v>391</v>
      </c>
      <c r="L52" s="33" t="s">
        <v>1021</v>
      </c>
      <c r="N52" s="3" t="b">
        <f t="shared" si="0"/>
        <v>0</v>
      </c>
      <c r="O52" s="23" t="str">
        <f>IFERROR(VLOOKUP(A52, '2023 Full View'!$1:$1000, 1, FALSE), "")</f>
        <v/>
      </c>
      <c r="P52" s="3" t="str">
        <f ca="1">IFERROR(__xludf.DUMMYFUNCTION("iferror(TEXTJOIN("", "",TRUE, FILTER($B$1:$E$1,B52:E52&lt;&gt;"""")),"""")"),"Bryce")</f>
        <v>Bryce</v>
      </c>
    </row>
    <row r="53" spans="1:16" ht="13">
      <c r="A53" s="33" t="s">
        <v>1982</v>
      </c>
      <c r="B53" s="33"/>
      <c r="C53" s="33">
        <v>51</v>
      </c>
      <c r="D53" s="33"/>
      <c r="E53" s="33"/>
      <c r="F53" s="33"/>
      <c r="G53" s="33">
        <v>183820</v>
      </c>
      <c r="H53" s="43">
        <v>45345</v>
      </c>
      <c r="I53" s="33">
        <v>39</v>
      </c>
      <c r="J53" s="33"/>
      <c r="K53" s="33" t="s">
        <v>411</v>
      </c>
      <c r="L53" s="33" t="s">
        <v>925</v>
      </c>
      <c r="N53" s="3" t="b">
        <f t="shared" si="0"/>
        <v>0</v>
      </c>
      <c r="O53" s="23" t="str">
        <f>IFERROR(VLOOKUP(A53, '2023 Full View'!$1:$1000, 1, FALSE), "")</f>
        <v/>
      </c>
      <c r="P53" s="3" t="str">
        <f ca="1">IFERROR(__xludf.DUMMYFUNCTION("iferror(TEXTJOIN("", "",TRUE, FILTER($B$1:$E$1,B53:E53&lt;&gt;"""")),"""")"),"Bryce")</f>
        <v>Bryce</v>
      </c>
    </row>
    <row r="54" spans="1:16" ht="13">
      <c r="A54" s="33" t="s">
        <v>2039</v>
      </c>
      <c r="B54" s="33">
        <v>36</v>
      </c>
      <c r="C54" s="33"/>
      <c r="D54" s="33"/>
      <c r="E54" s="33"/>
      <c r="F54" s="33"/>
      <c r="G54" s="33">
        <v>163146</v>
      </c>
      <c r="H54" s="43">
        <v>43749</v>
      </c>
      <c r="I54" s="33">
        <v>39</v>
      </c>
      <c r="J54" s="33" t="s">
        <v>762</v>
      </c>
      <c r="K54" s="33" t="s">
        <v>446</v>
      </c>
      <c r="L54" s="33" t="s">
        <v>763</v>
      </c>
      <c r="N54" s="3" t="b">
        <f t="shared" si="0"/>
        <v>0</v>
      </c>
      <c r="O54" s="23" t="str">
        <f>IFERROR(VLOOKUP(A54, '2023 Full View'!$1:$1000, 1, FALSE), "")</f>
        <v/>
      </c>
      <c r="P54" s="3" t="str">
        <f ca="1">IFERROR(__xludf.DUMMYFUNCTION("iferror(TEXTJOIN("", "",TRUE, FILTER($B$1:$E$1,B54:E54&lt;&gt;"""")),"""")"),"Jamie")</f>
        <v>Jamie</v>
      </c>
    </row>
    <row r="55" spans="1:16" ht="13">
      <c r="A55" s="33" t="s">
        <v>1799</v>
      </c>
      <c r="B55" s="33"/>
      <c r="C55" s="33">
        <v>96</v>
      </c>
      <c r="D55" s="33"/>
      <c r="E55" s="33"/>
      <c r="F55" s="33"/>
      <c r="G55" s="33">
        <v>164410</v>
      </c>
      <c r="H55" s="43">
        <v>45422</v>
      </c>
      <c r="I55" s="33">
        <v>40</v>
      </c>
      <c r="J55" s="33" t="s">
        <v>2469</v>
      </c>
      <c r="K55" s="33" t="s">
        <v>376</v>
      </c>
      <c r="L55" s="33" t="s">
        <v>969</v>
      </c>
      <c r="N55" s="3" t="b">
        <f t="shared" si="0"/>
        <v>0</v>
      </c>
      <c r="O55" s="23" t="str">
        <f>IFERROR(VLOOKUP(A55, '2023 Full View'!$1:$1000, 1, FALSE), "")</f>
        <v/>
      </c>
      <c r="P55" s="3" t="str">
        <f ca="1">IFERROR(__xludf.DUMMYFUNCTION("iferror(TEXTJOIN("", "",TRUE, FILTER($B$1:$E$1,B55:E55&lt;&gt;"""")),"""")"),"Maggie")</f>
        <v>Maggie</v>
      </c>
    </row>
    <row r="56" spans="1:16" ht="13">
      <c r="A56" s="33" t="s">
        <v>1886</v>
      </c>
      <c r="B56" s="33"/>
      <c r="C56" s="33">
        <v>75</v>
      </c>
      <c r="D56" s="33"/>
      <c r="E56" s="33"/>
      <c r="F56" s="33"/>
      <c r="G56" s="33">
        <v>233800</v>
      </c>
      <c r="H56" s="43">
        <v>43567</v>
      </c>
      <c r="I56" s="33">
        <v>40</v>
      </c>
      <c r="J56" s="33" t="s">
        <v>2470</v>
      </c>
      <c r="K56" s="33" t="s">
        <v>389</v>
      </c>
      <c r="L56" s="33" t="s">
        <v>757</v>
      </c>
      <c r="N56" s="3" t="b">
        <f t="shared" si="0"/>
        <v>0</v>
      </c>
      <c r="O56" s="23" t="str">
        <f>IFERROR(VLOOKUP(A56, '2023 Full View'!$1:$1000, 1, FALSE), "")</f>
        <v>TombéM. Pokora</v>
      </c>
      <c r="P56" s="3" t="str">
        <f ca="1">IFERROR(__xludf.DUMMYFUNCTION("iferror(TEXTJOIN("", "",TRUE, FILTER($B$1:$E$1,B56:E56&lt;&gt;"""")),"""")"),"Maggie")</f>
        <v>Maggie</v>
      </c>
    </row>
    <row r="57" spans="1:16" ht="13">
      <c r="A57" s="33" t="s">
        <v>1902</v>
      </c>
      <c r="B57" s="33"/>
      <c r="C57" s="33"/>
      <c r="D57" s="33"/>
      <c r="E57" s="33">
        <v>72</v>
      </c>
      <c r="F57" s="33"/>
      <c r="G57" s="33">
        <v>189135</v>
      </c>
      <c r="H57" s="43">
        <v>44827</v>
      </c>
      <c r="I57" s="33">
        <v>40</v>
      </c>
      <c r="J57" s="33"/>
      <c r="K57" s="33" t="s">
        <v>499</v>
      </c>
      <c r="L57" s="33" t="s">
        <v>820</v>
      </c>
      <c r="N57" s="3" t="b">
        <f t="shared" si="0"/>
        <v>0</v>
      </c>
      <c r="O57" s="23" t="str">
        <f>IFERROR(VLOOKUP(A57, '2023 Full View'!$1:$1000, 1, FALSE), "")</f>
        <v/>
      </c>
      <c r="P57" s="3" t="str">
        <f ca="1">IFERROR(__xludf.DUMMYFUNCTION("iferror(TEXTJOIN("", "",TRUE, FILTER($B$1:$E$1,B57:E57&lt;&gt;"""")),"""")"),"Bryce")</f>
        <v>Bryce</v>
      </c>
    </row>
    <row r="58" spans="1:16" ht="13">
      <c r="A58" s="33" t="s">
        <v>2010</v>
      </c>
      <c r="B58" s="33"/>
      <c r="C58" s="33"/>
      <c r="D58" s="33"/>
      <c r="E58" s="33">
        <v>44</v>
      </c>
      <c r="F58" s="33"/>
      <c r="G58" s="33">
        <v>234026</v>
      </c>
      <c r="H58" s="43">
        <v>43265</v>
      </c>
      <c r="I58" s="33">
        <v>40</v>
      </c>
      <c r="J58" s="33"/>
      <c r="K58" s="33" t="s">
        <v>525</v>
      </c>
      <c r="L58" s="33" t="s">
        <v>750</v>
      </c>
      <c r="N58" s="3" t="b">
        <f t="shared" si="0"/>
        <v>0</v>
      </c>
      <c r="O58" s="23" t="str">
        <f>IFERROR(VLOOKUP(A58, '2023 Full View'!$1:$1000, 1, FALSE), "")</f>
        <v/>
      </c>
      <c r="P58" s="3" t="str">
        <f ca="1">IFERROR(__xludf.DUMMYFUNCTION("iferror(TEXTJOIN("", "",TRUE, FILTER($B$1:$E$1,B58:E58&lt;&gt;"""")),"""")"),"Zach")</f>
        <v>Zach</v>
      </c>
    </row>
    <row r="59" spans="1:16" ht="13">
      <c r="A59" s="33" t="s">
        <v>1786</v>
      </c>
      <c r="B59" s="33"/>
      <c r="C59" s="33"/>
      <c r="D59" s="33">
        <v>99</v>
      </c>
      <c r="E59" s="33"/>
      <c r="F59" s="33"/>
      <c r="G59" s="33">
        <v>222000</v>
      </c>
      <c r="H59" s="43">
        <v>37263</v>
      </c>
      <c r="I59" s="33">
        <v>41</v>
      </c>
      <c r="J59" s="33" t="s">
        <v>570</v>
      </c>
      <c r="K59" s="33" t="s">
        <v>570</v>
      </c>
      <c r="L59" s="33" t="s">
        <v>666</v>
      </c>
      <c r="N59" s="3" t="b">
        <f t="shared" si="0"/>
        <v>0</v>
      </c>
      <c r="O59" s="23" t="str">
        <f>IFERROR(VLOOKUP(A59, '2023 Full View'!$1:$1000, 1, FALSE), "")</f>
        <v/>
      </c>
      <c r="P59" s="3" t="str">
        <f ca="1">IFERROR(__xludf.DUMMYFUNCTION("iferror(TEXTJOIN("", "",TRUE, FILTER($B$1:$E$1,B59:E59&lt;&gt;"""")),"""")"),"Jamie")</f>
        <v>Jamie</v>
      </c>
    </row>
    <row r="60" spans="1:16" ht="13">
      <c r="A60" s="33" t="s">
        <v>1834</v>
      </c>
      <c r="B60" s="33"/>
      <c r="C60" s="33">
        <v>88</v>
      </c>
      <c r="D60" s="33"/>
      <c r="E60" s="33"/>
      <c r="F60" s="33"/>
      <c r="G60" s="33">
        <v>227951</v>
      </c>
      <c r="H60" s="43">
        <v>44946</v>
      </c>
      <c r="I60" s="33">
        <v>41</v>
      </c>
      <c r="J60" s="33" t="s">
        <v>835</v>
      </c>
      <c r="K60" s="33" t="s">
        <v>428</v>
      </c>
      <c r="L60" s="33" t="s">
        <v>836</v>
      </c>
      <c r="N60" s="3" t="b">
        <f t="shared" si="0"/>
        <v>0</v>
      </c>
      <c r="O60" s="23" t="str">
        <f>IFERROR(VLOOKUP(A60, '2023 Full View'!$1:$1000, 1, FALSE), "")</f>
        <v/>
      </c>
      <c r="P60" s="3" t="str">
        <f ca="1">IFERROR(__xludf.DUMMYFUNCTION("iferror(TEXTJOIN("", "",TRUE, FILTER($B$1:$E$1,B60:E60&lt;&gt;"""")),"""")"),"Bryce")</f>
        <v>Bryce</v>
      </c>
    </row>
    <row r="61" spans="1:16" ht="13">
      <c r="A61" s="33" t="s">
        <v>1816</v>
      </c>
      <c r="B61" s="33"/>
      <c r="C61" s="33"/>
      <c r="D61" s="33">
        <v>92</v>
      </c>
      <c r="E61" s="33"/>
      <c r="F61" s="33"/>
      <c r="G61" s="33">
        <v>175360</v>
      </c>
      <c r="H61" s="43">
        <v>27364</v>
      </c>
      <c r="I61" s="33">
        <v>42</v>
      </c>
      <c r="J61" s="33" t="s">
        <v>636</v>
      </c>
      <c r="K61" s="33" t="s">
        <v>516</v>
      </c>
      <c r="L61" s="33" t="s">
        <v>637</v>
      </c>
      <c r="N61" s="3" t="b">
        <f t="shared" si="0"/>
        <v>0</v>
      </c>
      <c r="O61" s="23" t="str">
        <f>IFERROR(VLOOKUP(A61, '2023 Full View'!$1:$1000, 1, FALSE), "")</f>
        <v>Bad Time - Remastered 2002Grand Funk Railroad</v>
      </c>
      <c r="P61" s="3" t="str">
        <f ca="1">IFERROR(__xludf.DUMMYFUNCTION("iferror(TEXTJOIN("", "",TRUE, FILTER($B$1:$E$1,B61:E61&lt;&gt;"""")),"""")"),"Maggie")</f>
        <v>Maggie</v>
      </c>
    </row>
    <row r="62" spans="1:16" ht="13">
      <c r="A62" s="33" t="s">
        <v>1839</v>
      </c>
      <c r="B62" s="33"/>
      <c r="C62" s="33"/>
      <c r="D62" s="33">
        <v>87</v>
      </c>
      <c r="E62" s="33"/>
      <c r="F62" s="33"/>
      <c r="G62" s="33">
        <v>155373</v>
      </c>
      <c r="H62" s="43">
        <v>25594</v>
      </c>
      <c r="I62" s="33">
        <v>42</v>
      </c>
      <c r="J62" s="33" t="s">
        <v>620</v>
      </c>
      <c r="K62" s="33" t="s">
        <v>553</v>
      </c>
      <c r="L62" s="33" t="s">
        <v>621</v>
      </c>
      <c r="N62" s="3" t="b">
        <f t="shared" si="0"/>
        <v>0</v>
      </c>
      <c r="O62" s="23" t="str">
        <f>IFERROR(VLOOKUP(A62, '2023 Full View'!$1:$1000, 1, FALSE), "")</f>
        <v/>
      </c>
      <c r="P62" s="3" t="str">
        <f ca="1">IFERROR(__xludf.DUMMYFUNCTION("iferror(TEXTJOIN("", "",TRUE, FILTER($B$1:$E$1,B62:E62&lt;&gt;"""")),"""")"),"Maggie")</f>
        <v>Maggie</v>
      </c>
    </row>
    <row r="63" spans="1:16" ht="13">
      <c r="A63" s="33" t="s">
        <v>1944</v>
      </c>
      <c r="B63" s="33"/>
      <c r="C63" s="33">
        <v>61</v>
      </c>
      <c r="D63" s="33"/>
      <c r="E63" s="33"/>
      <c r="F63" s="33"/>
      <c r="G63" s="33">
        <v>137850</v>
      </c>
      <c r="H63" s="43">
        <v>44911</v>
      </c>
      <c r="I63" s="33">
        <v>42</v>
      </c>
      <c r="J63" s="33" t="s">
        <v>840</v>
      </c>
      <c r="K63" s="33" t="s">
        <v>409</v>
      </c>
      <c r="L63" s="33" t="s">
        <v>841</v>
      </c>
      <c r="N63" s="3" t="b">
        <f t="shared" si="0"/>
        <v>0</v>
      </c>
      <c r="O63" s="23" t="str">
        <f>IFERROR(VLOOKUP(A63, '2023 Full View'!$1:$1000, 1, FALSE), "")</f>
        <v/>
      </c>
      <c r="P63" s="3" t="str">
        <f ca="1">IFERROR(__xludf.DUMMYFUNCTION("iferror(TEXTJOIN("", "",TRUE, FILTER($B$1:$E$1,B63:E63&lt;&gt;"""")),"""")"),"Bryce")</f>
        <v>Bryce</v>
      </c>
    </row>
    <row r="64" spans="1:16" ht="13">
      <c r="A64" s="33" t="s">
        <v>1988</v>
      </c>
      <c r="B64" s="33"/>
      <c r="C64" s="33"/>
      <c r="D64" s="33"/>
      <c r="E64" s="33">
        <v>50</v>
      </c>
      <c r="F64" s="33"/>
      <c r="G64" s="33">
        <v>210666</v>
      </c>
      <c r="H64" s="43">
        <v>42650</v>
      </c>
      <c r="I64" s="33">
        <v>43</v>
      </c>
      <c r="J64" s="33" t="s">
        <v>732</v>
      </c>
      <c r="K64" s="33" t="s">
        <v>560</v>
      </c>
      <c r="L64" s="33" t="s">
        <v>733</v>
      </c>
      <c r="N64" s="3" t="b">
        <f t="shared" si="0"/>
        <v>0</v>
      </c>
      <c r="O64" s="23" t="str">
        <f>IFERROR(VLOOKUP(A64, '2023 Full View'!$1:$1000, 1, FALSE), "")</f>
        <v/>
      </c>
      <c r="P64" s="3" t="str">
        <f ca="1">IFERROR(__xludf.DUMMYFUNCTION("iferror(TEXTJOIN("", "",TRUE, FILTER($B$1:$E$1,B64:E64&lt;&gt;"""")),"""")"),"Bryce, Maggie")</f>
        <v>Bryce, Maggie</v>
      </c>
    </row>
    <row r="65" spans="1:16" ht="13">
      <c r="A65" s="33" t="s">
        <v>2043</v>
      </c>
      <c r="B65" s="33">
        <v>35</v>
      </c>
      <c r="C65" s="33"/>
      <c r="D65" s="33"/>
      <c r="E65" s="33"/>
      <c r="F65" s="33"/>
      <c r="G65" s="33">
        <v>177569</v>
      </c>
      <c r="H65" s="43">
        <v>44967</v>
      </c>
      <c r="I65" s="33">
        <v>43</v>
      </c>
      <c r="J65" s="33" t="s">
        <v>866</v>
      </c>
      <c r="K65" s="33" t="s">
        <v>461</v>
      </c>
      <c r="L65" s="33" t="s">
        <v>867</v>
      </c>
      <c r="N65" s="3" t="b">
        <f t="shared" si="0"/>
        <v>0</v>
      </c>
      <c r="O65" s="23" t="str">
        <f>IFERROR(VLOOKUP(A65, '2023 Full View'!$1:$1000, 1, FALSE), "")</f>
        <v/>
      </c>
      <c r="P65" s="3" t="str">
        <f ca="1">IFERROR(__xludf.DUMMYFUNCTION("iferror(TEXTJOIN("", "",TRUE, FILTER($B$1:$E$1,B65:E65&lt;&gt;"""")),"""")"),"Jamie")</f>
        <v>Jamie</v>
      </c>
    </row>
    <row r="66" spans="1:16" ht="13">
      <c r="A66" s="33" t="s">
        <v>2108</v>
      </c>
      <c r="B66" s="33">
        <v>18</v>
      </c>
      <c r="C66" s="33"/>
      <c r="D66" s="33"/>
      <c r="E66" s="33"/>
      <c r="F66" s="33"/>
      <c r="G66" s="33">
        <v>193262</v>
      </c>
      <c r="H66" s="43">
        <v>45471</v>
      </c>
      <c r="I66" s="33">
        <v>43</v>
      </c>
      <c r="J66" s="33"/>
      <c r="K66" s="33" t="s">
        <v>367</v>
      </c>
      <c r="L66" s="33" t="s">
        <v>994</v>
      </c>
      <c r="N66" s="3" t="b">
        <f t="shared" si="0"/>
        <v>0</v>
      </c>
      <c r="O66" s="23" t="str">
        <f>IFERROR(VLOOKUP(A66, '2023 Full View'!$1:$1000, 1, FALSE), "")</f>
        <v/>
      </c>
      <c r="P66" s="3" t="str">
        <f ca="1">IFERROR(__xludf.DUMMYFUNCTION("iferror(TEXTJOIN("", "",TRUE, FILTER($B$1:$E$1,B66:E66&lt;&gt;"""")),"""")"),"Bryce")</f>
        <v>Bryce</v>
      </c>
    </row>
    <row r="67" spans="1:16" ht="13">
      <c r="A67" s="33" t="s">
        <v>1835</v>
      </c>
      <c r="B67" s="33"/>
      <c r="C67" s="33"/>
      <c r="D67" s="33">
        <v>88</v>
      </c>
      <c r="E67" s="33"/>
      <c r="F67" s="33" t="s">
        <v>577</v>
      </c>
      <c r="G67" s="33">
        <v>221360</v>
      </c>
      <c r="H67" s="43">
        <v>40508</v>
      </c>
      <c r="I67" s="33">
        <v>44</v>
      </c>
      <c r="J67" s="33" t="s">
        <v>2471</v>
      </c>
      <c r="K67" s="33" t="s">
        <v>567</v>
      </c>
      <c r="L67" s="33" t="s">
        <v>691</v>
      </c>
      <c r="N67" s="3" t="b">
        <f t="shared" si="0"/>
        <v>0</v>
      </c>
      <c r="O67" s="23" t="str">
        <f>IFERROR(VLOOKUP(A67, '2023 Full View'!$1:$1000, 1, FALSE), "")</f>
        <v/>
      </c>
      <c r="P67" s="3" t="str">
        <f ca="1">IFERROR(__xludf.DUMMYFUNCTION("iferror(TEXTJOIN("", "",TRUE, FILTER($B$1:$E$1,B67:E67&lt;&gt;"""")),"""")"),"Maggie")</f>
        <v>Maggie</v>
      </c>
    </row>
    <row r="68" spans="1:16" ht="13">
      <c r="A68" s="33" t="s">
        <v>1867</v>
      </c>
      <c r="B68" s="33"/>
      <c r="C68" s="33">
        <v>80</v>
      </c>
      <c r="D68" s="33"/>
      <c r="E68" s="33"/>
      <c r="F68" s="33"/>
      <c r="G68" s="33">
        <v>199293</v>
      </c>
      <c r="H68" s="43">
        <v>44979</v>
      </c>
      <c r="I68" s="33">
        <v>44</v>
      </c>
      <c r="J68" s="33" t="s">
        <v>868</v>
      </c>
      <c r="K68" s="33" t="s">
        <v>436</v>
      </c>
      <c r="L68" s="33" t="s">
        <v>842</v>
      </c>
      <c r="N68" s="3" t="b">
        <f t="shared" si="0"/>
        <v>0</v>
      </c>
      <c r="O68" s="23" t="str">
        <f>IFERROR(VLOOKUP(A68, '2023 Full View'!$1:$1000, 1, FALSE), "")</f>
        <v/>
      </c>
      <c r="P68" s="3" t="str">
        <f ca="1">IFERROR(__xludf.DUMMYFUNCTION("iferror(TEXTJOIN("", "",TRUE, FILTER($B$1:$E$1,B68:E68&lt;&gt;"""")),"""")"),"Jamie")</f>
        <v>Jamie</v>
      </c>
    </row>
    <row r="69" spans="1:16" ht="13">
      <c r="A69" s="33" t="s">
        <v>1880</v>
      </c>
      <c r="B69" s="33"/>
      <c r="C69" s="33"/>
      <c r="D69" s="33">
        <v>77</v>
      </c>
      <c r="E69" s="33"/>
      <c r="F69" s="33"/>
      <c r="G69" s="33">
        <v>169693</v>
      </c>
      <c r="H69" s="43">
        <v>26665</v>
      </c>
      <c r="I69" s="33">
        <v>44</v>
      </c>
      <c r="J69" s="33" t="s">
        <v>631</v>
      </c>
      <c r="K69" s="33" t="s">
        <v>540</v>
      </c>
      <c r="L69" s="33" t="s">
        <v>632</v>
      </c>
      <c r="N69" s="3" t="b">
        <f t="shared" si="0"/>
        <v>0</v>
      </c>
      <c r="O69" s="23" t="str">
        <f>IFERROR(VLOOKUP(A69, '2023 Full View'!$1:$1000, 1, FALSE), "")</f>
        <v/>
      </c>
      <c r="P69" s="3" t="str">
        <f ca="1">IFERROR(__xludf.DUMMYFUNCTION("iferror(TEXTJOIN("", "",TRUE, FILTER($B$1:$E$1,B69:E69&lt;&gt;"""")),"""")"),"Bryce")</f>
        <v>Bryce</v>
      </c>
    </row>
    <row r="70" spans="1:16" ht="13">
      <c r="A70" s="33" t="s">
        <v>1899</v>
      </c>
      <c r="B70" s="33">
        <v>72</v>
      </c>
      <c r="C70" s="33"/>
      <c r="D70" s="33"/>
      <c r="E70" s="33">
        <v>12</v>
      </c>
      <c r="F70" s="33"/>
      <c r="G70" s="33">
        <v>162701</v>
      </c>
      <c r="H70" s="43">
        <v>45156</v>
      </c>
      <c r="I70" s="33">
        <v>44</v>
      </c>
      <c r="J70" s="33" t="s">
        <v>2464</v>
      </c>
      <c r="K70" s="33" t="s">
        <v>439</v>
      </c>
      <c r="L70" s="33" t="s">
        <v>889</v>
      </c>
      <c r="N70" s="3" t="b">
        <f t="shared" si="0"/>
        <v>1</v>
      </c>
      <c r="O70" s="23" t="str">
        <f>IFERROR(VLOOKUP(A70, '2023 Full View'!$1:$1000, 1, FALSE), "")</f>
        <v>If I'm HonestTrousdale</v>
      </c>
      <c r="P70" s="3" t="str">
        <f ca="1">IFERROR(__xludf.DUMMYFUNCTION("iferror(TEXTJOIN("", "",TRUE, FILTER($B$1:$E$1,B70:E70&lt;&gt;"""")),"""")"),"Zach")</f>
        <v>Zach</v>
      </c>
    </row>
    <row r="71" spans="1:16" ht="13">
      <c r="A71" s="33" t="s">
        <v>2013</v>
      </c>
      <c r="B71" s="33"/>
      <c r="C71" s="33"/>
      <c r="D71" s="33"/>
      <c r="E71" s="33">
        <v>43</v>
      </c>
      <c r="F71" s="33"/>
      <c r="G71" s="33">
        <v>204800</v>
      </c>
      <c r="H71" s="43">
        <v>45394</v>
      </c>
      <c r="I71" s="33">
        <v>44</v>
      </c>
      <c r="J71" s="33" t="s">
        <v>948</v>
      </c>
      <c r="K71" s="33" t="s">
        <v>359</v>
      </c>
      <c r="L71" s="33" t="s">
        <v>950</v>
      </c>
      <c r="N71" s="3" t="b">
        <f t="shared" si="0"/>
        <v>0</v>
      </c>
      <c r="O71" s="23" t="str">
        <f>IFERROR(VLOOKUP(A71, '2023 Full View'!$1:$1000, 1, FALSE), "")</f>
        <v/>
      </c>
      <c r="P71" s="3" t="str">
        <f ca="1">IFERROR(__xludf.DUMMYFUNCTION("iferror(TEXTJOIN("", "",TRUE, FILTER($B$1:$E$1,B71:E71&lt;&gt;"""")),"""")"),"Maggie")</f>
        <v>Maggie</v>
      </c>
    </row>
    <row r="72" spans="1:16" ht="13">
      <c r="A72" s="33" t="s">
        <v>2019</v>
      </c>
      <c r="B72" s="33"/>
      <c r="C72" s="33"/>
      <c r="D72" s="33">
        <v>41</v>
      </c>
      <c r="E72" s="33"/>
      <c r="F72" s="33"/>
      <c r="G72" s="33">
        <v>143000</v>
      </c>
      <c r="H72" s="43">
        <v>40918</v>
      </c>
      <c r="I72" s="33">
        <v>44</v>
      </c>
      <c r="J72" s="33" t="s">
        <v>698</v>
      </c>
      <c r="K72" s="33" t="s">
        <v>543</v>
      </c>
      <c r="L72" s="33" t="s">
        <v>699</v>
      </c>
      <c r="N72" s="3" t="b">
        <f t="shared" si="0"/>
        <v>0</v>
      </c>
      <c r="O72" s="23" t="str">
        <f>IFERROR(VLOOKUP(A72, '2023 Full View'!$1:$1000, 1, FALSE), "")</f>
        <v/>
      </c>
      <c r="P72" s="3" t="str">
        <f ca="1">IFERROR(__xludf.DUMMYFUNCTION("iferror(TEXTJOIN("", "",TRUE, FILTER($B$1:$E$1,B72:E72&lt;&gt;"""")),"""")"),"Zach")</f>
        <v>Zach</v>
      </c>
    </row>
    <row r="73" spans="1:16" ht="13">
      <c r="A73" s="33" t="s">
        <v>2026</v>
      </c>
      <c r="B73" s="33"/>
      <c r="C73" s="33">
        <v>39</v>
      </c>
      <c r="D73" s="33"/>
      <c r="E73" s="33"/>
      <c r="F73" s="33"/>
      <c r="G73" s="33">
        <v>120192</v>
      </c>
      <c r="H73" s="43">
        <v>45476</v>
      </c>
      <c r="I73" s="33">
        <v>44</v>
      </c>
      <c r="J73" s="33"/>
      <c r="K73" s="33" t="s">
        <v>384</v>
      </c>
      <c r="L73" s="33" t="s">
        <v>995</v>
      </c>
      <c r="N73" s="3" t="b">
        <f t="shared" si="0"/>
        <v>0</v>
      </c>
      <c r="O73" s="23" t="str">
        <f>IFERROR(VLOOKUP(A73, '2023 Full View'!$1:$1000, 1, FALSE), "")</f>
        <v/>
      </c>
      <c r="P73" s="3" t="str">
        <f ca="1">IFERROR(__xludf.DUMMYFUNCTION("iferror(TEXTJOIN("", "",TRUE, FILTER($B$1:$E$1,B73:E73&lt;&gt;"""")),"""")"),"Maggie")</f>
        <v>Maggie</v>
      </c>
    </row>
    <row r="74" spans="1:16" ht="13">
      <c r="A74" s="33" t="s">
        <v>1879</v>
      </c>
      <c r="B74" s="33"/>
      <c r="C74" s="33">
        <v>77</v>
      </c>
      <c r="D74" s="33"/>
      <c r="E74" s="33"/>
      <c r="F74" s="33"/>
      <c r="G74" s="33">
        <v>236754</v>
      </c>
      <c r="H74" s="43">
        <v>45009</v>
      </c>
      <c r="I74" s="33">
        <v>45</v>
      </c>
      <c r="J74" s="33" t="s">
        <v>852</v>
      </c>
      <c r="K74" s="33" t="s">
        <v>432</v>
      </c>
      <c r="L74" s="33" t="s">
        <v>853</v>
      </c>
      <c r="N74" s="3" t="b">
        <f t="shared" si="0"/>
        <v>0</v>
      </c>
      <c r="O74" s="23" t="str">
        <f>IFERROR(VLOOKUP(A74, '2023 Full View'!$1:$1000, 1, FALSE), "")</f>
        <v/>
      </c>
      <c r="P74" s="3" t="str">
        <f ca="1">IFERROR(__xludf.DUMMYFUNCTION("iferror(TEXTJOIN("", "",TRUE, FILTER($B$1:$E$1,B74:E74&lt;&gt;"""")),"""")"),"Jamie")</f>
        <v>Jamie</v>
      </c>
    </row>
    <row r="75" spans="1:16" ht="13">
      <c r="A75" s="33" t="s">
        <v>2038</v>
      </c>
      <c r="B75" s="33"/>
      <c r="C75" s="33"/>
      <c r="D75" s="33"/>
      <c r="E75" s="33">
        <v>37</v>
      </c>
      <c r="F75" s="33"/>
      <c r="G75" s="33">
        <v>177733</v>
      </c>
      <c r="H75" s="43">
        <v>45366</v>
      </c>
      <c r="I75" s="33">
        <v>45</v>
      </c>
      <c r="J75" s="33" t="s">
        <v>2472</v>
      </c>
      <c r="K75" s="33" t="s">
        <v>480</v>
      </c>
      <c r="L75" s="33" t="s">
        <v>932</v>
      </c>
      <c r="N75" s="3" t="b">
        <f t="shared" si="0"/>
        <v>0</v>
      </c>
      <c r="O75" s="23" t="str">
        <f>IFERROR(VLOOKUP(A75, '2023 Full View'!$1:$1000, 1, FALSE), "")</f>
        <v/>
      </c>
      <c r="P75" s="3" t="str">
        <f ca="1">IFERROR(__xludf.DUMMYFUNCTION("iferror(TEXTJOIN("", "",TRUE, FILTER($B$1:$E$1,B75:E75&lt;&gt;"""")),"""")"),"Jamie")</f>
        <v>Jamie</v>
      </c>
    </row>
    <row r="76" spans="1:16" ht="13">
      <c r="A76" s="33" t="s">
        <v>2150</v>
      </c>
      <c r="B76" s="33"/>
      <c r="C76" s="33">
        <v>7</v>
      </c>
      <c r="D76" s="33"/>
      <c r="E76" s="33"/>
      <c r="F76" s="33"/>
      <c r="G76" s="33">
        <v>191949</v>
      </c>
      <c r="H76" s="43">
        <v>45497</v>
      </c>
      <c r="I76" s="33">
        <v>45</v>
      </c>
      <c r="J76" s="33"/>
      <c r="K76" s="33" t="s">
        <v>435</v>
      </c>
      <c r="L76" s="33" t="s">
        <v>1863</v>
      </c>
      <c r="N76" s="3" t="b">
        <f t="shared" si="0"/>
        <v>0</v>
      </c>
      <c r="O76" s="23" t="str">
        <f>IFERROR(VLOOKUP(A76, '2023 Full View'!$1:$1000, 1, FALSE), "")</f>
        <v/>
      </c>
      <c r="P76" s="3" t="str">
        <f ca="1">IFERROR(__xludf.DUMMYFUNCTION("iferror(TEXTJOIN("", "",TRUE, FILTER($B$1:$E$1,B76:E76&lt;&gt;"""")),"""")"),"Jamie")</f>
        <v>Jamie</v>
      </c>
    </row>
    <row r="77" spans="1:16" ht="13">
      <c r="A77" s="33" t="s">
        <v>1906</v>
      </c>
      <c r="B77" s="33"/>
      <c r="C77" s="33"/>
      <c r="D77" s="33"/>
      <c r="E77" s="33">
        <v>71</v>
      </c>
      <c r="F77" s="33"/>
      <c r="G77" s="33">
        <v>207280</v>
      </c>
      <c r="H77" s="43">
        <v>45394</v>
      </c>
      <c r="I77" s="33">
        <v>46</v>
      </c>
      <c r="J77" s="33" t="s">
        <v>948</v>
      </c>
      <c r="K77" s="33" t="s">
        <v>359</v>
      </c>
      <c r="L77" s="33" t="s">
        <v>949</v>
      </c>
      <c r="N77" s="3" t="b">
        <f t="shared" si="0"/>
        <v>0</v>
      </c>
      <c r="O77" s="23" t="str">
        <f>IFERROR(VLOOKUP(A77, '2023 Full View'!$1:$1000, 1, FALSE), "")</f>
        <v/>
      </c>
      <c r="P77" s="3" t="str">
        <f ca="1">IFERROR(__xludf.DUMMYFUNCTION("iferror(TEXTJOIN("", "",TRUE, FILTER($B$1:$E$1,B77:E77&lt;&gt;"""")),"""")"),"Jamie")</f>
        <v>Jamie</v>
      </c>
    </row>
    <row r="78" spans="1:16" ht="13">
      <c r="A78" s="33" t="s">
        <v>1945</v>
      </c>
      <c r="B78" s="33"/>
      <c r="C78" s="33"/>
      <c r="D78" s="33">
        <v>61</v>
      </c>
      <c r="E78" s="33"/>
      <c r="F78" s="33"/>
      <c r="G78" s="33">
        <v>187973</v>
      </c>
      <c r="H78" s="43">
        <v>28491</v>
      </c>
      <c r="I78" s="33">
        <v>46</v>
      </c>
      <c r="J78" s="33" t="s">
        <v>2473</v>
      </c>
      <c r="K78" s="33" t="s">
        <v>502</v>
      </c>
      <c r="L78" s="33" t="s">
        <v>595</v>
      </c>
      <c r="N78" s="3" t="b">
        <f t="shared" si="0"/>
        <v>0</v>
      </c>
      <c r="O78" s="23" t="str">
        <f>IFERROR(VLOOKUP(A78, '2023 Full View'!$1:$1000, 1, FALSE), "")</f>
        <v/>
      </c>
      <c r="P78" s="3" t="str">
        <f ca="1">IFERROR(__xludf.DUMMYFUNCTION("iferror(TEXTJOIN("", "",TRUE, FILTER($B$1:$E$1,B78:E78&lt;&gt;"""")),"""")"),"Bryce")</f>
        <v>Bryce</v>
      </c>
    </row>
    <row r="79" spans="1:16" ht="13">
      <c r="A79" s="33" t="s">
        <v>2081</v>
      </c>
      <c r="B79" s="33">
        <v>25</v>
      </c>
      <c r="C79" s="33"/>
      <c r="D79" s="33"/>
      <c r="E79" s="33"/>
      <c r="F79" s="33"/>
      <c r="G79" s="33">
        <v>190733</v>
      </c>
      <c r="H79" s="43">
        <v>45351</v>
      </c>
      <c r="I79" s="33">
        <v>46</v>
      </c>
      <c r="J79" s="33"/>
      <c r="K79" s="33" t="s">
        <v>483</v>
      </c>
      <c r="L79" s="33" t="s">
        <v>927</v>
      </c>
      <c r="N79" s="3" t="b">
        <f t="shared" si="0"/>
        <v>0</v>
      </c>
      <c r="O79" s="23" t="str">
        <f>IFERROR(VLOOKUP(A79, '2023 Full View'!$1:$1000, 1, FALSE), "")</f>
        <v/>
      </c>
      <c r="P79" s="3" t="str">
        <f ca="1">IFERROR(__xludf.DUMMYFUNCTION("iferror(TEXTJOIN("", "",TRUE, FILTER($B$1:$E$1,B79:E79&lt;&gt;"""")),"""")"),"Maggie")</f>
        <v>Maggie</v>
      </c>
    </row>
    <row r="80" spans="1:16" ht="13">
      <c r="A80" s="33" t="s">
        <v>1858</v>
      </c>
      <c r="B80" s="33">
        <v>76</v>
      </c>
      <c r="C80" s="33">
        <v>82</v>
      </c>
      <c r="D80" s="33"/>
      <c r="E80" s="33"/>
      <c r="F80" s="33" t="s">
        <v>367</v>
      </c>
      <c r="G80" s="33">
        <v>161352</v>
      </c>
      <c r="H80" s="43">
        <v>45485</v>
      </c>
      <c r="I80" s="33">
        <v>47</v>
      </c>
      <c r="J80" s="33" t="s">
        <v>997</v>
      </c>
      <c r="K80" s="33" t="s">
        <v>428</v>
      </c>
      <c r="L80" s="33" t="s">
        <v>998</v>
      </c>
      <c r="N80" s="3" t="b">
        <f t="shared" si="0"/>
        <v>1</v>
      </c>
      <c r="O80" s="23" t="str">
        <f>IFERROR(VLOOKUP(A80, '2023 Full View'!$1:$1000, 1, FALSE), "")</f>
        <v/>
      </c>
      <c r="P80" s="3" t="str">
        <f ca="1">IFERROR(__xludf.DUMMYFUNCTION("iferror(TEXTJOIN("", "",TRUE, FILTER($B$1:$E$1,B80:E80&lt;&gt;"""")),"""")"),"Jamie")</f>
        <v>Jamie</v>
      </c>
    </row>
    <row r="81" spans="1:16" ht="13">
      <c r="A81" s="33" t="s">
        <v>1916</v>
      </c>
      <c r="B81" s="33"/>
      <c r="C81" s="33"/>
      <c r="D81" s="33">
        <v>68</v>
      </c>
      <c r="E81" s="33"/>
      <c r="F81" s="33" t="s">
        <v>571</v>
      </c>
      <c r="G81" s="33">
        <v>208333</v>
      </c>
      <c r="H81" s="43">
        <v>39448</v>
      </c>
      <c r="I81" s="33">
        <v>47</v>
      </c>
      <c r="J81" s="33" t="s">
        <v>605</v>
      </c>
      <c r="K81" s="33" t="s">
        <v>492</v>
      </c>
      <c r="L81" s="33" t="s">
        <v>606</v>
      </c>
      <c r="N81" s="3" t="b">
        <f t="shared" si="0"/>
        <v>0</v>
      </c>
      <c r="O81" s="23" t="str">
        <f>IFERROR(VLOOKUP(A81, '2023 Full View'!$1:$1000, 1, FALSE), "")</f>
        <v/>
      </c>
      <c r="P81" s="3" t="str">
        <f ca="1">IFERROR(__xludf.DUMMYFUNCTION("iferror(TEXTJOIN("", "",TRUE, FILTER($B$1:$E$1,B81:E81&lt;&gt;"""")),"""")"),"Bryce")</f>
        <v>Bryce</v>
      </c>
    </row>
    <row r="82" spans="1:16" ht="13">
      <c r="A82" s="33" t="s">
        <v>1847</v>
      </c>
      <c r="B82" s="33"/>
      <c r="C82" s="33"/>
      <c r="D82" s="33">
        <v>85</v>
      </c>
      <c r="E82" s="33"/>
      <c r="F82" s="33"/>
      <c r="G82" s="33">
        <v>190466</v>
      </c>
      <c r="H82" s="43">
        <v>27631</v>
      </c>
      <c r="I82" s="33">
        <v>47</v>
      </c>
      <c r="J82" s="33" t="s">
        <v>638</v>
      </c>
      <c r="K82" s="33" t="s">
        <v>558</v>
      </c>
      <c r="L82" s="33" t="s">
        <v>639</v>
      </c>
      <c r="N82" s="3" t="b">
        <f t="shared" si="0"/>
        <v>0</v>
      </c>
      <c r="O82" s="23" t="str">
        <f>IFERROR(VLOOKUP(A82, '2023 Full View'!$1:$1000, 1, FALSE), "")</f>
        <v>Tenth Avenue Freeze-OutBruce Springsteen</v>
      </c>
      <c r="P82" s="3" t="str">
        <f ca="1">IFERROR(__xludf.DUMMYFUNCTION("iferror(TEXTJOIN("", "",TRUE, FILTER($B$1:$E$1,B82:E82&lt;&gt;"""")),"""")"),"Bryce")</f>
        <v>Bryce</v>
      </c>
    </row>
    <row r="83" spans="1:16" ht="13">
      <c r="A83" s="33" t="s">
        <v>1869</v>
      </c>
      <c r="B83" s="33"/>
      <c r="C83" s="33"/>
      <c r="D83" s="33"/>
      <c r="E83" s="33">
        <v>80</v>
      </c>
      <c r="F83" s="33"/>
      <c r="G83" s="33">
        <v>241351</v>
      </c>
      <c r="H83" s="43">
        <v>40567</v>
      </c>
      <c r="I83" s="33">
        <v>47</v>
      </c>
      <c r="J83" s="33">
        <v>21</v>
      </c>
      <c r="K83" s="33" t="s">
        <v>485</v>
      </c>
      <c r="L83" s="33" t="s">
        <v>693</v>
      </c>
      <c r="N83" s="3" t="b">
        <f t="shared" si="0"/>
        <v>0</v>
      </c>
      <c r="O83" s="23" t="str">
        <f>IFERROR(VLOOKUP(A83, '2023 Full View'!$1:$1000, 1, FALSE), "")</f>
        <v/>
      </c>
      <c r="P83" s="3" t="str">
        <f ca="1">IFERROR(__xludf.DUMMYFUNCTION("iferror(TEXTJOIN("", "",TRUE, FILTER($B$1:$E$1,B83:E83&lt;&gt;"""")),"""")"),"Bryce")</f>
        <v>Bryce</v>
      </c>
    </row>
    <row r="84" spans="1:16" ht="13">
      <c r="A84" s="33" t="s">
        <v>1875</v>
      </c>
      <c r="B84" s="33"/>
      <c r="C84" s="33">
        <v>78</v>
      </c>
      <c r="D84" s="33"/>
      <c r="E84" s="33"/>
      <c r="F84" s="33"/>
      <c r="G84" s="33">
        <v>242586</v>
      </c>
      <c r="H84" s="43">
        <v>42244</v>
      </c>
      <c r="I84" s="33">
        <v>47</v>
      </c>
      <c r="J84" s="33" t="s">
        <v>722</v>
      </c>
      <c r="K84" s="33" t="s">
        <v>433</v>
      </c>
      <c r="L84" s="33" t="s">
        <v>723</v>
      </c>
      <c r="N84" s="3" t="b">
        <f t="shared" si="0"/>
        <v>0</v>
      </c>
      <c r="O84" s="23" t="str">
        <f>IFERROR(VLOOKUP(A84, '2023 Full View'!$1:$1000, 1, FALSE), "")</f>
        <v>Mon coeur avait raison - Pilule bleueGIMS</v>
      </c>
      <c r="P84" s="3" t="str">
        <f ca="1">IFERROR(__xludf.DUMMYFUNCTION("iferror(TEXTJOIN("", "",TRUE, FILTER($B$1:$E$1,B84:E84&lt;&gt;"""")),"""")"),"Zach")</f>
        <v>Zach</v>
      </c>
    </row>
    <row r="85" spans="1:16" ht="13">
      <c r="A85" s="33" t="s">
        <v>2042</v>
      </c>
      <c r="B85" s="33"/>
      <c r="C85" s="33"/>
      <c r="D85" s="33"/>
      <c r="E85" s="33">
        <v>36</v>
      </c>
      <c r="F85" s="33"/>
      <c r="G85" s="33">
        <v>248533</v>
      </c>
      <c r="H85" s="43">
        <v>44638</v>
      </c>
      <c r="I85" s="33">
        <v>47</v>
      </c>
      <c r="J85" s="33" t="s">
        <v>838</v>
      </c>
      <c r="K85" s="33" t="s">
        <v>550</v>
      </c>
      <c r="L85" s="33" t="s">
        <v>839</v>
      </c>
      <c r="N85" s="3" t="b">
        <f t="shared" si="0"/>
        <v>0</v>
      </c>
      <c r="O85" s="23" t="str">
        <f>IFERROR(VLOOKUP(A85, '2023 Full View'!$1:$1000, 1, FALSE), "")</f>
        <v/>
      </c>
      <c r="P85" s="3" t="str">
        <f ca="1">IFERROR(__xludf.DUMMYFUNCTION("iferror(TEXTJOIN("", "",TRUE, FILTER($B$1:$E$1,B85:E85&lt;&gt;"""")),"""")"),"Maggie, Jamie")</f>
        <v>Maggie, Jamie</v>
      </c>
    </row>
    <row r="86" spans="1:16" ht="13">
      <c r="A86" s="33" t="s">
        <v>2055</v>
      </c>
      <c r="B86" s="33"/>
      <c r="C86" s="33"/>
      <c r="D86" s="33"/>
      <c r="E86" s="33">
        <v>33</v>
      </c>
      <c r="F86" s="33"/>
      <c r="G86" s="33">
        <v>191413</v>
      </c>
      <c r="H86" s="43">
        <v>45366</v>
      </c>
      <c r="I86" s="33">
        <v>47</v>
      </c>
      <c r="J86" s="33" t="s">
        <v>2472</v>
      </c>
      <c r="K86" s="33" t="s">
        <v>480</v>
      </c>
      <c r="L86" s="33" t="s">
        <v>931</v>
      </c>
      <c r="N86" s="3" t="b">
        <f t="shared" si="0"/>
        <v>0</v>
      </c>
      <c r="O86" s="23" t="str">
        <f>IFERROR(VLOOKUP(A86, '2023 Full View'!$1:$1000, 1, FALSE), "")</f>
        <v/>
      </c>
      <c r="P86" s="3" t="str">
        <f ca="1">IFERROR(__xludf.DUMMYFUNCTION("iferror(TEXTJOIN("", "",TRUE, FILTER($B$1:$E$1,B86:E86&lt;&gt;"""")),"""")"),"Bryce")</f>
        <v>Bryce</v>
      </c>
    </row>
    <row r="87" spans="1:16" ht="13">
      <c r="A87" s="33" t="s">
        <v>2070</v>
      </c>
      <c r="B87" s="33">
        <v>28</v>
      </c>
      <c r="C87" s="33"/>
      <c r="D87" s="33"/>
      <c r="E87" s="33"/>
      <c r="F87" s="33" t="s">
        <v>467</v>
      </c>
      <c r="G87" s="33">
        <v>199000</v>
      </c>
      <c r="H87" s="43">
        <v>44701</v>
      </c>
      <c r="I87" s="33">
        <v>48</v>
      </c>
      <c r="J87" s="33"/>
      <c r="K87" s="33" t="s">
        <v>459</v>
      </c>
      <c r="L87" s="33" t="s">
        <v>806</v>
      </c>
      <c r="N87" s="3" t="b">
        <f t="shared" si="0"/>
        <v>0</v>
      </c>
      <c r="O87" s="23" t="str">
        <f>IFERROR(VLOOKUP(A87, '2023 Full View'!$1:$1000, 1, FALSE), "")</f>
        <v/>
      </c>
      <c r="P87" s="3" t="str">
        <f ca="1">IFERROR(__xludf.DUMMYFUNCTION("iferror(TEXTJOIN("", "",TRUE, FILTER($B$1:$E$1,B87:E87&lt;&gt;"""")),"""")"),"Bryce")</f>
        <v>Bryce</v>
      </c>
    </row>
    <row r="88" spans="1:16" ht="13">
      <c r="A88" s="33" t="s">
        <v>1845</v>
      </c>
      <c r="B88" s="33">
        <v>85</v>
      </c>
      <c r="C88" s="33"/>
      <c r="D88" s="33"/>
      <c r="E88" s="33"/>
      <c r="F88" s="33"/>
      <c r="G88" s="33">
        <v>198000</v>
      </c>
      <c r="H88" s="43">
        <v>44736</v>
      </c>
      <c r="I88" s="33">
        <v>48</v>
      </c>
      <c r="J88" s="33" t="s">
        <v>821</v>
      </c>
      <c r="K88" s="33" t="s">
        <v>460</v>
      </c>
      <c r="L88" s="33" t="s">
        <v>822</v>
      </c>
      <c r="N88" s="3" t="b">
        <f t="shared" si="0"/>
        <v>0</v>
      </c>
      <c r="O88" s="23" t="str">
        <f>IFERROR(VLOOKUP(A88, '2023 Full View'!$1:$1000, 1, FALSE), "")</f>
        <v>Every Night Every MorningMaddie &amp; Tae</v>
      </c>
      <c r="P88" s="3" t="str">
        <f ca="1">IFERROR(__xludf.DUMMYFUNCTION("iferror(TEXTJOIN("", "",TRUE, FILTER($B$1:$E$1,B88:E88&lt;&gt;"""")),"""")"),"Jamie")</f>
        <v>Jamie</v>
      </c>
    </row>
    <row r="89" spans="1:16" ht="13">
      <c r="A89" s="33" t="s">
        <v>1877</v>
      </c>
      <c r="B89" s="33"/>
      <c r="C89" s="33"/>
      <c r="D89" s="33"/>
      <c r="E89" s="33">
        <v>78</v>
      </c>
      <c r="F89" s="33"/>
      <c r="G89" s="33">
        <v>224960</v>
      </c>
      <c r="H89" s="43">
        <v>45387</v>
      </c>
      <c r="I89" s="33">
        <v>48</v>
      </c>
      <c r="J89" s="33" t="s">
        <v>2474</v>
      </c>
      <c r="K89" s="33" t="s">
        <v>487</v>
      </c>
      <c r="L89" s="33" t="s">
        <v>941</v>
      </c>
      <c r="N89" s="3" t="b">
        <f t="shared" si="0"/>
        <v>0</v>
      </c>
      <c r="O89" s="23" t="str">
        <f>IFERROR(VLOOKUP(A89, '2023 Full View'!$1:$1000, 1, FALSE), "")</f>
        <v/>
      </c>
      <c r="P89" s="3" t="str">
        <f ca="1">IFERROR(__xludf.DUMMYFUNCTION("iferror(TEXTJOIN("", "",TRUE, FILTER($B$1:$E$1,B89:E89&lt;&gt;"""")),"""")"),"Maggie")</f>
        <v>Maggie</v>
      </c>
    </row>
    <row r="90" spans="1:16" ht="13">
      <c r="A90" s="33" t="s">
        <v>1898</v>
      </c>
      <c r="B90" s="33"/>
      <c r="C90" s="33"/>
      <c r="D90" s="33"/>
      <c r="E90" s="33">
        <v>73</v>
      </c>
      <c r="F90" s="33"/>
      <c r="G90" s="33">
        <v>209400</v>
      </c>
      <c r="H90" s="43">
        <v>41688</v>
      </c>
      <c r="I90" s="33">
        <v>48</v>
      </c>
      <c r="J90" s="33" t="s">
        <v>711</v>
      </c>
      <c r="K90" s="33" t="s">
        <v>566</v>
      </c>
      <c r="L90" s="33" t="s">
        <v>712</v>
      </c>
      <c r="N90" s="3" t="b">
        <f t="shared" si="0"/>
        <v>0</v>
      </c>
      <c r="O90" s="23" t="str">
        <f>IFERROR(VLOOKUP(A90, '2023 Full View'!$1:$1000, 1, FALSE), "")</f>
        <v/>
      </c>
      <c r="P90" s="3" t="str">
        <f ca="1">IFERROR(__xludf.DUMMYFUNCTION("iferror(TEXTJOIN("", "",TRUE, FILTER($B$1:$E$1,B90:E90&lt;&gt;"""")),"""")"),"Bryce")</f>
        <v>Bryce</v>
      </c>
    </row>
    <row r="91" spans="1:16" ht="13">
      <c r="A91" s="33" t="s">
        <v>2138</v>
      </c>
      <c r="B91" s="33"/>
      <c r="C91" s="33"/>
      <c r="D91" s="33"/>
      <c r="E91" s="33">
        <v>11</v>
      </c>
      <c r="F91" s="33"/>
      <c r="G91" s="33">
        <v>186841</v>
      </c>
      <c r="H91" s="43">
        <v>43796</v>
      </c>
      <c r="I91" s="33">
        <v>48</v>
      </c>
      <c r="J91" s="33"/>
      <c r="K91" s="33" t="s">
        <v>499</v>
      </c>
      <c r="L91" s="33" t="s">
        <v>1504</v>
      </c>
      <c r="N91" s="3" t="b">
        <f t="shared" si="0"/>
        <v>0</v>
      </c>
      <c r="O91" s="23" t="str">
        <f>IFERROR(VLOOKUP(A91, '2023 Full View'!$1:$1000, 1, FALSE), "")</f>
        <v>Easy to LoveCouch</v>
      </c>
      <c r="P91" s="3" t="str">
        <f ca="1">IFERROR(__xludf.DUMMYFUNCTION("iferror(TEXTJOIN("", "",TRUE, FILTER($B$1:$E$1,B91:E91&lt;&gt;"""")),"""")"),"Maggie")</f>
        <v>Maggie</v>
      </c>
    </row>
    <row r="92" spans="1:16" ht="13">
      <c r="A92" s="33" t="s">
        <v>1881</v>
      </c>
      <c r="B92" s="33"/>
      <c r="C92" s="33"/>
      <c r="D92" s="33"/>
      <c r="E92" s="33">
        <v>77</v>
      </c>
      <c r="F92" s="33"/>
      <c r="G92" s="33">
        <v>200497</v>
      </c>
      <c r="H92" s="43">
        <v>45086</v>
      </c>
      <c r="I92" s="33">
        <v>49</v>
      </c>
      <c r="J92" s="33" t="s">
        <v>2475</v>
      </c>
      <c r="K92" s="33" t="s">
        <v>494</v>
      </c>
      <c r="L92" s="33" t="s">
        <v>1405</v>
      </c>
      <c r="N92" s="3" t="b">
        <f t="shared" si="0"/>
        <v>0</v>
      </c>
      <c r="O92" s="23" t="str">
        <f>IFERROR(VLOOKUP(A92, '2023 Full View'!$1:$1000, 1, FALSE), "")</f>
        <v>You Could Start A CultNiall Horan</v>
      </c>
      <c r="P92" s="3" t="str">
        <f ca="1">IFERROR(__xludf.DUMMYFUNCTION("iferror(TEXTJOIN("", "",TRUE, FILTER($B$1:$E$1,B92:E92&lt;&gt;"""")),"""")"),"Maggie")</f>
        <v>Maggie</v>
      </c>
    </row>
    <row r="93" spans="1:16" ht="13">
      <c r="A93" s="33" t="s">
        <v>2093</v>
      </c>
      <c r="B93" s="33">
        <v>22</v>
      </c>
      <c r="C93" s="33"/>
      <c r="D93" s="33"/>
      <c r="E93" s="33"/>
      <c r="F93" s="33"/>
      <c r="G93" s="33">
        <v>225693</v>
      </c>
      <c r="H93" s="43">
        <v>45009</v>
      </c>
      <c r="I93" s="33">
        <v>49</v>
      </c>
      <c r="J93" s="33" t="s">
        <v>850</v>
      </c>
      <c r="K93" s="33" t="s">
        <v>482</v>
      </c>
      <c r="L93" s="33" t="s">
        <v>851</v>
      </c>
      <c r="N93" s="3" t="b">
        <f t="shared" si="0"/>
        <v>0</v>
      </c>
      <c r="O93" s="23" t="str">
        <f>IFERROR(VLOOKUP(A93, '2023 Full View'!$1:$1000, 1, FALSE), "")</f>
        <v>Tattoo on a SunburnLuke Combs</v>
      </c>
      <c r="P93" s="3" t="str">
        <f ca="1">IFERROR(__xludf.DUMMYFUNCTION("iferror(TEXTJOIN("", "",TRUE, FILTER($B$1:$E$1,B93:E93&lt;&gt;"""")),"""")"),"Jamie")</f>
        <v>Jamie</v>
      </c>
    </row>
    <row r="94" spans="1:16" ht="13">
      <c r="A94" s="33" t="s">
        <v>1924</v>
      </c>
      <c r="B94" s="33"/>
      <c r="C94" s="33">
        <v>66</v>
      </c>
      <c r="D94" s="33"/>
      <c r="E94" s="33"/>
      <c r="F94" s="33"/>
      <c r="G94" s="33">
        <v>222633</v>
      </c>
      <c r="H94" s="43">
        <v>45128</v>
      </c>
      <c r="I94" s="33">
        <v>50</v>
      </c>
      <c r="J94" s="33"/>
      <c r="K94" s="33" t="s">
        <v>406</v>
      </c>
      <c r="L94" s="33" t="s">
        <v>874</v>
      </c>
      <c r="N94" s="3" t="b">
        <f t="shared" si="0"/>
        <v>0</v>
      </c>
      <c r="O94" s="23" t="str">
        <f>IFERROR(VLOOKUP(A94, '2023 Full View'!$1:$1000, 1, FALSE), "")</f>
        <v/>
      </c>
      <c r="P94" s="3" t="str">
        <f ca="1">IFERROR(__xludf.DUMMYFUNCTION("iferror(TEXTJOIN("", "",TRUE, FILTER($B$1:$E$1,B94:E94&lt;&gt;"""")),"""")"),"Zach")</f>
        <v>Zach</v>
      </c>
    </row>
    <row r="95" spans="1:16" ht="13">
      <c r="A95" s="33" t="s">
        <v>1980</v>
      </c>
      <c r="B95" s="33"/>
      <c r="C95" s="33"/>
      <c r="D95" s="33"/>
      <c r="E95" s="33">
        <v>52</v>
      </c>
      <c r="F95" s="33"/>
      <c r="G95" s="33">
        <v>157500</v>
      </c>
      <c r="H95" s="43">
        <v>44937</v>
      </c>
      <c r="I95" s="33">
        <v>50</v>
      </c>
      <c r="J95" s="33"/>
      <c r="K95" s="33" t="s">
        <v>539</v>
      </c>
      <c r="L95" s="33" t="s">
        <v>831</v>
      </c>
      <c r="N95" s="3" t="b">
        <f t="shared" si="0"/>
        <v>0</v>
      </c>
      <c r="O95" s="23" t="str">
        <f>IFERROR(VLOOKUP(A95, '2023 Full View'!$1:$1000, 1, FALSE), "")</f>
        <v/>
      </c>
      <c r="P95" s="3" t="str">
        <f ca="1">IFERROR(__xludf.DUMMYFUNCTION("iferror(TEXTJOIN("", "",TRUE, FILTER($B$1:$E$1,B95:E95&lt;&gt;"""")),"""")"),"Bryce")</f>
        <v>Bryce</v>
      </c>
    </row>
    <row r="96" spans="1:16" ht="13">
      <c r="A96" s="33" t="s">
        <v>2024</v>
      </c>
      <c r="B96" s="33"/>
      <c r="C96" s="33"/>
      <c r="D96" s="33"/>
      <c r="E96" s="33">
        <v>40</v>
      </c>
      <c r="F96" s="33"/>
      <c r="G96" s="33">
        <v>219533</v>
      </c>
      <c r="H96" s="43">
        <v>44211</v>
      </c>
      <c r="I96" s="33">
        <v>50</v>
      </c>
      <c r="J96" s="33"/>
      <c r="K96" s="33" t="s">
        <v>439</v>
      </c>
      <c r="L96" s="33" t="s">
        <v>782</v>
      </c>
      <c r="N96" s="3" t="b">
        <f t="shared" si="0"/>
        <v>0</v>
      </c>
      <c r="O96" s="23" t="str">
        <f>IFERROR(VLOOKUP(A96, '2023 Full View'!$1:$1000, 1, FALSE), "")</f>
        <v>Wouldn't Come BackTrousdale</v>
      </c>
      <c r="P96" s="3" t="str">
        <f ca="1">IFERROR(__xludf.DUMMYFUNCTION("iferror(TEXTJOIN("", "",TRUE, FILTER($B$1:$E$1,B96:E96&lt;&gt;"""")),"""")"),"Bryce")</f>
        <v>Bryce</v>
      </c>
    </row>
    <row r="97" spans="1:16" ht="13">
      <c r="A97" s="33" t="s">
        <v>2063</v>
      </c>
      <c r="B97" s="33"/>
      <c r="C97" s="33">
        <v>30</v>
      </c>
      <c r="D97" s="33"/>
      <c r="E97" s="33"/>
      <c r="F97" s="33"/>
      <c r="G97" s="33">
        <v>191320</v>
      </c>
      <c r="H97" s="43">
        <v>28856</v>
      </c>
      <c r="I97" s="33">
        <v>50</v>
      </c>
      <c r="J97" s="33" t="s">
        <v>2476</v>
      </c>
      <c r="K97" s="33" t="s">
        <v>393</v>
      </c>
      <c r="L97" s="33" t="s">
        <v>644</v>
      </c>
      <c r="N97" s="3" t="b">
        <f t="shared" si="0"/>
        <v>0</v>
      </c>
      <c r="O97" s="23" t="str">
        <f>IFERROR(VLOOKUP(A97, '2023 Full View'!$1:$1000, 1, FALSE), "")</f>
        <v/>
      </c>
      <c r="P97" s="3" t="str">
        <f ca="1">IFERROR(__xludf.DUMMYFUNCTION("iferror(TEXTJOIN("", "",TRUE, FILTER($B$1:$E$1,B97:E97&lt;&gt;"""")),"""")"),"Maggie")</f>
        <v>Maggie</v>
      </c>
    </row>
    <row r="98" spans="1:16" ht="13">
      <c r="A98" s="33" t="s">
        <v>1803</v>
      </c>
      <c r="B98" s="33"/>
      <c r="C98" s="33">
        <v>95</v>
      </c>
      <c r="D98" s="33"/>
      <c r="E98" s="33"/>
      <c r="F98" s="33" t="s">
        <v>375</v>
      </c>
      <c r="G98" s="33">
        <v>165619</v>
      </c>
      <c r="H98" s="43">
        <v>45337</v>
      </c>
      <c r="I98" s="33">
        <v>51</v>
      </c>
      <c r="J98" s="33" t="s">
        <v>923</v>
      </c>
      <c r="K98" s="33" t="s">
        <v>431</v>
      </c>
      <c r="L98" s="33" t="s">
        <v>922</v>
      </c>
      <c r="N98" s="3" t="b">
        <f t="shared" si="0"/>
        <v>0</v>
      </c>
      <c r="O98" s="23" t="str">
        <f>IFERROR(VLOOKUP(A98, '2023 Full View'!$1:$1000, 1, FALSE), "")</f>
        <v/>
      </c>
      <c r="P98" s="3" t="str">
        <f ca="1">IFERROR(__xludf.DUMMYFUNCTION("iferror(TEXTJOIN("", "",TRUE, FILTER($B$1:$E$1,B98:E98&lt;&gt;"""")),"""")"),"Jamie")</f>
        <v>Jamie</v>
      </c>
    </row>
    <row r="99" spans="1:16" ht="13">
      <c r="A99" s="33" t="s">
        <v>1922</v>
      </c>
      <c r="B99" s="33"/>
      <c r="C99" s="33"/>
      <c r="D99" s="33"/>
      <c r="E99" s="33">
        <v>67</v>
      </c>
      <c r="F99" s="33"/>
      <c r="G99" s="33">
        <v>182266</v>
      </c>
      <c r="H99" s="43">
        <v>42545</v>
      </c>
      <c r="I99" s="33">
        <v>51</v>
      </c>
      <c r="J99" s="33" t="s">
        <v>734</v>
      </c>
      <c r="K99" s="33" t="s">
        <v>542</v>
      </c>
      <c r="L99" s="33" t="s">
        <v>735</v>
      </c>
      <c r="N99" s="3" t="b">
        <f t="shared" si="0"/>
        <v>0</v>
      </c>
      <c r="O99" s="23" t="str">
        <f>IFERROR(VLOOKUP(A99, '2023 Full View'!$1:$1000, 1, FALSE), "")</f>
        <v/>
      </c>
      <c r="P99" s="3" t="str">
        <f ca="1">IFERROR(__xludf.DUMMYFUNCTION("iferror(TEXTJOIN("", "",TRUE, FILTER($B$1:$E$1,B99:E99&lt;&gt;"""")),"""")"),"Zach")</f>
        <v>Zach</v>
      </c>
    </row>
    <row r="100" spans="1:16" ht="13">
      <c r="A100" s="33" t="s">
        <v>1992</v>
      </c>
      <c r="B100" s="33">
        <v>48</v>
      </c>
      <c r="C100" s="33"/>
      <c r="D100" s="33"/>
      <c r="E100" s="33"/>
      <c r="F100" s="33"/>
      <c r="G100" s="33">
        <v>159400</v>
      </c>
      <c r="H100" s="43">
        <v>45168</v>
      </c>
      <c r="I100" s="33">
        <v>51</v>
      </c>
      <c r="J100" s="33" t="s">
        <v>903</v>
      </c>
      <c r="K100" s="33" t="s">
        <v>462</v>
      </c>
      <c r="L100" s="33" t="s">
        <v>904</v>
      </c>
      <c r="N100" s="3" t="b">
        <f t="shared" si="0"/>
        <v>0</v>
      </c>
      <c r="O100" s="23" t="str">
        <f>IFERROR(VLOOKUP(A100, '2023 Full View'!$1:$1000, 1, FALSE), "")</f>
        <v/>
      </c>
      <c r="P100" s="3" t="str">
        <f ca="1">IFERROR(__xludf.DUMMYFUNCTION("iferror(TEXTJOIN("", "",TRUE, FILTER($B$1:$E$1,B100:E100&lt;&gt;"""")),"""")"),"Bryce")</f>
        <v>Bryce</v>
      </c>
    </row>
    <row r="101" spans="1:16" ht="13">
      <c r="A101" s="33" t="s">
        <v>2151</v>
      </c>
      <c r="B101" s="33"/>
      <c r="C101" s="33"/>
      <c r="D101" s="33">
        <v>7</v>
      </c>
      <c r="E101" s="33"/>
      <c r="F101" s="33"/>
      <c r="G101" s="33">
        <v>271373</v>
      </c>
      <c r="H101" s="43">
        <v>27546</v>
      </c>
      <c r="I101" s="33">
        <v>51</v>
      </c>
      <c r="J101" s="33" t="s">
        <v>1889</v>
      </c>
      <c r="K101" s="33" t="s">
        <v>497</v>
      </c>
      <c r="L101" s="33" t="s">
        <v>1890</v>
      </c>
      <c r="N101" s="3" t="b">
        <f t="shared" si="0"/>
        <v>0</v>
      </c>
      <c r="O101" s="23" t="str">
        <f>IFERROR(VLOOKUP(A101, '2023 Full View'!$1:$1000, 1, FALSE), "")</f>
        <v/>
      </c>
      <c r="P101" s="3" t="str">
        <f ca="1">IFERROR(__xludf.DUMMYFUNCTION("iferror(TEXTJOIN("", "",TRUE, FILTER($B$1:$E$1,B101:E101&lt;&gt;"""")),"""")"),"Jamie")</f>
        <v>Jamie</v>
      </c>
    </row>
    <row r="102" spans="1:16" ht="13">
      <c r="A102" s="33" t="s">
        <v>1978</v>
      </c>
      <c r="B102" s="33"/>
      <c r="C102" s="33">
        <v>52</v>
      </c>
      <c r="D102" s="33"/>
      <c r="E102" s="33"/>
      <c r="F102" s="33" t="s">
        <v>435</v>
      </c>
      <c r="G102" s="33">
        <v>191146</v>
      </c>
      <c r="H102" s="43">
        <v>45575</v>
      </c>
      <c r="I102" s="33">
        <v>52</v>
      </c>
      <c r="J102" s="33" t="s">
        <v>2477</v>
      </c>
      <c r="K102" s="33" t="s">
        <v>360</v>
      </c>
      <c r="L102" s="33" t="s">
        <v>1024</v>
      </c>
      <c r="N102" s="3" t="b">
        <f t="shared" si="0"/>
        <v>0</v>
      </c>
      <c r="O102" s="23" t="str">
        <f>IFERROR(VLOOKUP(A102, '2023 Full View'!$1:$1000, 1, FALSE), "")</f>
        <v/>
      </c>
      <c r="P102" s="3" t="str">
        <f ca="1">IFERROR(__xludf.DUMMYFUNCTION("iferror(TEXTJOIN("", "",TRUE, FILTER($B$1:$E$1,B102:E102&lt;&gt;"""")),"""")"),"Jamie")</f>
        <v>Jamie</v>
      </c>
    </row>
    <row r="103" spans="1:16" ht="13">
      <c r="A103" s="33" t="s">
        <v>1813</v>
      </c>
      <c r="B103" s="33"/>
      <c r="C103" s="33"/>
      <c r="D103" s="33"/>
      <c r="E103" s="33">
        <v>93</v>
      </c>
      <c r="F103" s="33"/>
      <c r="G103" s="33">
        <v>158266</v>
      </c>
      <c r="H103" s="43">
        <v>24473</v>
      </c>
      <c r="I103" s="33">
        <v>52</v>
      </c>
      <c r="J103" s="33" t="s">
        <v>611</v>
      </c>
      <c r="K103" s="33" t="s">
        <v>511</v>
      </c>
      <c r="L103" s="33" t="s">
        <v>612</v>
      </c>
      <c r="N103" s="3" t="b">
        <f t="shared" si="0"/>
        <v>0</v>
      </c>
      <c r="O103" s="23" t="str">
        <f>IFERROR(VLOOKUP(A103, '2023 Full View'!$1:$1000, 1, FALSE), "")</f>
        <v/>
      </c>
      <c r="P103" s="3" t="str">
        <f ca="1">IFERROR(__xludf.DUMMYFUNCTION("iferror(TEXTJOIN("", "",TRUE, FILTER($B$1:$E$1,B103:E103&lt;&gt;"""")),"""")"),"Jamie")</f>
        <v>Jamie</v>
      </c>
    </row>
    <row r="104" spans="1:16" ht="13">
      <c r="A104" s="33" t="s">
        <v>1894</v>
      </c>
      <c r="B104" s="33"/>
      <c r="C104" s="33"/>
      <c r="D104" s="33"/>
      <c r="E104" s="33">
        <v>74</v>
      </c>
      <c r="F104" s="33"/>
      <c r="G104" s="33">
        <v>171840</v>
      </c>
      <c r="H104" s="43">
        <v>45387</v>
      </c>
      <c r="I104" s="33">
        <v>52</v>
      </c>
      <c r="J104" s="33" t="s">
        <v>2474</v>
      </c>
      <c r="K104" s="33" t="s">
        <v>487</v>
      </c>
      <c r="L104" s="33" t="s">
        <v>944</v>
      </c>
      <c r="N104" s="3" t="b">
        <f t="shared" si="0"/>
        <v>0</v>
      </c>
      <c r="O104" s="23" t="str">
        <f>IFERROR(VLOOKUP(A104, '2023 Full View'!$1:$1000, 1, FALSE), "")</f>
        <v/>
      </c>
      <c r="P104" s="3" t="str">
        <f ca="1">IFERROR(__xludf.DUMMYFUNCTION("iferror(TEXTJOIN("", "",TRUE, FILTER($B$1:$E$1,B104:E104&lt;&gt;"""")),"""")"),"Maggie")</f>
        <v>Maggie</v>
      </c>
    </row>
    <row r="105" spans="1:16" ht="13">
      <c r="A105" s="33" t="s">
        <v>1955</v>
      </c>
      <c r="B105" s="33"/>
      <c r="C105" s="33">
        <v>58</v>
      </c>
      <c r="D105" s="33"/>
      <c r="E105" s="33"/>
      <c r="F105" s="33"/>
      <c r="G105" s="33">
        <v>167213</v>
      </c>
      <c r="H105" s="43">
        <v>41640</v>
      </c>
      <c r="I105" s="33">
        <v>52</v>
      </c>
      <c r="J105" s="33" t="s">
        <v>2478</v>
      </c>
      <c r="K105" s="33" t="s">
        <v>404</v>
      </c>
      <c r="L105" s="33" t="s">
        <v>710</v>
      </c>
      <c r="N105" s="3" t="b">
        <f t="shared" si="0"/>
        <v>0</v>
      </c>
      <c r="O105" s="23" t="str">
        <f>IFERROR(VLOOKUP(A105, '2023 Full View'!$1:$1000, 1, FALSE), "")</f>
        <v/>
      </c>
      <c r="P105" s="3" t="str">
        <f ca="1">IFERROR(__xludf.DUMMYFUNCTION("iferror(TEXTJOIN("", "",TRUE, FILTER($B$1:$E$1,B105:E105&lt;&gt;"""")),"""")"),"Maggie")</f>
        <v>Maggie</v>
      </c>
    </row>
    <row r="106" spans="1:16" ht="13">
      <c r="A106" s="33" t="s">
        <v>1999</v>
      </c>
      <c r="B106" s="33"/>
      <c r="C106" s="33"/>
      <c r="D106" s="33"/>
      <c r="E106" s="33">
        <v>47</v>
      </c>
      <c r="F106" s="33"/>
      <c r="G106" s="33">
        <v>223100</v>
      </c>
      <c r="H106" s="43">
        <v>45189</v>
      </c>
      <c r="I106" s="33">
        <v>52</v>
      </c>
      <c r="J106" s="33" t="s">
        <v>2479</v>
      </c>
      <c r="K106" s="33" t="s">
        <v>510</v>
      </c>
      <c r="L106" s="33" t="s">
        <v>928</v>
      </c>
      <c r="N106" s="3" t="b">
        <f t="shared" si="0"/>
        <v>0</v>
      </c>
      <c r="O106" s="23" t="str">
        <f>IFERROR(VLOOKUP(A106, '2023 Full View'!$1:$1000, 1, FALSE), "")</f>
        <v/>
      </c>
      <c r="P106" s="3" t="str">
        <f ca="1">IFERROR(__xludf.DUMMYFUNCTION("iferror(TEXTJOIN("", "",TRUE, FILTER($B$1:$E$1,B106:E106&lt;&gt;"""")),"""")"),"Zach")</f>
        <v>Zach</v>
      </c>
    </row>
    <row r="107" spans="1:16" ht="13">
      <c r="A107" s="33" t="s">
        <v>2002</v>
      </c>
      <c r="B107" s="33"/>
      <c r="C107" s="33"/>
      <c r="D107" s="33">
        <v>46</v>
      </c>
      <c r="E107" s="33"/>
      <c r="F107" s="33"/>
      <c r="G107" s="33">
        <v>309320</v>
      </c>
      <c r="H107" s="43">
        <v>28856</v>
      </c>
      <c r="I107" s="33">
        <v>52</v>
      </c>
      <c r="J107" s="33" t="s">
        <v>599</v>
      </c>
      <c r="K107" s="33" t="s">
        <v>506</v>
      </c>
      <c r="L107" s="33" t="s">
        <v>600</v>
      </c>
      <c r="N107" s="3" t="b">
        <f t="shared" si="0"/>
        <v>0</v>
      </c>
      <c r="O107" s="23" t="str">
        <f>IFERROR(VLOOKUP(A107, '2023 Full View'!$1:$1000, 1, FALSE), "")</f>
        <v/>
      </c>
      <c r="P107" s="3" t="str">
        <f ca="1">IFERROR(__xludf.DUMMYFUNCTION("iferror(TEXTJOIN("", "",TRUE, FILTER($B$1:$E$1,B107:E107&lt;&gt;"""")),"""")"),"Jamie")</f>
        <v>Jamie</v>
      </c>
    </row>
    <row r="108" spans="1:16" ht="13">
      <c r="A108" s="33" t="s">
        <v>2054</v>
      </c>
      <c r="B108" s="33"/>
      <c r="C108" s="33">
        <v>33</v>
      </c>
      <c r="D108" s="33"/>
      <c r="E108" s="33"/>
      <c r="F108" s="33"/>
      <c r="G108" s="33">
        <v>237320</v>
      </c>
      <c r="H108" s="43">
        <v>44575</v>
      </c>
      <c r="I108" s="33">
        <v>52</v>
      </c>
      <c r="J108" s="33" t="s">
        <v>800</v>
      </c>
      <c r="K108" s="33" t="s">
        <v>372</v>
      </c>
      <c r="L108" s="33" t="s">
        <v>801</v>
      </c>
      <c r="N108" s="3" t="b">
        <f t="shared" si="0"/>
        <v>0</v>
      </c>
      <c r="O108" s="23" t="str">
        <f>IFERROR(VLOOKUP(A108, '2023 Full View'!$1:$1000, 1, FALSE), "")</f>
        <v/>
      </c>
      <c r="P108" s="3" t="str">
        <f ca="1">IFERROR(__xludf.DUMMYFUNCTION("iferror(TEXTJOIN("", "",TRUE, FILTER($B$1:$E$1,B108:E108&lt;&gt;"""")),"""")"),"Jamie")</f>
        <v>Jamie</v>
      </c>
    </row>
    <row r="109" spans="1:16" ht="13">
      <c r="A109" s="33" t="s">
        <v>2091</v>
      </c>
      <c r="B109" s="33"/>
      <c r="C109" s="33"/>
      <c r="D109" s="33">
        <v>23</v>
      </c>
      <c r="E109" s="33"/>
      <c r="F109" s="33"/>
      <c r="G109" s="33">
        <v>169306</v>
      </c>
      <c r="H109" s="43">
        <v>38718</v>
      </c>
      <c r="I109" s="33">
        <v>52</v>
      </c>
      <c r="J109" s="33" t="s">
        <v>673</v>
      </c>
      <c r="K109" s="33" t="s">
        <v>527</v>
      </c>
      <c r="L109" s="33" t="s">
        <v>674</v>
      </c>
      <c r="N109" s="3" t="b">
        <f t="shared" si="0"/>
        <v>0</v>
      </c>
      <c r="O109" s="23" t="str">
        <f>IFERROR(VLOOKUP(A109, '2023 Full View'!$1:$1000, 1, FALSE), "")</f>
        <v/>
      </c>
      <c r="P109" s="3" t="str">
        <f ca="1">IFERROR(__xludf.DUMMYFUNCTION("iferror(TEXTJOIN("", "",TRUE, FILTER($B$1:$E$1,B109:E109&lt;&gt;"""")),"""")"),"Maggie")</f>
        <v>Maggie</v>
      </c>
    </row>
    <row r="110" spans="1:16" ht="13">
      <c r="A110" s="33" t="s">
        <v>2092</v>
      </c>
      <c r="B110" s="33"/>
      <c r="C110" s="33"/>
      <c r="D110" s="33"/>
      <c r="E110" s="33">
        <v>23</v>
      </c>
      <c r="F110" s="33"/>
      <c r="G110" s="33">
        <v>238939</v>
      </c>
      <c r="H110" s="43">
        <v>45323</v>
      </c>
      <c r="I110" s="33">
        <v>52</v>
      </c>
      <c r="J110" s="33"/>
      <c r="K110" s="33" t="s">
        <v>552</v>
      </c>
      <c r="L110" s="33" t="s">
        <v>913</v>
      </c>
      <c r="N110" s="3" t="b">
        <f t="shared" si="0"/>
        <v>0</v>
      </c>
      <c r="O110" s="23" t="str">
        <f>IFERROR(VLOOKUP(A110, '2023 Full View'!$1:$1000, 1, FALSE), "")</f>
        <v/>
      </c>
      <c r="P110" s="3" t="str">
        <f ca="1">IFERROR(__xludf.DUMMYFUNCTION("iferror(TEXTJOIN("", "",TRUE, FILTER($B$1:$E$1,B110:E110&lt;&gt;"""")),"""")"),"Maggie")</f>
        <v>Maggie</v>
      </c>
    </row>
    <row r="111" spans="1:16" ht="13">
      <c r="A111" s="33" t="s">
        <v>2121</v>
      </c>
      <c r="B111" s="33"/>
      <c r="C111" s="33"/>
      <c r="D111" s="33"/>
      <c r="E111" s="33">
        <v>16</v>
      </c>
      <c r="F111" s="33"/>
      <c r="G111" s="33">
        <v>216560</v>
      </c>
      <c r="H111" s="43">
        <v>37987</v>
      </c>
      <c r="I111" s="33">
        <v>52</v>
      </c>
      <c r="J111" s="33" t="s">
        <v>2480</v>
      </c>
      <c r="K111" s="33" t="s">
        <v>520</v>
      </c>
      <c r="L111" s="33" t="s">
        <v>671</v>
      </c>
      <c r="N111" s="3" t="b">
        <f t="shared" si="0"/>
        <v>0</v>
      </c>
      <c r="O111" s="23" t="str">
        <f>IFERROR(VLOOKUP(A111, '2023 Full View'!$1:$1000, 1, FALSE), "")</f>
        <v/>
      </c>
      <c r="P111" s="3" t="str">
        <f ca="1">IFERROR(__xludf.DUMMYFUNCTION("iferror(TEXTJOIN("", "",TRUE, FILTER($B$1:$E$1,B111:E111&lt;&gt;"""")),"""")"),"Zach")</f>
        <v>Zach</v>
      </c>
    </row>
    <row r="112" spans="1:16" ht="13">
      <c r="A112" s="33" t="s">
        <v>2134</v>
      </c>
      <c r="B112" s="33"/>
      <c r="C112" s="33">
        <v>12</v>
      </c>
      <c r="D112" s="33"/>
      <c r="E112" s="33"/>
      <c r="F112" s="33"/>
      <c r="G112" s="33">
        <v>155653</v>
      </c>
      <c r="H112" s="43">
        <v>42122</v>
      </c>
      <c r="I112" s="33">
        <v>52</v>
      </c>
      <c r="J112" s="33" t="s">
        <v>1764</v>
      </c>
      <c r="K112" s="33" t="s">
        <v>1765</v>
      </c>
      <c r="L112" s="33" t="s">
        <v>1766</v>
      </c>
      <c r="N112" s="3" t="b">
        <f t="shared" si="0"/>
        <v>0</v>
      </c>
      <c r="O112" s="23" t="str">
        <f>IFERROR(VLOOKUP(A112, '2023 Full View'!$1:$1000, 1, FALSE), "")</f>
        <v/>
      </c>
      <c r="P112" s="3" t="str">
        <f ca="1">IFERROR(__xludf.DUMMYFUNCTION("iferror(TEXTJOIN("", "",TRUE, FILTER($B$1:$E$1,B112:E112&lt;&gt;"""")),"""")"),"Jamie")</f>
        <v>Jamie</v>
      </c>
    </row>
    <row r="113" spans="1:16" ht="13">
      <c r="A113" s="33" t="s">
        <v>1862</v>
      </c>
      <c r="B113" s="33"/>
      <c r="C113" s="33">
        <v>81</v>
      </c>
      <c r="D113" s="33"/>
      <c r="E113" s="33"/>
      <c r="F113" s="33"/>
      <c r="G113" s="33">
        <v>207040</v>
      </c>
      <c r="H113" s="43">
        <v>40909</v>
      </c>
      <c r="I113" s="33">
        <v>53</v>
      </c>
      <c r="J113" s="33" t="s">
        <v>696</v>
      </c>
      <c r="K113" s="33" t="s">
        <v>412</v>
      </c>
      <c r="L113" s="33" t="s">
        <v>697</v>
      </c>
      <c r="N113" s="3" t="b">
        <f t="shared" si="0"/>
        <v>0</v>
      </c>
      <c r="O113" s="23" t="str">
        <f>IFERROR(VLOOKUP(A113, '2023 Full View'!$1:$1000, 1, FALSE), "")</f>
        <v/>
      </c>
      <c r="P113" s="3" t="str">
        <f ca="1">IFERROR(__xludf.DUMMYFUNCTION("iferror(TEXTJOIN("", "",TRUE, FILTER($B$1:$E$1,B113:E113&lt;&gt;"""")),"""")"),"Jamie")</f>
        <v>Jamie</v>
      </c>
    </row>
    <row r="114" spans="1:16" ht="13">
      <c r="A114" s="33" t="s">
        <v>1874</v>
      </c>
      <c r="B114" s="33">
        <v>78</v>
      </c>
      <c r="C114" s="33"/>
      <c r="D114" s="33"/>
      <c r="E114" s="33"/>
      <c r="F114" s="33"/>
      <c r="G114" s="33">
        <v>183046</v>
      </c>
      <c r="H114" s="43">
        <v>45519</v>
      </c>
      <c r="I114" s="33">
        <v>53</v>
      </c>
      <c r="J114" s="33" t="s">
        <v>1007</v>
      </c>
      <c r="K114" s="33" t="s">
        <v>368</v>
      </c>
      <c r="L114" s="33" t="s">
        <v>1005</v>
      </c>
      <c r="N114" s="3" t="b">
        <f t="shared" si="0"/>
        <v>0</v>
      </c>
      <c r="O114" s="23" t="str">
        <f>IFERROR(VLOOKUP(A114, '2023 Full View'!$1:$1000, 1, FALSE), "")</f>
        <v/>
      </c>
      <c r="P114" s="3" t="str">
        <f ca="1">IFERROR(__xludf.DUMMYFUNCTION("iferror(TEXTJOIN("", "",TRUE, FILTER($B$1:$E$1,B114:E114&lt;&gt;"""")),"""")"),"Bryce")</f>
        <v>Bryce</v>
      </c>
    </row>
    <row r="115" spans="1:16" ht="13">
      <c r="A115" s="33" t="s">
        <v>1918</v>
      </c>
      <c r="B115" s="33">
        <v>67</v>
      </c>
      <c r="C115" s="33">
        <v>63</v>
      </c>
      <c r="D115" s="33"/>
      <c r="E115" s="33"/>
      <c r="F115" s="33"/>
      <c r="G115" s="33">
        <v>173706</v>
      </c>
      <c r="H115" s="43">
        <v>44722</v>
      </c>
      <c r="I115" s="33">
        <v>53</v>
      </c>
      <c r="J115" s="33" t="s">
        <v>818</v>
      </c>
      <c r="K115" s="33" t="s">
        <v>362</v>
      </c>
      <c r="L115" s="33" t="s">
        <v>819</v>
      </c>
      <c r="N115" s="3" t="b">
        <f t="shared" si="0"/>
        <v>1</v>
      </c>
      <c r="O115" s="23" t="str">
        <f>IFERROR(VLOOKUP(A115, '2023 Full View'!$1:$1000, 1, FALSE), "")</f>
        <v>Girl On FireKameron Marlowe</v>
      </c>
      <c r="P115" s="3" t="str">
        <f ca="1">IFERROR(__xludf.DUMMYFUNCTION("iferror(TEXTJOIN("", "",TRUE, FILTER($B$1:$E$1,B115:E115&lt;&gt;"""")),"""")"),"Maggie")</f>
        <v>Maggie</v>
      </c>
    </row>
    <row r="116" spans="1:16" ht="13">
      <c r="A116" s="33" t="s">
        <v>1996</v>
      </c>
      <c r="B116" s="33">
        <v>47</v>
      </c>
      <c r="C116" s="33"/>
      <c r="D116" s="33"/>
      <c r="E116" s="33"/>
      <c r="F116" s="33"/>
      <c r="G116" s="33">
        <v>265360</v>
      </c>
      <c r="H116" s="43">
        <v>45330</v>
      </c>
      <c r="I116" s="33">
        <v>53</v>
      </c>
      <c r="J116" s="33" t="s">
        <v>948</v>
      </c>
      <c r="K116" s="33" t="s">
        <v>359</v>
      </c>
      <c r="L116" s="33" t="s">
        <v>948</v>
      </c>
      <c r="N116" s="3" t="b">
        <f t="shared" si="0"/>
        <v>0</v>
      </c>
      <c r="O116" s="23" t="str">
        <f>IFERROR(VLOOKUP(A116, '2023 Full View'!$1:$1000, 1, FALSE), "")</f>
        <v/>
      </c>
      <c r="P116" s="3" t="str">
        <f ca="1">IFERROR(__xludf.DUMMYFUNCTION("iferror(TEXTJOIN("", "",TRUE, FILTER($B$1:$E$1,B116:E116&lt;&gt;"""")),"""")"),"Bryce")</f>
        <v>Bryce</v>
      </c>
    </row>
    <row r="117" spans="1:16" ht="13">
      <c r="A117" s="33" t="s">
        <v>2080</v>
      </c>
      <c r="B117" s="33"/>
      <c r="C117" s="33"/>
      <c r="D117" s="33">
        <v>26</v>
      </c>
      <c r="E117" s="33"/>
      <c r="F117" s="33" t="s">
        <v>574</v>
      </c>
      <c r="G117" s="33">
        <v>230250</v>
      </c>
      <c r="H117" s="43">
        <v>42272</v>
      </c>
      <c r="I117" s="33">
        <v>54</v>
      </c>
      <c r="J117" s="33" t="s">
        <v>724</v>
      </c>
      <c r="K117" s="33" t="s">
        <v>545</v>
      </c>
      <c r="L117" s="33" t="s">
        <v>725</v>
      </c>
      <c r="N117" s="3" t="b">
        <f t="shared" si="0"/>
        <v>0</v>
      </c>
      <c r="O117" s="23" t="str">
        <f>IFERROR(VLOOKUP(A117, '2023 Full View'!$1:$1000, 1, FALSE), "")</f>
        <v/>
      </c>
      <c r="P117" s="3" t="str">
        <f ca="1">IFERROR(__xludf.DUMMYFUNCTION("iferror(TEXTJOIN("", "",TRUE, FILTER($B$1:$E$1,B117:E117&lt;&gt;"""")),"""")"),"Bryce")</f>
        <v>Bryce</v>
      </c>
    </row>
    <row r="118" spans="1:16" ht="13">
      <c r="A118" s="33" t="s">
        <v>1913</v>
      </c>
      <c r="B118" s="33"/>
      <c r="C118" s="33"/>
      <c r="D118" s="33"/>
      <c r="E118" s="33">
        <v>69</v>
      </c>
      <c r="F118" s="33"/>
      <c r="G118" s="33">
        <v>230249</v>
      </c>
      <c r="H118" s="43">
        <v>43627</v>
      </c>
      <c r="I118" s="33">
        <v>54</v>
      </c>
      <c r="J118" s="33"/>
      <c r="K118" s="33" t="s">
        <v>513</v>
      </c>
      <c r="L118" s="33" t="s">
        <v>759</v>
      </c>
      <c r="N118" s="3" t="b">
        <f t="shared" si="0"/>
        <v>0</v>
      </c>
      <c r="O118" s="23" t="str">
        <f>IFERROR(VLOOKUP(A118, '2023 Full View'!$1:$1000, 1, FALSE), "")</f>
        <v/>
      </c>
      <c r="P118" s="3" t="str">
        <f ca="1">IFERROR(__xludf.DUMMYFUNCTION("iferror(TEXTJOIN("", "",TRUE, FILTER($B$1:$E$1,B118:E118&lt;&gt;"""")),"""")"),"Jamie")</f>
        <v>Jamie</v>
      </c>
    </row>
    <row r="119" spans="1:16" ht="13">
      <c r="A119" s="33" t="s">
        <v>1919</v>
      </c>
      <c r="B119" s="33"/>
      <c r="C119" s="33">
        <v>67</v>
      </c>
      <c r="D119" s="33"/>
      <c r="E119" s="33"/>
      <c r="F119" s="33"/>
      <c r="G119" s="33">
        <v>215530</v>
      </c>
      <c r="H119" s="43">
        <v>45009</v>
      </c>
      <c r="I119" s="33">
        <v>54</v>
      </c>
      <c r="J119" s="33" t="s">
        <v>852</v>
      </c>
      <c r="K119" s="33" t="s">
        <v>432</v>
      </c>
      <c r="L119" s="33" t="s">
        <v>854</v>
      </c>
      <c r="N119" s="3" t="b">
        <f t="shared" si="0"/>
        <v>0</v>
      </c>
      <c r="O119" s="23" t="str">
        <f>IFERROR(VLOOKUP(A119, '2023 Full View'!$1:$1000, 1, FALSE), "")</f>
        <v/>
      </c>
      <c r="P119" s="3" t="str">
        <f ca="1">IFERROR(__xludf.DUMMYFUNCTION("iferror(TEXTJOIN("", "",TRUE, FILTER($B$1:$E$1,B119:E119&lt;&gt;"""")),"""")"),"Maggie")</f>
        <v>Maggie</v>
      </c>
    </row>
    <row r="120" spans="1:16" ht="13">
      <c r="A120" s="33" t="s">
        <v>1981</v>
      </c>
      <c r="B120" s="33">
        <v>51</v>
      </c>
      <c r="C120" s="33"/>
      <c r="D120" s="33"/>
      <c r="E120" s="33"/>
      <c r="F120" s="33"/>
      <c r="G120" s="33">
        <v>196400</v>
      </c>
      <c r="H120" s="43">
        <v>45352</v>
      </c>
      <c r="I120" s="33">
        <v>54</v>
      </c>
      <c r="J120" s="33" t="s">
        <v>1022</v>
      </c>
      <c r="K120" s="33" t="s">
        <v>449</v>
      </c>
      <c r="L120" s="33" t="s">
        <v>1023</v>
      </c>
      <c r="N120" s="3" t="b">
        <f t="shared" si="0"/>
        <v>0</v>
      </c>
      <c r="O120" s="23" t="str">
        <f>IFERROR(VLOOKUP(A120, '2023 Full View'!$1:$1000, 1, FALSE), "")</f>
        <v/>
      </c>
      <c r="P120" s="3" t="str">
        <f ca="1">IFERROR(__xludf.DUMMYFUNCTION("iferror(TEXTJOIN("", "",TRUE, FILTER($B$1:$E$1,B120:E120&lt;&gt;"""")),"""")"),"Zach")</f>
        <v>Zach</v>
      </c>
    </row>
    <row r="121" spans="1:16" ht="13">
      <c r="A121" s="33" t="s">
        <v>1987</v>
      </c>
      <c r="B121" s="33"/>
      <c r="C121" s="33"/>
      <c r="D121" s="33">
        <v>50</v>
      </c>
      <c r="E121" s="33"/>
      <c r="F121" s="33"/>
      <c r="G121" s="33">
        <v>156200</v>
      </c>
      <c r="H121" s="43">
        <v>27030</v>
      </c>
      <c r="I121" s="33">
        <v>54</v>
      </c>
      <c r="J121" s="33" t="s">
        <v>2481</v>
      </c>
      <c r="K121" s="33" t="s">
        <v>556</v>
      </c>
      <c r="L121" s="33" t="s">
        <v>635</v>
      </c>
      <c r="N121" s="3" t="b">
        <f t="shared" si="0"/>
        <v>0</v>
      </c>
      <c r="O121" s="23" t="str">
        <f>IFERROR(VLOOKUP(A121, '2023 Full View'!$1:$1000, 1, FALSE), "")</f>
        <v>Nothing From NothingBilly Preston</v>
      </c>
      <c r="P121" s="3" t="str">
        <f ca="1">IFERROR(__xludf.DUMMYFUNCTION("iferror(TEXTJOIN("", "",TRUE, FILTER($B$1:$E$1,B121:E121&lt;&gt;"""")),"""")"),"Maggie")</f>
        <v>Maggie</v>
      </c>
    </row>
    <row r="122" spans="1:16" ht="13">
      <c r="A122" s="33" t="s">
        <v>2105</v>
      </c>
      <c r="B122" s="33"/>
      <c r="C122" s="33">
        <v>19</v>
      </c>
      <c r="D122" s="33"/>
      <c r="E122" s="33"/>
      <c r="F122" s="33" t="s">
        <v>421</v>
      </c>
      <c r="G122" s="33">
        <v>170074</v>
      </c>
      <c r="H122" s="43">
        <v>44103</v>
      </c>
      <c r="I122" s="33">
        <v>55</v>
      </c>
      <c r="J122" s="33" t="s">
        <v>780</v>
      </c>
      <c r="K122" s="33" t="s">
        <v>435</v>
      </c>
      <c r="L122" s="33" t="s">
        <v>781</v>
      </c>
      <c r="N122" s="3" t="b">
        <f t="shared" si="0"/>
        <v>0</v>
      </c>
      <c r="O122" s="23" t="str">
        <f>IFERROR(VLOOKUP(A122, '2023 Full View'!$1:$1000, 1, FALSE), "")</f>
        <v/>
      </c>
      <c r="P122" s="3" t="str">
        <f ca="1">IFERROR(__xludf.DUMMYFUNCTION("iferror(TEXTJOIN("", "",TRUE, FILTER($B$1:$E$1,B122:E122&lt;&gt;"""")),"""")"),"Bryce")</f>
        <v>Bryce</v>
      </c>
    </row>
    <row r="123" spans="1:16" ht="13">
      <c r="A123" s="33" t="s">
        <v>1812</v>
      </c>
      <c r="B123" s="33"/>
      <c r="C123" s="33"/>
      <c r="D123" s="33">
        <v>93</v>
      </c>
      <c r="E123" s="33"/>
      <c r="F123" s="33"/>
      <c r="G123" s="33">
        <v>178746</v>
      </c>
      <c r="H123" s="43">
        <v>26665</v>
      </c>
      <c r="I123" s="33">
        <v>55</v>
      </c>
      <c r="J123" s="33" t="s">
        <v>541</v>
      </c>
      <c r="K123" s="33" t="s">
        <v>541</v>
      </c>
      <c r="L123" s="33" t="s">
        <v>591</v>
      </c>
      <c r="N123" s="3" t="b">
        <f t="shared" si="0"/>
        <v>0</v>
      </c>
      <c r="O123" s="23" t="str">
        <f>IFERROR(VLOOKUP(A123, '2023 Full View'!$1:$1000, 1, FALSE), "")</f>
        <v>When Will I See You AgainThe Three Degrees</v>
      </c>
      <c r="P123" s="3" t="str">
        <f ca="1">IFERROR(__xludf.DUMMYFUNCTION("iferror(TEXTJOIN("", "",TRUE, FILTER($B$1:$E$1,B123:E123&lt;&gt;"""")),"""")"),"Jamie")</f>
        <v>Jamie</v>
      </c>
    </row>
    <row r="124" spans="1:16" ht="13">
      <c r="A124" s="33" t="s">
        <v>1914</v>
      </c>
      <c r="B124" s="33">
        <v>68</v>
      </c>
      <c r="C124" s="33"/>
      <c r="D124" s="33"/>
      <c r="E124" s="33"/>
      <c r="F124" s="33"/>
      <c r="G124" s="33">
        <v>160053</v>
      </c>
      <c r="H124" s="43">
        <v>45366</v>
      </c>
      <c r="I124" s="33">
        <v>55</v>
      </c>
      <c r="J124" s="33" t="s">
        <v>2472</v>
      </c>
      <c r="K124" s="33" t="s">
        <v>480</v>
      </c>
      <c r="L124" s="33" t="s">
        <v>930</v>
      </c>
      <c r="N124" s="3" t="b">
        <f t="shared" si="0"/>
        <v>0</v>
      </c>
      <c r="O124" s="23" t="str">
        <f>IFERROR(VLOOKUP(A124, '2023 Full View'!$1:$1000, 1, FALSE), "")</f>
        <v/>
      </c>
      <c r="P124" s="3" t="str">
        <f ca="1">IFERROR(__xludf.DUMMYFUNCTION("iferror(TEXTJOIN("", "",TRUE, FILTER($B$1:$E$1,B124:E124&lt;&gt;"""")),"""")"),"Jamie")</f>
        <v>Jamie</v>
      </c>
    </row>
    <row r="125" spans="1:16" ht="13">
      <c r="A125" s="33" t="s">
        <v>1977</v>
      </c>
      <c r="B125" s="33">
        <v>52</v>
      </c>
      <c r="C125" s="33"/>
      <c r="D125" s="33"/>
      <c r="E125" s="33"/>
      <c r="F125" s="33"/>
      <c r="G125" s="33">
        <v>196752</v>
      </c>
      <c r="H125" s="43">
        <v>45435</v>
      </c>
      <c r="I125" s="33">
        <v>55</v>
      </c>
      <c r="J125" s="33"/>
      <c r="K125" s="33" t="s">
        <v>458</v>
      </c>
      <c r="L125" s="33" t="s">
        <v>977</v>
      </c>
      <c r="N125" s="3" t="b">
        <f t="shared" si="0"/>
        <v>0</v>
      </c>
      <c r="O125" s="23" t="str">
        <f>IFERROR(VLOOKUP(A125, '2023 Full View'!$1:$1000, 1, FALSE), "")</f>
        <v/>
      </c>
      <c r="P125" s="3" t="str">
        <f ca="1">IFERROR(__xludf.DUMMYFUNCTION("iferror(TEXTJOIN("", "",TRUE, FILTER($B$1:$E$1,B125:E125&lt;&gt;"""")),"""")"),"Bryce")</f>
        <v>Bryce</v>
      </c>
    </row>
    <row r="126" spans="1:16" ht="13">
      <c r="A126" s="33" t="s">
        <v>1822</v>
      </c>
      <c r="B126" s="33">
        <v>90</v>
      </c>
      <c r="C126" s="33"/>
      <c r="D126" s="33"/>
      <c r="E126" s="33"/>
      <c r="F126" s="33"/>
      <c r="G126" s="33">
        <v>201961</v>
      </c>
      <c r="H126" s="43">
        <v>45520</v>
      </c>
      <c r="I126" s="33">
        <v>56</v>
      </c>
      <c r="J126" s="33" t="s">
        <v>1007</v>
      </c>
      <c r="K126" s="33" t="s">
        <v>368</v>
      </c>
      <c r="L126" s="33" t="s">
        <v>1008</v>
      </c>
      <c r="N126" s="3" t="b">
        <f t="shared" si="0"/>
        <v>0</v>
      </c>
      <c r="O126" s="23" t="str">
        <f>IFERROR(VLOOKUP(A126, '2023 Full View'!$1:$1000, 1, FALSE), "")</f>
        <v/>
      </c>
      <c r="P126" s="3" t="str">
        <f ca="1">IFERROR(__xludf.DUMMYFUNCTION("iferror(TEXTJOIN("", "",TRUE, FILTER($B$1:$E$1,B126:E126&lt;&gt;"""")),"""")"),"Bryce")</f>
        <v>Bryce</v>
      </c>
    </row>
    <row r="127" spans="1:16" ht="13">
      <c r="A127" s="33" t="s">
        <v>1860</v>
      </c>
      <c r="B127" s="33"/>
      <c r="C127" s="33"/>
      <c r="D127" s="33"/>
      <c r="E127" s="33">
        <v>82</v>
      </c>
      <c r="F127" s="33"/>
      <c r="G127" s="33">
        <v>251600</v>
      </c>
      <c r="H127" s="43">
        <v>45394</v>
      </c>
      <c r="I127" s="33">
        <v>56</v>
      </c>
      <c r="J127" s="33" t="s">
        <v>948</v>
      </c>
      <c r="K127" s="33" t="s">
        <v>359</v>
      </c>
      <c r="L127" s="33" t="s">
        <v>951</v>
      </c>
      <c r="N127" s="3" t="b">
        <f t="shared" si="0"/>
        <v>0</v>
      </c>
      <c r="O127" s="23" t="str">
        <f>IFERROR(VLOOKUP(A127, '2023 Full View'!$1:$1000, 1, FALSE), "")</f>
        <v/>
      </c>
      <c r="P127" s="3" t="str">
        <f ca="1">IFERROR(__xludf.DUMMYFUNCTION("iferror(TEXTJOIN("", "",TRUE, FILTER($B$1:$E$1,B127:E127&lt;&gt;"""")),"""")"),"Maggie")</f>
        <v>Maggie</v>
      </c>
    </row>
    <row r="128" spans="1:16" ht="13">
      <c r="A128" s="33" t="s">
        <v>1901</v>
      </c>
      <c r="B128" s="33"/>
      <c r="C128" s="33"/>
      <c r="D128" s="33">
        <v>72</v>
      </c>
      <c r="E128" s="33"/>
      <c r="F128" s="33"/>
      <c r="G128" s="33">
        <v>187306</v>
      </c>
      <c r="H128" s="43">
        <v>44393</v>
      </c>
      <c r="I128" s="33">
        <v>56</v>
      </c>
      <c r="J128" s="33" t="s">
        <v>787</v>
      </c>
      <c r="K128" s="33" t="s">
        <v>488</v>
      </c>
      <c r="L128" s="33" t="s">
        <v>788</v>
      </c>
      <c r="N128" s="3" t="b">
        <f t="shared" si="0"/>
        <v>0</v>
      </c>
      <c r="O128" s="23" t="str">
        <f>IFERROR(VLOOKUP(A128, '2023 Full View'!$1:$1000, 1, FALSE), "")</f>
        <v/>
      </c>
      <c r="P128" s="3" t="str">
        <f ca="1">IFERROR(__xludf.DUMMYFUNCTION("iferror(TEXTJOIN("", "",TRUE, FILTER($B$1:$E$1,B128:E128&lt;&gt;"""")),"""")"),"Maggie")</f>
        <v>Maggie</v>
      </c>
    </row>
    <row r="129" spans="1:16" ht="13">
      <c r="A129" s="33" t="s">
        <v>2087</v>
      </c>
      <c r="B129" s="33"/>
      <c r="C129" s="33">
        <v>24</v>
      </c>
      <c r="D129" s="33"/>
      <c r="E129" s="33"/>
      <c r="F129" s="33"/>
      <c r="G129" s="33">
        <v>162093</v>
      </c>
      <c r="H129" s="43">
        <v>34544</v>
      </c>
      <c r="I129" s="33">
        <v>56</v>
      </c>
      <c r="J129" s="33" t="s">
        <v>2482</v>
      </c>
      <c r="K129" s="33" t="s">
        <v>396</v>
      </c>
      <c r="L129" s="33" t="s">
        <v>651</v>
      </c>
      <c r="N129" s="3" t="b">
        <f t="shared" si="0"/>
        <v>0</v>
      </c>
      <c r="O129" s="23" t="str">
        <f>IFERROR(VLOOKUP(A129, '2023 Full View'!$1:$1000, 1, FALSE), "")</f>
        <v/>
      </c>
      <c r="P129" s="3" t="str">
        <f ca="1">IFERROR(__xludf.DUMMYFUNCTION("iferror(TEXTJOIN("", "",TRUE, FILTER($B$1:$E$1,B129:E129&lt;&gt;"""")),"""")"),"Bryce")</f>
        <v>Bryce</v>
      </c>
    </row>
    <row r="130" spans="1:16" ht="13">
      <c r="A130" s="33" t="s">
        <v>2118</v>
      </c>
      <c r="B130" s="33">
        <v>16</v>
      </c>
      <c r="C130" s="33"/>
      <c r="D130" s="33"/>
      <c r="E130" s="33"/>
      <c r="F130" s="33"/>
      <c r="G130" s="33">
        <v>206929</v>
      </c>
      <c r="H130" s="43">
        <v>45170</v>
      </c>
      <c r="I130" s="33">
        <v>56</v>
      </c>
      <c r="J130" s="33" t="s">
        <v>878</v>
      </c>
      <c r="K130" s="33" t="s">
        <v>463</v>
      </c>
      <c r="L130" s="33" t="s">
        <v>879</v>
      </c>
      <c r="N130" s="3" t="b">
        <f t="shared" si="0"/>
        <v>0</v>
      </c>
      <c r="O130" s="23" t="str">
        <f>IFERROR(VLOOKUP(A130, '2023 Full View'!$1:$1000, 1, FALSE), "")</f>
        <v/>
      </c>
      <c r="P130" s="3" t="str">
        <f ca="1">IFERROR(__xludf.DUMMYFUNCTION("iferror(TEXTJOIN("", "",TRUE, FILTER($B$1:$E$1,B130:E130&lt;&gt;"""")),"""")"),"Bryce")</f>
        <v>Bryce</v>
      </c>
    </row>
    <row r="131" spans="1:16" ht="13">
      <c r="A131" s="33" t="s">
        <v>2148</v>
      </c>
      <c r="B131" s="33"/>
      <c r="C131" s="33"/>
      <c r="D131" s="33"/>
      <c r="E131" s="33">
        <v>8</v>
      </c>
      <c r="F131" s="33"/>
      <c r="G131" s="33">
        <v>262186</v>
      </c>
      <c r="H131" s="43">
        <v>37987</v>
      </c>
      <c r="I131" s="33">
        <v>56</v>
      </c>
      <c r="J131" s="33" t="s">
        <v>2483</v>
      </c>
      <c r="K131" s="33" t="s">
        <v>1361</v>
      </c>
      <c r="L131" s="33" t="s">
        <v>1921</v>
      </c>
      <c r="N131" s="3" t="b">
        <f t="shared" si="0"/>
        <v>0</v>
      </c>
      <c r="O131" s="23" t="str">
        <f>IFERROR(VLOOKUP(A131, '2023 Full View'!$1:$1000, 1, FALSE), "")</f>
        <v/>
      </c>
      <c r="P131" s="3" t="str">
        <f ca="1">IFERROR(__xludf.DUMMYFUNCTION("iferror(TEXTJOIN("", "",TRUE, FILTER($B$1:$E$1,B131:E131&lt;&gt;"""")),"""")"),"Bryce")</f>
        <v>Bryce</v>
      </c>
    </row>
    <row r="132" spans="1:16" ht="13">
      <c r="A132" s="33" t="s">
        <v>1841</v>
      </c>
      <c r="B132" s="33">
        <v>86</v>
      </c>
      <c r="C132" s="33"/>
      <c r="D132" s="33"/>
      <c r="E132" s="33"/>
      <c r="F132" s="33" t="s">
        <v>469</v>
      </c>
      <c r="G132" s="33">
        <v>212353</v>
      </c>
      <c r="H132" s="43">
        <v>45519</v>
      </c>
      <c r="I132" s="33">
        <v>57</v>
      </c>
      <c r="J132" s="33" t="s">
        <v>1007</v>
      </c>
      <c r="K132" s="33" t="s">
        <v>368</v>
      </c>
      <c r="L132" s="33" t="s">
        <v>1006</v>
      </c>
      <c r="N132" s="3" t="b">
        <f t="shared" si="0"/>
        <v>0</v>
      </c>
      <c r="O132" s="23" t="str">
        <f>IFERROR(VLOOKUP(A132, '2023 Full View'!$1:$1000, 1, FALSE), "")</f>
        <v/>
      </c>
      <c r="P132" s="3" t="str">
        <f ca="1">IFERROR(__xludf.DUMMYFUNCTION("iferror(TEXTJOIN("", "",TRUE, FILTER($B$1:$E$1,B132:E132&lt;&gt;"""")),"""")"),"Jamie")</f>
        <v>Jamie</v>
      </c>
    </row>
    <row r="133" spans="1:16" ht="13">
      <c r="A133" s="33" t="s">
        <v>1912</v>
      </c>
      <c r="B133" s="33"/>
      <c r="C133" s="33">
        <v>69</v>
      </c>
      <c r="D133" s="33"/>
      <c r="E133" s="33"/>
      <c r="F133" s="33" t="s">
        <v>416</v>
      </c>
      <c r="G133" s="33">
        <v>124188</v>
      </c>
      <c r="H133" s="43">
        <v>44645</v>
      </c>
      <c r="I133" s="33">
        <v>57</v>
      </c>
      <c r="J133" s="33" t="s">
        <v>2484</v>
      </c>
      <c r="K133" s="33" t="s">
        <v>435</v>
      </c>
      <c r="L133" s="33" t="s">
        <v>804</v>
      </c>
      <c r="N133" s="3" t="b">
        <f t="shared" si="0"/>
        <v>0</v>
      </c>
      <c r="O133" s="23" t="str">
        <f>IFERROR(VLOOKUP(A133, '2023 Full View'!$1:$1000, 1, FALSE), "")</f>
        <v>ay! (feat. Lil Wayne)mgk</v>
      </c>
      <c r="P133" s="3" t="str">
        <f ca="1">IFERROR(__xludf.DUMMYFUNCTION("iferror(TEXTJOIN("", "",TRUE, FILTER($B$1:$E$1,B133:E133&lt;&gt;"""")),"""")"),"Bryce")</f>
        <v>Bryce</v>
      </c>
    </row>
    <row r="134" spans="1:16" ht="13">
      <c r="A134" s="33" t="s">
        <v>1783</v>
      </c>
      <c r="B134" s="33"/>
      <c r="C134" s="33"/>
      <c r="D134" s="33"/>
      <c r="E134" s="33">
        <v>100</v>
      </c>
      <c r="F134" s="33"/>
      <c r="G134" s="33">
        <v>292306</v>
      </c>
      <c r="H134" s="43">
        <v>37354</v>
      </c>
      <c r="I134" s="33">
        <v>57</v>
      </c>
      <c r="J134" s="33" t="s">
        <v>2485</v>
      </c>
      <c r="K134" s="33" t="s">
        <v>490</v>
      </c>
      <c r="L134" s="33" t="s">
        <v>665</v>
      </c>
      <c r="N134" s="3" t="b">
        <f t="shared" si="0"/>
        <v>0</v>
      </c>
      <c r="O134" s="23" t="str">
        <f>IFERROR(VLOOKUP(A134, '2023 Full View'!$1:$1000, 1, FALSE), "")</f>
        <v/>
      </c>
      <c r="P134" s="3" t="str">
        <f ca="1">IFERROR(__xludf.DUMMYFUNCTION("iferror(TEXTJOIN("", "",TRUE, FILTER($B$1:$E$1,B134:E134&lt;&gt;"""")),"""")"),"Jamie")</f>
        <v>Jamie</v>
      </c>
    </row>
    <row r="135" spans="1:16" ht="13">
      <c r="A135" s="33" t="s">
        <v>1784</v>
      </c>
      <c r="B135" s="33">
        <v>99</v>
      </c>
      <c r="C135" s="33"/>
      <c r="D135" s="33"/>
      <c r="E135" s="33"/>
      <c r="F135" s="33"/>
      <c r="G135" s="33">
        <v>160244</v>
      </c>
      <c r="H135" s="43">
        <v>45051</v>
      </c>
      <c r="I135" s="33">
        <v>57</v>
      </c>
      <c r="J135" s="33" t="s">
        <v>887</v>
      </c>
      <c r="K135" s="33" t="s">
        <v>457</v>
      </c>
      <c r="L135" s="33" t="s">
        <v>888</v>
      </c>
      <c r="N135" s="3" t="b">
        <f t="shared" si="0"/>
        <v>0</v>
      </c>
      <c r="O135" s="23" t="str">
        <f>IFERROR(VLOOKUP(A135, '2023 Full View'!$1:$1000, 1, FALSE), "")</f>
        <v/>
      </c>
      <c r="P135" s="3" t="str">
        <f ca="1">IFERROR(__xludf.DUMMYFUNCTION("iferror(TEXTJOIN("", "",TRUE, FILTER($B$1:$E$1,B135:E135&lt;&gt;"""")),"""")"),"Maggie")</f>
        <v>Maggie</v>
      </c>
    </row>
    <row r="136" spans="1:16" ht="13">
      <c r="A136" s="33" t="s">
        <v>1817</v>
      </c>
      <c r="B136" s="33"/>
      <c r="C136" s="33"/>
      <c r="D136" s="33"/>
      <c r="E136" s="33">
        <v>92</v>
      </c>
      <c r="F136" s="33"/>
      <c r="G136" s="33">
        <v>192120</v>
      </c>
      <c r="H136" s="43">
        <v>42058</v>
      </c>
      <c r="I136" s="33">
        <v>57</v>
      </c>
      <c r="J136" s="33" t="s">
        <v>2486</v>
      </c>
      <c r="K136" s="33" t="s">
        <v>536</v>
      </c>
      <c r="L136" s="33" t="s">
        <v>718</v>
      </c>
      <c r="N136" s="3" t="b">
        <f t="shared" si="0"/>
        <v>0</v>
      </c>
      <c r="O136" s="23" t="str">
        <f>IFERROR(VLOOKUP(A136, '2023 Full View'!$1:$1000, 1, FALSE), "")</f>
        <v/>
      </c>
      <c r="P136" s="3" t="str">
        <f ca="1">IFERROR(__xludf.DUMMYFUNCTION("iferror(TEXTJOIN("", "",TRUE, FILTER($B$1:$E$1,B136:E136&lt;&gt;"""")),"""")"),"Maggie")</f>
        <v>Maggie</v>
      </c>
    </row>
    <row r="137" spans="1:16" ht="13">
      <c r="A137" s="33" t="s">
        <v>1859</v>
      </c>
      <c r="B137" s="33"/>
      <c r="C137" s="33"/>
      <c r="D137" s="33">
        <v>82</v>
      </c>
      <c r="E137" s="33"/>
      <c r="F137" s="33"/>
      <c r="G137" s="33">
        <v>177960</v>
      </c>
      <c r="H137" s="43">
        <v>28444</v>
      </c>
      <c r="I137" s="33">
        <v>57</v>
      </c>
      <c r="J137" s="33" t="s">
        <v>597</v>
      </c>
      <c r="K137" s="33" t="s">
        <v>514</v>
      </c>
      <c r="L137" s="33" t="s">
        <v>598</v>
      </c>
      <c r="N137" s="3" t="b">
        <f t="shared" si="0"/>
        <v>0</v>
      </c>
      <c r="O137" s="23" t="str">
        <f>IFERROR(VLOOKUP(A137, '2023 Full View'!$1:$1000, 1, FALSE), "")</f>
        <v/>
      </c>
      <c r="P137" s="3" t="str">
        <f ca="1">IFERROR(__xludf.DUMMYFUNCTION("iferror(TEXTJOIN("", "",TRUE, FILTER($B$1:$E$1,B137:E137&lt;&gt;"""")),"""")"),"Maggie")</f>
        <v>Maggie</v>
      </c>
    </row>
    <row r="138" spans="1:16" ht="13">
      <c r="A138" s="33" t="s">
        <v>1957</v>
      </c>
      <c r="B138" s="33"/>
      <c r="C138" s="33"/>
      <c r="D138" s="33"/>
      <c r="E138" s="33">
        <v>58</v>
      </c>
      <c r="F138" s="33"/>
      <c r="G138" s="33">
        <v>196906</v>
      </c>
      <c r="H138" s="43">
        <v>40179</v>
      </c>
      <c r="I138" s="33">
        <v>57</v>
      </c>
      <c r="J138" s="33" t="s">
        <v>685</v>
      </c>
      <c r="K138" s="33" t="s">
        <v>373</v>
      </c>
      <c r="L138" s="33" t="s">
        <v>686</v>
      </c>
      <c r="N138" s="3" t="b">
        <f t="shared" si="0"/>
        <v>0</v>
      </c>
      <c r="O138" s="23" t="str">
        <f>IFERROR(VLOOKUP(A138, '2023 Full View'!$1:$1000, 1, FALSE), "")</f>
        <v/>
      </c>
      <c r="P138" s="3" t="str">
        <f ca="1">IFERROR(__xludf.DUMMYFUNCTION("iferror(TEXTJOIN("", "",TRUE, FILTER($B$1:$E$1,B138:E138&lt;&gt;"""")),"""")"),"Bryce")</f>
        <v>Bryce</v>
      </c>
    </row>
    <row r="139" spans="1:16" ht="13">
      <c r="A139" s="33" t="s">
        <v>2083</v>
      </c>
      <c r="B139" s="33"/>
      <c r="C139" s="33"/>
      <c r="D139" s="33">
        <v>25</v>
      </c>
      <c r="E139" s="33"/>
      <c r="F139" s="33"/>
      <c r="G139" s="33">
        <v>235223</v>
      </c>
      <c r="H139" s="43">
        <v>26341</v>
      </c>
      <c r="I139" s="33">
        <v>57</v>
      </c>
      <c r="J139" s="33" t="s">
        <v>2487</v>
      </c>
      <c r="K139" s="33" t="s">
        <v>518</v>
      </c>
      <c r="L139" s="33" t="s">
        <v>628</v>
      </c>
      <c r="N139" s="3" t="b">
        <f t="shared" si="0"/>
        <v>0</v>
      </c>
      <c r="O139" s="23" t="str">
        <f>IFERROR(VLOOKUP(A139, '2023 Full View'!$1:$1000, 1, FALSE), "")</f>
        <v/>
      </c>
      <c r="P139" s="3" t="str">
        <f ca="1">IFERROR(__xludf.DUMMYFUNCTION("iferror(TEXTJOIN("", "",TRUE, FILTER($B$1:$E$1,B139:E139&lt;&gt;"""")),"""")"),"Bryce")</f>
        <v>Bryce</v>
      </c>
    </row>
    <row r="140" spans="1:16" ht="13">
      <c r="A140" s="33" t="s">
        <v>2110</v>
      </c>
      <c r="B140" s="33"/>
      <c r="C140" s="33"/>
      <c r="D140" s="33">
        <v>18</v>
      </c>
      <c r="E140" s="33"/>
      <c r="F140" s="33"/>
      <c r="G140" s="33">
        <v>229866</v>
      </c>
      <c r="H140" s="43">
        <v>26299</v>
      </c>
      <c r="I140" s="33">
        <v>57</v>
      </c>
      <c r="J140" s="33" t="s">
        <v>2488</v>
      </c>
      <c r="K140" s="33" t="s">
        <v>549</v>
      </c>
      <c r="L140" s="33" t="s">
        <v>594</v>
      </c>
      <c r="N140" s="3" t="b">
        <f t="shared" si="0"/>
        <v>0</v>
      </c>
      <c r="O140" s="23" t="str">
        <f>IFERROR(VLOOKUP(A140, '2023 Full View'!$1:$1000, 1, FALSE), "")</f>
        <v/>
      </c>
      <c r="P140" s="3" t="str">
        <f ca="1">IFERROR(__xludf.DUMMYFUNCTION("iferror(TEXTJOIN("", "",TRUE, FILTER($B$1:$E$1,B140:E140&lt;&gt;"""")),"""")"),"Bryce")</f>
        <v>Bryce</v>
      </c>
    </row>
    <row r="141" spans="1:16" ht="13">
      <c r="A141" s="33" t="s">
        <v>2130</v>
      </c>
      <c r="B141" s="33">
        <v>13</v>
      </c>
      <c r="C141" s="33"/>
      <c r="D141" s="33"/>
      <c r="E141" s="33"/>
      <c r="F141" s="33"/>
      <c r="G141" s="33">
        <v>173866</v>
      </c>
      <c r="H141" s="43">
        <v>45434</v>
      </c>
      <c r="I141" s="33">
        <v>57</v>
      </c>
      <c r="J141" s="33"/>
      <c r="K141" s="33" t="s">
        <v>483</v>
      </c>
      <c r="L141" s="33" t="s">
        <v>1767</v>
      </c>
      <c r="N141" s="3" t="b">
        <f t="shared" si="0"/>
        <v>0</v>
      </c>
      <c r="O141" s="23" t="str">
        <f>IFERROR(VLOOKUP(A141, '2023 Full View'!$1:$1000, 1, FALSE), "")</f>
        <v/>
      </c>
      <c r="P141" s="3" t="str">
        <f ca="1">IFERROR(__xludf.DUMMYFUNCTION("iferror(TEXTJOIN("", "",TRUE, FILTER($B$1:$E$1,B141:E141&lt;&gt;"""")),"""")"),"Maggie")</f>
        <v>Maggie</v>
      </c>
    </row>
    <row r="142" spans="1:16" ht="13">
      <c r="A142" s="33" t="s">
        <v>2119</v>
      </c>
      <c r="B142" s="33"/>
      <c r="C142" s="33">
        <v>16</v>
      </c>
      <c r="D142" s="33"/>
      <c r="E142" s="33"/>
      <c r="F142" s="33" t="s">
        <v>419</v>
      </c>
      <c r="G142" s="33">
        <v>281457</v>
      </c>
      <c r="H142" s="43">
        <v>44707</v>
      </c>
      <c r="I142" s="33">
        <v>58</v>
      </c>
      <c r="J142" s="33" t="s">
        <v>811</v>
      </c>
      <c r="K142" s="33" t="s">
        <v>382</v>
      </c>
      <c r="L142" s="33" t="s">
        <v>812</v>
      </c>
      <c r="N142" s="3" t="b">
        <f t="shared" si="0"/>
        <v>0</v>
      </c>
      <c r="O142" s="23" t="str">
        <f>IFERROR(VLOOKUP(A142, '2023 Full View'!$1:$1000, 1, FALSE), "")</f>
        <v/>
      </c>
      <c r="P142" s="3" t="str">
        <f ca="1">IFERROR(__xludf.DUMMYFUNCTION("iferror(TEXTJOIN("", "",TRUE, FILTER($B$1:$E$1,B142:E142&lt;&gt;"""")),"""")"),"Maggie")</f>
        <v>Maggie</v>
      </c>
    </row>
    <row r="143" spans="1:16" ht="13">
      <c r="A143" s="33" t="s">
        <v>1871</v>
      </c>
      <c r="B143" s="33"/>
      <c r="C143" s="33">
        <v>79</v>
      </c>
      <c r="D143" s="33"/>
      <c r="E143" s="33"/>
      <c r="F143" s="33" t="s">
        <v>427</v>
      </c>
      <c r="G143" s="33">
        <v>159096</v>
      </c>
      <c r="H143" s="43">
        <v>44645</v>
      </c>
      <c r="I143" s="33">
        <v>58</v>
      </c>
      <c r="J143" s="33" t="s">
        <v>2484</v>
      </c>
      <c r="K143" s="33" t="s">
        <v>435</v>
      </c>
      <c r="L143" s="33" t="s">
        <v>805</v>
      </c>
      <c r="N143" s="3" t="b">
        <f t="shared" si="0"/>
        <v>0</v>
      </c>
      <c r="O143" s="23" t="str">
        <f>IFERROR(VLOOKUP(A143, '2023 Full View'!$1:$1000, 1, FALSE), "")</f>
        <v>emo girl (feat. WILLOW)mgk</v>
      </c>
      <c r="P143" s="3" t="str">
        <f ca="1">IFERROR(__xludf.DUMMYFUNCTION("iferror(TEXTJOIN("", "",TRUE, FILTER($B$1:$E$1,B143:E143&lt;&gt;"""")),"""")"),"Bryce")</f>
        <v>Bryce</v>
      </c>
    </row>
    <row r="144" spans="1:16" ht="13">
      <c r="A144" s="33" t="s">
        <v>1801</v>
      </c>
      <c r="B144" s="33"/>
      <c r="C144" s="33"/>
      <c r="D144" s="33"/>
      <c r="E144" s="33">
        <v>96</v>
      </c>
      <c r="F144" s="33"/>
      <c r="G144" s="33">
        <v>350218</v>
      </c>
      <c r="H144" s="43">
        <v>43343</v>
      </c>
      <c r="I144" s="33">
        <v>58</v>
      </c>
      <c r="J144" s="33" t="s">
        <v>2489</v>
      </c>
      <c r="K144" s="33" t="s">
        <v>535</v>
      </c>
      <c r="L144" s="33" t="s">
        <v>751</v>
      </c>
      <c r="N144" s="3" t="b">
        <f t="shared" si="0"/>
        <v>0</v>
      </c>
      <c r="O144" s="23" t="str">
        <f>IFERROR(VLOOKUP(A144, '2023 Full View'!$1:$1000, 1, FALSE), "")</f>
        <v/>
      </c>
      <c r="P144" s="3" t="str">
        <f ca="1">IFERROR(__xludf.DUMMYFUNCTION("iferror(TEXTJOIN("", "",TRUE, FILTER($B$1:$E$1,B144:E144&lt;&gt;"""")),"""")"),"Bryce")</f>
        <v>Bryce</v>
      </c>
    </row>
    <row r="145" spans="1:16" ht="13">
      <c r="A145" s="33" t="s">
        <v>1810</v>
      </c>
      <c r="B145" s="33">
        <v>93</v>
      </c>
      <c r="C145" s="33"/>
      <c r="D145" s="33"/>
      <c r="E145" s="33"/>
      <c r="F145" s="33"/>
      <c r="G145" s="33">
        <v>174133</v>
      </c>
      <c r="H145" s="43">
        <v>45436</v>
      </c>
      <c r="I145" s="33">
        <v>58</v>
      </c>
      <c r="J145" s="33" t="s">
        <v>974</v>
      </c>
      <c r="K145" s="33" t="s">
        <v>483</v>
      </c>
      <c r="L145" s="33" t="s">
        <v>983</v>
      </c>
      <c r="N145" s="3" t="b">
        <f t="shared" si="0"/>
        <v>0</v>
      </c>
      <c r="O145" s="23" t="str">
        <f>IFERROR(VLOOKUP(A145, '2023 Full View'!$1:$1000, 1, FALSE), "")</f>
        <v/>
      </c>
      <c r="P145" s="3" t="str">
        <f ca="1">IFERROR(__xludf.DUMMYFUNCTION("iferror(TEXTJOIN("", "",TRUE, FILTER($B$1:$E$1,B145:E145&lt;&gt;"""")),"""")"),"Zach")</f>
        <v>Zach</v>
      </c>
    </row>
    <row r="146" spans="1:16" ht="13">
      <c r="A146" s="33" t="s">
        <v>1818</v>
      </c>
      <c r="B146" s="33">
        <v>91</v>
      </c>
      <c r="C146" s="33"/>
      <c r="D146" s="33"/>
      <c r="E146" s="33"/>
      <c r="F146" s="33"/>
      <c r="G146" s="33">
        <v>138958</v>
      </c>
      <c r="H146" s="43">
        <v>44988</v>
      </c>
      <c r="I146" s="33">
        <v>58</v>
      </c>
      <c r="J146" s="33" t="s">
        <v>843</v>
      </c>
      <c r="K146" s="33" t="s">
        <v>429</v>
      </c>
      <c r="L146" s="33" t="s">
        <v>844</v>
      </c>
      <c r="N146" s="3" t="b">
        <f t="shared" si="0"/>
        <v>0</v>
      </c>
      <c r="O146" s="23" t="str">
        <f>IFERROR(VLOOKUP(A146, '2023 Full View'!$1:$1000, 1, FALSE), "")</f>
        <v>Me To MeMorgan Wallen</v>
      </c>
      <c r="P146" s="3" t="str">
        <f ca="1">IFERROR(__xludf.DUMMYFUNCTION("iferror(TEXTJOIN("", "",TRUE, FILTER($B$1:$E$1,B146:E146&lt;&gt;"""")),"""")"),"Bryce")</f>
        <v>Bryce</v>
      </c>
    </row>
    <row r="147" spans="1:16" ht="13">
      <c r="A147" s="33" t="s">
        <v>1883</v>
      </c>
      <c r="B147" s="33"/>
      <c r="C147" s="33"/>
      <c r="D147" s="33">
        <v>76</v>
      </c>
      <c r="E147" s="33"/>
      <c r="F147" s="33"/>
      <c r="G147" s="33">
        <v>193064</v>
      </c>
      <c r="H147" s="43">
        <v>35822</v>
      </c>
      <c r="I147" s="33">
        <v>58</v>
      </c>
      <c r="J147" s="33" t="s">
        <v>654</v>
      </c>
      <c r="K147" s="33" t="s">
        <v>493</v>
      </c>
      <c r="L147" s="33" t="s">
        <v>655</v>
      </c>
      <c r="N147" s="3" t="b">
        <f t="shared" si="0"/>
        <v>0</v>
      </c>
      <c r="O147" s="23" t="str">
        <f>IFERROR(VLOOKUP(A147, '2023 Full View'!$1:$1000, 1, FALSE), "")</f>
        <v/>
      </c>
      <c r="P147" s="3" t="str">
        <f ca="1">IFERROR(__xludf.DUMMYFUNCTION("iferror(TEXTJOIN("", "",TRUE, FILTER($B$1:$E$1,B147:E147&lt;&gt;"""")),"""")"),"Bryce")</f>
        <v>Bryce</v>
      </c>
    </row>
    <row r="148" spans="1:16" ht="13">
      <c r="A148" s="33" t="s">
        <v>1975</v>
      </c>
      <c r="B148" s="33"/>
      <c r="C148" s="33"/>
      <c r="D148" s="33">
        <v>53</v>
      </c>
      <c r="E148" s="33"/>
      <c r="F148" s="33"/>
      <c r="G148" s="33">
        <v>174733</v>
      </c>
      <c r="H148" s="43">
        <v>42013</v>
      </c>
      <c r="I148" s="33">
        <v>58</v>
      </c>
      <c r="J148" s="33" t="s">
        <v>2490</v>
      </c>
      <c r="K148" s="33" t="s">
        <v>517</v>
      </c>
      <c r="L148" s="33" t="s">
        <v>715</v>
      </c>
      <c r="N148" s="3" t="b">
        <f t="shared" si="0"/>
        <v>0</v>
      </c>
      <c r="O148" s="23" t="str">
        <f>IFERROR(VLOOKUP(A148, '2023 Full View'!$1:$1000, 1, FALSE), "")</f>
        <v/>
      </c>
      <c r="P148" s="3" t="str">
        <f ca="1">IFERROR(__xludf.DUMMYFUNCTION("iferror(TEXTJOIN("", "",TRUE, FILTER($B$1:$E$1,B148:E148&lt;&gt;"""")),"""")"),"Zach")</f>
        <v>Zach</v>
      </c>
    </row>
    <row r="149" spans="1:16" ht="13">
      <c r="A149" s="33" t="s">
        <v>1823</v>
      </c>
      <c r="B149" s="33"/>
      <c r="C149" s="33">
        <v>90</v>
      </c>
      <c r="D149" s="33"/>
      <c r="E149" s="33"/>
      <c r="F149" s="33"/>
      <c r="G149" s="33">
        <v>190946</v>
      </c>
      <c r="H149" s="43">
        <v>45163</v>
      </c>
      <c r="I149" s="33">
        <v>59</v>
      </c>
      <c r="J149" s="33" t="s">
        <v>437</v>
      </c>
      <c r="K149" s="33" t="s">
        <v>437</v>
      </c>
      <c r="L149" s="33" t="s">
        <v>876</v>
      </c>
      <c r="N149" s="3" t="b">
        <f t="shared" si="0"/>
        <v>0</v>
      </c>
      <c r="O149" s="23" t="str">
        <f>IFERROR(VLOOKUP(A149, '2023 Full View'!$1:$1000, 1, FALSE), "")</f>
        <v/>
      </c>
      <c r="P149" s="3" t="str">
        <f ca="1">IFERROR(__xludf.DUMMYFUNCTION("iferror(TEXTJOIN("", "",TRUE, FILTER($B$1:$E$1,B149:E149&lt;&gt;"""")),"""")"),"Bryce")</f>
        <v>Bryce</v>
      </c>
    </row>
    <row r="150" spans="1:16" ht="13">
      <c r="A150" s="33" t="s">
        <v>1925</v>
      </c>
      <c r="B150" s="33"/>
      <c r="C150" s="33"/>
      <c r="D150" s="33">
        <v>66</v>
      </c>
      <c r="E150" s="33"/>
      <c r="F150" s="33"/>
      <c r="G150" s="33">
        <v>205066</v>
      </c>
      <c r="H150" s="43">
        <v>36892</v>
      </c>
      <c r="I150" s="33">
        <v>59</v>
      </c>
      <c r="J150" s="33" t="s">
        <v>661</v>
      </c>
      <c r="K150" s="33" t="s">
        <v>515</v>
      </c>
      <c r="L150" s="33" t="s">
        <v>662</v>
      </c>
      <c r="N150" s="3" t="b">
        <f t="shared" si="0"/>
        <v>0</v>
      </c>
      <c r="O150" s="23" t="str">
        <f>IFERROR(VLOOKUP(A150, '2023 Full View'!$1:$1000, 1, FALSE), "")</f>
        <v/>
      </c>
      <c r="P150" s="3" t="str">
        <f ca="1">IFERROR(__xludf.DUMMYFUNCTION("iferror(TEXTJOIN("", "",TRUE, FILTER($B$1:$E$1,B150:E150&lt;&gt;"""")),"""")"),"Bryce")</f>
        <v>Bryce</v>
      </c>
    </row>
    <row r="151" spans="1:16" ht="13">
      <c r="A151" s="33" t="s">
        <v>1983</v>
      </c>
      <c r="B151" s="33"/>
      <c r="C151" s="33"/>
      <c r="D151" s="33">
        <v>51</v>
      </c>
      <c r="E151" s="33"/>
      <c r="F151" s="33"/>
      <c r="G151" s="33">
        <v>250373</v>
      </c>
      <c r="H151" s="43">
        <v>40130</v>
      </c>
      <c r="I151" s="33">
        <v>59</v>
      </c>
      <c r="J151" s="33" t="s">
        <v>683</v>
      </c>
      <c r="K151" s="33" t="s">
        <v>488</v>
      </c>
      <c r="L151" s="33" t="s">
        <v>684</v>
      </c>
      <c r="N151" s="3" t="b">
        <f t="shared" si="0"/>
        <v>0</v>
      </c>
      <c r="O151" s="23" t="str">
        <f>IFERROR(VLOOKUP(A151, '2023 Full View'!$1:$1000, 1, FALSE), "")</f>
        <v>Half of My HeartJohn Mayer</v>
      </c>
      <c r="P151" s="3" t="str">
        <f ca="1">IFERROR(__xludf.DUMMYFUNCTION("iferror(TEXTJOIN("", "",TRUE, FILTER($B$1:$E$1,B151:E151&lt;&gt;"""")),"""")"),"Bryce")</f>
        <v>Bryce</v>
      </c>
    </row>
    <row r="152" spans="1:16" ht="13">
      <c r="A152" s="33" t="s">
        <v>2045</v>
      </c>
      <c r="B152" s="33"/>
      <c r="C152" s="33"/>
      <c r="D152" s="33">
        <v>35</v>
      </c>
      <c r="E152" s="33"/>
      <c r="F152" s="33"/>
      <c r="G152" s="33">
        <v>141506</v>
      </c>
      <c r="H152" s="43">
        <v>25326</v>
      </c>
      <c r="I152" s="33">
        <v>59</v>
      </c>
      <c r="J152" s="33" t="s">
        <v>614</v>
      </c>
      <c r="K152" s="33" t="s">
        <v>509</v>
      </c>
      <c r="L152" s="33" t="s">
        <v>615</v>
      </c>
      <c r="N152" s="3" t="b">
        <f t="shared" si="0"/>
        <v>0</v>
      </c>
      <c r="O152" s="23" t="str">
        <f>IFERROR(VLOOKUP(A152, '2023 Full View'!$1:$1000, 1, FALSE), "")</f>
        <v/>
      </c>
      <c r="P152" s="3" t="str">
        <f ca="1">IFERROR(__xludf.DUMMYFUNCTION("iferror(TEXTJOIN("", "",TRUE, FILTER($B$1:$E$1,B152:E152&lt;&gt;"""")),"""")"),"Bryce")</f>
        <v>Bryce</v>
      </c>
    </row>
    <row r="153" spans="1:16" ht="13">
      <c r="A153" s="33" t="s">
        <v>2088</v>
      </c>
      <c r="B153" s="33"/>
      <c r="C153" s="33"/>
      <c r="D153" s="33">
        <v>24</v>
      </c>
      <c r="E153" s="33"/>
      <c r="F153" s="33"/>
      <c r="G153" s="33">
        <v>195700</v>
      </c>
      <c r="H153" s="43">
        <v>45225</v>
      </c>
      <c r="I153" s="33">
        <v>59</v>
      </c>
      <c r="J153" s="33" t="s">
        <v>2491</v>
      </c>
      <c r="K153" s="33" t="s">
        <v>438</v>
      </c>
      <c r="L153" s="33" t="s">
        <v>906</v>
      </c>
      <c r="N153" s="3" t="b">
        <f t="shared" si="0"/>
        <v>0</v>
      </c>
      <c r="O153" s="23" t="str">
        <f>IFERROR(VLOOKUP(A153, '2023 Full View'!$1:$1000, 1, FALSE), "")</f>
        <v/>
      </c>
      <c r="P153" s="3" t="str">
        <f ca="1">IFERROR(__xludf.DUMMYFUNCTION("iferror(TEXTJOIN("", "",TRUE, FILTER($B$1:$E$1,B153:E153&lt;&gt;"""")),"""")"),"Jamie")</f>
        <v>Jamie</v>
      </c>
    </row>
    <row r="154" spans="1:16" ht="13">
      <c r="A154" s="33" t="s">
        <v>2095</v>
      </c>
      <c r="B154" s="33"/>
      <c r="C154" s="33"/>
      <c r="D154" s="33">
        <v>22</v>
      </c>
      <c r="E154" s="33"/>
      <c r="F154" s="33"/>
      <c r="G154" s="33">
        <v>253295</v>
      </c>
      <c r="H154" s="43">
        <v>33696</v>
      </c>
      <c r="I154" s="33">
        <v>59</v>
      </c>
      <c r="J154" s="33"/>
      <c r="K154" s="33" t="s">
        <v>530</v>
      </c>
      <c r="L154" s="33" t="s">
        <v>649</v>
      </c>
      <c r="N154" s="3" t="b">
        <f t="shared" si="0"/>
        <v>0</v>
      </c>
      <c r="O154" s="23" t="str">
        <f>IFERROR(VLOOKUP(A154, '2023 Full View'!$1:$1000, 1, FALSE), "")</f>
        <v/>
      </c>
      <c r="P154" s="3" t="str">
        <f ca="1">IFERROR(__xludf.DUMMYFUNCTION("iferror(TEXTJOIN("", "",TRUE, FILTER($B$1:$E$1,B154:E154&lt;&gt;"""")),"""")"),"Jamie")</f>
        <v>Jamie</v>
      </c>
    </row>
    <row r="155" spans="1:16" ht="13">
      <c r="A155" s="33" t="s">
        <v>2112</v>
      </c>
      <c r="B155" s="33">
        <v>17</v>
      </c>
      <c r="C155" s="33"/>
      <c r="D155" s="33"/>
      <c r="E155" s="33"/>
      <c r="F155" s="33"/>
      <c r="G155" s="33">
        <v>210266</v>
      </c>
      <c r="H155" s="43">
        <v>45436</v>
      </c>
      <c r="I155" s="33">
        <v>59</v>
      </c>
      <c r="J155" s="33" t="s">
        <v>974</v>
      </c>
      <c r="K155" s="33" t="s">
        <v>483</v>
      </c>
      <c r="L155" s="33" t="s">
        <v>981</v>
      </c>
      <c r="N155" s="3" t="b">
        <f t="shared" si="0"/>
        <v>0</v>
      </c>
      <c r="O155" s="23" t="str">
        <f>IFERROR(VLOOKUP(A155, '2023 Full View'!$1:$1000, 1, FALSE), "")</f>
        <v/>
      </c>
      <c r="P155" s="3" t="str">
        <f ca="1">IFERROR(__xludf.DUMMYFUNCTION("iferror(TEXTJOIN("", "",TRUE, FILTER($B$1:$E$1,B155:E155&lt;&gt;"""")),"""")"),"Bryce")</f>
        <v>Bryce</v>
      </c>
    </row>
    <row r="156" spans="1:16" ht="13">
      <c r="A156" s="33" t="s">
        <v>2128</v>
      </c>
      <c r="B156" s="33"/>
      <c r="C156" s="33"/>
      <c r="D156" s="33">
        <v>14</v>
      </c>
      <c r="E156" s="33"/>
      <c r="F156" s="33"/>
      <c r="G156" s="33">
        <v>172733</v>
      </c>
      <c r="H156" s="43">
        <v>24108</v>
      </c>
      <c r="I156" s="33">
        <v>59</v>
      </c>
      <c r="J156" s="33" t="s">
        <v>1758</v>
      </c>
      <c r="K156" s="33" t="s">
        <v>1759</v>
      </c>
      <c r="L156" s="33" t="s">
        <v>1760</v>
      </c>
      <c r="N156" s="3" t="b">
        <f t="shared" si="0"/>
        <v>0</v>
      </c>
      <c r="O156" s="23" t="str">
        <f>IFERROR(VLOOKUP(A156, '2023 Full View'!$1:$1000, 1, FALSE), "")</f>
        <v/>
      </c>
      <c r="P156" s="3" t="str">
        <f ca="1">IFERROR(__xludf.DUMMYFUNCTION("iferror(TEXTJOIN("", "",TRUE, FILTER($B$1:$E$1,B156:E156&lt;&gt;"""")),"""")"),"Bryce")</f>
        <v>Bryce</v>
      </c>
    </row>
    <row r="157" spans="1:16" ht="13">
      <c r="A157" s="33" t="s">
        <v>2136</v>
      </c>
      <c r="B157" s="33">
        <v>11</v>
      </c>
      <c r="C157" s="33"/>
      <c r="D157" s="33"/>
      <c r="E157" s="33"/>
      <c r="F157" s="33" t="s">
        <v>428</v>
      </c>
      <c r="G157" s="33">
        <v>220479</v>
      </c>
      <c r="H157" s="43">
        <v>45519</v>
      </c>
      <c r="I157" s="33">
        <v>60</v>
      </c>
      <c r="J157" s="33" t="s">
        <v>1007</v>
      </c>
      <c r="K157" s="33" t="s">
        <v>368</v>
      </c>
      <c r="L157" s="33" t="s">
        <v>1761</v>
      </c>
      <c r="N157" s="3" t="b">
        <f t="shared" si="0"/>
        <v>0</v>
      </c>
      <c r="O157" s="23" t="str">
        <f>IFERROR(VLOOKUP(A157, '2023 Full View'!$1:$1000, 1, FALSE), "")</f>
        <v/>
      </c>
      <c r="P157" s="3" t="str">
        <f ca="1">IFERROR(__xludf.DUMMYFUNCTION("iferror(TEXTJOIN("", "",TRUE, FILTER($B$1:$E$1,B157:E157&lt;&gt;"""")),"""")"),"Zach, Bryce")</f>
        <v>Zach, Bryce</v>
      </c>
    </row>
    <row r="158" spans="1:16" ht="13">
      <c r="A158" s="33" t="s">
        <v>1782</v>
      </c>
      <c r="B158" s="33"/>
      <c r="C158" s="33"/>
      <c r="D158" s="33">
        <v>100</v>
      </c>
      <c r="E158" s="33"/>
      <c r="F158" s="33"/>
      <c r="G158" s="33">
        <v>168666</v>
      </c>
      <c r="H158" s="43">
        <v>39814</v>
      </c>
      <c r="I158" s="33">
        <v>60</v>
      </c>
      <c r="J158" s="33" t="s">
        <v>2492</v>
      </c>
      <c r="K158" s="33" t="s">
        <v>538</v>
      </c>
      <c r="L158" s="33" t="s">
        <v>607</v>
      </c>
      <c r="N158" s="3" t="b">
        <f t="shared" si="0"/>
        <v>0</v>
      </c>
      <c r="O158" s="23" t="str">
        <f>IFERROR(VLOOKUP(A158, '2023 Full View'!$1:$1000, 1, FALSE), "")</f>
        <v/>
      </c>
      <c r="P158" s="3" t="str">
        <f ca="1">IFERROR(__xludf.DUMMYFUNCTION("iferror(TEXTJOIN("", "",TRUE, FILTER($B$1:$E$1,B158:E158&lt;&gt;"""")),"""")"),"Jamie")</f>
        <v>Jamie</v>
      </c>
    </row>
    <row r="159" spans="1:16" ht="13">
      <c r="A159" s="33" t="s">
        <v>1800</v>
      </c>
      <c r="B159" s="33"/>
      <c r="C159" s="33"/>
      <c r="D159" s="33">
        <v>96</v>
      </c>
      <c r="E159" s="33"/>
      <c r="F159" s="33"/>
      <c r="G159" s="33">
        <v>230549</v>
      </c>
      <c r="H159" s="43">
        <v>37495</v>
      </c>
      <c r="I159" s="33">
        <v>60</v>
      </c>
      <c r="J159" s="33" t="s">
        <v>2493</v>
      </c>
      <c r="K159" s="33" t="s">
        <v>493</v>
      </c>
      <c r="L159" s="33" t="s">
        <v>667</v>
      </c>
      <c r="N159" s="3" t="b">
        <f t="shared" si="0"/>
        <v>0</v>
      </c>
      <c r="O159" s="23" t="str">
        <f>IFERROR(VLOOKUP(A159, '2023 Full View'!$1:$1000, 1, FALSE), "")</f>
        <v/>
      </c>
      <c r="P159" s="3" t="str">
        <f ca="1">IFERROR(__xludf.DUMMYFUNCTION("iferror(TEXTJOIN("", "",TRUE, FILTER($B$1:$E$1,B159:E159&lt;&gt;"""")),"""")"),"Zach")</f>
        <v>Zach</v>
      </c>
    </row>
    <row r="160" spans="1:16" ht="13">
      <c r="A160" s="33" t="s">
        <v>1804</v>
      </c>
      <c r="B160" s="33"/>
      <c r="C160" s="33"/>
      <c r="D160" s="33">
        <v>95</v>
      </c>
      <c r="E160" s="33"/>
      <c r="F160" s="33"/>
      <c r="G160" s="33">
        <v>323400</v>
      </c>
      <c r="H160" s="43">
        <v>35065</v>
      </c>
      <c r="I160" s="33">
        <v>60</v>
      </c>
      <c r="J160" s="33" t="s">
        <v>2485</v>
      </c>
      <c r="K160" s="33" t="s">
        <v>490</v>
      </c>
      <c r="L160" s="33" t="s">
        <v>652</v>
      </c>
      <c r="N160" s="3" t="b">
        <f t="shared" si="0"/>
        <v>0</v>
      </c>
      <c r="O160" s="23" t="str">
        <f>IFERROR(VLOOKUP(A160, '2023 Full View'!$1:$1000, 1, FALSE), "")</f>
        <v>If It Makes You HappySheryl Crow</v>
      </c>
      <c r="P160" s="3" t="str">
        <f ca="1">IFERROR(__xludf.DUMMYFUNCTION("iferror(TEXTJOIN("", "",TRUE, FILTER($B$1:$E$1,B160:E160&lt;&gt;"""")),"""")"),"Jamie")</f>
        <v>Jamie</v>
      </c>
    </row>
    <row r="161" spans="1:16" ht="13">
      <c r="A161" s="33" t="s">
        <v>1808</v>
      </c>
      <c r="B161" s="33"/>
      <c r="C161" s="33"/>
      <c r="D161" s="33">
        <v>94</v>
      </c>
      <c r="E161" s="33"/>
      <c r="F161" s="33"/>
      <c r="G161" s="33">
        <v>125826</v>
      </c>
      <c r="H161" s="43">
        <v>24047</v>
      </c>
      <c r="I161" s="33">
        <v>60</v>
      </c>
      <c r="J161" s="33" t="s">
        <v>609</v>
      </c>
      <c r="K161" s="33" t="s">
        <v>504</v>
      </c>
      <c r="L161" s="33" t="s">
        <v>610</v>
      </c>
      <c r="N161" s="3" t="b">
        <f t="shared" si="0"/>
        <v>0</v>
      </c>
      <c r="O161" s="23" t="str">
        <f>IFERROR(VLOOKUP(A161, '2023 Full View'!$1:$1000, 1, FALSE), "")</f>
        <v/>
      </c>
      <c r="P161" s="3" t="str">
        <f ca="1">IFERROR(__xludf.DUMMYFUNCTION("iferror(TEXTJOIN("", "",TRUE, FILTER($B$1:$E$1,B161:E161&lt;&gt;"""")),"""")"),"Jamie")</f>
        <v>Jamie</v>
      </c>
    </row>
    <row r="162" spans="1:16" ht="13">
      <c r="A162" s="33" t="s">
        <v>1873</v>
      </c>
      <c r="B162" s="33"/>
      <c r="C162" s="33"/>
      <c r="D162" s="33"/>
      <c r="E162" s="33">
        <v>79</v>
      </c>
      <c r="F162" s="33"/>
      <c r="G162" s="33">
        <v>204560</v>
      </c>
      <c r="H162" s="43">
        <v>44736</v>
      </c>
      <c r="I162" s="33">
        <v>60</v>
      </c>
      <c r="J162" s="33" t="s">
        <v>813</v>
      </c>
      <c r="K162" s="33" t="s">
        <v>496</v>
      </c>
      <c r="L162" s="33" t="s">
        <v>814</v>
      </c>
      <c r="N162" s="3" t="b">
        <f t="shared" si="0"/>
        <v>0</v>
      </c>
      <c r="O162" s="23" t="str">
        <f>IFERROR(VLOOKUP(A162, '2023 Full View'!$1:$1000, 1, FALSE), "")</f>
        <v/>
      </c>
      <c r="P162" s="3" t="str">
        <f ca="1">IFERROR(__xludf.DUMMYFUNCTION("iferror(TEXTJOIN("", "",TRUE, FILTER($B$1:$E$1,B162:E162&lt;&gt;"""")),"""")"),"Jamie")</f>
        <v>Jamie</v>
      </c>
    </row>
    <row r="163" spans="1:16" ht="13">
      <c r="A163" s="33" t="s">
        <v>1911</v>
      </c>
      <c r="B163" s="33">
        <v>69</v>
      </c>
      <c r="C163" s="33"/>
      <c r="D163" s="33"/>
      <c r="E163" s="33"/>
      <c r="F163" s="33"/>
      <c r="G163" s="33">
        <v>158866</v>
      </c>
      <c r="H163" s="43">
        <v>45436</v>
      </c>
      <c r="I163" s="33">
        <v>60</v>
      </c>
      <c r="J163" s="33" t="s">
        <v>974</v>
      </c>
      <c r="K163" s="33" t="s">
        <v>483</v>
      </c>
      <c r="L163" s="33" t="s">
        <v>975</v>
      </c>
      <c r="N163" s="3" t="b">
        <f t="shared" si="0"/>
        <v>0</v>
      </c>
      <c r="O163" s="23" t="str">
        <f>IFERROR(VLOOKUP(A163, '2023 Full View'!$1:$1000, 1, FALSE), "")</f>
        <v/>
      </c>
      <c r="P163" s="3" t="str">
        <f ca="1">IFERROR(__xludf.DUMMYFUNCTION("iferror(TEXTJOIN("", "",TRUE, FILTER($B$1:$E$1,B163:E163&lt;&gt;"""")),"""")"),"Bryce")</f>
        <v>Bryce</v>
      </c>
    </row>
    <row r="164" spans="1:16" ht="13">
      <c r="A164" s="33" t="s">
        <v>1937</v>
      </c>
      <c r="B164" s="33"/>
      <c r="C164" s="33"/>
      <c r="D164" s="33"/>
      <c r="E164" s="33">
        <v>63</v>
      </c>
      <c r="F164" s="33"/>
      <c r="G164" s="33">
        <v>164693</v>
      </c>
      <c r="H164" s="43">
        <v>45463</v>
      </c>
      <c r="I164" s="33">
        <v>60</v>
      </c>
      <c r="J164" s="33" t="s">
        <v>1029</v>
      </c>
      <c r="K164" s="33" t="s">
        <v>352</v>
      </c>
      <c r="L164" s="33" t="s">
        <v>1030</v>
      </c>
      <c r="N164" s="3" t="b">
        <f t="shared" si="0"/>
        <v>0</v>
      </c>
      <c r="O164" s="23" t="str">
        <f>IFERROR(VLOOKUP(A164, '2023 Full View'!$1:$1000, 1, FALSE), "")</f>
        <v/>
      </c>
      <c r="P164" s="3" t="str">
        <f ca="1">IFERROR(__xludf.DUMMYFUNCTION("iferror(TEXTJOIN("", "",TRUE, FILTER($B$1:$E$1,B164:E164&lt;&gt;"""")),"""")"),"Maggie")</f>
        <v>Maggie</v>
      </c>
    </row>
    <row r="165" spans="1:16" ht="13">
      <c r="A165" s="33" t="s">
        <v>1979</v>
      </c>
      <c r="B165" s="33"/>
      <c r="C165" s="33"/>
      <c r="D165" s="33">
        <v>52</v>
      </c>
      <c r="E165" s="33"/>
      <c r="F165" s="33"/>
      <c r="G165" s="33">
        <v>183861</v>
      </c>
      <c r="H165" s="43">
        <v>43724</v>
      </c>
      <c r="I165" s="33">
        <v>60</v>
      </c>
      <c r="J165" s="33" t="s">
        <v>764</v>
      </c>
      <c r="K165" s="33" t="s">
        <v>562</v>
      </c>
      <c r="L165" s="33" t="s">
        <v>765</v>
      </c>
      <c r="N165" s="3" t="b">
        <f t="shared" si="0"/>
        <v>0</v>
      </c>
      <c r="O165" s="23" t="str">
        <f>IFERROR(VLOOKUP(A165, '2023 Full View'!$1:$1000, 1, FALSE), "")</f>
        <v/>
      </c>
      <c r="P165" s="3" t="str">
        <f ca="1">IFERROR(__xludf.DUMMYFUNCTION("iferror(TEXTJOIN("", "",TRUE, FILTER($B$1:$E$1,B165:E165&lt;&gt;"""")),"""")"),"Jamie")</f>
        <v>Jamie</v>
      </c>
    </row>
    <row r="166" spans="1:16" ht="13">
      <c r="A166" s="33" t="s">
        <v>2031</v>
      </c>
      <c r="B166" s="33">
        <v>38</v>
      </c>
      <c r="C166" s="33"/>
      <c r="D166" s="33"/>
      <c r="E166" s="33"/>
      <c r="F166" s="33"/>
      <c r="G166" s="33">
        <v>388586</v>
      </c>
      <c r="H166" s="43">
        <v>45436</v>
      </c>
      <c r="I166" s="33">
        <v>60</v>
      </c>
      <c r="J166" s="33" t="s">
        <v>974</v>
      </c>
      <c r="K166" s="33" t="s">
        <v>483</v>
      </c>
      <c r="L166" s="33" t="s">
        <v>979</v>
      </c>
      <c r="N166" s="3" t="b">
        <f t="shared" si="0"/>
        <v>0</v>
      </c>
      <c r="O166" s="23" t="str">
        <f>IFERROR(VLOOKUP(A166, '2023 Full View'!$1:$1000, 1, FALSE), "")</f>
        <v/>
      </c>
      <c r="P166" s="3" t="str">
        <f ca="1">IFERROR(__xludf.DUMMYFUNCTION("iferror(TEXTJOIN("", "",TRUE, FILTER($B$1:$E$1,B166:E166&lt;&gt;"""")),"""")"),"Zach")</f>
        <v>Zach</v>
      </c>
    </row>
    <row r="167" spans="1:16" ht="13">
      <c r="A167" s="33" t="s">
        <v>2066</v>
      </c>
      <c r="B167" s="33">
        <v>29</v>
      </c>
      <c r="C167" s="33"/>
      <c r="D167" s="33"/>
      <c r="E167" s="33"/>
      <c r="F167" s="33"/>
      <c r="G167" s="33">
        <v>228000</v>
      </c>
      <c r="H167" s="43">
        <v>45436</v>
      </c>
      <c r="I167" s="33">
        <v>60</v>
      </c>
      <c r="J167" s="33" t="s">
        <v>974</v>
      </c>
      <c r="K167" s="33" t="s">
        <v>483</v>
      </c>
      <c r="L167" s="33" t="s">
        <v>982</v>
      </c>
      <c r="N167" s="3" t="b">
        <f t="shared" si="0"/>
        <v>0</v>
      </c>
      <c r="O167" s="23" t="str">
        <f>IFERROR(VLOOKUP(A167, '2023 Full View'!$1:$1000, 1, FALSE), "")</f>
        <v/>
      </c>
      <c r="P167" s="3" t="str">
        <f ca="1">IFERROR(__xludf.DUMMYFUNCTION("iferror(TEXTJOIN("", "",TRUE, FILTER($B$1:$E$1,B167:E167&lt;&gt;"""")),"""")"),"Zach")</f>
        <v>Zach</v>
      </c>
    </row>
    <row r="168" spans="1:16" ht="13">
      <c r="A168" s="33" t="s">
        <v>2096</v>
      </c>
      <c r="B168" s="33">
        <v>21</v>
      </c>
      <c r="C168" s="33"/>
      <c r="D168" s="33"/>
      <c r="E168" s="33"/>
      <c r="F168" s="33"/>
      <c r="G168" s="33">
        <v>203853</v>
      </c>
      <c r="H168" s="43">
        <v>45436</v>
      </c>
      <c r="I168" s="33">
        <v>60</v>
      </c>
      <c r="J168" s="33" t="s">
        <v>974</v>
      </c>
      <c r="K168" s="33" t="s">
        <v>483</v>
      </c>
      <c r="L168" s="33" t="s">
        <v>978</v>
      </c>
      <c r="N168" s="3" t="b">
        <f t="shared" si="0"/>
        <v>0</v>
      </c>
      <c r="O168" s="23" t="str">
        <f>IFERROR(VLOOKUP(A168, '2023 Full View'!$1:$1000, 1, FALSE), "")</f>
        <v/>
      </c>
      <c r="P168" s="3" t="str">
        <f ca="1">IFERROR(__xludf.DUMMYFUNCTION("iferror(TEXTJOIN("", "",TRUE, FILTER($B$1:$E$1,B168:E168&lt;&gt;"""")),"""")"),"Bryce")</f>
        <v>Bryce</v>
      </c>
    </row>
    <row r="169" spans="1:16" ht="13">
      <c r="A169" s="33" t="s">
        <v>1829</v>
      </c>
      <c r="B169" s="33">
        <v>89</v>
      </c>
      <c r="C169" s="33"/>
      <c r="D169" s="33"/>
      <c r="E169" s="33"/>
      <c r="F169" s="33"/>
      <c r="G169" s="33">
        <v>232133</v>
      </c>
      <c r="H169" s="43">
        <v>45366</v>
      </c>
      <c r="I169" s="33">
        <v>61</v>
      </c>
      <c r="J169" s="33" t="s">
        <v>2472</v>
      </c>
      <c r="K169" s="33" t="s">
        <v>480</v>
      </c>
      <c r="L169" s="33" t="s">
        <v>929</v>
      </c>
      <c r="N169" s="3" t="b">
        <f t="shared" si="0"/>
        <v>0</v>
      </c>
      <c r="O169" s="23" t="str">
        <f>IFERROR(VLOOKUP(A169, '2023 Full View'!$1:$1000, 1, FALSE), "")</f>
        <v/>
      </c>
      <c r="P169" s="3" t="str">
        <f ca="1">IFERROR(__xludf.DUMMYFUNCTION("iferror(TEXTJOIN("", "",TRUE, FILTER($B$1:$E$1,B169:E169&lt;&gt;"""")),"""")"),"Bryce")</f>
        <v>Bryce</v>
      </c>
    </row>
    <row r="170" spans="1:16" ht="13">
      <c r="A170" s="33" t="s">
        <v>1855</v>
      </c>
      <c r="B170" s="33"/>
      <c r="C170" s="33"/>
      <c r="D170" s="33">
        <v>83</v>
      </c>
      <c r="E170" s="33"/>
      <c r="F170" s="33"/>
      <c r="G170" s="33">
        <v>223333</v>
      </c>
      <c r="H170" s="43">
        <v>44512</v>
      </c>
      <c r="I170" s="33">
        <v>61</v>
      </c>
      <c r="J170" s="33" t="s">
        <v>796</v>
      </c>
      <c r="K170" s="33" t="s">
        <v>438</v>
      </c>
      <c r="L170" s="33" t="s">
        <v>797</v>
      </c>
      <c r="N170" s="3" t="b">
        <f t="shared" si="0"/>
        <v>0</v>
      </c>
      <c r="O170" s="23" t="str">
        <f>IFERROR(VLOOKUP(A170, '2023 Full View'!$1:$1000, 1, FALSE), "")</f>
        <v/>
      </c>
      <c r="P170" s="3" t="str">
        <f ca="1">IFERROR(__xludf.DUMMYFUNCTION("iferror(TEXTJOIN("", "",TRUE, FILTER($B$1:$E$1,B170:E170&lt;&gt;"""")),"""")"),"Jamie")</f>
        <v>Jamie</v>
      </c>
    </row>
    <row r="171" spans="1:16" ht="13">
      <c r="A171" s="33" t="s">
        <v>1893</v>
      </c>
      <c r="B171" s="33"/>
      <c r="C171" s="33"/>
      <c r="D171" s="33">
        <v>74</v>
      </c>
      <c r="E171" s="33"/>
      <c r="F171" s="33"/>
      <c r="G171" s="33">
        <v>207306</v>
      </c>
      <c r="H171" s="43">
        <v>28491</v>
      </c>
      <c r="I171" s="33">
        <v>61</v>
      </c>
      <c r="J171" s="33" t="s">
        <v>2494</v>
      </c>
      <c r="K171" s="33" t="s">
        <v>532</v>
      </c>
      <c r="L171" s="33" t="s">
        <v>596</v>
      </c>
      <c r="N171" s="3" t="b">
        <f t="shared" si="0"/>
        <v>0</v>
      </c>
      <c r="O171" s="23" t="str">
        <f>IFERROR(VLOOKUP(A171, '2023 Full View'!$1:$1000, 1, FALSE), "")</f>
        <v/>
      </c>
      <c r="P171" s="3" t="str">
        <f ca="1">IFERROR(__xludf.DUMMYFUNCTION("iferror(TEXTJOIN("", "",TRUE, FILTER($B$1:$E$1,B171:E171&lt;&gt;"""")),"""")"),"Bryce")</f>
        <v>Bryce</v>
      </c>
    </row>
    <row r="172" spans="1:16" ht="13">
      <c r="A172" s="33" t="s">
        <v>1934</v>
      </c>
      <c r="B172" s="33"/>
      <c r="C172" s="33"/>
      <c r="D172" s="33"/>
      <c r="E172" s="33">
        <v>64</v>
      </c>
      <c r="F172" s="33"/>
      <c r="G172" s="33">
        <v>348226</v>
      </c>
      <c r="H172" s="43">
        <v>40567</v>
      </c>
      <c r="I172" s="33">
        <v>61</v>
      </c>
      <c r="J172" s="33">
        <v>21</v>
      </c>
      <c r="K172" s="33" t="s">
        <v>485</v>
      </c>
      <c r="L172" s="33" t="s">
        <v>692</v>
      </c>
      <c r="N172" s="3" t="b">
        <f t="shared" si="0"/>
        <v>0</v>
      </c>
      <c r="O172" s="23" t="str">
        <f>IFERROR(VLOOKUP(A172, '2023 Full View'!$1:$1000, 1, FALSE), "")</f>
        <v/>
      </c>
      <c r="P172" s="3" t="str">
        <f ca="1">IFERROR(__xludf.DUMMYFUNCTION("iferror(TEXTJOIN("", "",TRUE, FILTER($B$1:$E$1,B172:E172&lt;&gt;"""")),"""")"),"Bryce")</f>
        <v>Bryce</v>
      </c>
    </row>
    <row r="173" spans="1:16" ht="13">
      <c r="A173" s="33" t="s">
        <v>1952</v>
      </c>
      <c r="B173" s="33"/>
      <c r="C173" s="33"/>
      <c r="D173" s="33">
        <v>59</v>
      </c>
      <c r="E173" s="33"/>
      <c r="F173" s="33"/>
      <c r="G173" s="33">
        <v>239881</v>
      </c>
      <c r="H173" s="43">
        <v>42080</v>
      </c>
      <c r="I173" s="33">
        <v>61</v>
      </c>
      <c r="J173" s="33" t="s">
        <v>716</v>
      </c>
      <c r="K173" s="33" t="s">
        <v>522</v>
      </c>
      <c r="L173" s="33" t="s">
        <v>717</v>
      </c>
      <c r="N173" s="3" t="b">
        <f t="shared" si="0"/>
        <v>0</v>
      </c>
      <c r="O173" s="23" t="str">
        <f>IFERROR(VLOOKUP(A173, '2023 Full View'!$1:$1000, 1, FALSE), "")</f>
        <v>SedonaHoundmouth</v>
      </c>
      <c r="P173" s="3" t="str">
        <f ca="1">IFERROR(__xludf.DUMMYFUNCTION("iferror(TEXTJOIN("", "",TRUE, FILTER($B$1:$E$1,B173:E173&lt;&gt;"""")),"""")"),"Zach")</f>
        <v>Zach</v>
      </c>
    </row>
    <row r="174" spans="1:16" ht="13">
      <c r="A174" s="33" t="s">
        <v>1964</v>
      </c>
      <c r="B174" s="33"/>
      <c r="C174" s="33"/>
      <c r="D174" s="33">
        <v>56</v>
      </c>
      <c r="E174" s="33"/>
      <c r="F174" s="33"/>
      <c r="G174" s="33">
        <v>194453</v>
      </c>
      <c r="H174" s="43">
        <v>27395</v>
      </c>
      <c r="I174" s="33">
        <v>61</v>
      </c>
      <c r="J174" s="33" t="s">
        <v>2495</v>
      </c>
      <c r="K174" s="33" t="s">
        <v>528</v>
      </c>
      <c r="L174" s="33" t="s">
        <v>593</v>
      </c>
      <c r="N174" s="3" t="b">
        <f t="shared" si="0"/>
        <v>0</v>
      </c>
      <c r="O174" s="23" t="str">
        <f>IFERROR(VLOOKUP(A174, '2023 Full View'!$1:$1000, 1, FALSE), "")</f>
        <v>Rhinestone CowboyGlen Campbell</v>
      </c>
      <c r="P174" s="3" t="str">
        <f ca="1">IFERROR(__xludf.DUMMYFUNCTION("iferror(TEXTJOIN("", "",TRUE, FILTER($B$1:$E$1,B174:E174&lt;&gt;"""")),"""")"),"Zach")</f>
        <v>Zach</v>
      </c>
    </row>
    <row r="175" spans="1:16" ht="13">
      <c r="A175" s="33" t="s">
        <v>2035</v>
      </c>
      <c r="B175" s="33">
        <v>37</v>
      </c>
      <c r="C175" s="33"/>
      <c r="D175" s="33"/>
      <c r="E175" s="33"/>
      <c r="F175" s="33"/>
      <c r="G175" s="33">
        <v>229331</v>
      </c>
      <c r="H175" s="43">
        <v>45316</v>
      </c>
      <c r="I175" s="33">
        <v>61</v>
      </c>
      <c r="J175" s="33" t="s">
        <v>2496</v>
      </c>
      <c r="K175" s="33" t="s">
        <v>452</v>
      </c>
      <c r="L175" s="33" t="s">
        <v>911</v>
      </c>
      <c r="N175" s="3" t="b">
        <f t="shared" si="0"/>
        <v>0</v>
      </c>
      <c r="O175" s="23" t="str">
        <f>IFERROR(VLOOKUP(A175, '2023 Full View'!$1:$1000, 1, FALSE), "")</f>
        <v/>
      </c>
      <c r="P175" s="3" t="str">
        <f ca="1">IFERROR(__xludf.DUMMYFUNCTION("iferror(TEXTJOIN("", "",TRUE, FILTER($B$1:$E$1,B175:E175&lt;&gt;"""")),"""")"),"Zach")</f>
        <v>Zach</v>
      </c>
    </row>
    <row r="176" spans="1:16" ht="13">
      <c r="A176" s="33" t="s">
        <v>2078</v>
      </c>
      <c r="B176" s="33">
        <v>26</v>
      </c>
      <c r="C176" s="33"/>
      <c r="D176" s="33"/>
      <c r="E176" s="33"/>
      <c r="F176" s="33"/>
      <c r="G176" s="33">
        <v>236055</v>
      </c>
      <c r="H176" s="43">
        <v>45457</v>
      </c>
      <c r="I176" s="33">
        <v>61</v>
      </c>
      <c r="J176" s="33" t="s">
        <v>984</v>
      </c>
      <c r="K176" s="33" t="s">
        <v>482</v>
      </c>
      <c r="L176" s="33" t="s">
        <v>985</v>
      </c>
      <c r="N176" s="3" t="b">
        <f t="shared" si="0"/>
        <v>0</v>
      </c>
      <c r="O176" s="23" t="str">
        <f>IFERROR(VLOOKUP(A176, '2023 Full View'!$1:$1000, 1, FALSE), "")</f>
        <v/>
      </c>
      <c r="P176" s="3" t="str">
        <f ca="1">IFERROR(__xludf.DUMMYFUNCTION("iferror(TEXTJOIN("", "",TRUE, FILTER($B$1:$E$1,B176:E176&lt;&gt;"""")),"""")"),"Jamie")</f>
        <v>Jamie</v>
      </c>
    </row>
    <row r="177" spans="1:16" ht="13">
      <c r="A177" s="33" t="s">
        <v>2084</v>
      </c>
      <c r="B177" s="33"/>
      <c r="C177" s="33"/>
      <c r="D177" s="33"/>
      <c r="E177" s="33">
        <v>25</v>
      </c>
      <c r="F177" s="33"/>
      <c r="G177" s="33">
        <v>203546</v>
      </c>
      <c r="H177" s="43">
        <v>44701</v>
      </c>
      <c r="I177" s="33">
        <v>61</v>
      </c>
      <c r="J177" s="33" t="s">
        <v>813</v>
      </c>
      <c r="K177" s="33" t="s">
        <v>496</v>
      </c>
      <c r="L177" s="33" t="s">
        <v>815</v>
      </c>
      <c r="N177" s="3" t="b">
        <f t="shared" si="0"/>
        <v>0</v>
      </c>
      <c r="O177" s="23" t="str">
        <f>IFERROR(VLOOKUP(A177, '2023 Full View'!$1:$1000, 1, FALSE), "")</f>
        <v/>
      </c>
      <c r="P177" s="3" t="str">
        <f ca="1">IFERROR(__xludf.DUMMYFUNCTION("iferror(TEXTJOIN("", "",TRUE, FILTER($B$1:$E$1,B177:E177&lt;&gt;"""")),"""")"),"Bryce")</f>
        <v>Bryce</v>
      </c>
    </row>
    <row r="178" spans="1:16" ht="13">
      <c r="A178" s="33" t="s">
        <v>2125</v>
      </c>
      <c r="B178" s="33"/>
      <c r="C178" s="33">
        <v>15</v>
      </c>
      <c r="D178" s="33"/>
      <c r="E178" s="33"/>
      <c r="F178" s="33" t="s">
        <v>435</v>
      </c>
      <c r="G178" s="33">
        <v>144860</v>
      </c>
      <c r="H178" s="43">
        <v>44404</v>
      </c>
      <c r="I178" s="33">
        <v>62</v>
      </c>
      <c r="J178" s="33" t="s">
        <v>790</v>
      </c>
      <c r="K178" s="33" t="s">
        <v>405</v>
      </c>
      <c r="L178" s="33" t="s">
        <v>791</v>
      </c>
      <c r="N178" s="3" t="b">
        <f t="shared" si="0"/>
        <v>0</v>
      </c>
      <c r="O178" s="23" t="str">
        <f>IFERROR(VLOOKUP(A178, '2023 Full View'!$1:$1000, 1, FALSE), "")</f>
        <v/>
      </c>
      <c r="P178" s="3" t="str">
        <f ca="1">IFERROR(__xludf.DUMMYFUNCTION("iferror(TEXTJOIN("", "",TRUE, FILTER($B$1:$E$1,B178:E178&lt;&gt;"""")),"""")"),"Zach")</f>
        <v>Zach</v>
      </c>
    </row>
    <row r="179" spans="1:16" ht="13">
      <c r="A179" s="33" t="s">
        <v>1811</v>
      </c>
      <c r="B179" s="33"/>
      <c r="C179" s="33">
        <v>93</v>
      </c>
      <c r="D179" s="33"/>
      <c r="E179" s="33"/>
      <c r="F179" s="33"/>
      <c r="G179" s="33">
        <v>221693</v>
      </c>
      <c r="H179" s="43">
        <v>36795</v>
      </c>
      <c r="I179" s="33">
        <v>62</v>
      </c>
      <c r="J179" s="33" t="s">
        <v>659</v>
      </c>
      <c r="K179" s="33" t="s">
        <v>414</v>
      </c>
      <c r="L179" s="33" t="s">
        <v>660</v>
      </c>
      <c r="N179" s="3" t="b">
        <f t="shared" si="0"/>
        <v>0</v>
      </c>
      <c r="O179" s="23" t="str">
        <f>IFERROR(VLOOKUP(A179, '2023 Full View'!$1:$1000, 1, FALSE), "")</f>
        <v/>
      </c>
      <c r="P179" s="3" t="str">
        <f ca="1">IFERROR(__xludf.DUMMYFUNCTION("iferror(TEXTJOIN("", "",TRUE, FILTER($B$1:$E$1,B179:E179&lt;&gt;"""")),"""")"),"Bryce")</f>
        <v>Bryce</v>
      </c>
    </row>
    <row r="180" spans="1:16" ht="13">
      <c r="A180" s="33" t="s">
        <v>1892</v>
      </c>
      <c r="B180" s="33"/>
      <c r="C180" s="33">
        <v>74</v>
      </c>
      <c r="D180" s="33"/>
      <c r="E180" s="33"/>
      <c r="F180" s="33"/>
      <c r="G180" s="33">
        <v>220885</v>
      </c>
      <c r="H180" s="43">
        <v>44757</v>
      </c>
      <c r="I180" s="33">
        <v>62</v>
      </c>
      <c r="J180" s="33"/>
      <c r="K180" s="33" t="s">
        <v>437</v>
      </c>
      <c r="L180" s="33" t="s">
        <v>816</v>
      </c>
      <c r="N180" s="3" t="b">
        <f t="shared" si="0"/>
        <v>0</v>
      </c>
      <c r="O180" s="23" t="str">
        <f>IFERROR(VLOOKUP(A180, '2023 Full View'!$1:$1000, 1, FALSE), "")</f>
        <v/>
      </c>
      <c r="P180" s="3" t="str">
        <f ca="1">IFERROR(__xludf.DUMMYFUNCTION("iferror(TEXTJOIN("", "",TRUE, FILTER($B$1:$E$1,B180:E180&lt;&gt;"""")),"""")"),"Bryce")</f>
        <v>Bryce</v>
      </c>
    </row>
    <row r="181" spans="1:16" ht="13">
      <c r="A181" s="33" t="s">
        <v>2037</v>
      </c>
      <c r="B181" s="33"/>
      <c r="C181" s="33"/>
      <c r="D181" s="33">
        <v>37</v>
      </c>
      <c r="E181" s="33"/>
      <c r="F181" s="33"/>
      <c r="G181" s="33">
        <v>174146</v>
      </c>
      <c r="H181" s="43">
        <v>26054</v>
      </c>
      <c r="I181" s="33">
        <v>62</v>
      </c>
      <c r="J181" s="33" t="s">
        <v>624</v>
      </c>
      <c r="K181" s="33" t="s">
        <v>554</v>
      </c>
      <c r="L181" s="33" t="s">
        <v>625</v>
      </c>
      <c r="N181" s="3" t="b">
        <f t="shared" si="0"/>
        <v>0</v>
      </c>
      <c r="O181" s="23" t="str">
        <f>IFERROR(VLOOKUP(A181, '2023 Full View'!$1:$1000, 1, FALSE), "")</f>
        <v/>
      </c>
      <c r="P181" s="3" t="str">
        <f ca="1">IFERROR(__xludf.DUMMYFUNCTION("iferror(TEXTJOIN("", "",TRUE, FILTER($B$1:$E$1,B181:E181&lt;&gt;"""")),"""")"),"Zach")</f>
        <v>Zach</v>
      </c>
    </row>
    <row r="182" spans="1:16" ht="13">
      <c r="A182" s="33" t="s">
        <v>2102</v>
      </c>
      <c r="B182" s="33"/>
      <c r="C182" s="33"/>
      <c r="D182" s="33">
        <v>20</v>
      </c>
      <c r="E182" s="33"/>
      <c r="F182" s="33"/>
      <c r="G182" s="33">
        <v>153173</v>
      </c>
      <c r="H182" s="43">
        <v>38718</v>
      </c>
      <c r="I182" s="33">
        <v>62</v>
      </c>
      <c r="J182" s="33" t="s">
        <v>2497</v>
      </c>
      <c r="K182" s="33" t="s">
        <v>495</v>
      </c>
      <c r="L182" s="33" t="s">
        <v>604</v>
      </c>
      <c r="N182" s="3" t="b">
        <f t="shared" si="0"/>
        <v>0</v>
      </c>
      <c r="O182" s="23" t="str">
        <f>IFERROR(VLOOKUP(A182, '2023 Full View'!$1:$1000, 1, FALSE), "")</f>
        <v/>
      </c>
      <c r="P182" s="3" t="str">
        <f ca="1">IFERROR(__xludf.DUMMYFUNCTION("iferror(TEXTJOIN("", "",TRUE, FILTER($B$1:$E$1,B182:E182&lt;&gt;"""")),"""")"),"Zach")</f>
        <v>Zach</v>
      </c>
    </row>
    <row r="183" spans="1:16" ht="13">
      <c r="A183" s="33" t="s">
        <v>1897</v>
      </c>
      <c r="B183" s="33"/>
      <c r="C183" s="33"/>
      <c r="D183" s="33">
        <v>73</v>
      </c>
      <c r="E183" s="33"/>
      <c r="F183" s="33" t="s">
        <v>370</v>
      </c>
      <c r="G183" s="33">
        <v>111477</v>
      </c>
      <c r="H183" s="43">
        <v>45331</v>
      </c>
      <c r="I183" s="33">
        <v>63</v>
      </c>
      <c r="J183" s="33" t="s">
        <v>918</v>
      </c>
      <c r="K183" s="33" t="s">
        <v>505</v>
      </c>
      <c r="L183" s="33" t="s">
        <v>919</v>
      </c>
      <c r="N183" s="3" t="b">
        <f t="shared" si="0"/>
        <v>0</v>
      </c>
      <c r="O183" s="23" t="str">
        <f>IFERROR(VLOOKUP(A183, '2023 Full View'!$1:$1000, 1, FALSE), "")</f>
        <v/>
      </c>
      <c r="P183" s="3" t="str">
        <f ca="1">IFERROR(__xludf.DUMMYFUNCTION("iferror(TEXTJOIN("", "",TRUE, FILTER($B$1:$E$1,B183:E183&lt;&gt;"""")),"""")"),"Zach")</f>
        <v>Zach</v>
      </c>
    </row>
    <row r="184" spans="1:16" ht="13">
      <c r="A184" s="33" t="s">
        <v>1795</v>
      </c>
      <c r="B184" s="33"/>
      <c r="C184" s="33">
        <v>97</v>
      </c>
      <c r="D184" s="33"/>
      <c r="E184" s="33"/>
      <c r="F184" s="33"/>
      <c r="G184" s="33">
        <v>249866</v>
      </c>
      <c r="H184" s="43">
        <v>41610</v>
      </c>
      <c r="I184" s="33">
        <v>63</v>
      </c>
      <c r="J184" s="33" t="s">
        <v>708</v>
      </c>
      <c r="K184" s="33" t="s">
        <v>433</v>
      </c>
      <c r="L184" s="33" t="s">
        <v>709</v>
      </c>
      <c r="N184" s="3" t="b">
        <f t="shared" si="0"/>
        <v>0</v>
      </c>
      <c r="O184" s="23" t="str">
        <f>IFERROR(VLOOKUP(A184, '2023 Full View'!$1:$1000, 1, FALSE), "")</f>
        <v>J'me tireGIMS</v>
      </c>
      <c r="P184" s="3" t="str">
        <f ca="1">IFERROR(__xludf.DUMMYFUNCTION("iferror(TEXTJOIN("", "",TRUE, FILTER($B$1:$E$1,B184:E184&lt;&gt;"""")),"""")"),"Zach")</f>
        <v>Zach</v>
      </c>
    </row>
    <row r="185" spans="1:16" ht="13">
      <c r="A185" s="33" t="s">
        <v>1836</v>
      </c>
      <c r="B185" s="33"/>
      <c r="C185" s="33"/>
      <c r="D185" s="33"/>
      <c r="E185" s="33">
        <v>88</v>
      </c>
      <c r="F185" s="33"/>
      <c r="G185" s="33">
        <v>246133</v>
      </c>
      <c r="H185" s="43">
        <v>43189</v>
      </c>
      <c r="I185" s="33">
        <v>63</v>
      </c>
      <c r="J185" s="33" t="s">
        <v>743</v>
      </c>
      <c r="K185" s="33" t="s">
        <v>480</v>
      </c>
      <c r="L185" s="33" t="s">
        <v>744</v>
      </c>
      <c r="N185" s="3" t="b">
        <f t="shared" si="0"/>
        <v>0</v>
      </c>
      <c r="O185" s="23" t="str">
        <f>IFERROR(VLOOKUP(A185, '2023 Full View'!$1:$1000, 1, FALSE), "")</f>
        <v/>
      </c>
      <c r="P185" s="3" t="str">
        <f ca="1">IFERROR(__xludf.DUMMYFUNCTION("iferror(TEXTJOIN("", "",TRUE, FILTER($B$1:$E$1,B185:E185&lt;&gt;"""")),"""")"),"Zach")</f>
        <v>Zach</v>
      </c>
    </row>
    <row r="186" spans="1:16" ht="13">
      <c r="A186" s="33" t="s">
        <v>1837</v>
      </c>
      <c r="B186" s="33">
        <v>87</v>
      </c>
      <c r="C186" s="33"/>
      <c r="D186" s="33"/>
      <c r="E186" s="33"/>
      <c r="F186" s="33"/>
      <c r="G186" s="33">
        <v>228066</v>
      </c>
      <c r="H186" s="43">
        <v>45576</v>
      </c>
      <c r="I186" s="33">
        <v>63</v>
      </c>
      <c r="J186" s="33" t="s">
        <v>2498</v>
      </c>
      <c r="K186" s="33" t="s">
        <v>476</v>
      </c>
      <c r="L186" s="33" t="s">
        <v>1025</v>
      </c>
      <c r="N186" s="3" t="b">
        <f t="shared" si="0"/>
        <v>0</v>
      </c>
      <c r="O186" s="23" t="str">
        <f>IFERROR(VLOOKUP(A186, '2023 Full View'!$1:$1000, 1, FALSE), "")</f>
        <v/>
      </c>
      <c r="P186" s="3" t="str">
        <f ca="1">IFERROR(__xludf.DUMMYFUNCTION("iferror(TEXTJOIN("", "",TRUE, FILTER($B$1:$E$1,B186:E186&lt;&gt;"""")),"""")"),"Jamie")</f>
        <v>Jamie</v>
      </c>
    </row>
    <row r="187" spans="1:16" ht="13">
      <c r="A187" s="33" t="s">
        <v>1850</v>
      </c>
      <c r="B187" s="33"/>
      <c r="C187" s="33">
        <v>84</v>
      </c>
      <c r="D187" s="33"/>
      <c r="E187" s="33"/>
      <c r="F187" s="33"/>
      <c r="G187" s="33">
        <v>198866</v>
      </c>
      <c r="H187" s="43">
        <v>43861</v>
      </c>
      <c r="I187" s="33">
        <v>63</v>
      </c>
      <c r="J187" s="33" t="s">
        <v>770</v>
      </c>
      <c r="K187" s="33" t="s">
        <v>436</v>
      </c>
      <c r="L187" s="33" t="s">
        <v>771</v>
      </c>
      <c r="N187" s="3" t="b">
        <f t="shared" si="0"/>
        <v>0</v>
      </c>
      <c r="O187" s="23" t="str">
        <f>IFERROR(VLOOKUP(A187, '2023 Full View'!$1:$1000, 1, FALSE), "")</f>
        <v/>
      </c>
      <c r="P187" s="3" t="str">
        <f ca="1">IFERROR(__xludf.DUMMYFUNCTION("iferror(TEXTJOIN("", "",TRUE, FILTER($B$1:$E$1,B187:E187&lt;&gt;"""")),"""")"),"Jamie")</f>
        <v>Jamie</v>
      </c>
    </row>
    <row r="188" spans="1:16" ht="13">
      <c r="A188" s="33" t="s">
        <v>1861</v>
      </c>
      <c r="B188" s="33">
        <v>81</v>
      </c>
      <c r="C188" s="33"/>
      <c r="D188" s="33"/>
      <c r="E188" s="33"/>
      <c r="F188" s="33"/>
      <c r="G188" s="33">
        <v>209253</v>
      </c>
      <c r="H188" s="43">
        <v>40337</v>
      </c>
      <c r="I188" s="33">
        <v>63</v>
      </c>
      <c r="J188" s="33" t="s">
        <v>688</v>
      </c>
      <c r="K188" s="33" t="s">
        <v>447</v>
      </c>
      <c r="L188" s="33" t="s">
        <v>688</v>
      </c>
      <c r="N188" s="3" t="b">
        <f t="shared" si="0"/>
        <v>0</v>
      </c>
      <c r="O188" s="23" t="str">
        <f>IFERROR(VLOOKUP(A188, '2023 Full View'!$1:$1000, 1, FALSE), "")</f>
        <v/>
      </c>
      <c r="P188" s="3" t="str">
        <f ca="1">IFERROR(__xludf.DUMMYFUNCTION("iferror(TEXTJOIN("", "",TRUE, FILTER($B$1:$E$1,B188:E188&lt;&gt;"""")),"""")"),"Zach")</f>
        <v>Zach</v>
      </c>
    </row>
    <row r="189" spans="1:16" ht="13">
      <c r="A189" s="33" t="s">
        <v>1884</v>
      </c>
      <c r="B189" s="33"/>
      <c r="C189" s="33"/>
      <c r="D189" s="33"/>
      <c r="E189" s="33">
        <v>76</v>
      </c>
      <c r="F189" s="33"/>
      <c r="G189" s="33">
        <v>231840</v>
      </c>
      <c r="H189" s="43">
        <v>39734</v>
      </c>
      <c r="I189" s="33">
        <v>63</v>
      </c>
      <c r="J189" s="33" t="s">
        <v>2499</v>
      </c>
      <c r="K189" s="33" t="s">
        <v>546</v>
      </c>
      <c r="L189" s="33" t="s">
        <v>680</v>
      </c>
      <c r="N189" s="3" t="b">
        <f t="shared" si="0"/>
        <v>0</v>
      </c>
      <c r="O189" s="23" t="str">
        <f>IFERROR(VLOOKUP(A189, '2023 Full View'!$1:$1000, 1, FALSE), "")</f>
        <v/>
      </c>
      <c r="P189" s="3" t="str">
        <f ca="1">IFERROR(__xludf.DUMMYFUNCTION("iferror(TEXTJOIN("", "",TRUE, FILTER($B$1:$E$1,B189:E189&lt;&gt;"""")),"""")"),"Zach")</f>
        <v>Zach</v>
      </c>
    </row>
    <row r="190" spans="1:16" ht="13">
      <c r="A190" s="33" t="s">
        <v>1993</v>
      </c>
      <c r="B190" s="33"/>
      <c r="C190" s="33">
        <v>48</v>
      </c>
      <c r="D190" s="33"/>
      <c r="E190" s="33"/>
      <c r="F190" s="33"/>
      <c r="G190" s="33">
        <v>205158</v>
      </c>
      <c r="H190" s="43">
        <v>43987</v>
      </c>
      <c r="I190" s="33">
        <v>63</v>
      </c>
      <c r="J190" s="33" t="s">
        <v>777</v>
      </c>
      <c r="K190" s="33" t="s">
        <v>435</v>
      </c>
      <c r="L190" s="33" t="s">
        <v>779</v>
      </c>
      <c r="N190" s="3" t="b">
        <f t="shared" si="0"/>
        <v>0</v>
      </c>
      <c r="O190" s="23" t="str">
        <f>IFERROR(VLOOKUP(A190, '2023 Full View'!$1:$1000, 1, FALSE), "")</f>
        <v>bloody valentinemgk</v>
      </c>
      <c r="P190" s="3" t="str">
        <f ca="1">IFERROR(__xludf.DUMMYFUNCTION("iferror(TEXTJOIN("", "",TRUE, FILTER($B$1:$E$1,B190:E190&lt;&gt;"""")),"""")"),"Bryce")</f>
        <v>Bryce</v>
      </c>
    </row>
    <row r="191" spans="1:16" ht="13">
      <c r="A191" s="33" t="s">
        <v>1997</v>
      </c>
      <c r="B191" s="33"/>
      <c r="C191" s="33">
        <v>47</v>
      </c>
      <c r="D191" s="33"/>
      <c r="E191" s="33"/>
      <c r="F191" s="33"/>
      <c r="G191" s="33">
        <v>137360</v>
      </c>
      <c r="H191" s="43">
        <v>22282</v>
      </c>
      <c r="I191" s="33">
        <v>63</v>
      </c>
      <c r="J191" s="33" t="s">
        <v>2500</v>
      </c>
      <c r="K191" s="33" t="s">
        <v>380</v>
      </c>
      <c r="L191" s="33" t="s">
        <v>608</v>
      </c>
      <c r="N191" s="3" t="b">
        <f t="shared" si="0"/>
        <v>0</v>
      </c>
      <c r="O191" s="23" t="str">
        <f>IFERROR(VLOOKUP(A191, '2023 Full View'!$1:$1000, 1, FALSE), "")</f>
        <v/>
      </c>
      <c r="P191" s="3" t="str">
        <f ca="1">IFERROR(__xludf.DUMMYFUNCTION("iferror(TEXTJOIN("", "",TRUE, FILTER($B$1:$E$1,B191:E191&lt;&gt;"""")),"""")"),"Maggie")</f>
        <v>Maggie</v>
      </c>
    </row>
    <row r="192" spans="1:16" ht="13">
      <c r="A192" s="33" t="s">
        <v>1887</v>
      </c>
      <c r="B192" s="33"/>
      <c r="C192" s="33"/>
      <c r="D192" s="33">
        <v>75</v>
      </c>
      <c r="E192" s="33"/>
      <c r="F192" s="33" t="s">
        <v>573</v>
      </c>
      <c r="G192" s="33">
        <v>203122</v>
      </c>
      <c r="H192" s="43">
        <v>44511</v>
      </c>
      <c r="I192" s="33">
        <v>64</v>
      </c>
      <c r="J192" s="33" t="s">
        <v>794</v>
      </c>
      <c r="K192" s="33" t="s">
        <v>544</v>
      </c>
      <c r="L192" s="33" t="s">
        <v>795</v>
      </c>
      <c r="N192" s="3" t="b">
        <f t="shared" si="0"/>
        <v>0</v>
      </c>
      <c r="O192" s="23" t="str">
        <f>IFERROR(VLOOKUP(A192, '2023 Full View'!$1:$1000, 1, FALSE), "")</f>
        <v/>
      </c>
      <c r="P192" s="3" t="str">
        <f ca="1">IFERROR(__xludf.DUMMYFUNCTION("iferror(TEXTJOIN("", "",TRUE, FILTER($B$1:$E$1,B192:E192&lt;&gt;"""")),"""")"),"Jamie")</f>
        <v>Jamie</v>
      </c>
    </row>
    <row r="193" spans="1:16" ht="13">
      <c r="A193" s="33" t="s">
        <v>2025</v>
      </c>
      <c r="B193" s="33">
        <v>39</v>
      </c>
      <c r="C193" s="33"/>
      <c r="D193" s="33"/>
      <c r="E193" s="33"/>
      <c r="F193" s="33" t="s">
        <v>466</v>
      </c>
      <c r="G193" s="33">
        <v>192459</v>
      </c>
      <c r="H193" s="43">
        <v>45519</v>
      </c>
      <c r="I193" s="33">
        <v>64</v>
      </c>
      <c r="J193" s="33" t="s">
        <v>1007</v>
      </c>
      <c r="K193" s="33" t="s">
        <v>368</v>
      </c>
      <c r="L193" s="33" t="s">
        <v>1004</v>
      </c>
      <c r="N193" s="3" t="b">
        <f t="shared" si="0"/>
        <v>0</v>
      </c>
      <c r="O193" s="23" t="str">
        <f>IFERROR(VLOOKUP(A193, '2023 Full View'!$1:$1000, 1, FALSE), "")</f>
        <v/>
      </c>
      <c r="P193" s="3" t="str">
        <f ca="1">IFERROR(__xludf.DUMMYFUNCTION("iferror(TEXTJOIN("", "",TRUE, FILTER($B$1:$E$1,B193:E193&lt;&gt;"""")),"""")"),"Zach")</f>
        <v>Zach</v>
      </c>
    </row>
    <row r="194" spans="1:16" ht="13">
      <c r="A194" s="33" t="s">
        <v>1849</v>
      </c>
      <c r="B194" s="33">
        <v>84</v>
      </c>
      <c r="C194" s="33"/>
      <c r="D194" s="33"/>
      <c r="E194" s="33"/>
      <c r="F194" s="33" t="s">
        <v>465</v>
      </c>
      <c r="G194" s="33">
        <v>208521</v>
      </c>
      <c r="H194" s="43">
        <v>45378</v>
      </c>
      <c r="I194" s="33">
        <v>64</v>
      </c>
      <c r="J194" s="33" t="s">
        <v>936</v>
      </c>
      <c r="K194" s="33" t="s">
        <v>441</v>
      </c>
      <c r="L194" s="33" t="s">
        <v>939</v>
      </c>
      <c r="N194" s="3" t="b">
        <f t="shared" si="0"/>
        <v>0</v>
      </c>
      <c r="O194" s="23" t="str">
        <f>IFERROR(VLOOKUP(A194, '2023 Full View'!$1:$1000, 1, FALSE), "")</f>
        <v/>
      </c>
      <c r="P194" s="3" t="str">
        <f ca="1">IFERROR(__xludf.DUMMYFUNCTION("iferror(TEXTJOIN("", "",TRUE, FILTER($B$1:$E$1,B194:E194&lt;&gt;"""")),"""")"),"Bryce")</f>
        <v>Bryce</v>
      </c>
    </row>
    <row r="195" spans="1:16" ht="13">
      <c r="A195" s="33" t="s">
        <v>1870</v>
      </c>
      <c r="B195" s="33">
        <v>79</v>
      </c>
      <c r="C195" s="33"/>
      <c r="D195" s="33"/>
      <c r="E195" s="33"/>
      <c r="F195" s="33"/>
      <c r="G195" s="33">
        <v>183133</v>
      </c>
      <c r="H195" s="43">
        <v>45583</v>
      </c>
      <c r="I195" s="33">
        <v>64</v>
      </c>
      <c r="J195" s="33"/>
      <c r="K195" s="33" t="s">
        <v>474</v>
      </c>
      <c r="L195" s="33" t="s">
        <v>1026</v>
      </c>
      <c r="N195" s="3" t="b">
        <f t="shared" si="0"/>
        <v>0</v>
      </c>
      <c r="O195" s="23" t="str">
        <f>IFERROR(VLOOKUP(A195, '2023 Full View'!$1:$1000, 1, FALSE), "")</f>
        <v/>
      </c>
      <c r="P195" s="3" t="str">
        <f ca="1">IFERROR(__xludf.DUMMYFUNCTION("iferror(TEXTJOIN("", "",TRUE, FILTER($B$1:$E$1,B195:E195&lt;&gt;"""")),"""")"),"Zach")</f>
        <v>Zach</v>
      </c>
    </row>
    <row r="196" spans="1:16" ht="13">
      <c r="A196" s="33" t="s">
        <v>1962</v>
      </c>
      <c r="B196" s="33">
        <v>56</v>
      </c>
      <c r="C196" s="33"/>
      <c r="D196" s="33"/>
      <c r="E196" s="33"/>
      <c r="F196" s="33"/>
      <c r="G196" s="33">
        <v>218773</v>
      </c>
      <c r="H196" s="43">
        <v>42426</v>
      </c>
      <c r="I196" s="33">
        <v>64</v>
      </c>
      <c r="J196" s="33"/>
      <c r="K196" s="33" t="s">
        <v>453</v>
      </c>
      <c r="L196" s="33" t="s">
        <v>729</v>
      </c>
      <c r="N196" s="3" t="b">
        <f t="shared" si="0"/>
        <v>0</v>
      </c>
      <c r="O196" s="23" t="str">
        <f>IFERROR(VLOOKUP(A196, '2023 Full View'!$1:$1000, 1, FALSE), "")</f>
        <v/>
      </c>
      <c r="P196" s="3" t="str">
        <f ca="1">IFERROR(__xludf.DUMMYFUNCTION("iferror(TEXTJOIN("", "",TRUE, FILTER($B$1:$E$1,B196:E196&lt;&gt;"""")),"""")"),"Bryce")</f>
        <v>Bryce</v>
      </c>
    </row>
    <row r="197" spans="1:16" ht="13">
      <c r="A197" s="33" t="s">
        <v>1966</v>
      </c>
      <c r="B197" s="33">
        <v>55</v>
      </c>
      <c r="C197" s="33"/>
      <c r="D197" s="33"/>
      <c r="E197" s="33"/>
      <c r="F197" s="33"/>
      <c r="G197" s="33">
        <v>196266</v>
      </c>
      <c r="H197" s="43">
        <v>45436</v>
      </c>
      <c r="I197" s="33">
        <v>64</v>
      </c>
      <c r="J197" s="33" t="s">
        <v>974</v>
      </c>
      <c r="K197" s="33" t="s">
        <v>483</v>
      </c>
      <c r="L197" s="33" t="s">
        <v>976</v>
      </c>
      <c r="N197" s="3" t="b">
        <f t="shared" si="0"/>
        <v>0</v>
      </c>
      <c r="O197" s="23" t="str">
        <f>IFERROR(VLOOKUP(A197, '2023 Full View'!$1:$1000, 1, FALSE), "")</f>
        <v/>
      </c>
      <c r="P197" s="3" t="str">
        <f ca="1">IFERROR(__xludf.DUMMYFUNCTION("iferror(TEXTJOIN("", "",TRUE, FILTER($B$1:$E$1,B197:E197&lt;&gt;"""")),"""")"),"Bryce")</f>
        <v>Bryce</v>
      </c>
    </row>
    <row r="198" spans="1:16" ht="13">
      <c r="A198" s="33" t="s">
        <v>2051</v>
      </c>
      <c r="B198" s="33">
        <v>33</v>
      </c>
      <c r="C198" s="33"/>
      <c r="D198" s="33"/>
      <c r="E198" s="33"/>
      <c r="F198" s="33"/>
      <c r="G198" s="33">
        <v>207176</v>
      </c>
      <c r="H198" s="43">
        <v>45519</v>
      </c>
      <c r="I198" s="33">
        <v>64</v>
      </c>
      <c r="J198" s="33" t="s">
        <v>1007</v>
      </c>
      <c r="K198" s="33" t="s">
        <v>368</v>
      </c>
      <c r="L198" s="33" t="s">
        <v>1003</v>
      </c>
      <c r="N198" s="3" t="b">
        <f t="shared" si="0"/>
        <v>0</v>
      </c>
      <c r="O198" s="23" t="str">
        <f>IFERROR(VLOOKUP(A198, '2023 Full View'!$1:$1000, 1, FALSE), "")</f>
        <v/>
      </c>
      <c r="P198" s="3" t="str">
        <f ca="1">IFERROR(__xludf.DUMMYFUNCTION("iferror(TEXTJOIN("", "",TRUE, FILTER($B$1:$E$1,B198:E198&lt;&gt;"""")),"""")"),"Zach")</f>
        <v>Zach</v>
      </c>
    </row>
    <row r="199" spans="1:16" ht="13">
      <c r="A199" s="33" t="s">
        <v>2074</v>
      </c>
      <c r="B199" s="33">
        <v>27</v>
      </c>
      <c r="C199" s="33"/>
      <c r="D199" s="33"/>
      <c r="E199" s="33"/>
      <c r="F199" s="33"/>
      <c r="G199" s="33">
        <v>232653</v>
      </c>
      <c r="H199" s="43">
        <v>43049</v>
      </c>
      <c r="I199" s="33">
        <v>64</v>
      </c>
      <c r="J199" s="33" t="s">
        <v>740</v>
      </c>
      <c r="K199" s="33" t="s">
        <v>455</v>
      </c>
      <c r="L199" s="33" t="s">
        <v>741</v>
      </c>
      <c r="N199" s="3" t="b">
        <f t="shared" si="0"/>
        <v>0</v>
      </c>
      <c r="O199" s="23" t="str">
        <f>IFERROR(VLOOKUP(A199, '2023 Full View'!$1:$1000, 1, FALSE), "")</f>
        <v/>
      </c>
      <c r="P199" s="3" t="str">
        <f ca="1">IFERROR(__xludf.DUMMYFUNCTION("iferror(TEXTJOIN("", "",TRUE, FILTER($B$1:$E$1,B199:E199&lt;&gt;"""")),"""")"),"Maggie, Jamie")</f>
        <v>Maggie, Jamie</v>
      </c>
    </row>
    <row r="200" spans="1:16" ht="13">
      <c r="A200" s="33" t="s">
        <v>2126</v>
      </c>
      <c r="B200" s="33"/>
      <c r="C200" s="33"/>
      <c r="D200" s="33"/>
      <c r="E200" s="33">
        <v>15</v>
      </c>
      <c r="F200" s="33"/>
      <c r="G200" s="33">
        <v>288339</v>
      </c>
      <c r="H200" s="43">
        <v>30420</v>
      </c>
      <c r="I200" s="33">
        <v>64</v>
      </c>
      <c r="J200" s="33" t="s">
        <v>646</v>
      </c>
      <c r="K200" s="33" t="s">
        <v>526</v>
      </c>
      <c r="L200" s="33" t="s">
        <v>647</v>
      </c>
      <c r="N200" s="3" t="b">
        <f t="shared" si="0"/>
        <v>0</v>
      </c>
      <c r="O200" s="23" t="str">
        <f>IFERROR(VLOOKUP(A200, '2023 Full View'!$1:$1000, 1, FALSE), "")</f>
        <v/>
      </c>
      <c r="P200" s="3" t="str">
        <f ca="1">IFERROR(__xludf.DUMMYFUNCTION("iferror(TEXTJOIN("", "",TRUE, FILTER($B$1:$E$1,B200:E200&lt;&gt;"""")),"""")"),"Jamie")</f>
        <v>Jamie</v>
      </c>
    </row>
    <row r="201" spans="1:16" ht="13">
      <c r="A201" s="33" t="s">
        <v>1931</v>
      </c>
      <c r="B201" s="33">
        <v>64</v>
      </c>
      <c r="C201" s="33"/>
      <c r="D201" s="33"/>
      <c r="E201" s="33"/>
      <c r="F201" s="33" t="s">
        <v>480</v>
      </c>
      <c r="G201" s="33">
        <v>243962</v>
      </c>
      <c r="H201" s="43">
        <v>45205</v>
      </c>
      <c r="I201" s="33">
        <v>65</v>
      </c>
      <c r="J201" s="33" t="s">
        <v>920</v>
      </c>
      <c r="K201" s="33" t="s">
        <v>471</v>
      </c>
      <c r="L201" s="33" t="s">
        <v>921</v>
      </c>
      <c r="N201" s="3" t="b">
        <f t="shared" si="0"/>
        <v>0</v>
      </c>
      <c r="O201" s="23" t="str">
        <f>IFERROR(VLOOKUP(A201, '2023 Full View'!$1:$1000, 1, FALSE), "")</f>
        <v/>
      </c>
      <c r="P201" s="3" t="str">
        <f ca="1">IFERROR(__xludf.DUMMYFUNCTION("iferror(TEXTJOIN("", "",TRUE, FILTER($B$1:$E$1,B201:E201&lt;&gt;"""")),"""")"),"Maggie")</f>
        <v>Maggie</v>
      </c>
    </row>
    <row r="202" spans="1:16" ht="13">
      <c r="A202" s="33" t="s">
        <v>1882</v>
      </c>
      <c r="B202" s="33"/>
      <c r="C202" s="33">
        <v>76</v>
      </c>
      <c r="D202" s="33"/>
      <c r="E202" s="33"/>
      <c r="F202" s="33"/>
      <c r="G202" s="33">
        <v>153106</v>
      </c>
      <c r="H202" s="43">
        <v>44882</v>
      </c>
      <c r="I202" s="33">
        <v>65</v>
      </c>
      <c r="J202" s="33"/>
      <c r="K202" s="33" t="s">
        <v>436</v>
      </c>
      <c r="L202" s="33" t="s">
        <v>828</v>
      </c>
      <c r="N202" s="3" t="b">
        <f t="shared" si="0"/>
        <v>0</v>
      </c>
      <c r="O202" s="23" t="str">
        <f>IFERROR(VLOOKUP(A202, '2023 Full View'!$1:$1000, 1, FALSE), "")</f>
        <v/>
      </c>
      <c r="P202" s="3" t="str">
        <f ca="1">IFERROR(__xludf.DUMMYFUNCTION("iferror(TEXTJOIN("", "",TRUE, FILTER($B$1:$E$1,B202:E202&lt;&gt;"""")),"""")"),"Jamie")</f>
        <v>Jamie</v>
      </c>
    </row>
    <row r="203" spans="1:16" ht="13">
      <c r="A203" s="33" t="s">
        <v>1935</v>
      </c>
      <c r="B203" s="33">
        <v>63</v>
      </c>
      <c r="C203" s="33"/>
      <c r="D203" s="33"/>
      <c r="E203" s="33"/>
      <c r="F203" s="33"/>
      <c r="G203" s="33">
        <v>236000</v>
      </c>
      <c r="H203" s="43">
        <v>45351</v>
      </c>
      <c r="I203" s="33">
        <v>65</v>
      </c>
      <c r="J203" s="33" t="s">
        <v>974</v>
      </c>
      <c r="K203" s="33" t="s">
        <v>483</v>
      </c>
      <c r="L203" s="33" t="s">
        <v>926</v>
      </c>
      <c r="N203" s="3" t="b">
        <f t="shared" si="0"/>
        <v>0</v>
      </c>
      <c r="O203" s="23" t="str">
        <f>IFERROR(VLOOKUP(A203, '2023 Full View'!$1:$1000, 1, FALSE), "")</f>
        <v/>
      </c>
      <c r="P203" s="3" t="str">
        <f ca="1">IFERROR(__xludf.DUMMYFUNCTION("iferror(TEXTJOIN("", "",TRUE, FILTER($B$1:$E$1,B203:E203&lt;&gt;"""")),"""")"),"Jamie")</f>
        <v>Jamie</v>
      </c>
    </row>
    <row r="204" spans="1:16" ht="13">
      <c r="A204" s="33" t="s">
        <v>1936</v>
      </c>
      <c r="B204" s="33"/>
      <c r="C204" s="33"/>
      <c r="D204" s="33">
        <v>63</v>
      </c>
      <c r="E204" s="33"/>
      <c r="F204" s="33"/>
      <c r="G204" s="33">
        <v>188000</v>
      </c>
      <c r="H204" s="43">
        <v>42782</v>
      </c>
      <c r="I204" s="33">
        <v>65</v>
      </c>
      <c r="J204" s="33" t="s">
        <v>754</v>
      </c>
      <c r="K204" s="33" t="s">
        <v>359</v>
      </c>
      <c r="L204" s="33" t="s">
        <v>755</v>
      </c>
      <c r="N204" s="3" t="b">
        <f t="shared" si="0"/>
        <v>0</v>
      </c>
      <c r="O204" s="23" t="str">
        <f>IFERROR(VLOOKUP(A204, '2023 Full View'!$1:$1000, 1, FALSE), "")</f>
        <v/>
      </c>
      <c r="P204" s="3" t="str">
        <f ca="1">IFERROR(__xludf.DUMMYFUNCTION("iferror(TEXTJOIN("", "",TRUE, FILTER($B$1:$E$1,B204:E204&lt;&gt;"""")),"""")"),"Zach")</f>
        <v>Zach</v>
      </c>
    </row>
    <row r="205" spans="1:16" ht="13">
      <c r="A205" s="33" t="s">
        <v>1953</v>
      </c>
      <c r="B205" s="33"/>
      <c r="C205" s="33"/>
      <c r="D205" s="33"/>
      <c r="E205" s="33">
        <v>59</v>
      </c>
      <c r="F205" s="33"/>
      <c r="G205" s="33">
        <v>260946</v>
      </c>
      <c r="H205" s="43">
        <v>45463</v>
      </c>
      <c r="I205" s="33">
        <v>65</v>
      </c>
      <c r="J205" s="33" t="s">
        <v>1029</v>
      </c>
      <c r="K205" s="33" t="s">
        <v>352</v>
      </c>
      <c r="L205" s="33" t="s">
        <v>993</v>
      </c>
      <c r="N205" s="3" t="b">
        <f t="shared" si="0"/>
        <v>0</v>
      </c>
      <c r="O205" s="23" t="str">
        <f>IFERROR(VLOOKUP(A205, '2023 Full View'!$1:$1000, 1, FALSE), "")</f>
        <v/>
      </c>
      <c r="P205" s="3" t="str">
        <f ca="1">IFERROR(__xludf.DUMMYFUNCTION("iferror(TEXTJOIN("", "",TRUE, FILTER($B$1:$E$1,B205:E205&lt;&gt;"""")),"""")"),"Zach")</f>
        <v>Zach</v>
      </c>
    </row>
    <row r="206" spans="1:16" ht="13">
      <c r="A206" s="33" t="s">
        <v>1970</v>
      </c>
      <c r="B206" s="33"/>
      <c r="C206" s="33">
        <v>54</v>
      </c>
      <c r="D206" s="33"/>
      <c r="E206" s="33"/>
      <c r="F206" s="33"/>
      <c r="G206" s="33">
        <v>190065</v>
      </c>
      <c r="H206" s="43">
        <v>26604</v>
      </c>
      <c r="I206" s="33">
        <v>65</v>
      </c>
      <c r="J206" s="33" t="s">
        <v>629</v>
      </c>
      <c r="K206" s="33" t="s">
        <v>387</v>
      </c>
      <c r="L206" s="33" t="s">
        <v>630</v>
      </c>
      <c r="N206" s="3" t="b">
        <f t="shared" si="0"/>
        <v>0</v>
      </c>
      <c r="O206" s="23" t="str">
        <f>IFERROR(VLOOKUP(A206, '2023 Full View'!$1:$1000, 1, FALSE), "")</f>
        <v/>
      </c>
      <c r="P206" s="3" t="str">
        <f ca="1">IFERROR(__xludf.DUMMYFUNCTION("iferror(TEXTJOIN("", "",TRUE, FILTER($B$1:$E$1,B206:E206&lt;&gt;"""")),"""")"),"Jamie")</f>
        <v>Jamie</v>
      </c>
    </row>
    <row r="207" spans="1:16" ht="13">
      <c r="A207" s="33" t="s">
        <v>2012</v>
      </c>
      <c r="B207" s="33"/>
      <c r="C207" s="33"/>
      <c r="D207" s="33">
        <v>43</v>
      </c>
      <c r="E207" s="33"/>
      <c r="F207" s="33"/>
      <c r="G207" s="33">
        <v>172320</v>
      </c>
      <c r="H207" s="43">
        <v>26159</v>
      </c>
      <c r="I207" s="33">
        <v>65</v>
      </c>
      <c r="J207" s="33" t="s">
        <v>626</v>
      </c>
      <c r="K207" s="33" t="s">
        <v>548</v>
      </c>
      <c r="L207" s="33" t="s">
        <v>627</v>
      </c>
      <c r="N207" s="3" t="b">
        <f t="shared" ref="N207:N411" si="1">IF(COUNT(B207:E207)&gt;0, IF(COUNT(B207:E207)&gt;1,TRUE,FALSE),"")</f>
        <v>0</v>
      </c>
      <c r="O207" s="23" t="str">
        <f>IFERROR(VLOOKUP(A207, '2023 Full View'!$1:$1000, 1, FALSE), "")</f>
        <v/>
      </c>
      <c r="P207" s="3" t="str">
        <f ca="1">IFERROR(__xludf.DUMMYFUNCTION("iferror(TEXTJOIN("", "",TRUE, FILTER($B$1:$E$1,B207:E207&lt;&gt;"""")),"""")"),"Jamie")</f>
        <v>Jamie</v>
      </c>
    </row>
    <row r="208" spans="1:16" ht="13">
      <c r="A208" s="33" t="s">
        <v>2090</v>
      </c>
      <c r="B208" s="33"/>
      <c r="C208" s="33">
        <v>23</v>
      </c>
      <c r="D208" s="33"/>
      <c r="E208" s="33"/>
      <c r="F208" s="33"/>
      <c r="G208" s="33">
        <v>256066</v>
      </c>
      <c r="H208" s="43">
        <v>45461</v>
      </c>
      <c r="I208" s="33">
        <v>65</v>
      </c>
      <c r="J208" s="33" t="s">
        <v>1013</v>
      </c>
      <c r="K208" s="33" t="s">
        <v>381</v>
      </c>
      <c r="L208" s="33" t="s">
        <v>1014</v>
      </c>
      <c r="N208" s="3" t="b">
        <f t="shared" si="1"/>
        <v>0</v>
      </c>
      <c r="O208" s="23" t="str">
        <f>IFERROR(VLOOKUP(A208, '2023 Full View'!$1:$1000, 1, FALSE), "")</f>
        <v/>
      </c>
      <c r="P208" s="3" t="str">
        <f ca="1">IFERROR(__xludf.DUMMYFUNCTION("iferror(TEXTJOIN("", "",TRUE, FILTER($B$1:$E$1,B208:E208&lt;&gt;"""")),"""")"),"Jamie")</f>
        <v>Jamie</v>
      </c>
    </row>
    <row r="209" spans="1:16" ht="13">
      <c r="A209" s="33" t="s">
        <v>2115</v>
      </c>
      <c r="B209" s="33"/>
      <c r="C209" s="33">
        <v>17</v>
      </c>
      <c r="D209" s="33"/>
      <c r="E209" s="33"/>
      <c r="F209" s="33"/>
      <c r="G209" s="33">
        <v>232826</v>
      </c>
      <c r="H209" s="43">
        <v>36298</v>
      </c>
      <c r="I209" s="33">
        <v>65</v>
      </c>
      <c r="J209" s="33" t="s">
        <v>2501</v>
      </c>
      <c r="K209" s="33" t="s">
        <v>378</v>
      </c>
      <c r="L209" s="33" t="s">
        <v>658</v>
      </c>
      <c r="N209" s="3" t="b">
        <f t="shared" si="1"/>
        <v>0</v>
      </c>
      <c r="O209" s="23" t="str">
        <f>IFERROR(VLOOKUP(A209, '2023 Full View'!$1:$1000, 1, FALSE), "")</f>
        <v/>
      </c>
      <c r="P209" s="3" t="str">
        <f ca="1">IFERROR(__xludf.DUMMYFUNCTION("iferror(TEXTJOIN("", "",TRUE, FILTER($B$1:$E$1,B209:E209&lt;&gt;"""")),"""")"),"Jamie")</f>
        <v>Jamie</v>
      </c>
    </row>
    <row r="210" spans="1:16" ht="13">
      <c r="A210" s="33" t="s">
        <v>1994</v>
      </c>
      <c r="B210" s="33"/>
      <c r="C210" s="33"/>
      <c r="D210" s="33">
        <v>48</v>
      </c>
      <c r="E210" s="33"/>
      <c r="F210" s="33" t="s">
        <v>576</v>
      </c>
      <c r="G210" s="33">
        <v>160766</v>
      </c>
      <c r="H210" s="43">
        <v>44365</v>
      </c>
      <c r="I210" s="33">
        <v>66</v>
      </c>
      <c r="J210" s="33" t="s">
        <v>2502</v>
      </c>
      <c r="K210" s="33" t="s">
        <v>565</v>
      </c>
      <c r="L210" s="33" t="s">
        <v>786</v>
      </c>
      <c r="N210" s="3" t="b">
        <f t="shared" si="1"/>
        <v>0</v>
      </c>
      <c r="O210" s="23" t="str">
        <f>IFERROR(VLOOKUP(A210, '2023 Full View'!$1:$1000, 1, FALSE), "")</f>
        <v>RememberBecky Hill</v>
      </c>
      <c r="P210" s="3" t="str">
        <f ca="1">IFERROR(__xludf.DUMMYFUNCTION("iferror(TEXTJOIN("", "",TRUE, FILTER($B$1:$E$1,B210:E210&lt;&gt;"""")),"""")"),"Maggie")</f>
        <v>Maggie</v>
      </c>
    </row>
    <row r="211" spans="1:16" ht="13">
      <c r="A211" s="33" t="s">
        <v>1791</v>
      </c>
      <c r="B211" s="33"/>
      <c r="C211" s="33">
        <v>98</v>
      </c>
      <c r="D211" s="33"/>
      <c r="E211" s="33"/>
      <c r="F211" s="33"/>
      <c r="G211" s="33">
        <v>220146</v>
      </c>
      <c r="H211" s="43">
        <v>39362</v>
      </c>
      <c r="I211" s="33">
        <v>66</v>
      </c>
      <c r="J211" s="33" t="s">
        <v>2503</v>
      </c>
      <c r="K211" s="33" t="s">
        <v>415</v>
      </c>
      <c r="L211" s="33" t="s">
        <v>677</v>
      </c>
      <c r="N211" s="3" t="b">
        <f t="shared" si="1"/>
        <v>0</v>
      </c>
      <c r="O211" s="23" t="str">
        <f>IFERROR(VLOOKUP(A211, '2023 Full View'!$1:$1000, 1, FALSE), "")</f>
        <v/>
      </c>
      <c r="P211" s="3" t="str">
        <f ca="1">IFERROR(__xludf.DUMMYFUNCTION("iferror(TEXTJOIN("", "",TRUE, FILTER($B$1:$E$1,B211:E211&lt;&gt;"""")),"""")"),"Jamie")</f>
        <v>Jamie</v>
      </c>
    </row>
    <row r="212" spans="1:16" ht="13">
      <c r="A212" s="33" t="s">
        <v>1842</v>
      </c>
      <c r="B212" s="33"/>
      <c r="C212" s="33">
        <v>86</v>
      </c>
      <c r="D212" s="33"/>
      <c r="E212" s="33"/>
      <c r="F212" s="33"/>
      <c r="G212" s="33">
        <v>209320</v>
      </c>
      <c r="H212" s="43">
        <v>45163</v>
      </c>
      <c r="I212" s="33">
        <v>66</v>
      </c>
      <c r="J212" s="33" t="s">
        <v>437</v>
      </c>
      <c r="K212" s="33" t="s">
        <v>437</v>
      </c>
      <c r="L212" s="33" t="s">
        <v>877</v>
      </c>
      <c r="N212" s="3" t="b">
        <f t="shared" si="1"/>
        <v>0</v>
      </c>
      <c r="O212" s="23" t="str">
        <f>IFERROR(VLOOKUP(A212, '2023 Full View'!$1:$1000, 1, FALSE), "")</f>
        <v/>
      </c>
      <c r="P212" s="3" t="str">
        <f ca="1">IFERROR(__xludf.DUMMYFUNCTION("iferror(TEXTJOIN("", "",TRUE, FILTER($B$1:$E$1,B212:E212&lt;&gt;"""")),"""")"),"Jamie")</f>
        <v>Jamie</v>
      </c>
    </row>
    <row r="213" spans="1:16" ht="13">
      <c r="A213" s="33" t="s">
        <v>1933</v>
      </c>
      <c r="B213" s="33"/>
      <c r="C213" s="33"/>
      <c r="D213" s="33">
        <v>64</v>
      </c>
      <c r="E213" s="33"/>
      <c r="F213" s="33"/>
      <c r="G213" s="33">
        <v>240254</v>
      </c>
      <c r="H213" s="43">
        <v>45378</v>
      </c>
      <c r="I213" s="33">
        <v>66</v>
      </c>
      <c r="J213" s="33" t="s">
        <v>936</v>
      </c>
      <c r="K213" s="33" t="s">
        <v>441</v>
      </c>
      <c r="L213" s="33" t="s">
        <v>937</v>
      </c>
      <c r="N213" s="3" t="b">
        <f t="shared" si="1"/>
        <v>0</v>
      </c>
      <c r="O213" s="23" t="str">
        <f>IFERROR(VLOOKUP(A213, '2023 Full View'!$1:$1000, 1, FALSE), "")</f>
        <v/>
      </c>
      <c r="P213" s="3" t="str">
        <f ca="1">IFERROR(__xludf.DUMMYFUNCTION("iferror(TEXTJOIN("", "",TRUE, FILTER($B$1:$E$1,B213:E213&lt;&gt;"""")),"""")"),"Bryce")</f>
        <v>Bryce</v>
      </c>
    </row>
    <row r="214" spans="1:16" ht="13">
      <c r="A214" s="33" t="s">
        <v>1946</v>
      </c>
      <c r="B214" s="33">
        <v>60</v>
      </c>
      <c r="C214" s="33"/>
      <c r="D214" s="33"/>
      <c r="E214" s="33"/>
      <c r="F214" s="33"/>
      <c r="G214" s="33">
        <v>172480</v>
      </c>
      <c r="H214" s="43">
        <v>44931</v>
      </c>
      <c r="I214" s="33">
        <v>66</v>
      </c>
      <c r="J214" s="33" t="s">
        <v>1019</v>
      </c>
      <c r="K214" s="33" t="s">
        <v>475</v>
      </c>
      <c r="L214" s="33" t="s">
        <v>898</v>
      </c>
      <c r="N214" s="3" t="b">
        <f t="shared" si="1"/>
        <v>0</v>
      </c>
      <c r="O214" s="23" t="str">
        <f>IFERROR(VLOOKUP(A214, '2023 Full View'!$1:$1000, 1, FALSE), "")</f>
        <v>Memory LaneOld Dominion</v>
      </c>
      <c r="P214" s="3" t="str">
        <f ca="1">IFERROR(__xludf.DUMMYFUNCTION("iferror(TEXTJOIN("", "",TRUE, FILTER($B$1:$E$1,B214:E214&lt;&gt;"""")),"""")"),"Zach")</f>
        <v>Zach</v>
      </c>
    </row>
    <row r="215" spans="1:16" ht="13">
      <c r="A215" s="33" t="s">
        <v>1959</v>
      </c>
      <c r="B215" s="33"/>
      <c r="C215" s="33">
        <v>57</v>
      </c>
      <c r="D215" s="33"/>
      <c r="E215" s="33"/>
      <c r="F215" s="33"/>
      <c r="G215" s="33">
        <v>131600</v>
      </c>
      <c r="H215" s="43">
        <v>43427</v>
      </c>
      <c r="I215" s="33">
        <v>66</v>
      </c>
      <c r="J215" s="33" t="s">
        <v>752</v>
      </c>
      <c r="K215" s="33" t="s">
        <v>436</v>
      </c>
      <c r="L215" s="33" t="s">
        <v>753</v>
      </c>
      <c r="N215" s="3" t="b">
        <f t="shared" si="1"/>
        <v>0</v>
      </c>
      <c r="O215" s="23" t="str">
        <f>IFERROR(VLOOKUP(A215, '2023 Full View'!$1:$1000, 1, FALSE), "")</f>
        <v/>
      </c>
      <c r="P215" s="3" t="str">
        <f ca="1">IFERROR(__xludf.DUMMYFUNCTION("iferror(TEXTJOIN("", "",TRUE, FILTER($B$1:$E$1,B215:E215&lt;&gt;"""")),"""")"),"Zach")</f>
        <v>Zach</v>
      </c>
    </row>
    <row r="216" spans="1:16" ht="13">
      <c r="A216" s="33" t="s">
        <v>2064</v>
      </c>
      <c r="B216" s="33"/>
      <c r="C216" s="33"/>
      <c r="D216" s="33">
        <v>30</v>
      </c>
      <c r="E216" s="33"/>
      <c r="F216" s="33"/>
      <c r="G216" s="33">
        <v>233173</v>
      </c>
      <c r="H216" s="43">
        <v>25934</v>
      </c>
      <c r="I216" s="33">
        <v>66</v>
      </c>
      <c r="J216" s="33" t="s">
        <v>588</v>
      </c>
      <c r="K216" s="33" t="s">
        <v>508</v>
      </c>
      <c r="L216" s="33" t="s">
        <v>589</v>
      </c>
      <c r="N216" s="3" t="b">
        <f t="shared" si="1"/>
        <v>0</v>
      </c>
      <c r="O216" s="23" t="str">
        <f>IFERROR(VLOOKUP(A216, '2023 Full View'!$1:$1000, 1, FALSE), "")</f>
        <v>It's Too LateCarole King</v>
      </c>
      <c r="P216" s="3" t="str">
        <f ca="1">IFERROR(__xludf.DUMMYFUNCTION("iferror(TEXTJOIN("", "",TRUE, FILTER($B$1:$E$1,B216:E216&lt;&gt;"""")),"""")"),"Maggie")</f>
        <v>Maggie</v>
      </c>
    </row>
    <row r="217" spans="1:16" ht="13">
      <c r="A217" s="33" t="s">
        <v>2082</v>
      </c>
      <c r="B217" s="33"/>
      <c r="C217" s="33">
        <v>25</v>
      </c>
      <c r="D217" s="33"/>
      <c r="E217" s="33"/>
      <c r="F217" s="33"/>
      <c r="G217" s="33">
        <v>190779</v>
      </c>
      <c r="H217" s="43">
        <v>44197</v>
      </c>
      <c r="I217" s="33">
        <v>66</v>
      </c>
      <c r="J217" s="33" t="s">
        <v>2504</v>
      </c>
      <c r="K217" s="33" t="s">
        <v>373</v>
      </c>
      <c r="L217" s="33" t="s">
        <v>783</v>
      </c>
      <c r="N217" s="3" t="b">
        <f t="shared" si="1"/>
        <v>0</v>
      </c>
      <c r="O217" s="23" t="str">
        <f>IFERROR(VLOOKUP(A217, '2023 Full View'!$1:$1000, 1, FALSE), "")</f>
        <v/>
      </c>
      <c r="P217" s="3" t="str">
        <f ca="1">IFERROR(__xludf.DUMMYFUNCTION("iferror(TEXTJOIN("", "",TRUE, FILTER($B$1:$E$1,B217:E217&lt;&gt;"""")),"""")"),"Zach")</f>
        <v>Zach</v>
      </c>
    </row>
    <row r="218" spans="1:16" ht="13">
      <c r="A218" s="33" t="s">
        <v>2127</v>
      </c>
      <c r="B218" s="33"/>
      <c r="C218" s="33">
        <v>14</v>
      </c>
      <c r="D218" s="33"/>
      <c r="E218" s="33"/>
      <c r="F218" s="33"/>
      <c r="G218" s="33">
        <v>190780</v>
      </c>
      <c r="H218" s="43">
        <v>44701</v>
      </c>
      <c r="I218" s="33">
        <v>66</v>
      </c>
      <c r="J218" s="33" t="s">
        <v>807</v>
      </c>
      <c r="K218" s="33" t="s">
        <v>437</v>
      </c>
      <c r="L218" s="33" t="s">
        <v>1778</v>
      </c>
      <c r="N218" s="3" t="b">
        <f t="shared" si="1"/>
        <v>0</v>
      </c>
      <c r="O218" s="23" t="str">
        <f>IFERROR(VLOOKUP(A218, '2023 Full View'!$1:$1000, 1, FALSE), "")</f>
        <v/>
      </c>
      <c r="P218" s="3" t="str">
        <f ca="1">IFERROR(__xludf.DUMMYFUNCTION("iferror(TEXTJOIN("", "",TRUE, FILTER($B$1:$E$1,B218:E218&lt;&gt;"""")),"""")"),"Maggie")</f>
        <v>Maggie</v>
      </c>
    </row>
    <row r="219" spans="1:16" ht="13">
      <c r="A219" s="33" t="s">
        <v>1963</v>
      </c>
      <c r="B219" s="33"/>
      <c r="C219" s="33">
        <v>56</v>
      </c>
      <c r="D219" s="33"/>
      <c r="E219" s="33"/>
      <c r="F219" s="33" t="s">
        <v>426</v>
      </c>
      <c r="G219" s="33">
        <v>139460</v>
      </c>
      <c r="H219" s="43">
        <v>44099</v>
      </c>
      <c r="I219" s="33">
        <v>67</v>
      </c>
      <c r="J219" s="33" t="s">
        <v>777</v>
      </c>
      <c r="K219" s="33" t="s">
        <v>435</v>
      </c>
      <c r="L219" s="33" t="s">
        <v>778</v>
      </c>
      <c r="N219" s="3" t="b">
        <f t="shared" si="1"/>
        <v>0</v>
      </c>
      <c r="O219" s="23" t="str">
        <f>IFERROR(VLOOKUP(A219, '2023 Full View'!$1:$1000, 1, FALSE), "")</f>
        <v>my ex's best friend (with blackbear)mgk</v>
      </c>
      <c r="P219" s="3" t="str">
        <f ca="1">IFERROR(__xludf.DUMMYFUNCTION("iferror(TEXTJOIN("", "",TRUE, FILTER($B$1:$E$1,B219:E219&lt;&gt;"""")),"""")"),"Jamie")</f>
        <v>Jamie</v>
      </c>
    </row>
    <row r="220" spans="1:16" ht="13">
      <c r="A220" s="33" t="s">
        <v>1792</v>
      </c>
      <c r="B220" s="33"/>
      <c r="C220" s="33"/>
      <c r="D220" s="33">
        <v>98</v>
      </c>
      <c r="E220" s="33"/>
      <c r="F220" s="33"/>
      <c r="G220" s="33">
        <v>273186</v>
      </c>
      <c r="H220" s="43">
        <v>45114</v>
      </c>
      <c r="I220" s="33">
        <v>67</v>
      </c>
      <c r="J220" s="33" t="s">
        <v>870</v>
      </c>
      <c r="K220" s="33" t="s">
        <v>438</v>
      </c>
      <c r="L220" s="33" t="s">
        <v>871</v>
      </c>
      <c r="N220" s="3" t="b">
        <f t="shared" si="1"/>
        <v>0</v>
      </c>
      <c r="O220" s="23" t="str">
        <f>IFERROR(VLOOKUP(A220, '2023 Full View'!$1:$1000, 1, FALSE), "")</f>
        <v/>
      </c>
      <c r="P220" s="3" t="str">
        <f ca="1">IFERROR(__xludf.DUMMYFUNCTION("iferror(TEXTJOIN("", "",TRUE, FILTER($B$1:$E$1,B220:E220&lt;&gt;"""")),"""")"),"Zach")</f>
        <v>Zach</v>
      </c>
    </row>
    <row r="221" spans="1:16" ht="13">
      <c r="A221" s="33" t="s">
        <v>1802</v>
      </c>
      <c r="B221" s="33">
        <v>95</v>
      </c>
      <c r="C221" s="33"/>
      <c r="D221" s="33"/>
      <c r="E221" s="33"/>
      <c r="F221" s="33"/>
      <c r="G221" s="33">
        <v>234466</v>
      </c>
      <c r="H221" s="43">
        <v>45072</v>
      </c>
      <c r="I221" s="33">
        <v>67</v>
      </c>
      <c r="J221" s="33" t="s">
        <v>860</v>
      </c>
      <c r="K221" s="33" t="s">
        <v>438</v>
      </c>
      <c r="L221" s="33" t="s">
        <v>861</v>
      </c>
      <c r="N221" s="3" t="b">
        <f t="shared" si="1"/>
        <v>0</v>
      </c>
      <c r="O221" s="23" t="str">
        <f>IFERROR(VLOOKUP(A221, '2023 Full View'!$1:$1000, 1, FALSE), "")</f>
        <v>Hits DifferentTaylor Swift</v>
      </c>
      <c r="P221" s="3" t="str">
        <f ca="1">IFERROR(__xludf.DUMMYFUNCTION("iferror(TEXTJOIN("", "",TRUE, FILTER($B$1:$E$1,B221:E221&lt;&gt;"""")),"""")"),"Jamie")</f>
        <v>Jamie</v>
      </c>
    </row>
    <row r="222" spans="1:16" ht="13">
      <c r="A222" s="33" t="s">
        <v>1903</v>
      </c>
      <c r="B222" s="33">
        <v>71</v>
      </c>
      <c r="C222" s="33"/>
      <c r="D222" s="33"/>
      <c r="E222" s="33"/>
      <c r="F222" s="33"/>
      <c r="G222" s="33">
        <v>176048</v>
      </c>
      <c r="H222" s="43">
        <v>44050</v>
      </c>
      <c r="I222" s="33">
        <v>67</v>
      </c>
      <c r="J222" s="33" t="s">
        <v>1774</v>
      </c>
      <c r="K222" s="33" t="s">
        <v>464</v>
      </c>
      <c r="L222" s="33" t="s">
        <v>1775</v>
      </c>
      <c r="N222" s="3" t="b">
        <f t="shared" si="1"/>
        <v>0</v>
      </c>
      <c r="O222" s="23" t="str">
        <f>IFERROR(VLOOKUP(A222, '2023 Full View'!$1:$1000, 1, FALSE), "")</f>
        <v/>
      </c>
      <c r="P222" s="3" t="str">
        <f ca="1">IFERROR(__xludf.DUMMYFUNCTION("iferror(TEXTJOIN("", "",TRUE, FILTER($B$1:$E$1,B222:E222&lt;&gt;"""")),"""")"),"Zach, Bryce")</f>
        <v>Zach, Bryce</v>
      </c>
    </row>
    <row r="223" spans="1:16" ht="13">
      <c r="A223" s="33" t="s">
        <v>2020</v>
      </c>
      <c r="B223" s="33"/>
      <c r="C223" s="33"/>
      <c r="D223" s="33"/>
      <c r="E223" s="33">
        <v>41</v>
      </c>
      <c r="F223" s="33"/>
      <c r="G223" s="33">
        <v>192771</v>
      </c>
      <c r="H223" s="43">
        <v>45373</v>
      </c>
      <c r="I223" s="33">
        <v>67</v>
      </c>
      <c r="J223" s="33" t="s">
        <v>933</v>
      </c>
      <c r="K223" s="33" t="s">
        <v>484</v>
      </c>
      <c r="L223" s="33" t="s">
        <v>934</v>
      </c>
      <c r="N223" s="3" t="b">
        <f t="shared" si="1"/>
        <v>0</v>
      </c>
      <c r="O223" s="23" t="str">
        <f>IFERROR(VLOOKUP(A223, '2023 Full View'!$1:$1000, 1, FALSE), "")</f>
        <v/>
      </c>
      <c r="P223" s="3" t="str">
        <f ca="1">IFERROR(__xludf.DUMMYFUNCTION("iferror(TEXTJOIN("", "",TRUE, FILTER($B$1:$E$1,B223:E223&lt;&gt;"""")),"""")"),"Maggie")</f>
        <v>Maggie</v>
      </c>
    </row>
    <row r="224" spans="1:16" ht="13">
      <c r="A224" s="33" t="s">
        <v>2067</v>
      </c>
      <c r="B224" s="33"/>
      <c r="C224" s="33">
        <v>29</v>
      </c>
      <c r="D224" s="33"/>
      <c r="E224" s="33"/>
      <c r="F224" s="33"/>
      <c r="G224" s="33">
        <v>143480</v>
      </c>
      <c r="H224" s="43">
        <v>44469</v>
      </c>
      <c r="I224" s="33">
        <v>67</v>
      </c>
      <c r="J224" s="33" t="s">
        <v>2505</v>
      </c>
      <c r="K224" s="33" t="s">
        <v>436</v>
      </c>
      <c r="L224" s="33" t="s">
        <v>793</v>
      </c>
      <c r="N224" s="3" t="b">
        <f t="shared" si="1"/>
        <v>0</v>
      </c>
      <c r="O224" s="23" t="str">
        <f>IFERROR(VLOOKUP(A224, '2023 Full View'!$1:$1000, 1, FALSE), "")</f>
        <v/>
      </c>
      <c r="P224" s="3" t="str">
        <f ca="1">IFERROR(__xludf.DUMMYFUNCTION("iferror(TEXTJOIN("", "",TRUE, FILTER($B$1:$E$1,B224:E224&lt;&gt;"""")),"""")"),"Zach")</f>
        <v>Zach</v>
      </c>
    </row>
    <row r="225" spans="1:16" ht="13">
      <c r="A225" s="33" t="s">
        <v>2077</v>
      </c>
      <c r="B225" s="33"/>
      <c r="C225" s="33"/>
      <c r="D225" s="33"/>
      <c r="E225" s="33">
        <v>27</v>
      </c>
      <c r="F225" s="33"/>
      <c r="G225" s="33">
        <v>186043</v>
      </c>
      <c r="H225" s="43">
        <v>44995</v>
      </c>
      <c r="I225" s="33">
        <v>67</v>
      </c>
      <c r="J225" s="33" t="s">
        <v>2475</v>
      </c>
      <c r="K225" s="33" t="s">
        <v>494</v>
      </c>
      <c r="L225" s="33" t="s">
        <v>863</v>
      </c>
      <c r="N225" s="3" t="b">
        <f t="shared" si="1"/>
        <v>0</v>
      </c>
      <c r="O225" s="23" t="str">
        <f>IFERROR(VLOOKUP(A225, '2023 Full View'!$1:$1000, 1, FALSE), "")</f>
        <v>HeavenNiall Horan</v>
      </c>
      <c r="P225" s="3" t="str">
        <f ca="1">IFERROR(__xludf.DUMMYFUNCTION("iferror(TEXTJOIN("", "",TRUE, FILTER($B$1:$E$1,B225:E225&lt;&gt;"""")),"""")"),"Zach")</f>
        <v>Zach</v>
      </c>
    </row>
    <row r="226" spans="1:16" ht="13">
      <c r="A226" s="33" t="s">
        <v>1851</v>
      </c>
      <c r="B226" s="33"/>
      <c r="C226" s="33"/>
      <c r="D226" s="33">
        <v>84</v>
      </c>
      <c r="E226" s="33"/>
      <c r="F226" s="33" t="s">
        <v>572</v>
      </c>
      <c r="G226" s="33">
        <v>227833</v>
      </c>
      <c r="H226" s="43">
        <v>41656</v>
      </c>
      <c r="I226" s="33">
        <v>68</v>
      </c>
      <c r="J226" s="33" t="s">
        <v>2506</v>
      </c>
      <c r="K226" s="33" t="s">
        <v>512</v>
      </c>
      <c r="L226" s="33" t="s">
        <v>713</v>
      </c>
      <c r="N226" s="3" t="b">
        <f t="shared" si="1"/>
        <v>0</v>
      </c>
      <c r="O226" s="23" t="str">
        <f>IFERROR(VLOOKUP(A226, '2023 Full View'!$1:$1000, 1, FALSE), "")</f>
        <v/>
      </c>
      <c r="P226" s="3" t="str">
        <f ca="1">IFERROR(__xludf.DUMMYFUNCTION("iferror(TEXTJOIN("", "",TRUE, FILTER($B$1:$E$1,B226:E226&lt;&gt;"""")),"""")"),"Jamie")</f>
        <v>Jamie</v>
      </c>
    </row>
    <row r="227" spans="1:16" ht="13">
      <c r="A227" s="33" t="s">
        <v>1789</v>
      </c>
      <c r="B227" s="33"/>
      <c r="C227" s="33"/>
      <c r="D227" s="33"/>
      <c r="E227" s="33">
        <v>99</v>
      </c>
      <c r="F227" s="33"/>
      <c r="G227" s="33">
        <v>238857</v>
      </c>
      <c r="H227" s="43">
        <v>45401</v>
      </c>
      <c r="I227" s="33">
        <v>68</v>
      </c>
      <c r="J227" s="33" t="s">
        <v>955</v>
      </c>
      <c r="K227" s="33" t="s">
        <v>438</v>
      </c>
      <c r="L227" s="33" t="s">
        <v>960</v>
      </c>
      <c r="N227" s="3" t="b">
        <f t="shared" si="1"/>
        <v>0</v>
      </c>
      <c r="O227" s="23" t="str">
        <f>IFERROR(VLOOKUP(A227, '2023 Full View'!$1:$1000, 1, FALSE), "")</f>
        <v/>
      </c>
      <c r="P227" s="3" t="str">
        <f ca="1">IFERROR(__xludf.DUMMYFUNCTION("iferror(TEXTJOIN("", "",TRUE, FILTER($B$1:$E$1,B227:E227&lt;&gt;"""")),"""")"),"Zach")</f>
        <v>Zach</v>
      </c>
    </row>
    <row r="228" spans="1:16" ht="13">
      <c r="A228" s="33" t="s">
        <v>1853</v>
      </c>
      <c r="B228" s="33">
        <v>83</v>
      </c>
      <c r="C228" s="33"/>
      <c r="D228" s="33"/>
      <c r="E228" s="33"/>
      <c r="F228" s="33"/>
      <c r="G228" s="33">
        <v>183786</v>
      </c>
      <c r="H228" s="43">
        <v>44687</v>
      </c>
      <c r="I228" s="33">
        <v>68</v>
      </c>
      <c r="J228" s="33" t="s">
        <v>857</v>
      </c>
      <c r="K228" s="33" t="s">
        <v>473</v>
      </c>
      <c r="L228" s="33" t="s">
        <v>859</v>
      </c>
      <c r="N228" s="3" t="b">
        <f t="shared" si="1"/>
        <v>0</v>
      </c>
      <c r="O228" s="23" t="str">
        <f>IFERROR(VLOOKUP(A228, '2023 Full View'!$1:$1000, 1, FALSE), "")</f>
        <v>Whiskey On YouNate Smith</v>
      </c>
      <c r="P228" s="3" t="str">
        <f ca="1">IFERROR(__xludf.DUMMYFUNCTION("iferror(TEXTJOIN("", "",TRUE, FILTER($B$1:$E$1,B228:E228&lt;&gt;"""")),"""")"),"Zach")</f>
        <v>Zach</v>
      </c>
    </row>
    <row r="229" spans="1:16" ht="13">
      <c r="A229" s="33" t="s">
        <v>1950</v>
      </c>
      <c r="B229" s="33">
        <v>59</v>
      </c>
      <c r="C229" s="33"/>
      <c r="D229" s="33"/>
      <c r="E229" s="33"/>
      <c r="F229" s="33"/>
      <c r="G229" s="33">
        <v>191493</v>
      </c>
      <c r="H229" s="43">
        <v>42139</v>
      </c>
      <c r="I229" s="33">
        <v>68</v>
      </c>
      <c r="J229" s="33" t="s">
        <v>719</v>
      </c>
      <c r="K229" s="33" t="s">
        <v>483</v>
      </c>
      <c r="L229" s="33" t="s">
        <v>720</v>
      </c>
      <c r="N229" s="3" t="b">
        <f t="shared" si="1"/>
        <v>0</v>
      </c>
      <c r="O229" s="23" t="str">
        <f>IFERROR(VLOOKUP(A229, '2023 Full View'!$1:$1000, 1, FALSE), "")</f>
        <v/>
      </c>
      <c r="P229" s="3" t="str">
        <f ca="1">IFERROR(__xludf.DUMMYFUNCTION("iferror(TEXTJOIN("", "",TRUE, FILTER($B$1:$E$1,B229:E229&lt;&gt;"""")),"""")"),"Zach")</f>
        <v>Zach</v>
      </c>
    </row>
    <row r="230" spans="1:16" ht="13">
      <c r="A230" s="33" t="s">
        <v>2006</v>
      </c>
      <c r="B230" s="33"/>
      <c r="C230" s="33"/>
      <c r="D230" s="33"/>
      <c r="E230" s="33">
        <v>45</v>
      </c>
      <c r="F230" s="33"/>
      <c r="G230" s="33">
        <v>340428</v>
      </c>
      <c r="H230" s="43">
        <v>45400</v>
      </c>
      <c r="I230" s="33">
        <v>68</v>
      </c>
      <c r="J230" s="33" t="s">
        <v>953</v>
      </c>
      <c r="K230" s="33" t="s">
        <v>438</v>
      </c>
      <c r="L230" s="33" t="s">
        <v>961</v>
      </c>
      <c r="N230" s="3" t="b">
        <f t="shared" si="1"/>
        <v>0</v>
      </c>
      <c r="O230" s="23" t="str">
        <f>IFERROR(VLOOKUP(A230, '2023 Full View'!$1:$1000, 1, FALSE), "")</f>
        <v/>
      </c>
      <c r="P230" s="3" t="str">
        <f ca="1">IFERROR(__xludf.DUMMYFUNCTION("iferror(TEXTJOIN("", "",TRUE, FILTER($B$1:$E$1,B230:E230&lt;&gt;"""")),"""")"),"Maggie")</f>
        <v>Maggie</v>
      </c>
    </row>
    <row r="231" spans="1:16" ht="13">
      <c r="A231" s="33" t="s">
        <v>2032</v>
      </c>
      <c r="B231" s="33"/>
      <c r="C231" s="33">
        <v>38</v>
      </c>
      <c r="D231" s="33"/>
      <c r="E231" s="33"/>
      <c r="F231" s="33"/>
      <c r="G231" s="33">
        <v>211306</v>
      </c>
      <c r="H231" s="43">
        <v>34079</v>
      </c>
      <c r="I231" s="33">
        <v>68</v>
      </c>
      <c r="J231" s="33" t="s">
        <v>2507</v>
      </c>
      <c r="K231" s="33" t="s">
        <v>398</v>
      </c>
      <c r="L231" s="33" t="s">
        <v>650</v>
      </c>
      <c r="N231" s="3" t="b">
        <f t="shared" si="1"/>
        <v>0</v>
      </c>
      <c r="O231" s="23" t="str">
        <f>IFERROR(VLOOKUP(A231, '2023 Full View'!$1:$1000, 1, FALSE), "")</f>
        <v/>
      </c>
      <c r="P231" s="3" t="str">
        <f ca="1">IFERROR(__xludf.DUMMYFUNCTION("iferror(TEXTJOIN("", "",TRUE, FILTER($B$1:$E$1,B231:E231&lt;&gt;"""")),"""")"),"Zach")</f>
        <v>Zach</v>
      </c>
    </row>
    <row r="232" spans="1:16" ht="13">
      <c r="A232" s="33" t="s">
        <v>2040</v>
      </c>
      <c r="B232" s="33"/>
      <c r="C232" s="33">
        <v>36</v>
      </c>
      <c r="D232" s="33"/>
      <c r="E232" s="33"/>
      <c r="F232" s="33"/>
      <c r="G232" s="33">
        <v>207453</v>
      </c>
      <c r="H232" s="43">
        <v>44617</v>
      </c>
      <c r="I232" s="33">
        <v>68</v>
      </c>
      <c r="J232" s="33" t="s">
        <v>807</v>
      </c>
      <c r="K232" s="33" t="s">
        <v>437</v>
      </c>
      <c r="L232" s="33" t="s">
        <v>810</v>
      </c>
      <c r="N232" s="3" t="b">
        <f t="shared" si="1"/>
        <v>0</v>
      </c>
      <c r="O232" s="23" t="str">
        <f>IFERROR(VLOOKUP(A232, '2023 Full View'!$1:$1000, 1, FALSE), "")</f>
        <v>From AustinZach Bryan</v>
      </c>
      <c r="P232" s="3" t="str">
        <f ca="1">IFERROR(__xludf.DUMMYFUNCTION("iferror(TEXTJOIN("", "",TRUE, FILTER($B$1:$E$1,B232:E232&lt;&gt;"""")),"""")"),"Bryce")</f>
        <v>Bryce</v>
      </c>
    </row>
    <row r="233" spans="1:16" ht="13">
      <c r="A233" s="33" t="s">
        <v>2076</v>
      </c>
      <c r="B233" s="33"/>
      <c r="C233" s="33"/>
      <c r="D233" s="33">
        <v>27</v>
      </c>
      <c r="E233" s="33"/>
      <c r="F233" s="33"/>
      <c r="G233" s="33">
        <v>217783</v>
      </c>
      <c r="H233" s="43">
        <v>45415</v>
      </c>
      <c r="I233" s="33">
        <v>68</v>
      </c>
      <c r="J233" s="33" t="s">
        <v>963</v>
      </c>
      <c r="K233" s="33" t="s">
        <v>440</v>
      </c>
      <c r="L233" s="33" t="s">
        <v>964</v>
      </c>
      <c r="N233" s="3" t="b">
        <f t="shared" si="1"/>
        <v>0</v>
      </c>
      <c r="O233" s="23" t="str">
        <f>IFERROR(VLOOKUP(A233, '2023 Full View'!$1:$1000, 1, FALSE), "")</f>
        <v/>
      </c>
      <c r="P233" s="3" t="str">
        <f ca="1">IFERROR(__xludf.DUMMYFUNCTION("iferror(TEXTJOIN("", "",TRUE, FILTER($B$1:$E$1,B233:E233&lt;&gt;"""")),"""")"),"Bryce")</f>
        <v>Bryce</v>
      </c>
    </row>
    <row r="234" spans="1:16" ht="13">
      <c r="A234" s="33" t="s">
        <v>2117</v>
      </c>
      <c r="B234" s="33"/>
      <c r="C234" s="33"/>
      <c r="D234" s="33"/>
      <c r="E234" s="33">
        <v>17</v>
      </c>
      <c r="F234" s="33"/>
      <c r="G234" s="33">
        <v>202001</v>
      </c>
      <c r="H234" s="43">
        <v>45527</v>
      </c>
      <c r="I234" s="33">
        <v>68</v>
      </c>
      <c r="J234" s="33" t="s">
        <v>1010</v>
      </c>
      <c r="K234" s="33" t="s">
        <v>366</v>
      </c>
      <c r="L234" s="33" t="s">
        <v>1041</v>
      </c>
      <c r="N234" s="3" t="b">
        <f t="shared" si="1"/>
        <v>0</v>
      </c>
      <c r="O234" s="23" t="str">
        <f>IFERROR(VLOOKUP(A234, '2023 Full View'!$1:$1000, 1, FALSE), "")</f>
        <v/>
      </c>
      <c r="P234" s="3" t="str">
        <f ca="1">IFERROR(__xludf.DUMMYFUNCTION("iferror(TEXTJOIN("", "",TRUE, FILTER($B$1:$E$1,B234:E234&lt;&gt;"""")),"""")"),"Bryce")</f>
        <v>Bryce</v>
      </c>
    </row>
    <row r="235" spans="1:16" ht="13">
      <c r="A235" s="33" t="s">
        <v>2141</v>
      </c>
      <c r="B235" s="33"/>
      <c r="C235" s="33"/>
      <c r="D235" s="33"/>
      <c r="E235" s="33">
        <v>10</v>
      </c>
      <c r="F235" s="33"/>
      <c r="G235" s="33">
        <v>262974</v>
      </c>
      <c r="H235" s="43">
        <v>45400</v>
      </c>
      <c r="I235" s="33">
        <v>68</v>
      </c>
      <c r="J235" s="33" t="s">
        <v>955</v>
      </c>
      <c r="K235" s="33" t="s">
        <v>438</v>
      </c>
      <c r="L235" s="33" t="s">
        <v>2027</v>
      </c>
      <c r="N235" s="3" t="b">
        <f t="shared" si="1"/>
        <v>0</v>
      </c>
      <c r="O235" s="23" t="str">
        <f>IFERROR(VLOOKUP(A235, '2023 Full View'!$1:$1000, 1, FALSE), "")</f>
        <v/>
      </c>
      <c r="P235" s="3" t="str">
        <f ca="1">IFERROR(__xludf.DUMMYFUNCTION("iferror(TEXTJOIN("", "",TRUE, FILTER($B$1:$E$1,B235:E235&lt;&gt;"""")),"""")"),"Zach")</f>
        <v>Zach</v>
      </c>
    </row>
    <row r="236" spans="1:16" ht="13">
      <c r="A236" s="33" t="s">
        <v>2142</v>
      </c>
      <c r="B236" s="33">
        <v>9</v>
      </c>
      <c r="C236" s="33"/>
      <c r="D236" s="33"/>
      <c r="E236" s="33"/>
      <c r="F236" s="33"/>
      <c r="G236" s="33">
        <v>202600</v>
      </c>
      <c r="H236" s="43">
        <v>45436</v>
      </c>
      <c r="I236" s="33">
        <v>68</v>
      </c>
      <c r="J236" s="33" t="s">
        <v>974</v>
      </c>
      <c r="K236" s="33" t="s">
        <v>483</v>
      </c>
      <c r="L236" s="33" t="s">
        <v>2029</v>
      </c>
      <c r="N236" s="3" t="b">
        <f t="shared" si="1"/>
        <v>0</v>
      </c>
      <c r="O236" s="23" t="str">
        <f>IFERROR(VLOOKUP(A236, '2023 Full View'!$1:$1000, 1, FALSE), "")</f>
        <v/>
      </c>
      <c r="P236" s="3" t="str">
        <f ca="1">IFERROR(__xludf.DUMMYFUNCTION("iferror(TEXTJOIN("", "",TRUE, FILTER($B$1:$E$1,B236:E236&lt;&gt;"""")),"""")"),"Jamie")</f>
        <v>Jamie</v>
      </c>
    </row>
    <row r="237" spans="1:16" ht="13">
      <c r="A237" s="33" t="s">
        <v>2122</v>
      </c>
      <c r="B237" s="33">
        <v>15</v>
      </c>
      <c r="C237" s="33"/>
      <c r="D237" s="33">
        <v>15</v>
      </c>
      <c r="E237" s="33"/>
      <c r="F237" s="33" t="s">
        <v>444</v>
      </c>
      <c r="G237" s="33">
        <v>195122</v>
      </c>
      <c r="H237" s="43">
        <v>45464</v>
      </c>
      <c r="I237" s="33">
        <v>69</v>
      </c>
      <c r="J237" s="33" t="s">
        <v>1007</v>
      </c>
      <c r="K237" s="33" t="s">
        <v>368</v>
      </c>
      <c r="L237" s="33" t="s">
        <v>1000</v>
      </c>
      <c r="N237" s="3" t="b">
        <f t="shared" si="1"/>
        <v>1</v>
      </c>
      <c r="O237" s="23" t="str">
        <f>IFERROR(VLOOKUP(A237, '2023 Full View'!$1:$1000, 1, FALSE), "")</f>
        <v/>
      </c>
      <c r="P237" s="3" t="str">
        <f ca="1">IFERROR(__xludf.DUMMYFUNCTION("iferror(TEXTJOIN("", "",TRUE, FILTER($B$1:$E$1,B237:E237&lt;&gt;"""")),"""")"),"Zach")</f>
        <v>Zach</v>
      </c>
    </row>
    <row r="238" spans="1:16" ht="13">
      <c r="A238" s="33" t="s">
        <v>1932</v>
      </c>
      <c r="B238" s="33"/>
      <c r="C238" s="33">
        <v>64</v>
      </c>
      <c r="D238" s="33">
        <v>55</v>
      </c>
      <c r="E238" s="33"/>
      <c r="F238" s="33" t="s">
        <v>374</v>
      </c>
      <c r="G238" s="33">
        <v>259720</v>
      </c>
      <c r="H238" s="43">
        <v>39595</v>
      </c>
      <c r="I238" s="33">
        <v>69</v>
      </c>
      <c r="J238" s="33" t="s">
        <v>678</v>
      </c>
      <c r="K238" s="33" t="s">
        <v>430</v>
      </c>
      <c r="L238" s="33" t="s">
        <v>679</v>
      </c>
      <c r="N238" s="3" t="b">
        <f t="shared" si="1"/>
        <v>1</v>
      </c>
      <c r="O238" s="23" t="str">
        <f>IFERROR(VLOOKUP(A238, '2023 Full View'!$1:$1000, 1, FALSE), "")</f>
        <v/>
      </c>
      <c r="P238" s="3" t="str">
        <f ca="1">IFERROR(__xludf.DUMMYFUNCTION("iferror(TEXTJOIN("", "",TRUE, FILTER($B$1:$E$1,B238:E238&lt;&gt;"""")),"""")"),"Zach")</f>
        <v>Zach</v>
      </c>
    </row>
    <row r="239" spans="1:16" ht="13">
      <c r="A239" s="33" t="s">
        <v>1819</v>
      </c>
      <c r="B239" s="33"/>
      <c r="C239" s="33">
        <v>91</v>
      </c>
      <c r="D239" s="33"/>
      <c r="E239" s="33"/>
      <c r="F239" s="33"/>
      <c r="G239" s="33">
        <v>169026</v>
      </c>
      <c r="H239" s="43">
        <v>36213</v>
      </c>
      <c r="I239" s="33">
        <v>69</v>
      </c>
      <c r="J239" s="33" t="s">
        <v>2508</v>
      </c>
      <c r="K239" s="33" t="s">
        <v>394</v>
      </c>
      <c r="L239" s="33" t="s">
        <v>657</v>
      </c>
      <c r="N239" s="3" t="b">
        <f t="shared" si="1"/>
        <v>0</v>
      </c>
      <c r="O239" s="23" t="str">
        <f>IFERROR(VLOOKUP(A239, '2023 Full View'!$1:$1000, 1, FALSE), "")</f>
        <v/>
      </c>
      <c r="P239" s="3" t="str">
        <f ca="1">IFERROR(__xludf.DUMMYFUNCTION("iferror(TEXTJOIN("", "",TRUE, FILTER($B$1:$E$1,B239:E239&lt;&gt;"""")),"""")"),"Jamie")</f>
        <v>Jamie</v>
      </c>
    </row>
    <row r="240" spans="1:16" ht="13">
      <c r="A240" s="33" t="s">
        <v>1856</v>
      </c>
      <c r="B240" s="33"/>
      <c r="C240" s="33"/>
      <c r="D240" s="33"/>
      <c r="E240" s="33">
        <v>83</v>
      </c>
      <c r="F240" s="33"/>
      <c r="G240" s="33">
        <v>232280</v>
      </c>
      <c r="H240" s="43">
        <v>45463</v>
      </c>
      <c r="I240" s="33">
        <v>69</v>
      </c>
      <c r="J240" s="33" t="s">
        <v>1029</v>
      </c>
      <c r="K240" s="33" t="s">
        <v>352</v>
      </c>
      <c r="L240" s="33" t="s">
        <v>989</v>
      </c>
      <c r="N240" s="3" t="b">
        <f t="shared" si="1"/>
        <v>0</v>
      </c>
      <c r="O240" s="23" t="str">
        <f>IFERROR(VLOOKUP(A240, '2023 Full View'!$1:$1000, 1, FALSE), "")</f>
        <v/>
      </c>
      <c r="P240" s="3" t="str">
        <f ca="1">IFERROR(__xludf.DUMMYFUNCTION("iferror(TEXTJOIN("", "",TRUE, FILTER($B$1:$E$1,B240:E240&lt;&gt;"""")),"""")"),"Jamie")</f>
        <v>Jamie</v>
      </c>
    </row>
    <row r="241" spans="1:16" ht="13">
      <c r="A241" s="33" t="s">
        <v>1905</v>
      </c>
      <c r="B241" s="33"/>
      <c r="C241" s="33"/>
      <c r="D241" s="33">
        <v>71</v>
      </c>
      <c r="E241" s="33"/>
      <c r="F241" s="33"/>
      <c r="G241" s="33">
        <v>160280</v>
      </c>
      <c r="H241" s="43">
        <v>23743</v>
      </c>
      <c r="I241" s="33">
        <v>69</v>
      </c>
      <c r="J241" s="33" t="s">
        <v>586</v>
      </c>
      <c r="K241" s="33" t="s">
        <v>568</v>
      </c>
      <c r="L241" s="33" t="s">
        <v>587</v>
      </c>
      <c r="N241" s="3" t="b">
        <f t="shared" si="1"/>
        <v>0</v>
      </c>
      <c r="O241" s="23" t="str">
        <f>IFERROR(VLOOKUP(A241, '2023 Full View'!$1:$1000, 1, FALSE), "")</f>
        <v/>
      </c>
      <c r="P241" s="3" t="str">
        <f ca="1">IFERROR(__xludf.DUMMYFUNCTION("iferror(TEXTJOIN("", "",TRUE, FILTER($B$1:$E$1,B241:E241&lt;&gt;"""")),"""")"),"Jamie")</f>
        <v>Jamie</v>
      </c>
    </row>
    <row r="242" spans="1:16" ht="13">
      <c r="A242" s="33" t="s">
        <v>1949</v>
      </c>
      <c r="B242" s="33"/>
      <c r="C242" s="33"/>
      <c r="D242" s="33"/>
      <c r="E242" s="33">
        <v>60</v>
      </c>
      <c r="F242" s="33"/>
      <c r="G242" s="33">
        <v>276800</v>
      </c>
      <c r="H242" s="43">
        <v>25263</v>
      </c>
      <c r="I242" s="33">
        <v>69</v>
      </c>
      <c r="J242" s="33" t="s">
        <v>2509</v>
      </c>
      <c r="K242" s="33" t="s">
        <v>534</v>
      </c>
      <c r="L242" s="33" t="s">
        <v>613</v>
      </c>
      <c r="N242" s="3" t="b">
        <f t="shared" si="1"/>
        <v>0</v>
      </c>
      <c r="O242" s="23" t="str">
        <f>IFERROR(VLOOKUP(A242, '2023 Full View'!$1:$1000, 1, FALSE), "")</f>
        <v/>
      </c>
      <c r="P242" s="3" t="str">
        <f ca="1">IFERROR(__xludf.DUMMYFUNCTION("iferror(TEXTJOIN("", "",TRUE, FILTER($B$1:$E$1,B242:E242&lt;&gt;"""")),"""")"),"Jamie")</f>
        <v>Jamie</v>
      </c>
    </row>
    <row r="243" spans="1:16" ht="13">
      <c r="A243" s="33" t="s">
        <v>1951</v>
      </c>
      <c r="B243" s="33"/>
      <c r="C243" s="33">
        <v>59</v>
      </c>
      <c r="D243" s="33"/>
      <c r="E243" s="33"/>
      <c r="F243" s="33"/>
      <c r="G243" s="33">
        <v>234771</v>
      </c>
      <c r="H243" s="43">
        <v>44687</v>
      </c>
      <c r="I243" s="33">
        <v>69</v>
      </c>
      <c r="J243" s="33" t="s">
        <v>807</v>
      </c>
      <c r="K243" s="33" t="s">
        <v>437</v>
      </c>
      <c r="L243" s="33" t="s">
        <v>809</v>
      </c>
      <c r="N243" s="3" t="b">
        <f t="shared" si="1"/>
        <v>0</v>
      </c>
      <c r="O243" s="23" t="str">
        <f>IFERROR(VLOOKUP(A243, '2023 Full View'!$1:$1000, 1, FALSE), "")</f>
        <v>Open the GateZach Bryan</v>
      </c>
      <c r="P243" s="3" t="str">
        <f ca="1">IFERROR(__xludf.DUMMYFUNCTION("iferror(TEXTJOIN("", "",TRUE, FILTER($B$1:$E$1,B243:E243&lt;&gt;"""")),"""")"),"Maggie")</f>
        <v>Maggie</v>
      </c>
    </row>
    <row r="244" spans="1:16" ht="13">
      <c r="A244" s="33" t="s">
        <v>1971</v>
      </c>
      <c r="B244" s="33"/>
      <c r="C244" s="33"/>
      <c r="D244" s="33">
        <v>54</v>
      </c>
      <c r="E244" s="33"/>
      <c r="F244" s="33"/>
      <c r="G244" s="33">
        <v>174760</v>
      </c>
      <c r="H244" s="43">
        <v>21984</v>
      </c>
      <c r="I244" s="33">
        <v>69</v>
      </c>
      <c r="J244" s="33" t="s">
        <v>618</v>
      </c>
      <c r="K244" s="33" t="s">
        <v>557</v>
      </c>
      <c r="L244" s="33" t="s">
        <v>619</v>
      </c>
      <c r="N244" s="3" t="b">
        <f t="shared" si="1"/>
        <v>0</v>
      </c>
      <c r="O244" s="23" t="str">
        <f>IFERROR(VLOOKUP(A244, '2023 Full View'!$1:$1000, 1, FALSE), "")</f>
        <v/>
      </c>
      <c r="P244" s="3" t="str">
        <f ca="1">IFERROR(__xludf.DUMMYFUNCTION("iferror(TEXTJOIN("", "",TRUE, FILTER($B$1:$E$1,B244:E244&lt;&gt;"""")),"""")"),"Bryce")</f>
        <v>Bryce</v>
      </c>
    </row>
    <row r="245" spans="1:16" ht="13">
      <c r="A245" s="33" t="s">
        <v>2022</v>
      </c>
      <c r="B245" s="33"/>
      <c r="C245" s="33">
        <v>40</v>
      </c>
      <c r="D245" s="33"/>
      <c r="E245" s="33"/>
      <c r="F245" s="33"/>
      <c r="G245" s="33">
        <v>140106</v>
      </c>
      <c r="H245" s="43">
        <v>45100</v>
      </c>
      <c r="I245" s="33">
        <v>69</v>
      </c>
      <c r="J245" s="33" t="s">
        <v>868</v>
      </c>
      <c r="K245" s="33" t="s">
        <v>436</v>
      </c>
      <c r="L245" s="33" t="s">
        <v>869</v>
      </c>
      <c r="N245" s="3" t="b">
        <f t="shared" si="1"/>
        <v>0</v>
      </c>
      <c r="O245" s="23" t="str">
        <f>IFERROR(VLOOKUP(A245, '2023 Full View'!$1:$1000, 1, FALSE), "")</f>
        <v/>
      </c>
      <c r="P245" s="3" t="str">
        <f ca="1">IFERROR(__xludf.DUMMYFUNCTION("iferror(TEXTJOIN("", "",TRUE, FILTER($B$1:$E$1,B245:E245&lt;&gt;"""")),"""")"),"Zach")</f>
        <v>Zach</v>
      </c>
    </row>
    <row r="246" spans="1:16" ht="13">
      <c r="A246" s="33" t="s">
        <v>2030</v>
      </c>
      <c r="B246" s="33"/>
      <c r="C246" s="33"/>
      <c r="D246" s="33"/>
      <c r="E246" s="33">
        <v>39</v>
      </c>
      <c r="F246" s="33"/>
      <c r="G246" s="33">
        <v>334084</v>
      </c>
      <c r="H246" s="43">
        <v>45400</v>
      </c>
      <c r="I246" s="33">
        <v>69</v>
      </c>
      <c r="J246" s="33" t="s">
        <v>953</v>
      </c>
      <c r="K246" s="33" t="s">
        <v>438</v>
      </c>
      <c r="L246" s="33" t="s">
        <v>957</v>
      </c>
      <c r="N246" s="3" t="b">
        <f t="shared" si="1"/>
        <v>0</v>
      </c>
      <c r="O246" s="23" t="str">
        <f>IFERROR(VLOOKUP(A246, '2023 Full View'!$1:$1000, 1, FALSE), "")</f>
        <v/>
      </c>
      <c r="P246" s="3" t="str">
        <f ca="1">IFERROR(__xludf.DUMMYFUNCTION("iferror(TEXTJOIN("", "",TRUE, FILTER($B$1:$E$1,B246:E246&lt;&gt;"""")),"""")"),"Maggie, Jamie")</f>
        <v>Maggie, Jamie</v>
      </c>
    </row>
    <row r="247" spans="1:16" ht="13">
      <c r="A247" s="33" t="s">
        <v>2107</v>
      </c>
      <c r="B247" s="33"/>
      <c r="C247" s="33"/>
      <c r="D247" s="33">
        <v>8</v>
      </c>
      <c r="E247" s="33">
        <v>19</v>
      </c>
      <c r="F247" s="33"/>
      <c r="G247" s="33">
        <v>203801</v>
      </c>
      <c r="H247" s="43">
        <v>45400</v>
      </c>
      <c r="I247" s="33">
        <v>69</v>
      </c>
      <c r="J247" s="33" t="s">
        <v>955</v>
      </c>
      <c r="K247" s="33" t="s">
        <v>438</v>
      </c>
      <c r="L247" s="33" t="s">
        <v>958</v>
      </c>
      <c r="N247" s="3" t="b">
        <f t="shared" si="1"/>
        <v>1</v>
      </c>
      <c r="O247" s="23" t="str">
        <f>IFERROR(VLOOKUP(A247, '2023 Full View'!$1:$1000, 1, FALSE), "")</f>
        <v/>
      </c>
      <c r="P247" s="3" t="str">
        <f ca="1">IFERROR(__xludf.DUMMYFUNCTION("iferror(TEXTJOIN("", "",TRUE, FILTER($B$1:$E$1,B247:E247&lt;&gt;"""")),"""")"),"Jamie")</f>
        <v>Jamie</v>
      </c>
    </row>
    <row r="248" spans="1:16" ht="13">
      <c r="A248" s="33" t="s">
        <v>2104</v>
      </c>
      <c r="B248" s="33">
        <v>19</v>
      </c>
      <c r="C248" s="33"/>
      <c r="D248" s="33"/>
      <c r="E248" s="33"/>
      <c r="F248" s="33" t="s">
        <v>468</v>
      </c>
      <c r="G248" s="33">
        <v>191231</v>
      </c>
      <c r="H248" s="43">
        <v>44988</v>
      </c>
      <c r="I248" s="33">
        <v>70</v>
      </c>
      <c r="J248" s="33" t="s">
        <v>843</v>
      </c>
      <c r="K248" s="33" t="s">
        <v>429</v>
      </c>
      <c r="L248" s="33" t="s">
        <v>846</v>
      </c>
      <c r="N248" s="3" t="b">
        <f t="shared" si="1"/>
        <v>0</v>
      </c>
      <c r="O248" s="23" t="str">
        <f>IFERROR(VLOOKUP(A248, '2023 Full View'!$1:$1000, 1, FALSE), "")</f>
        <v>Man Made A Bar (feat. Eric Church)Morgan Wallen</v>
      </c>
      <c r="P248" s="3" t="str">
        <f ca="1">IFERROR(__xludf.DUMMYFUNCTION("iferror(TEXTJOIN("", "",TRUE, FILTER($B$1:$E$1,B248:E248&lt;&gt;"""")),"""")"),"Zach")</f>
        <v>Zach</v>
      </c>
    </row>
    <row r="249" spans="1:16" ht="13">
      <c r="A249" s="33" t="s">
        <v>2100</v>
      </c>
      <c r="B249" s="33">
        <v>20</v>
      </c>
      <c r="C249" s="33"/>
      <c r="D249" s="33"/>
      <c r="E249" s="33"/>
      <c r="F249" s="33" t="s">
        <v>360</v>
      </c>
      <c r="G249" s="33">
        <v>209038</v>
      </c>
      <c r="H249" s="43">
        <v>45519</v>
      </c>
      <c r="I249" s="33">
        <v>70</v>
      </c>
      <c r="J249" s="33" t="s">
        <v>1007</v>
      </c>
      <c r="K249" s="33" t="s">
        <v>368</v>
      </c>
      <c r="L249" s="33" t="s">
        <v>1001</v>
      </c>
      <c r="N249" s="3" t="b">
        <f t="shared" si="1"/>
        <v>0</v>
      </c>
      <c r="O249" s="23" t="str">
        <f>IFERROR(VLOOKUP(A249, '2023 Full View'!$1:$1000, 1, FALSE), "")</f>
        <v/>
      </c>
      <c r="P249" s="3" t="str">
        <f ca="1">IFERROR(__xludf.DUMMYFUNCTION("iferror(TEXTJOIN("", "",TRUE, FILTER($B$1:$E$1,B249:E249&lt;&gt;"""")),"""")"),"Jamie")</f>
        <v>Jamie</v>
      </c>
    </row>
    <row r="250" spans="1:16" ht="13">
      <c r="A250" s="33" t="s">
        <v>1820</v>
      </c>
      <c r="B250" s="33"/>
      <c r="C250" s="33"/>
      <c r="D250" s="33">
        <v>91</v>
      </c>
      <c r="E250" s="33"/>
      <c r="F250" s="33"/>
      <c r="G250" s="33">
        <v>204857</v>
      </c>
      <c r="H250" s="43">
        <v>45190</v>
      </c>
      <c r="I250" s="33">
        <v>70</v>
      </c>
      <c r="J250" s="33" t="s">
        <v>893</v>
      </c>
      <c r="K250" s="33" t="s">
        <v>369</v>
      </c>
      <c r="L250" s="33" t="s">
        <v>894</v>
      </c>
      <c r="N250" s="3" t="b">
        <f t="shared" si="1"/>
        <v>0</v>
      </c>
      <c r="O250" s="23" t="str">
        <f>IFERROR(VLOOKUP(A250, '2023 Full View'!$1:$1000, 1, FALSE), "")</f>
        <v/>
      </c>
      <c r="P250" s="3" t="str">
        <f ca="1">IFERROR(__xludf.DUMMYFUNCTION("iferror(TEXTJOIN("", "",TRUE, FILTER($B$1:$E$1,B250:E250&lt;&gt;"""")),"""")"),"Zach")</f>
        <v>Zach</v>
      </c>
    </row>
    <row r="251" spans="1:16" ht="13">
      <c r="A251" s="33" t="s">
        <v>1872</v>
      </c>
      <c r="B251" s="33"/>
      <c r="C251" s="33"/>
      <c r="D251" s="33">
        <v>79</v>
      </c>
      <c r="E251" s="33"/>
      <c r="F251" s="33"/>
      <c r="G251" s="33">
        <v>162186</v>
      </c>
      <c r="H251" s="43">
        <v>32874</v>
      </c>
      <c r="I251" s="33">
        <v>70</v>
      </c>
      <c r="J251" s="33" t="s">
        <v>2510</v>
      </c>
      <c r="K251" s="33" t="s">
        <v>503</v>
      </c>
      <c r="L251" s="33" t="s">
        <v>601</v>
      </c>
      <c r="N251" s="3" t="b">
        <f t="shared" si="1"/>
        <v>0</v>
      </c>
      <c r="O251" s="23" t="str">
        <f>IFERROR(VLOOKUP(A251, '2023 Full View'!$1:$1000, 1, FALSE), "")</f>
        <v/>
      </c>
      <c r="P251" s="3" t="str">
        <f ca="1">IFERROR(__xludf.DUMMYFUNCTION("iferror(TEXTJOIN("", "",TRUE, FILTER($B$1:$E$1,B251:E251&lt;&gt;"""")),"""")"),"Zach")</f>
        <v>Zach</v>
      </c>
    </row>
    <row r="252" spans="1:16" ht="13">
      <c r="A252" s="33" t="s">
        <v>2000</v>
      </c>
      <c r="B252" s="33">
        <v>46</v>
      </c>
      <c r="C252" s="33"/>
      <c r="D252" s="33"/>
      <c r="E252" s="33"/>
      <c r="F252" s="33"/>
      <c r="G252" s="33">
        <v>199247</v>
      </c>
      <c r="H252" s="43">
        <v>44862</v>
      </c>
      <c r="I252" s="33">
        <v>70</v>
      </c>
      <c r="J252" s="33" t="s">
        <v>942</v>
      </c>
      <c r="K252" s="33" t="s">
        <v>454</v>
      </c>
      <c r="L252" s="33" t="s">
        <v>943</v>
      </c>
      <c r="N252" s="3" t="b">
        <f t="shared" si="1"/>
        <v>0</v>
      </c>
      <c r="O252" s="23" t="str">
        <f>IFERROR(VLOOKUP(A252, '2023 Full View'!$1:$1000, 1, FALSE), "")</f>
        <v/>
      </c>
      <c r="P252" s="3" t="str">
        <f ca="1">IFERROR(__xludf.DUMMYFUNCTION("iferror(TEXTJOIN("", "",TRUE, FILTER($B$1:$E$1,B252:E252&lt;&gt;"""")),"""")"),"Jamie")</f>
        <v>Jamie</v>
      </c>
    </row>
    <row r="253" spans="1:16" ht="13">
      <c r="A253" s="33" t="s">
        <v>2005</v>
      </c>
      <c r="B253" s="33"/>
      <c r="C253" s="33"/>
      <c r="D253" s="33">
        <v>45</v>
      </c>
      <c r="E253" s="33"/>
      <c r="F253" s="33"/>
      <c r="G253" s="33">
        <v>181481</v>
      </c>
      <c r="H253" s="43">
        <v>45212</v>
      </c>
      <c r="I253" s="33">
        <v>70</v>
      </c>
      <c r="J253" s="33" t="s">
        <v>901</v>
      </c>
      <c r="K253" s="33" t="s">
        <v>501</v>
      </c>
      <c r="L253" s="33" t="s">
        <v>902</v>
      </c>
      <c r="N253" s="3" t="b">
        <f t="shared" si="1"/>
        <v>0</v>
      </c>
      <c r="O253" s="23" t="str">
        <f>IFERROR(VLOOKUP(A253, '2023 Full View'!$1:$1000, 1, FALSE), "")</f>
        <v>One Of Your GirlsTroye Sivan</v>
      </c>
      <c r="P253" s="3" t="str">
        <f ca="1">IFERROR(__xludf.DUMMYFUNCTION("iferror(TEXTJOIN("", "",TRUE, FILTER($B$1:$E$1,B253:E253&lt;&gt;"""")),"""")"),"Jamie")</f>
        <v>Jamie</v>
      </c>
    </row>
    <row r="254" spans="1:16" ht="13">
      <c r="A254" s="33" t="s">
        <v>2011</v>
      </c>
      <c r="B254" s="33">
        <v>43</v>
      </c>
      <c r="C254" s="33"/>
      <c r="D254" s="33"/>
      <c r="E254" s="33"/>
      <c r="F254" s="33"/>
      <c r="G254" s="33">
        <v>211413</v>
      </c>
      <c r="H254" s="43">
        <v>45149</v>
      </c>
      <c r="I254" s="33">
        <v>70</v>
      </c>
      <c r="J254" s="33" t="s">
        <v>2511</v>
      </c>
      <c r="K254" s="33" t="s">
        <v>456</v>
      </c>
      <c r="L254" s="33" t="s">
        <v>907</v>
      </c>
      <c r="N254" s="3" t="b">
        <f t="shared" si="1"/>
        <v>0</v>
      </c>
      <c r="O254" s="23" t="str">
        <f>IFERROR(VLOOKUP(A254, '2023 Full View'!$1:$1000, 1, FALSE), "")</f>
        <v/>
      </c>
      <c r="P254" s="3" t="str">
        <f ca="1">IFERROR(__xludf.DUMMYFUNCTION("iferror(TEXTJOIN("", "",TRUE, FILTER($B$1:$E$1,B254:E254&lt;&gt;"""")),"""")"),"Jamie")</f>
        <v>Jamie</v>
      </c>
    </row>
    <row r="255" spans="1:16" ht="13">
      <c r="A255" s="33" t="s">
        <v>2057</v>
      </c>
      <c r="B255" s="33"/>
      <c r="C255" s="33"/>
      <c r="D255" s="33">
        <v>32</v>
      </c>
      <c r="E255" s="33"/>
      <c r="F255" s="33"/>
      <c r="G255" s="33">
        <v>209680</v>
      </c>
      <c r="H255" s="43">
        <v>43049</v>
      </c>
      <c r="I255" s="33">
        <v>70</v>
      </c>
      <c r="J255" s="33" t="s">
        <v>2512</v>
      </c>
      <c r="K255" s="33" t="s">
        <v>438</v>
      </c>
      <c r="L255" s="33" t="s">
        <v>739</v>
      </c>
      <c r="N255" s="3" t="b">
        <f t="shared" si="1"/>
        <v>0</v>
      </c>
      <c r="O255" s="23" t="str">
        <f>IFERROR(VLOOKUP(A255, '2023 Full View'!$1:$1000, 1, FALSE), "")</f>
        <v/>
      </c>
      <c r="P255" s="3" t="str">
        <f ca="1">IFERROR(__xludf.DUMMYFUNCTION("iferror(TEXTJOIN("", "",TRUE, FILTER($B$1:$E$1,B255:E255&lt;&gt;"""")),"""")"),"Zach, Bryce")</f>
        <v>Zach, Bryce</v>
      </c>
    </row>
    <row r="256" spans="1:16" ht="13">
      <c r="A256" s="33" t="s">
        <v>2060</v>
      </c>
      <c r="B256" s="33"/>
      <c r="C256" s="33"/>
      <c r="D256" s="33">
        <v>31</v>
      </c>
      <c r="E256" s="33"/>
      <c r="F256" s="33"/>
      <c r="G256" s="33">
        <v>159595</v>
      </c>
      <c r="H256" s="43">
        <v>43217</v>
      </c>
      <c r="I256" s="33">
        <v>70</v>
      </c>
      <c r="J256" s="33"/>
      <c r="K256" s="33" t="s">
        <v>523</v>
      </c>
      <c r="L256" s="33" t="s">
        <v>745</v>
      </c>
      <c r="N256" s="3" t="b">
        <f t="shared" si="1"/>
        <v>0</v>
      </c>
      <c r="O256" s="23" t="str">
        <f>IFERROR(VLOOKUP(A256, '2023 Full View'!$1:$1000, 1, FALSE), "")</f>
        <v/>
      </c>
      <c r="P256" s="3" t="str">
        <f ca="1">IFERROR(__xludf.DUMMYFUNCTION("iferror(TEXTJOIN("", "",TRUE, FILTER($B$1:$E$1,B256:E256&lt;&gt;"""")),"""")"),"Zach")</f>
        <v>Zach</v>
      </c>
    </row>
    <row r="257" spans="1:16" ht="13">
      <c r="A257" s="33" t="s">
        <v>2099</v>
      </c>
      <c r="B257" s="33"/>
      <c r="C257" s="33"/>
      <c r="D257" s="33"/>
      <c r="E257" s="33">
        <v>21</v>
      </c>
      <c r="F257" s="33"/>
      <c r="G257" s="33">
        <v>197786</v>
      </c>
      <c r="H257" s="43">
        <v>42314</v>
      </c>
      <c r="I257" s="33">
        <v>70</v>
      </c>
      <c r="J257" s="33" t="s">
        <v>2513</v>
      </c>
      <c r="K257" s="33" t="s">
        <v>564</v>
      </c>
      <c r="L257" s="33" t="s">
        <v>727</v>
      </c>
      <c r="N257" s="3" t="b">
        <f t="shared" si="1"/>
        <v>0</v>
      </c>
      <c r="O257" s="23" t="str">
        <f>IFERROR(VLOOKUP(A257, '2023 Full View'!$1:$1000, 1, FALSE), "")</f>
        <v>Love Me Like YouLittle Mix</v>
      </c>
      <c r="P257" s="3" t="str">
        <f ca="1">IFERROR(__xludf.DUMMYFUNCTION("iferror(TEXTJOIN("", "",TRUE, FILTER($B$1:$E$1,B257:E257&lt;&gt;"""")),"""")"),"Maggie")</f>
        <v>Maggie</v>
      </c>
    </row>
    <row r="258" spans="1:16" ht="13">
      <c r="A258" s="33" t="s">
        <v>2101</v>
      </c>
      <c r="B258" s="33"/>
      <c r="C258" s="33">
        <v>20</v>
      </c>
      <c r="D258" s="33"/>
      <c r="E258" s="33"/>
      <c r="F258" s="33"/>
      <c r="G258" s="33">
        <v>175093</v>
      </c>
      <c r="H258" s="43">
        <v>37533</v>
      </c>
      <c r="I258" s="33">
        <v>70</v>
      </c>
      <c r="J258" s="33" t="s">
        <v>668</v>
      </c>
      <c r="K258" s="33" t="s">
        <v>403</v>
      </c>
      <c r="L258" s="33" t="s">
        <v>669</v>
      </c>
      <c r="N258" s="3" t="b">
        <f t="shared" si="1"/>
        <v>0</v>
      </c>
      <c r="O258" s="23" t="str">
        <f>IFERROR(VLOOKUP(A258, '2023 Full View'!$1:$1000, 1, FALSE), "")</f>
        <v/>
      </c>
      <c r="P258" s="3" t="str">
        <f ca="1">IFERROR(__xludf.DUMMYFUNCTION("iferror(TEXTJOIN("", "",TRUE, FILTER($B$1:$E$1,B258:E258&lt;&gt;"""")),"""")"),"Jamie")</f>
        <v>Jamie</v>
      </c>
    </row>
    <row r="259" spans="1:16" ht="13">
      <c r="A259" s="33" t="s">
        <v>2145</v>
      </c>
      <c r="B259" s="33"/>
      <c r="C259" s="33"/>
      <c r="D259" s="33"/>
      <c r="E259" s="33">
        <v>9</v>
      </c>
      <c r="F259" s="33"/>
      <c r="G259" s="33">
        <v>154516</v>
      </c>
      <c r="H259" s="43">
        <v>45177</v>
      </c>
      <c r="I259" s="33">
        <v>70</v>
      </c>
      <c r="J259" s="33" t="s">
        <v>933</v>
      </c>
      <c r="K259" s="33" t="s">
        <v>484</v>
      </c>
      <c r="L259" s="33" t="s">
        <v>1940</v>
      </c>
      <c r="N259" s="3" t="b">
        <f t="shared" si="1"/>
        <v>0</v>
      </c>
      <c r="O259" s="23" t="str">
        <f>IFERROR(VLOOKUP(A259, '2023 Full View'!$1:$1000, 1, FALSE), "")</f>
        <v/>
      </c>
      <c r="P259" s="3" t="str">
        <f ca="1">IFERROR(__xludf.DUMMYFUNCTION("iferror(TEXTJOIN("", "",TRUE, FILTER($B$1:$E$1,B259:E259&lt;&gt;"""")),"""")"),"Jamie")</f>
        <v>Jamie</v>
      </c>
    </row>
    <row r="260" spans="1:16" ht="13">
      <c r="A260" s="33" t="s">
        <v>2147</v>
      </c>
      <c r="B260" s="33"/>
      <c r="C260" s="33">
        <v>8</v>
      </c>
      <c r="D260" s="33"/>
      <c r="E260" s="33"/>
      <c r="F260" s="33"/>
      <c r="G260" s="33">
        <v>146133</v>
      </c>
      <c r="H260" s="43">
        <v>44890</v>
      </c>
      <c r="I260" s="33">
        <v>70</v>
      </c>
      <c r="J260" s="33" t="s">
        <v>2514</v>
      </c>
      <c r="K260" s="33" t="s">
        <v>2052</v>
      </c>
      <c r="L260" s="33" t="s">
        <v>2053</v>
      </c>
      <c r="N260" s="3" t="b">
        <f t="shared" si="1"/>
        <v>0</v>
      </c>
      <c r="O260" s="23" t="str">
        <f>IFERROR(VLOOKUP(A260, '2023 Full View'!$1:$1000, 1, FALSE), "")</f>
        <v/>
      </c>
      <c r="P260" s="3" t="str">
        <f ca="1">IFERROR(__xludf.DUMMYFUNCTION("iferror(TEXTJOIN("", "",TRUE, FILTER($B$1:$E$1,B260:E260&lt;&gt;"""")),"""")"),"Jamie")</f>
        <v>Jamie</v>
      </c>
    </row>
    <row r="261" spans="1:16" ht="13">
      <c r="A261" s="33" t="s">
        <v>2137</v>
      </c>
      <c r="B261" s="33"/>
      <c r="C261" s="33">
        <v>11</v>
      </c>
      <c r="D261" s="33"/>
      <c r="E261" s="33"/>
      <c r="F261" s="33" t="s">
        <v>360</v>
      </c>
      <c r="G261" s="33">
        <v>189356</v>
      </c>
      <c r="H261" s="43">
        <v>45499</v>
      </c>
      <c r="I261" s="33">
        <v>71</v>
      </c>
      <c r="J261" s="33" t="s">
        <v>2477</v>
      </c>
      <c r="K261" s="33" t="s">
        <v>435</v>
      </c>
      <c r="L261" s="33" t="s">
        <v>1762</v>
      </c>
      <c r="N261" s="3" t="b">
        <f t="shared" si="1"/>
        <v>0</v>
      </c>
      <c r="O261" s="23" t="str">
        <f>IFERROR(VLOOKUP(A261, '2023 Full View'!$1:$1000, 1, FALSE), "")</f>
        <v/>
      </c>
      <c r="P261" s="3" t="str">
        <f ca="1">IFERROR(__xludf.DUMMYFUNCTION("iferror(TEXTJOIN("", "",TRUE, FILTER($B$1:$E$1,B261:E261&lt;&gt;"""")),"""")"),"Jamie")</f>
        <v>Jamie</v>
      </c>
    </row>
    <row r="262" spans="1:16" ht="13">
      <c r="A262" s="33" t="s">
        <v>1928</v>
      </c>
      <c r="B262" s="33"/>
      <c r="C262" s="33">
        <v>65</v>
      </c>
      <c r="D262" s="33"/>
      <c r="E262" s="33"/>
      <c r="F262" s="33" t="s">
        <v>370</v>
      </c>
      <c r="G262" s="33">
        <v>357706</v>
      </c>
      <c r="H262" s="43">
        <v>39814</v>
      </c>
      <c r="I262" s="33">
        <v>71</v>
      </c>
      <c r="J262" s="33" t="s">
        <v>681</v>
      </c>
      <c r="K262" s="33" t="s">
        <v>408</v>
      </c>
      <c r="L262" s="33" t="s">
        <v>682</v>
      </c>
      <c r="N262" s="3" t="b">
        <f t="shared" si="1"/>
        <v>0</v>
      </c>
      <c r="O262" s="23" t="str">
        <f>IFERROR(VLOOKUP(A262, '2023 Full View'!$1:$1000, 1, FALSE), "")</f>
        <v/>
      </c>
      <c r="P262" s="3" t="str">
        <f ca="1">IFERROR(__xludf.DUMMYFUNCTION("iferror(TEXTJOIN("", "",TRUE, FILTER($B$1:$E$1,B262:E262&lt;&gt;"""")),"""")"),"Jamie")</f>
        <v>Jamie</v>
      </c>
    </row>
    <row r="263" spans="1:16" ht="13">
      <c r="A263" s="33" t="s">
        <v>2056</v>
      </c>
      <c r="B263" s="33"/>
      <c r="C263" s="33">
        <v>32</v>
      </c>
      <c r="D263" s="33"/>
      <c r="E263" s="33"/>
      <c r="F263" s="33" t="s">
        <v>359</v>
      </c>
      <c r="G263" s="33">
        <v>290892</v>
      </c>
      <c r="H263" s="43">
        <v>44953</v>
      </c>
      <c r="I263" s="33">
        <v>71</v>
      </c>
      <c r="J263" s="33"/>
      <c r="K263" s="33" t="s">
        <v>437</v>
      </c>
      <c r="L263" s="33" t="s">
        <v>837</v>
      </c>
      <c r="N263" s="3" t="b">
        <f t="shared" si="1"/>
        <v>0</v>
      </c>
      <c r="O263" s="23" t="str">
        <f>IFERROR(VLOOKUP(A263, '2023 Full View'!$1:$1000, 1, FALSE), "")</f>
        <v/>
      </c>
      <c r="P263" s="3" t="str">
        <f ca="1">IFERROR(__xludf.DUMMYFUNCTION("iferror(TEXTJOIN("", "",TRUE, FILTER($B$1:$E$1,B263:E263&lt;&gt;"""")),"""")"),"Jamie")</f>
        <v>Jamie</v>
      </c>
    </row>
    <row r="264" spans="1:16" ht="13">
      <c r="A264" s="33" t="s">
        <v>1809</v>
      </c>
      <c r="B264" s="33"/>
      <c r="C264" s="33"/>
      <c r="D264" s="33"/>
      <c r="E264" s="33">
        <v>94</v>
      </c>
      <c r="F264" s="33"/>
      <c r="G264" s="33">
        <v>199827</v>
      </c>
      <c r="H264" s="43">
        <v>43041</v>
      </c>
      <c r="I264" s="33">
        <v>71</v>
      </c>
      <c r="J264" s="33" t="s">
        <v>507</v>
      </c>
      <c r="K264" s="33" t="s">
        <v>507</v>
      </c>
      <c r="L264" s="33" t="s">
        <v>742</v>
      </c>
      <c r="N264" s="3" t="b">
        <f t="shared" si="1"/>
        <v>0</v>
      </c>
      <c r="O264" s="23" t="str">
        <f>IFERROR(VLOOKUP(A264, '2023 Full View'!$1:$1000, 1, FALSE), "")</f>
        <v>Silver LiningMt. Joy</v>
      </c>
      <c r="P264" s="3" t="str">
        <f ca="1">IFERROR(__xludf.DUMMYFUNCTION("iferror(TEXTJOIN("", "",TRUE, FILTER($B$1:$E$1,B264:E264&lt;&gt;"""")),"""")"),"Bryce")</f>
        <v>Bryce</v>
      </c>
    </row>
    <row r="265" spans="1:16" ht="13">
      <c r="A265" s="33" t="s">
        <v>1885</v>
      </c>
      <c r="B265" s="33">
        <v>75</v>
      </c>
      <c r="C265" s="33"/>
      <c r="D265" s="33"/>
      <c r="E265" s="33"/>
      <c r="F265" s="33"/>
      <c r="G265" s="33">
        <v>189986</v>
      </c>
      <c r="H265" s="43">
        <v>45044</v>
      </c>
      <c r="I265" s="33">
        <v>71</v>
      </c>
      <c r="J265" s="33" t="s">
        <v>857</v>
      </c>
      <c r="K265" s="33" t="s">
        <v>473</v>
      </c>
      <c r="L265" s="33" t="s">
        <v>858</v>
      </c>
      <c r="N265" s="3" t="b">
        <f t="shared" si="1"/>
        <v>0</v>
      </c>
      <c r="O265" s="23" t="str">
        <f>IFERROR(VLOOKUP(A265, '2023 Full View'!$1:$1000, 1, FALSE), "")</f>
        <v/>
      </c>
      <c r="P265" s="3" t="str">
        <f ca="1">IFERROR(__xludf.DUMMYFUNCTION("iferror(TEXTJOIN("", "",TRUE, FILTER($B$1:$E$1,B265:E265&lt;&gt;"""")),"""")"),"Maggie")</f>
        <v>Maggie</v>
      </c>
    </row>
    <row r="266" spans="1:16" ht="13">
      <c r="A266" s="33" t="s">
        <v>1891</v>
      </c>
      <c r="B266" s="33">
        <v>74</v>
      </c>
      <c r="C266" s="33"/>
      <c r="D266" s="33"/>
      <c r="E266" s="33"/>
      <c r="F266" s="33"/>
      <c r="G266" s="33">
        <v>218260</v>
      </c>
      <c r="H266" s="43">
        <v>45002</v>
      </c>
      <c r="I266" s="33">
        <v>71</v>
      </c>
      <c r="J266" s="33" t="s">
        <v>2515</v>
      </c>
      <c r="K266" s="33" t="s">
        <v>474</v>
      </c>
      <c r="L266" s="33" t="s">
        <v>875</v>
      </c>
      <c r="N266" s="3" t="b">
        <f t="shared" si="1"/>
        <v>0</v>
      </c>
      <c r="O266" s="23" t="str">
        <f>IFERROR(VLOOKUP(A266, '2023 Full View'!$1:$1000, 1, FALSE), "")</f>
        <v/>
      </c>
      <c r="P266" s="3" t="str">
        <f ca="1">IFERROR(__xludf.DUMMYFUNCTION("iferror(TEXTJOIN("", "",TRUE, FILTER($B$1:$E$1,B266:E266&lt;&gt;"""")),"""")"),"Maggie")</f>
        <v>Maggie</v>
      </c>
    </row>
    <row r="267" spans="1:16" ht="13">
      <c r="A267" s="33" t="s">
        <v>1895</v>
      </c>
      <c r="B267" s="33">
        <v>73</v>
      </c>
      <c r="C267" s="33"/>
      <c r="D267" s="33"/>
      <c r="E267" s="33"/>
      <c r="F267" s="33"/>
      <c r="G267" s="33">
        <v>184013</v>
      </c>
      <c r="H267" s="43">
        <v>45030</v>
      </c>
      <c r="I267" s="33">
        <v>71</v>
      </c>
      <c r="J267" s="33" t="s">
        <v>2516</v>
      </c>
      <c r="K267" s="33" t="s">
        <v>368</v>
      </c>
      <c r="L267" s="33" t="s">
        <v>856</v>
      </c>
      <c r="N267" s="3" t="b">
        <f t="shared" si="1"/>
        <v>0</v>
      </c>
      <c r="O267" s="23" t="str">
        <f>IFERROR(VLOOKUP(A267, '2023 Full View'!$1:$1000, 1, FALSE), "")</f>
        <v>ChemicalPost Malone</v>
      </c>
      <c r="P267" s="3" t="str">
        <f ca="1">IFERROR(__xludf.DUMMYFUNCTION("iferror(TEXTJOIN("", "",TRUE, FILTER($B$1:$E$1,B267:E267&lt;&gt;"""")),"""")"),"Zach")</f>
        <v>Zach</v>
      </c>
    </row>
    <row r="268" spans="1:16" ht="13">
      <c r="A268" s="33" t="s">
        <v>1917</v>
      </c>
      <c r="B268" s="33"/>
      <c r="C268" s="33"/>
      <c r="D268" s="33"/>
      <c r="E268" s="33">
        <v>68</v>
      </c>
      <c r="F268" s="33"/>
      <c r="G268" s="33">
        <v>169717</v>
      </c>
      <c r="H268" s="43">
        <v>45373</v>
      </c>
      <c r="I268" s="33">
        <v>71</v>
      </c>
      <c r="J268" s="33" t="s">
        <v>933</v>
      </c>
      <c r="K268" s="33" t="s">
        <v>484</v>
      </c>
      <c r="L268" s="33" t="s">
        <v>935</v>
      </c>
      <c r="N268" s="3" t="b">
        <f t="shared" si="1"/>
        <v>0</v>
      </c>
      <c r="O268" s="23" t="str">
        <f>IFERROR(VLOOKUP(A268, '2023 Full View'!$1:$1000, 1, FALSE), "")</f>
        <v/>
      </c>
      <c r="P268" s="3" t="str">
        <f ca="1">IFERROR(__xludf.DUMMYFUNCTION("iferror(TEXTJOIN("", "",TRUE, FILTER($B$1:$E$1,B268:E268&lt;&gt;"""")),"""")"),"Zach")</f>
        <v>Zach</v>
      </c>
    </row>
    <row r="269" spans="1:16" ht="13">
      <c r="A269" s="33" t="s">
        <v>1941</v>
      </c>
      <c r="B269" s="33"/>
      <c r="C269" s="33"/>
      <c r="D269" s="33">
        <v>62</v>
      </c>
      <c r="E269" s="33"/>
      <c r="F269" s="33"/>
      <c r="G269" s="33">
        <v>270773</v>
      </c>
      <c r="H269" s="43">
        <v>25542</v>
      </c>
      <c r="I269" s="33">
        <v>71</v>
      </c>
      <c r="J269" s="33" t="s">
        <v>616</v>
      </c>
      <c r="K269" s="33" t="s">
        <v>569</v>
      </c>
      <c r="L269" s="33" t="s">
        <v>617</v>
      </c>
      <c r="N269" s="3" t="b">
        <f t="shared" si="1"/>
        <v>0</v>
      </c>
      <c r="O269" s="23" t="str">
        <f>IFERROR(VLOOKUP(A269, '2023 Full View'!$1:$1000, 1, FALSE), "")</f>
        <v>Gimme ShelterThe Rolling Stones</v>
      </c>
      <c r="P269" s="3" t="str">
        <f ca="1">IFERROR(__xludf.DUMMYFUNCTION("iferror(TEXTJOIN("", "",TRUE, FILTER($B$1:$E$1,B269:E269&lt;&gt;"""")),"""")"),"Bryce")</f>
        <v>Bryce</v>
      </c>
    </row>
    <row r="270" spans="1:16" ht="13">
      <c r="A270" s="33" t="s">
        <v>1972</v>
      </c>
      <c r="B270" s="33"/>
      <c r="C270" s="33"/>
      <c r="D270" s="33"/>
      <c r="E270" s="33">
        <v>54</v>
      </c>
      <c r="F270" s="33"/>
      <c r="G270" s="33">
        <v>228800</v>
      </c>
      <c r="H270" s="43">
        <v>45401</v>
      </c>
      <c r="I270" s="33">
        <v>71</v>
      </c>
      <c r="J270" s="33" t="s">
        <v>955</v>
      </c>
      <c r="K270" s="33" t="s">
        <v>438</v>
      </c>
      <c r="L270" s="33" t="s">
        <v>959</v>
      </c>
      <c r="N270" s="3" t="b">
        <f t="shared" si="1"/>
        <v>0</v>
      </c>
      <c r="O270" s="23" t="str">
        <f>IFERROR(VLOOKUP(A270, '2023 Full View'!$1:$1000, 1, FALSE), "")</f>
        <v/>
      </c>
      <c r="P270" s="3" t="str">
        <f ca="1">IFERROR(__xludf.DUMMYFUNCTION("iferror(TEXTJOIN("", "",TRUE, FILTER($B$1:$E$1,B270:E270&lt;&gt;"""")),"""")"),"Bryce")</f>
        <v>Bryce</v>
      </c>
    </row>
    <row r="271" spans="1:16" ht="13">
      <c r="A271" s="33" t="s">
        <v>1974</v>
      </c>
      <c r="B271" s="33"/>
      <c r="C271" s="33">
        <v>53</v>
      </c>
      <c r="D271" s="33"/>
      <c r="E271" s="33"/>
      <c r="F271" s="33"/>
      <c r="G271" s="33">
        <v>211315</v>
      </c>
      <c r="H271" s="43">
        <v>44701</v>
      </c>
      <c r="I271" s="33">
        <v>71</v>
      </c>
      <c r="J271" s="33" t="s">
        <v>807</v>
      </c>
      <c r="K271" s="33" t="s">
        <v>437</v>
      </c>
      <c r="L271" s="33" t="s">
        <v>808</v>
      </c>
      <c r="N271" s="3" t="b">
        <f t="shared" si="1"/>
        <v>0</v>
      </c>
      <c r="O271" s="23" t="str">
        <f>IFERROR(VLOOKUP(A271, '2023 Full View'!$1:$1000, 1, FALSE), "")</f>
        <v/>
      </c>
      <c r="P271" s="3" t="str">
        <f ca="1">IFERROR(__xludf.DUMMYFUNCTION("iferror(TEXTJOIN("", "",TRUE, FILTER($B$1:$E$1,B271:E271&lt;&gt;"""")),"""")"),"Bryce")</f>
        <v>Bryce</v>
      </c>
    </row>
    <row r="272" spans="1:16" ht="13">
      <c r="A272" s="33" t="s">
        <v>2007</v>
      </c>
      <c r="B272" s="33">
        <v>44</v>
      </c>
      <c r="C272" s="33"/>
      <c r="D272" s="33"/>
      <c r="E272" s="33"/>
      <c r="F272" s="33"/>
      <c r="G272" s="33">
        <v>188143</v>
      </c>
      <c r="H272" s="43">
        <v>45393</v>
      </c>
      <c r="I272" s="33">
        <v>71</v>
      </c>
      <c r="J272" s="33" t="s">
        <v>963</v>
      </c>
      <c r="K272" s="33" t="s">
        <v>440</v>
      </c>
      <c r="L272" s="33" t="s">
        <v>967</v>
      </c>
      <c r="N272" s="3" t="b">
        <f t="shared" si="1"/>
        <v>0</v>
      </c>
      <c r="O272" s="23" t="str">
        <f>IFERROR(VLOOKUP(A272, '2023 Full View'!$1:$1000, 1, FALSE), "")</f>
        <v/>
      </c>
      <c r="P272" s="3" t="str">
        <f ca="1">IFERROR(__xludf.DUMMYFUNCTION("iferror(TEXTJOIN("", "",TRUE, FILTER($B$1:$E$1,B272:E272&lt;&gt;"""")),"""")"),"Zach")</f>
        <v>Zach</v>
      </c>
    </row>
    <row r="273" spans="1:16" ht="13">
      <c r="A273" s="33" t="s">
        <v>2017</v>
      </c>
      <c r="B273" s="33">
        <v>41</v>
      </c>
      <c r="C273" s="33"/>
      <c r="D273" s="33"/>
      <c r="E273" s="33"/>
      <c r="F273" s="33"/>
      <c r="G273" s="33">
        <v>179294</v>
      </c>
      <c r="H273" s="43">
        <v>44792</v>
      </c>
      <c r="I273" s="33">
        <v>71</v>
      </c>
      <c r="J273" s="33" t="s">
        <v>832</v>
      </c>
      <c r="K273" s="33" t="s">
        <v>477</v>
      </c>
      <c r="L273" s="33" t="s">
        <v>834</v>
      </c>
      <c r="N273" s="3" t="b">
        <f t="shared" si="1"/>
        <v>0</v>
      </c>
      <c r="O273" s="23" t="str">
        <f>IFERROR(VLOOKUP(A273, '2023 Full View'!$1:$1000, 1, FALSE), "")</f>
        <v/>
      </c>
      <c r="P273" s="3" t="str">
        <f ca="1">IFERROR(__xludf.DUMMYFUNCTION("iferror(TEXTJOIN("", "",TRUE, FILTER($B$1:$E$1,B273:E273&lt;&gt;"""")),"""")"),"Maggie")</f>
        <v>Maggie</v>
      </c>
    </row>
    <row r="274" spans="1:16" ht="13">
      <c r="A274" s="33" t="s">
        <v>2036</v>
      </c>
      <c r="B274" s="33"/>
      <c r="C274" s="33">
        <v>37</v>
      </c>
      <c r="D274" s="33"/>
      <c r="E274" s="33"/>
      <c r="F274" s="33"/>
      <c r="G274" s="33">
        <v>294600</v>
      </c>
      <c r="H274" s="43">
        <v>36892</v>
      </c>
      <c r="I274" s="33">
        <v>71</v>
      </c>
      <c r="J274" s="33" t="s">
        <v>2517</v>
      </c>
      <c r="K274" s="33" t="s">
        <v>434</v>
      </c>
      <c r="L274" s="33" t="s">
        <v>664</v>
      </c>
      <c r="N274" s="3" t="b">
        <f t="shared" si="1"/>
        <v>0</v>
      </c>
      <c r="O274" s="23" t="str">
        <f>IFERROR(VLOOKUP(A274, '2023 Full View'!$1:$1000, 1, FALSE), "")</f>
        <v/>
      </c>
      <c r="P274" s="3" t="str">
        <f ca="1">IFERROR(__xludf.DUMMYFUNCTION("iferror(TEXTJOIN("", "",TRUE, FILTER($B$1:$E$1,B274:E274&lt;&gt;"""")),"""")"),"Zach")</f>
        <v>Zach</v>
      </c>
    </row>
    <row r="275" spans="1:16" ht="13">
      <c r="A275" s="33" t="s">
        <v>2046</v>
      </c>
      <c r="B275" s="33"/>
      <c r="C275" s="33"/>
      <c r="D275" s="33"/>
      <c r="E275" s="33">
        <v>35</v>
      </c>
      <c r="F275" s="33"/>
      <c r="G275" s="33">
        <v>254365</v>
      </c>
      <c r="H275" s="43">
        <v>45400</v>
      </c>
      <c r="I275" s="33">
        <v>71</v>
      </c>
      <c r="J275" s="33" t="s">
        <v>953</v>
      </c>
      <c r="K275" s="33" t="s">
        <v>438</v>
      </c>
      <c r="L275" s="33" t="s">
        <v>956</v>
      </c>
      <c r="N275" s="3" t="b">
        <f t="shared" si="1"/>
        <v>0</v>
      </c>
      <c r="O275" s="23" t="str">
        <f>IFERROR(VLOOKUP(A275, '2023 Full View'!$1:$1000, 1, FALSE), "")</f>
        <v/>
      </c>
      <c r="P275" s="3" t="str">
        <f ca="1">IFERROR(__xludf.DUMMYFUNCTION("iferror(TEXTJOIN("", "",TRUE, FILTER($B$1:$E$1,B275:E275&lt;&gt;"""")),"""")"),"Zach")</f>
        <v>Zach</v>
      </c>
    </row>
    <row r="276" spans="1:16" ht="13">
      <c r="A276" s="33" t="s">
        <v>2047</v>
      </c>
      <c r="B276" s="33">
        <v>34</v>
      </c>
      <c r="C276" s="33"/>
      <c r="D276" s="33"/>
      <c r="E276" s="33"/>
      <c r="F276" s="33"/>
      <c r="G276" s="33">
        <v>209427</v>
      </c>
      <c r="H276" s="43">
        <v>45317</v>
      </c>
      <c r="I276" s="33">
        <v>71</v>
      </c>
      <c r="J276" s="33"/>
      <c r="K276" s="33" t="s">
        <v>429</v>
      </c>
      <c r="L276" s="33" t="s">
        <v>912</v>
      </c>
      <c r="N276" s="3" t="b">
        <f t="shared" si="1"/>
        <v>0</v>
      </c>
      <c r="O276" s="23" t="str">
        <f>IFERROR(VLOOKUP(A276, '2023 Full View'!$1:$1000, 1, FALSE), "")</f>
        <v/>
      </c>
      <c r="P276" s="3" t="str">
        <f ca="1">IFERROR(__xludf.DUMMYFUNCTION("iferror(TEXTJOIN("", "",TRUE, FILTER($B$1:$E$1,B276:E276&lt;&gt;"""")),"""")"),"Zach")</f>
        <v>Zach</v>
      </c>
    </row>
    <row r="277" spans="1:16" ht="13">
      <c r="A277" s="33" t="s">
        <v>2116</v>
      </c>
      <c r="B277" s="33"/>
      <c r="C277" s="33"/>
      <c r="D277" s="33">
        <v>17</v>
      </c>
      <c r="E277" s="33"/>
      <c r="F277" s="33"/>
      <c r="G277" s="33">
        <v>277831</v>
      </c>
      <c r="H277" s="43">
        <v>45259</v>
      </c>
      <c r="I277" s="33">
        <v>71</v>
      </c>
      <c r="J277" s="33"/>
      <c r="K277" s="33" t="s">
        <v>438</v>
      </c>
      <c r="L277" s="33" t="s">
        <v>910</v>
      </c>
      <c r="N277" s="3" t="b">
        <f t="shared" si="1"/>
        <v>0</v>
      </c>
      <c r="O277" s="23" t="str">
        <f>IFERROR(VLOOKUP(A277, '2023 Full View'!$1:$1000, 1, FALSE), "")</f>
        <v/>
      </c>
      <c r="P277" s="3" t="str">
        <f ca="1">IFERROR(__xludf.DUMMYFUNCTION("iferror(TEXTJOIN("", "",TRUE, FILTER($B$1:$E$1,B277:E277&lt;&gt;"""")),"""")"),"Zach")</f>
        <v>Zach</v>
      </c>
    </row>
    <row r="278" spans="1:16" ht="13">
      <c r="A278" s="33" t="s">
        <v>1785</v>
      </c>
      <c r="B278" s="33">
        <v>42</v>
      </c>
      <c r="C278" s="33">
        <v>99</v>
      </c>
      <c r="D278" s="33"/>
      <c r="E278" s="33"/>
      <c r="F278" s="33"/>
      <c r="G278" s="33">
        <v>267893</v>
      </c>
      <c r="H278" s="43">
        <v>45128</v>
      </c>
      <c r="I278" s="33">
        <v>72</v>
      </c>
      <c r="J278" s="33" t="s">
        <v>656</v>
      </c>
      <c r="K278" s="33" t="s">
        <v>365</v>
      </c>
      <c r="L278" s="33" t="s">
        <v>909</v>
      </c>
      <c r="N278" s="3" t="b">
        <f t="shared" si="1"/>
        <v>1</v>
      </c>
      <c r="O278" s="23" t="str">
        <f>IFERROR(VLOOKUP(A278, '2023 Full View'!$1:$1000, 1, FALSE), "")</f>
        <v>White HorseChris Stapleton</v>
      </c>
      <c r="P278" s="3" t="str">
        <f ca="1">IFERROR(__xludf.DUMMYFUNCTION("iferror(TEXTJOIN("", "",TRUE, FILTER($B$1:$E$1,B278:E278&lt;&gt;"""")),"""")"),"Zach")</f>
        <v>Zach</v>
      </c>
    </row>
    <row r="279" spans="1:16" ht="13">
      <c r="A279" s="33" t="s">
        <v>1805</v>
      </c>
      <c r="B279" s="33"/>
      <c r="C279" s="33"/>
      <c r="D279" s="33"/>
      <c r="E279" s="33">
        <v>95</v>
      </c>
      <c r="F279" s="33"/>
      <c r="G279" s="33">
        <v>206295</v>
      </c>
      <c r="H279" s="43">
        <v>45527</v>
      </c>
      <c r="I279" s="33">
        <v>72</v>
      </c>
      <c r="J279" s="33" t="s">
        <v>1010</v>
      </c>
      <c r="K279" s="33" t="s">
        <v>366</v>
      </c>
      <c r="L279" s="33" t="s">
        <v>1015</v>
      </c>
      <c r="N279" s="3" t="b">
        <f t="shared" si="1"/>
        <v>0</v>
      </c>
      <c r="O279" s="23" t="str">
        <f>IFERROR(VLOOKUP(A279, '2023 Full View'!$1:$1000, 1, FALSE), "")</f>
        <v/>
      </c>
      <c r="P279" s="3" t="str">
        <f ca="1">IFERROR(__xludf.DUMMYFUNCTION("iferror(TEXTJOIN("", "",TRUE, FILTER($B$1:$E$1,B279:E279&lt;&gt;"""")),"""")"),"Zach")</f>
        <v>Zach</v>
      </c>
    </row>
    <row r="280" spans="1:16" ht="13">
      <c r="A280" s="33" t="s">
        <v>1920</v>
      </c>
      <c r="B280" s="33"/>
      <c r="C280" s="33"/>
      <c r="D280" s="33">
        <v>67</v>
      </c>
      <c r="E280" s="33"/>
      <c r="F280" s="33"/>
      <c r="G280" s="33">
        <v>186826</v>
      </c>
      <c r="H280" s="43">
        <v>26299</v>
      </c>
      <c r="I280" s="33">
        <v>72</v>
      </c>
      <c r="J280" s="33" t="s">
        <v>561</v>
      </c>
      <c r="K280" s="33" t="s">
        <v>561</v>
      </c>
      <c r="L280" s="33" t="s">
        <v>590</v>
      </c>
      <c r="N280" s="3" t="b">
        <f t="shared" si="1"/>
        <v>0</v>
      </c>
      <c r="O280" s="23" t="str">
        <f>IFERROR(VLOOKUP(A280, '2023 Full View'!$1:$1000, 1, FALSE), "")</f>
        <v>Brandy (You're a Fine Girl)Looking Glass</v>
      </c>
      <c r="P280" s="3" t="str">
        <f ca="1">IFERROR(__xludf.DUMMYFUNCTION("iferror(TEXTJOIN("", "",TRUE, FILTER($B$1:$E$1,B280:E280&lt;&gt;"""")),"""")"),"Bryce")</f>
        <v>Bryce</v>
      </c>
    </row>
    <row r="281" spans="1:16" ht="13">
      <c r="A281" s="33" t="s">
        <v>1926</v>
      </c>
      <c r="B281" s="33"/>
      <c r="C281" s="33"/>
      <c r="D281" s="33"/>
      <c r="E281" s="33">
        <v>66</v>
      </c>
      <c r="F281" s="33"/>
      <c r="G281" s="33">
        <v>279000</v>
      </c>
      <c r="H281" s="43">
        <v>41002</v>
      </c>
      <c r="I281" s="33">
        <v>72</v>
      </c>
      <c r="J281" s="33" t="s">
        <v>2518</v>
      </c>
      <c r="K281" s="33" t="s">
        <v>372</v>
      </c>
      <c r="L281" s="33" t="s">
        <v>700</v>
      </c>
      <c r="N281" s="3" t="b">
        <f t="shared" si="1"/>
        <v>0</v>
      </c>
      <c r="O281" s="23" t="str">
        <f>IFERROR(VLOOKUP(A281, '2023 Full View'!$1:$1000, 1, FALSE), "")</f>
        <v>Stubborn LoveThe Lumineers</v>
      </c>
      <c r="P281" s="3" t="str">
        <f ca="1">IFERROR(__xludf.DUMMYFUNCTION("iferror(TEXTJOIN("", "",TRUE, FILTER($B$1:$E$1,B281:E281&lt;&gt;"""")),"""")"),"Zach")</f>
        <v>Zach</v>
      </c>
    </row>
    <row r="282" spans="1:16" ht="13">
      <c r="A282" s="33" t="s">
        <v>2028</v>
      </c>
      <c r="B282" s="33"/>
      <c r="C282" s="33"/>
      <c r="D282" s="33">
        <v>39</v>
      </c>
      <c r="E282" s="33">
        <v>24</v>
      </c>
      <c r="F282" s="33"/>
      <c r="G282" s="33">
        <v>211141</v>
      </c>
      <c r="H282" s="43">
        <v>45177</v>
      </c>
      <c r="I282" s="33">
        <v>72</v>
      </c>
      <c r="J282" s="33" t="s">
        <v>933</v>
      </c>
      <c r="K282" s="33" t="s">
        <v>484</v>
      </c>
      <c r="L282" s="33" t="s">
        <v>881</v>
      </c>
      <c r="N282" s="3" t="b">
        <f t="shared" si="1"/>
        <v>1</v>
      </c>
      <c r="O282" s="23" t="str">
        <f>IFERROR(VLOOKUP(A282, '2023 Full View'!$1:$1000, 1, FALSE), "")</f>
        <v/>
      </c>
      <c r="P282" s="3" t="str">
        <f ca="1">IFERROR(__xludf.DUMMYFUNCTION("iferror(TEXTJOIN("", "",TRUE, FILTER($B$1:$E$1,B282:E282&lt;&gt;"""")),"""")"),"Zach")</f>
        <v>Zach</v>
      </c>
    </row>
    <row r="283" spans="1:16" ht="13">
      <c r="A283" s="33" t="s">
        <v>2049</v>
      </c>
      <c r="B283" s="33"/>
      <c r="C283" s="33"/>
      <c r="D283" s="33">
        <v>34</v>
      </c>
      <c r="E283" s="33"/>
      <c r="F283" s="33"/>
      <c r="G283" s="33">
        <v>197213</v>
      </c>
      <c r="H283" s="43">
        <v>28444</v>
      </c>
      <c r="I283" s="33">
        <v>72</v>
      </c>
      <c r="J283" s="33"/>
      <c r="K283" s="33" t="s">
        <v>497</v>
      </c>
      <c r="L283" s="33" t="s">
        <v>643</v>
      </c>
      <c r="N283" s="3" t="b">
        <f t="shared" si="1"/>
        <v>0</v>
      </c>
      <c r="O283" s="23" t="str">
        <f>IFERROR(VLOOKUP(A283, '2023 Full View'!$1:$1000, 1, FALSE), "")</f>
        <v>More Than A WomanBee Gees</v>
      </c>
      <c r="P283" s="3" t="str">
        <f ca="1">IFERROR(__xludf.DUMMYFUNCTION("iferror(TEXTJOIN("", "",TRUE, FILTER($B$1:$E$1,B283:E283&lt;&gt;"""")),"""")"),"Zach")</f>
        <v>Zach</v>
      </c>
    </row>
    <row r="284" spans="1:16" ht="13">
      <c r="A284" s="33" t="s">
        <v>2149</v>
      </c>
      <c r="B284" s="33">
        <v>7</v>
      </c>
      <c r="C284" s="33"/>
      <c r="D284" s="33"/>
      <c r="E284" s="33"/>
      <c r="F284" s="33" t="s">
        <v>482</v>
      </c>
      <c r="G284" s="33">
        <v>164011</v>
      </c>
      <c r="H284" s="43">
        <v>45499</v>
      </c>
      <c r="I284" s="33">
        <v>73</v>
      </c>
      <c r="J284" s="33" t="s">
        <v>1007</v>
      </c>
      <c r="K284" s="33" t="s">
        <v>368</v>
      </c>
      <c r="L284" s="33" t="s">
        <v>2086</v>
      </c>
      <c r="N284" s="3" t="b">
        <f t="shared" si="1"/>
        <v>0</v>
      </c>
      <c r="O284" s="23" t="str">
        <f>IFERROR(VLOOKUP(A284, '2023 Full View'!$1:$1000, 1, FALSE), "")</f>
        <v/>
      </c>
      <c r="P284" s="3" t="str">
        <f ca="1">IFERROR(__xludf.DUMMYFUNCTION("iferror(TEXTJOIN("", "",TRUE, FILTER($B$1:$E$1,B284:E284&lt;&gt;"""")),"""")"),"Zach")</f>
        <v>Zach</v>
      </c>
    </row>
    <row r="285" spans="1:16" ht="13">
      <c r="A285" s="33" t="s">
        <v>1807</v>
      </c>
      <c r="B285" s="33"/>
      <c r="C285" s="33">
        <v>94</v>
      </c>
      <c r="D285" s="33"/>
      <c r="E285" s="33"/>
      <c r="F285" s="33" t="s">
        <v>420</v>
      </c>
      <c r="G285" s="33">
        <v>226738</v>
      </c>
      <c r="H285" s="43">
        <v>42171</v>
      </c>
      <c r="I285" s="33">
        <v>73</v>
      </c>
      <c r="J285" s="33"/>
      <c r="K285" s="33" t="s">
        <v>386</v>
      </c>
      <c r="L285" s="33" t="s">
        <v>721</v>
      </c>
      <c r="N285" s="3" t="b">
        <f t="shared" si="1"/>
        <v>0</v>
      </c>
      <c r="O285" s="23" t="str">
        <f>IFERROR(VLOOKUP(A285, '2023 Full View'!$1:$1000, 1, FALSE), "")</f>
        <v/>
      </c>
      <c r="P285" s="3" t="str">
        <f ca="1">IFERROR(__xludf.DUMMYFUNCTION("iferror(TEXTJOIN("", "",TRUE, FILTER($B$1:$E$1,B285:E285&lt;&gt;"""")),"""")"),"Jamie")</f>
        <v>Jamie</v>
      </c>
    </row>
    <row r="286" spans="1:16" ht="13">
      <c r="A286" s="33" t="s">
        <v>1790</v>
      </c>
      <c r="B286" s="33">
        <v>98</v>
      </c>
      <c r="C286" s="33"/>
      <c r="D286" s="33"/>
      <c r="E286" s="33"/>
      <c r="F286" s="33"/>
      <c r="G286" s="33">
        <v>178723</v>
      </c>
      <c r="H286" s="43">
        <v>44937</v>
      </c>
      <c r="I286" s="33">
        <v>73</v>
      </c>
      <c r="J286" s="33" t="s">
        <v>832</v>
      </c>
      <c r="K286" s="33" t="s">
        <v>477</v>
      </c>
      <c r="L286" s="33" t="s">
        <v>833</v>
      </c>
      <c r="N286" s="3" t="b">
        <f t="shared" si="1"/>
        <v>0</v>
      </c>
      <c r="O286" s="23" t="str">
        <f>IFERROR(VLOOKUP(A286, '2023 Full View'!$1:$1000, 1, FALSE), "")</f>
        <v>ReligiouslyBailey Zimmerman</v>
      </c>
      <c r="P286" s="3" t="str">
        <f ca="1">IFERROR(__xludf.DUMMYFUNCTION("iferror(TEXTJOIN("", "",TRUE, FILTER($B$1:$E$1,B286:E286&lt;&gt;"""")),"""")"),"Jamie")</f>
        <v>Jamie</v>
      </c>
    </row>
    <row r="287" spans="1:16" ht="13">
      <c r="A287" s="33" t="s">
        <v>1797</v>
      </c>
      <c r="B287" s="33"/>
      <c r="C287" s="33"/>
      <c r="D287" s="33"/>
      <c r="E287" s="33">
        <v>97</v>
      </c>
      <c r="F287" s="33"/>
      <c r="G287" s="33">
        <v>251510</v>
      </c>
      <c r="H287" s="43">
        <v>44848</v>
      </c>
      <c r="I287" s="33">
        <v>73</v>
      </c>
      <c r="J287" s="33" t="s">
        <v>920</v>
      </c>
      <c r="K287" s="33" t="s">
        <v>471</v>
      </c>
      <c r="L287" s="33" t="s">
        <v>826</v>
      </c>
      <c r="N287" s="3" t="b">
        <f t="shared" si="1"/>
        <v>0</v>
      </c>
      <c r="O287" s="23" t="str">
        <f>IFERROR(VLOOKUP(A287, '2023 Full View'!$1:$1000, 1, FALSE), "")</f>
        <v>All My LoveNoah Kahan</v>
      </c>
      <c r="P287" s="3" t="str">
        <f ca="1">IFERROR(__xludf.DUMMYFUNCTION("iferror(TEXTJOIN("", "",TRUE, FILTER($B$1:$E$1,B287:E287&lt;&gt;"""")),"""")"),"Zach, Bryce, Jamie")</f>
        <v>Zach, Bryce, Jamie</v>
      </c>
    </row>
    <row r="288" spans="1:16" ht="13">
      <c r="A288" s="33" t="s">
        <v>1806</v>
      </c>
      <c r="B288" s="33">
        <v>94</v>
      </c>
      <c r="C288" s="33"/>
      <c r="D288" s="33"/>
      <c r="E288" s="33"/>
      <c r="F288" s="33"/>
      <c r="G288" s="33">
        <v>193030</v>
      </c>
      <c r="H288" s="43">
        <v>41526</v>
      </c>
      <c r="I288" s="33">
        <v>73</v>
      </c>
      <c r="J288" s="33" t="s">
        <v>704</v>
      </c>
      <c r="K288" s="33" t="s">
        <v>445</v>
      </c>
      <c r="L288" s="33" t="s">
        <v>705</v>
      </c>
      <c r="N288" s="3" t="b">
        <f t="shared" si="1"/>
        <v>0</v>
      </c>
      <c r="O288" s="23" t="str">
        <f>IFERROR(VLOOKUP(A288, '2023 Full View'!$1:$1000, 1, FALSE), "")</f>
        <v/>
      </c>
      <c r="P288" s="3" t="str">
        <f ca="1">IFERROR(__xludf.DUMMYFUNCTION("iferror(TEXTJOIN("", "",TRUE, FILTER($B$1:$E$1,B288:E288&lt;&gt;"""")),"""")"),"Jamie")</f>
        <v>Jamie</v>
      </c>
    </row>
    <row r="289" spans="1:16" ht="13">
      <c r="A289" s="33" t="s">
        <v>1828</v>
      </c>
      <c r="B289" s="33"/>
      <c r="C289" s="33"/>
      <c r="D289" s="33"/>
      <c r="E289" s="33">
        <v>90</v>
      </c>
      <c r="F289" s="33"/>
      <c r="G289" s="33">
        <v>189293</v>
      </c>
      <c r="H289" s="43">
        <v>42577</v>
      </c>
      <c r="I289" s="33">
        <v>73</v>
      </c>
      <c r="J289" s="33"/>
      <c r="K289" s="33" t="s">
        <v>529</v>
      </c>
      <c r="L289" s="33" t="s">
        <v>731</v>
      </c>
      <c r="N289" s="3" t="b">
        <f t="shared" si="1"/>
        <v>0</v>
      </c>
      <c r="O289" s="23" t="str">
        <f>IFERROR(VLOOKUP(A289, '2023 Full View'!$1:$1000, 1, FALSE), "")</f>
        <v/>
      </c>
      <c r="P289" s="3" t="str">
        <f ca="1">IFERROR(__xludf.DUMMYFUNCTION("iferror(TEXTJOIN("", "",TRUE, FILTER($B$1:$E$1,B289:E289&lt;&gt;"""")),"""")"),"Jamie")</f>
        <v>Jamie</v>
      </c>
    </row>
    <row r="290" spans="1:16" ht="13">
      <c r="A290" s="33" t="s">
        <v>1848</v>
      </c>
      <c r="B290" s="33"/>
      <c r="C290" s="33"/>
      <c r="D290" s="33"/>
      <c r="E290" s="33">
        <v>85</v>
      </c>
      <c r="F290" s="33"/>
      <c r="G290" s="33">
        <v>228093</v>
      </c>
      <c r="H290" s="43">
        <v>40560</v>
      </c>
      <c r="I290" s="33">
        <v>73</v>
      </c>
      <c r="J290" s="33">
        <v>21</v>
      </c>
      <c r="K290" s="33" t="s">
        <v>485</v>
      </c>
      <c r="L290" s="33" t="s">
        <v>695</v>
      </c>
      <c r="N290" s="3" t="b">
        <f t="shared" si="1"/>
        <v>0</v>
      </c>
      <c r="O290" s="23" t="str">
        <f>IFERROR(VLOOKUP(A290, '2023 Full View'!$1:$1000, 1, FALSE), "")</f>
        <v/>
      </c>
      <c r="P290" s="3" t="str">
        <f ca="1">IFERROR(__xludf.DUMMYFUNCTION("iferror(TEXTJOIN("", "",TRUE, FILTER($B$1:$E$1,B290:E290&lt;&gt;"""")),"""")"),"Maggie, Jamie")</f>
        <v>Maggie, Jamie</v>
      </c>
    </row>
    <row r="291" spans="1:16" ht="13">
      <c r="A291" s="33" t="s">
        <v>1865</v>
      </c>
      <c r="B291" s="33"/>
      <c r="C291" s="33"/>
      <c r="D291" s="33"/>
      <c r="E291" s="33">
        <v>81</v>
      </c>
      <c r="F291" s="33"/>
      <c r="G291" s="33">
        <v>164202</v>
      </c>
      <c r="H291" s="43">
        <v>45527</v>
      </c>
      <c r="I291" s="33">
        <v>73</v>
      </c>
      <c r="J291" s="33" t="s">
        <v>1010</v>
      </c>
      <c r="K291" s="33" t="s">
        <v>366</v>
      </c>
      <c r="L291" s="33" t="s">
        <v>1012</v>
      </c>
      <c r="N291" s="3" t="b">
        <f t="shared" si="1"/>
        <v>0</v>
      </c>
      <c r="O291" s="23" t="str">
        <f>IFERROR(VLOOKUP(A291, '2023 Full View'!$1:$1000, 1, FALSE), "")</f>
        <v/>
      </c>
      <c r="P291" s="3" t="str">
        <f ca="1">IFERROR(__xludf.DUMMYFUNCTION("iferror(TEXTJOIN("", "",TRUE, FILTER($B$1:$E$1,B291:E291&lt;&gt;"""")),"""")"),"Jamie")</f>
        <v>Jamie</v>
      </c>
    </row>
    <row r="292" spans="1:16" ht="13">
      <c r="A292" s="33" t="s">
        <v>1878</v>
      </c>
      <c r="B292" s="33">
        <v>77</v>
      </c>
      <c r="C292" s="33"/>
      <c r="D292" s="33"/>
      <c r="E292" s="33"/>
      <c r="F292" s="33"/>
      <c r="G292" s="33">
        <v>183160</v>
      </c>
      <c r="H292" s="43">
        <v>43252</v>
      </c>
      <c r="I292" s="33">
        <v>73</v>
      </c>
      <c r="J292" s="33" t="s">
        <v>748</v>
      </c>
      <c r="K292" s="33" t="s">
        <v>482</v>
      </c>
      <c r="L292" s="33" t="s">
        <v>749</v>
      </c>
      <c r="N292" s="3" t="b">
        <f t="shared" si="1"/>
        <v>0</v>
      </c>
      <c r="O292" s="23" t="str">
        <f>IFERROR(VLOOKUP(A292, '2023 Full View'!$1:$1000, 1, FALSE), "")</f>
        <v/>
      </c>
      <c r="P292" s="3" t="str">
        <f ca="1">IFERROR(__xludf.DUMMYFUNCTION("iferror(TEXTJOIN("", "",TRUE, FILTER($B$1:$E$1,B292:E292&lt;&gt;"""")),"""")"),"Jamie")</f>
        <v>Jamie</v>
      </c>
    </row>
    <row r="293" spans="1:16" ht="13">
      <c r="A293" s="33" t="s">
        <v>1831</v>
      </c>
      <c r="B293" s="33"/>
      <c r="C293" s="33"/>
      <c r="D293" s="33">
        <v>89</v>
      </c>
      <c r="E293" s="33"/>
      <c r="F293" s="33" t="s">
        <v>575</v>
      </c>
      <c r="G293" s="33">
        <v>271386</v>
      </c>
      <c r="H293" s="43">
        <v>43252</v>
      </c>
      <c r="I293" s="33">
        <v>74</v>
      </c>
      <c r="J293" s="33" t="s">
        <v>746</v>
      </c>
      <c r="K293" s="33" t="s">
        <v>370</v>
      </c>
      <c r="L293" s="33" t="s">
        <v>747</v>
      </c>
      <c r="N293" s="3" t="b">
        <f t="shared" si="1"/>
        <v>0</v>
      </c>
      <c r="O293" s="23" t="str">
        <f>IFERROR(VLOOKUP(A293, '2023 Full View'!$1:$1000, 1, FALSE), "")</f>
        <v/>
      </c>
      <c r="P293" s="3" t="str">
        <f ca="1">IFERROR(__xludf.DUMMYFUNCTION("iferror(TEXTJOIN("", "",TRUE, FILTER($B$1:$E$1,B293:E293&lt;&gt;"""")),"""")"),"Zach")</f>
        <v>Zach</v>
      </c>
    </row>
    <row r="294" spans="1:16" ht="13">
      <c r="A294" s="33" t="s">
        <v>1798</v>
      </c>
      <c r="B294" s="33">
        <v>96</v>
      </c>
      <c r="C294" s="33"/>
      <c r="D294" s="33"/>
      <c r="E294" s="33"/>
      <c r="F294" s="33" t="s">
        <v>368</v>
      </c>
      <c r="G294" s="33">
        <v>213817</v>
      </c>
      <c r="H294" s="43">
        <v>45125</v>
      </c>
      <c r="I294" s="33">
        <v>74</v>
      </c>
      <c r="J294" s="33" t="s">
        <v>920</v>
      </c>
      <c r="K294" s="33" t="s">
        <v>471</v>
      </c>
      <c r="L294" s="33" t="s">
        <v>873</v>
      </c>
      <c r="N294" s="3" t="b">
        <f t="shared" si="1"/>
        <v>0</v>
      </c>
      <c r="O294" s="23" t="str">
        <f>IFERROR(VLOOKUP(A294, '2023 Full View'!$1:$1000, 1, FALSE), "")</f>
        <v>Dial Drunk (with Post Malone)Noah Kahan</v>
      </c>
      <c r="P294" s="3" t="str">
        <f ca="1">IFERROR(__xludf.DUMMYFUNCTION("iferror(TEXTJOIN("", "",TRUE, FILTER($B$1:$E$1,B294:E294&lt;&gt;"""")),"""")"),"Bryce")</f>
        <v>Bryce</v>
      </c>
    </row>
    <row r="295" spans="1:16" ht="13">
      <c r="A295" s="33" t="s">
        <v>1868</v>
      </c>
      <c r="B295" s="33"/>
      <c r="C295" s="33"/>
      <c r="D295" s="33">
        <v>80</v>
      </c>
      <c r="E295" s="33"/>
      <c r="F295" s="33"/>
      <c r="G295" s="33">
        <v>142786</v>
      </c>
      <c r="H295" s="43">
        <v>27973</v>
      </c>
      <c r="I295" s="33">
        <v>74</v>
      </c>
      <c r="J295" s="33" t="s">
        <v>640</v>
      </c>
      <c r="K295" s="33" t="s">
        <v>551</v>
      </c>
      <c r="L295" s="33" t="s">
        <v>641</v>
      </c>
      <c r="N295" s="3" t="b">
        <f t="shared" si="1"/>
        <v>0</v>
      </c>
      <c r="O295" s="23" t="str">
        <f>IFERROR(VLOOKUP(A295, '2023 Full View'!$1:$1000, 1, FALSE), "")</f>
        <v/>
      </c>
      <c r="P295" s="3" t="str">
        <f ca="1">IFERROR(__xludf.DUMMYFUNCTION("iferror(TEXTJOIN("", "",TRUE, FILTER($B$1:$E$1,B295:E295&lt;&gt;"""")),"""")"),"Zach")</f>
        <v>Zach</v>
      </c>
    </row>
    <row r="296" spans="1:16" ht="13">
      <c r="A296" s="33" t="s">
        <v>1939</v>
      </c>
      <c r="B296" s="33"/>
      <c r="C296" s="33">
        <v>62</v>
      </c>
      <c r="D296" s="33"/>
      <c r="E296" s="33"/>
      <c r="F296" s="33"/>
      <c r="G296" s="33">
        <v>258773</v>
      </c>
      <c r="H296" s="43">
        <v>34700</v>
      </c>
      <c r="I296" s="33">
        <v>74</v>
      </c>
      <c r="J296" s="33" t="s">
        <v>602</v>
      </c>
      <c r="K296" s="33" t="s">
        <v>401</v>
      </c>
      <c r="L296" s="33" t="s">
        <v>603</v>
      </c>
      <c r="N296" s="3" t="b">
        <f t="shared" si="1"/>
        <v>0</v>
      </c>
      <c r="O296" s="23" t="str">
        <f>IFERROR(VLOOKUP(A296, '2023 Full View'!$1:$1000, 1, FALSE), "")</f>
        <v/>
      </c>
      <c r="P296" s="3" t="str">
        <f ca="1">IFERROR(__xludf.DUMMYFUNCTION("iferror(TEXTJOIN("", "",TRUE, FILTER($B$1:$E$1,B296:E296&lt;&gt;"""")),"""")"),"Zach, Bryce")</f>
        <v>Zach, Bryce</v>
      </c>
    </row>
    <row r="297" spans="1:16" ht="13">
      <c r="A297" s="33" t="s">
        <v>2023</v>
      </c>
      <c r="B297" s="33">
        <v>12</v>
      </c>
      <c r="C297" s="33"/>
      <c r="D297" s="33">
        <v>40</v>
      </c>
      <c r="E297" s="33"/>
      <c r="F297" s="33"/>
      <c r="G297" s="33">
        <v>251424</v>
      </c>
      <c r="H297" s="43">
        <v>45373</v>
      </c>
      <c r="I297" s="33">
        <v>74</v>
      </c>
      <c r="J297" s="33" t="s">
        <v>2519</v>
      </c>
      <c r="K297" s="33" t="s">
        <v>519</v>
      </c>
      <c r="L297" s="33" t="s">
        <v>1009</v>
      </c>
      <c r="N297" s="3" t="b">
        <f t="shared" si="1"/>
        <v>1</v>
      </c>
      <c r="O297" s="23" t="str">
        <f>IFERROR(VLOOKUP(A297, '2023 Full View'!$1:$1000, 1, FALSE), "")</f>
        <v/>
      </c>
      <c r="P297" s="3" t="str">
        <f ca="1">IFERROR(__xludf.DUMMYFUNCTION("iferror(TEXTJOIN("", "",TRUE, FILTER($B$1:$E$1,B297:E297&lt;&gt;"""")),"""")"),"Maggie")</f>
        <v>Maggie</v>
      </c>
    </row>
    <row r="298" spans="1:16" ht="13">
      <c r="A298" s="33" t="s">
        <v>2059</v>
      </c>
      <c r="B298" s="33"/>
      <c r="C298" s="33">
        <v>31</v>
      </c>
      <c r="D298" s="33"/>
      <c r="E298" s="33"/>
      <c r="F298" s="33"/>
      <c r="G298" s="33">
        <v>316733</v>
      </c>
      <c r="H298" s="43">
        <v>36161</v>
      </c>
      <c r="I298" s="33">
        <v>74</v>
      </c>
      <c r="J298" s="33" t="s">
        <v>2517</v>
      </c>
      <c r="K298" s="33" t="s">
        <v>434</v>
      </c>
      <c r="L298" s="33" t="s">
        <v>656</v>
      </c>
      <c r="N298" s="3" t="b">
        <f t="shared" si="1"/>
        <v>0</v>
      </c>
      <c r="O298" s="23" t="str">
        <f>IFERROR(VLOOKUP(A298, '2023 Full View'!$1:$1000, 1, FALSE), "")</f>
        <v/>
      </c>
      <c r="P298" s="3" t="str">
        <f ca="1">IFERROR(__xludf.DUMMYFUNCTION("iferror(TEXTJOIN("", "",TRUE, FILTER($B$1:$E$1,B298:E298&lt;&gt;"""")),"""")"),"Zach, Maggie")</f>
        <v>Zach, Maggie</v>
      </c>
    </row>
    <row r="299" spans="1:16" ht="13">
      <c r="A299" s="33" t="s">
        <v>2111</v>
      </c>
      <c r="B299" s="33"/>
      <c r="C299" s="33"/>
      <c r="D299" s="33"/>
      <c r="E299" s="33">
        <v>18</v>
      </c>
      <c r="F299" s="33"/>
      <c r="G299" s="33">
        <v>242973</v>
      </c>
      <c r="H299" s="43">
        <v>40567</v>
      </c>
      <c r="I299" s="33">
        <v>74</v>
      </c>
      <c r="J299" s="33">
        <v>21</v>
      </c>
      <c r="K299" s="33" t="s">
        <v>485</v>
      </c>
      <c r="L299" s="33" t="s">
        <v>694</v>
      </c>
      <c r="N299" s="3" t="b">
        <f t="shared" si="1"/>
        <v>0</v>
      </c>
      <c r="O299" s="23" t="str">
        <f>IFERROR(VLOOKUP(A299, '2023 Full View'!$1:$1000, 1, FALSE), "")</f>
        <v/>
      </c>
      <c r="P299" s="3" t="str">
        <f ca="1">IFERROR(__xludf.DUMMYFUNCTION("iferror(TEXTJOIN("", "",TRUE, FILTER($B$1:$E$1,B299:E299&lt;&gt;"""")),"""")"),"Zach")</f>
        <v>Zach</v>
      </c>
    </row>
    <row r="300" spans="1:16" ht="13">
      <c r="A300" s="33" t="s">
        <v>1960</v>
      </c>
      <c r="B300" s="33"/>
      <c r="C300" s="33"/>
      <c r="D300" s="33">
        <v>57</v>
      </c>
      <c r="E300" s="33">
        <v>26</v>
      </c>
      <c r="F300" s="33" t="s">
        <v>438</v>
      </c>
      <c r="G300" s="33">
        <v>242666</v>
      </c>
      <c r="H300" s="43">
        <v>45463</v>
      </c>
      <c r="I300" s="33">
        <v>75</v>
      </c>
      <c r="J300" s="33" t="s">
        <v>1029</v>
      </c>
      <c r="K300" s="33" t="s">
        <v>352</v>
      </c>
      <c r="L300" s="33" t="s">
        <v>991</v>
      </c>
      <c r="N300" s="3" t="b">
        <f t="shared" si="1"/>
        <v>1</v>
      </c>
      <c r="O300" s="23" t="str">
        <f>IFERROR(VLOOKUP(A300, '2023 Full View'!$1:$1000, 1, FALSE), "")</f>
        <v/>
      </c>
      <c r="P300" s="3" t="str">
        <f ca="1">IFERROR(__xludf.DUMMYFUNCTION("iferror(TEXTJOIN("", "",TRUE, FILTER($B$1:$E$1,B300:E300&lt;&gt;"""")),"""")"),"Bryce")</f>
        <v>Bryce</v>
      </c>
    </row>
    <row r="301" spans="1:16" ht="13">
      <c r="A301" s="33" t="s">
        <v>1832</v>
      </c>
      <c r="B301" s="33"/>
      <c r="C301" s="33"/>
      <c r="D301" s="33">
        <v>69</v>
      </c>
      <c r="E301" s="33">
        <v>89</v>
      </c>
      <c r="F301" s="33"/>
      <c r="G301" s="33">
        <v>208760</v>
      </c>
      <c r="H301" s="43">
        <v>41555</v>
      </c>
      <c r="I301" s="33">
        <v>75</v>
      </c>
      <c r="J301" s="33" t="s">
        <v>706</v>
      </c>
      <c r="K301" s="33" t="s">
        <v>498</v>
      </c>
      <c r="L301" s="33" t="s">
        <v>707</v>
      </c>
      <c r="N301" s="3" t="b">
        <f t="shared" si="1"/>
        <v>1</v>
      </c>
      <c r="O301" s="23" t="str">
        <f>IFERROR(VLOOKUP(A301, '2023 Full View'!$1:$1000, 1, FALSE), "")</f>
        <v/>
      </c>
      <c r="P301" s="3" t="str">
        <f ca="1">IFERROR(__xludf.DUMMYFUNCTION("iferror(TEXTJOIN("", "",TRUE, FILTER($B$1:$E$1,B301:E301&lt;&gt;"""")),"""")"),"Zach")</f>
        <v>Zach</v>
      </c>
    </row>
    <row r="302" spans="1:16" ht="13">
      <c r="A302" s="33" t="s">
        <v>1909</v>
      </c>
      <c r="B302" s="33"/>
      <c r="C302" s="33"/>
      <c r="D302" s="33">
        <v>70</v>
      </c>
      <c r="E302" s="33"/>
      <c r="F302" s="33"/>
      <c r="G302" s="33">
        <v>182746</v>
      </c>
      <c r="H302" s="43">
        <v>35276</v>
      </c>
      <c r="I302" s="33">
        <v>75</v>
      </c>
      <c r="J302" s="33" t="s">
        <v>2520</v>
      </c>
      <c r="K302" s="33" t="s">
        <v>563</v>
      </c>
      <c r="L302" s="33" t="s">
        <v>653</v>
      </c>
      <c r="N302" s="3" t="b">
        <f t="shared" si="1"/>
        <v>0</v>
      </c>
      <c r="O302" s="23" t="str">
        <f>IFERROR(VLOOKUP(A302, '2023 Full View'!$1:$1000, 1, FALSE), "")</f>
        <v/>
      </c>
      <c r="P302" s="3" t="str">
        <f ca="1">IFERROR(__xludf.DUMMYFUNCTION("iferror(TEXTJOIN("", "",TRUE, FILTER($B$1:$E$1,B302:E302&lt;&gt;"""")),"""")"),"Zach")</f>
        <v>Zach</v>
      </c>
    </row>
    <row r="303" spans="1:16" ht="13">
      <c r="A303" s="33" t="s">
        <v>1969</v>
      </c>
      <c r="B303" s="33">
        <v>54</v>
      </c>
      <c r="C303" s="33"/>
      <c r="D303" s="33"/>
      <c r="E303" s="33"/>
      <c r="F303" s="33"/>
      <c r="G303" s="33">
        <v>163854</v>
      </c>
      <c r="H303" s="43">
        <v>44957</v>
      </c>
      <c r="I303" s="33">
        <v>75</v>
      </c>
      <c r="J303" s="33" t="s">
        <v>843</v>
      </c>
      <c r="K303" s="33" t="s">
        <v>429</v>
      </c>
      <c r="L303" s="33" t="s">
        <v>845</v>
      </c>
      <c r="N303" s="3" t="b">
        <f t="shared" si="1"/>
        <v>0</v>
      </c>
      <c r="O303" s="23" t="str">
        <f>IFERROR(VLOOKUP(A303, '2023 Full View'!$1:$1000, 1, FALSE), "")</f>
        <v>Last NightMorgan Wallen</v>
      </c>
      <c r="P303" s="3" t="str">
        <f ca="1">IFERROR(__xludf.DUMMYFUNCTION("iferror(TEXTJOIN("", "",TRUE, FILTER($B$1:$E$1,B303:E303&lt;&gt;"""")),"""")"),"Zach")</f>
        <v>Zach</v>
      </c>
    </row>
    <row r="304" spans="1:16" ht="13">
      <c r="A304" s="33" t="s">
        <v>1827</v>
      </c>
      <c r="B304" s="33"/>
      <c r="C304" s="33"/>
      <c r="D304" s="33">
        <v>90</v>
      </c>
      <c r="E304" s="33"/>
      <c r="F304" s="33" t="s">
        <v>495</v>
      </c>
      <c r="G304" s="33">
        <v>219413</v>
      </c>
      <c r="H304" s="43">
        <v>39188</v>
      </c>
      <c r="I304" s="33">
        <v>76</v>
      </c>
      <c r="J304" s="33" t="s">
        <v>675</v>
      </c>
      <c r="K304" s="33" t="s">
        <v>537</v>
      </c>
      <c r="L304" s="33" t="s">
        <v>676</v>
      </c>
      <c r="N304" s="3" t="b">
        <f t="shared" si="1"/>
        <v>0</v>
      </c>
      <c r="O304" s="23" t="str">
        <f>IFERROR(VLOOKUP(A304, '2023 Full View'!$1:$1000, 1, FALSE), "")</f>
        <v/>
      </c>
      <c r="P304" s="3" t="str">
        <f ca="1">IFERROR(__xludf.DUMMYFUNCTION("iferror(TEXTJOIN("", "",TRUE, FILTER($B$1:$E$1,B304:E304&lt;&gt;"""")),"""")"),"Zach")</f>
        <v>Zach</v>
      </c>
    </row>
    <row r="305" spans="1:16" ht="13">
      <c r="A305" s="33" t="s">
        <v>2058</v>
      </c>
      <c r="B305" s="33">
        <v>31</v>
      </c>
      <c r="C305" s="33"/>
      <c r="D305" s="33"/>
      <c r="E305" s="33"/>
      <c r="F305" s="33" t="s">
        <v>476</v>
      </c>
      <c r="G305" s="33">
        <v>168355</v>
      </c>
      <c r="H305" s="43">
        <v>45415</v>
      </c>
      <c r="I305" s="33">
        <v>76</v>
      </c>
      <c r="J305" s="33" t="s">
        <v>2498</v>
      </c>
      <c r="K305" s="33" t="s">
        <v>450</v>
      </c>
      <c r="L305" s="33" t="s">
        <v>966</v>
      </c>
      <c r="N305" s="3" t="b">
        <f t="shared" si="1"/>
        <v>0</v>
      </c>
      <c r="O305" s="23" t="str">
        <f>IFERROR(VLOOKUP(A305, '2023 Full View'!$1:$1000, 1, FALSE), "")</f>
        <v/>
      </c>
      <c r="P305" s="3" t="str">
        <f ca="1">IFERROR(__xludf.DUMMYFUNCTION("iferror(TEXTJOIN("", "",TRUE, FILTER($B$1:$E$1,B305:E305&lt;&gt;"""")),"""")"),"Zach")</f>
        <v>Zach</v>
      </c>
    </row>
    <row r="306" spans="1:16" ht="13">
      <c r="A306" s="33" t="s">
        <v>1815</v>
      </c>
      <c r="B306" s="33"/>
      <c r="C306" s="33">
        <v>92</v>
      </c>
      <c r="D306" s="33"/>
      <c r="E306" s="33"/>
      <c r="F306" s="33"/>
      <c r="G306" s="33">
        <v>236933</v>
      </c>
      <c r="H306" s="43">
        <v>31413</v>
      </c>
      <c r="I306" s="33">
        <v>76</v>
      </c>
      <c r="J306" s="33" t="s">
        <v>2521</v>
      </c>
      <c r="K306" s="33" t="s">
        <v>397</v>
      </c>
      <c r="L306" s="33" t="s">
        <v>648</v>
      </c>
      <c r="N306" s="3" t="b">
        <f t="shared" si="1"/>
        <v>0</v>
      </c>
      <c r="O306" s="23" t="str">
        <f>IFERROR(VLOOKUP(A306, '2023 Full View'!$1:$1000, 1, FALSE), "")</f>
        <v/>
      </c>
      <c r="P306" s="3" t="str">
        <f ca="1">IFERROR(__xludf.DUMMYFUNCTION("iferror(TEXTJOIN("", "",TRUE, FILTER($B$1:$E$1,B306:E306&lt;&gt;"""")),"""")"),"Maggie")</f>
        <v>Maggie</v>
      </c>
    </row>
    <row r="307" spans="1:16" ht="13">
      <c r="A307" s="33" t="s">
        <v>1927</v>
      </c>
      <c r="B307" s="33">
        <v>65</v>
      </c>
      <c r="C307" s="33">
        <v>49</v>
      </c>
      <c r="D307" s="33"/>
      <c r="E307" s="33">
        <v>46</v>
      </c>
      <c r="F307" s="33"/>
      <c r="G307" s="33">
        <v>191586</v>
      </c>
      <c r="H307" s="43">
        <v>45463</v>
      </c>
      <c r="I307" s="33">
        <v>76</v>
      </c>
      <c r="J307" s="33" t="s">
        <v>1029</v>
      </c>
      <c r="K307" s="33" t="s">
        <v>352</v>
      </c>
      <c r="L307" s="33" t="s">
        <v>988</v>
      </c>
      <c r="N307" s="3" t="b">
        <f t="shared" si="1"/>
        <v>1</v>
      </c>
      <c r="O307" s="23" t="str">
        <f>IFERROR(VLOOKUP(A307, '2023 Full View'!$1:$1000, 1, FALSE), "")</f>
        <v/>
      </c>
      <c r="P307" s="3" t="str">
        <f ca="1">IFERROR(__xludf.DUMMYFUNCTION("iferror(TEXTJOIN("", "",TRUE, FILTER($B$1:$E$1,B307:E307&lt;&gt;"""")),"""")"),"Zach, Maggie, Jamie")</f>
        <v>Zach, Maggie, Jamie</v>
      </c>
    </row>
    <row r="308" spans="1:16" ht="13">
      <c r="A308" s="33" t="s">
        <v>2068</v>
      </c>
      <c r="B308" s="33"/>
      <c r="C308" s="33"/>
      <c r="D308" s="33">
        <v>29</v>
      </c>
      <c r="E308" s="33"/>
      <c r="F308" s="33"/>
      <c r="G308" s="33">
        <v>252306</v>
      </c>
      <c r="H308" s="43">
        <v>42342</v>
      </c>
      <c r="I308" s="33">
        <v>76</v>
      </c>
      <c r="J308" s="33" t="s">
        <v>736</v>
      </c>
      <c r="K308" s="33" t="s">
        <v>531</v>
      </c>
      <c r="L308" s="33" t="s">
        <v>737</v>
      </c>
      <c r="N308" s="3" t="b">
        <f t="shared" si="1"/>
        <v>0</v>
      </c>
      <c r="O308" s="23" t="str">
        <f>IFERROR(VLOOKUP(A308, '2023 Full View'!$1:$1000, 1, FALSE), "")</f>
        <v/>
      </c>
      <c r="P308" s="3" t="str">
        <f ca="1">IFERROR(__xludf.DUMMYFUNCTION("iferror(TEXTJOIN("", "",TRUE, FILTER($B$1:$E$1,B308:E308&lt;&gt;"""")),"""")"),"Jamie")</f>
        <v>Jamie</v>
      </c>
    </row>
    <row r="309" spans="1:16" ht="13">
      <c r="A309" s="33" t="s">
        <v>2089</v>
      </c>
      <c r="B309" s="33">
        <v>23</v>
      </c>
      <c r="C309" s="33"/>
      <c r="D309" s="33"/>
      <c r="E309" s="33"/>
      <c r="F309" s="33"/>
      <c r="G309" s="33">
        <v>198068</v>
      </c>
      <c r="H309" s="43">
        <v>45478</v>
      </c>
      <c r="I309" s="33">
        <v>76</v>
      </c>
      <c r="J309" s="33"/>
      <c r="K309" s="33" t="s">
        <v>429</v>
      </c>
      <c r="L309" s="33" t="s">
        <v>996</v>
      </c>
      <c r="N309" s="3" t="b">
        <f t="shared" si="1"/>
        <v>0</v>
      </c>
      <c r="O309" s="23" t="str">
        <f>IFERROR(VLOOKUP(A309, '2023 Full View'!$1:$1000, 1, FALSE), "")</f>
        <v/>
      </c>
      <c r="P309" s="3" t="str">
        <f ca="1">IFERROR(__xludf.DUMMYFUNCTION("iferror(TEXTJOIN("", "",TRUE, FILTER($B$1:$E$1,B309:E309&lt;&gt;"""")),"""")"),"Bryce")</f>
        <v>Bryce</v>
      </c>
    </row>
    <row r="310" spans="1:16" ht="13">
      <c r="A310" s="33" t="s">
        <v>2132</v>
      </c>
      <c r="B310" s="33"/>
      <c r="C310" s="33"/>
      <c r="D310" s="33">
        <v>13</v>
      </c>
      <c r="E310" s="33"/>
      <c r="F310" s="33"/>
      <c r="G310" s="33">
        <v>230013</v>
      </c>
      <c r="H310" s="43">
        <v>36892</v>
      </c>
      <c r="I310" s="33">
        <v>76</v>
      </c>
      <c r="J310" s="33" t="s">
        <v>1771</v>
      </c>
      <c r="K310" s="33" t="s">
        <v>1772</v>
      </c>
      <c r="L310" s="33" t="s">
        <v>1773</v>
      </c>
      <c r="N310" s="3" t="b">
        <f t="shared" si="1"/>
        <v>0</v>
      </c>
      <c r="O310" s="23" t="str">
        <f>IFERROR(VLOOKUP(A310, '2023 Full View'!$1:$1000, 1, FALSE), "")</f>
        <v/>
      </c>
      <c r="P310" s="3" t="str">
        <f ca="1">IFERROR(__xludf.DUMMYFUNCTION("iferror(TEXTJOIN("", "",TRUE, FILTER($B$1:$E$1,B310:E310&lt;&gt;"""")),"""")"),"Jamie")</f>
        <v>Jamie</v>
      </c>
    </row>
    <row r="311" spans="1:16" ht="13">
      <c r="A311" s="33" t="s">
        <v>1796</v>
      </c>
      <c r="B311" s="33"/>
      <c r="C311" s="33"/>
      <c r="D311" s="33">
        <v>97</v>
      </c>
      <c r="E311" s="33"/>
      <c r="F311" s="33"/>
      <c r="G311" s="33">
        <v>237000</v>
      </c>
      <c r="H311" s="43">
        <v>29382</v>
      </c>
      <c r="I311" s="33">
        <v>77</v>
      </c>
      <c r="J311" s="33" t="s">
        <v>2522</v>
      </c>
      <c r="K311" s="33" t="s">
        <v>524</v>
      </c>
      <c r="L311" s="33" t="s">
        <v>645</v>
      </c>
      <c r="N311" s="3" t="b">
        <f t="shared" si="1"/>
        <v>0</v>
      </c>
      <c r="O311" s="23" t="str">
        <f>IFERROR(VLOOKUP(A311, '2023 Full View'!$1:$1000, 1, FALSE), "")</f>
        <v/>
      </c>
      <c r="P311" s="3" t="str">
        <f ca="1">IFERROR(__xludf.DUMMYFUNCTION("iferror(TEXTJOIN("", "",TRUE, FILTER($B$1:$E$1,B311:E311&lt;&gt;"""")),"""")"),"Bryce")</f>
        <v>Bryce</v>
      </c>
    </row>
    <row r="312" spans="1:16" ht="13">
      <c r="A312" s="33" t="s">
        <v>1900</v>
      </c>
      <c r="B312" s="33"/>
      <c r="C312" s="33">
        <v>72</v>
      </c>
      <c r="D312" s="33"/>
      <c r="E312" s="33"/>
      <c r="F312" s="33"/>
      <c r="G312" s="33">
        <v>238240</v>
      </c>
      <c r="H312" s="43">
        <v>36892</v>
      </c>
      <c r="I312" s="33">
        <v>77</v>
      </c>
      <c r="J312" s="33" t="s">
        <v>2517</v>
      </c>
      <c r="K312" s="33" t="s">
        <v>434</v>
      </c>
      <c r="L312" s="33" t="s">
        <v>663</v>
      </c>
      <c r="N312" s="3" t="b">
        <f t="shared" si="1"/>
        <v>0</v>
      </c>
      <c r="O312" s="23" t="str">
        <f>IFERROR(VLOOKUP(A312, '2023 Full View'!$1:$1000, 1, FALSE), "")</f>
        <v/>
      </c>
      <c r="P312" s="3" t="str">
        <f ca="1">IFERROR(__xludf.DUMMYFUNCTION("iferror(TEXTJOIN("", "",TRUE, FILTER($B$1:$E$1,B312:E312&lt;&gt;"""")),"""")"),"Jamie")</f>
        <v>Jamie</v>
      </c>
    </row>
    <row r="313" spans="1:16" ht="13">
      <c r="A313" s="33" t="s">
        <v>2069</v>
      </c>
      <c r="B313" s="33"/>
      <c r="C313" s="33"/>
      <c r="D313" s="33"/>
      <c r="E313" s="33">
        <v>29</v>
      </c>
      <c r="F313" s="33"/>
      <c r="G313" s="33">
        <v>286369</v>
      </c>
      <c r="H313" s="43">
        <v>45086</v>
      </c>
      <c r="I313" s="33">
        <v>77</v>
      </c>
      <c r="J313" s="33" t="s">
        <v>920</v>
      </c>
      <c r="K313" s="33" t="s">
        <v>471</v>
      </c>
      <c r="L313" s="33" t="s">
        <v>865</v>
      </c>
      <c r="N313" s="3" t="b">
        <f t="shared" si="1"/>
        <v>0</v>
      </c>
      <c r="O313" s="23" t="str">
        <f>IFERROR(VLOOKUP(A313, '2023 Full View'!$1:$1000, 1, FALSE), "")</f>
        <v/>
      </c>
      <c r="P313" s="3" t="str">
        <f ca="1">IFERROR(__xludf.DUMMYFUNCTION("iferror(TEXTJOIN("", "",TRUE, FILTER($B$1:$E$1,B313:E313&lt;&gt;"""")),"""")"),"Zach, Jamie")</f>
        <v>Zach, Jamie</v>
      </c>
    </row>
    <row r="314" spans="1:16" ht="13">
      <c r="A314" s="33" t="s">
        <v>1814</v>
      </c>
      <c r="B314" s="33">
        <v>92</v>
      </c>
      <c r="C314" s="33"/>
      <c r="D314" s="33"/>
      <c r="E314" s="33"/>
      <c r="F314" s="33"/>
      <c r="G314" s="33">
        <v>186191</v>
      </c>
      <c r="H314" s="43">
        <v>45344</v>
      </c>
      <c r="I314" s="33">
        <v>78</v>
      </c>
      <c r="J314" s="33" t="s">
        <v>1036</v>
      </c>
      <c r="K314" s="33" t="s">
        <v>442</v>
      </c>
      <c r="L314" s="33" t="s">
        <v>1037</v>
      </c>
      <c r="N314" s="3" t="b">
        <f t="shared" si="1"/>
        <v>0</v>
      </c>
      <c r="O314" s="23" t="str">
        <f>IFERROR(VLOOKUP(A314, '2023 Full View'!$1:$1000, 1, FALSE), "")</f>
        <v/>
      </c>
      <c r="P314" s="3" t="str">
        <f ca="1">IFERROR(__xludf.DUMMYFUNCTION("iferror(TEXTJOIN("", "",TRUE, FILTER($B$1:$E$1,B314:E314&lt;&gt;"""")),"""")"),"Zach")</f>
        <v>Zach</v>
      </c>
    </row>
    <row r="315" spans="1:16" ht="13">
      <c r="A315" s="33" t="s">
        <v>1907</v>
      </c>
      <c r="B315" s="33">
        <v>70</v>
      </c>
      <c r="C315" s="33"/>
      <c r="D315" s="33"/>
      <c r="E315" s="33"/>
      <c r="F315" s="33"/>
      <c r="G315" s="33">
        <v>190427</v>
      </c>
      <c r="H315" s="43">
        <v>45540</v>
      </c>
      <c r="I315" s="33">
        <v>78</v>
      </c>
      <c r="J315" s="33" t="s">
        <v>1034</v>
      </c>
      <c r="K315" s="33" t="s">
        <v>472</v>
      </c>
      <c r="L315" s="33" t="s">
        <v>1035</v>
      </c>
      <c r="N315" s="3" t="b">
        <f t="shared" si="1"/>
        <v>0</v>
      </c>
      <c r="O315" s="23" t="str">
        <f>IFERROR(VLOOKUP(A315, '2023 Full View'!$1:$1000, 1, FALSE), "")</f>
        <v/>
      </c>
      <c r="P315" s="3" t="str">
        <f ca="1">IFERROR(__xludf.DUMMYFUNCTION("iferror(TEXTJOIN("", "",TRUE, FILTER($B$1:$E$1,B315:E315&lt;&gt;"""")),"""")"),"Bryce")</f>
        <v>Bryce</v>
      </c>
    </row>
    <row r="316" spans="1:16" ht="13">
      <c r="A316" s="33" t="s">
        <v>1929</v>
      </c>
      <c r="B316" s="33"/>
      <c r="C316" s="33"/>
      <c r="D316" s="33">
        <v>65</v>
      </c>
      <c r="E316" s="33"/>
      <c r="F316" s="33"/>
      <c r="G316" s="33">
        <v>261922</v>
      </c>
      <c r="H316" s="43">
        <v>44036</v>
      </c>
      <c r="I316" s="33">
        <v>78</v>
      </c>
      <c r="J316" s="33" t="s">
        <v>2523</v>
      </c>
      <c r="K316" s="33" t="s">
        <v>438</v>
      </c>
      <c r="L316" s="33" t="s">
        <v>774</v>
      </c>
      <c r="N316" s="3" t="b">
        <f t="shared" si="1"/>
        <v>0</v>
      </c>
      <c r="O316" s="23" t="str">
        <f>IFERROR(VLOOKUP(A316, '2023 Full View'!$1:$1000, 1, FALSE), "")</f>
        <v>augustTaylor Swift</v>
      </c>
      <c r="P316" s="3" t="str">
        <f ca="1">IFERROR(__xludf.DUMMYFUNCTION("iferror(TEXTJOIN("", "",TRUE, FILTER($B$1:$E$1,B316:E316&lt;&gt;"""")),"""")"),"Zach")</f>
        <v>Zach</v>
      </c>
    </row>
    <row r="317" spans="1:16" ht="13">
      <c r="A317" s="33" t="s">
        <v>1958</v>
      </c>
      <c r="B317" s="33">
        <v>57</v>
      </c>
      <c r="C317" s="33"/>
      <c r="D317" s="33"/>
      <c r="E317" s="33"/>
      <c r="F317" s="33"/>
      <c r="G317" s="33">
        <v>210950</v>
      </c>
      <c r="H317" s="43">
        <v>45428</v>
      </c>
      <c r="I317" s="33">
        <v>78</v>
      </c>
      <c r="J317" s="33"/>
      <c r="K317" s="33" t="s">
        <v>482</v>
      </c>
      <c r="L317" s="33" t="s">
        <v>971</v>
      </c>
      <c r="N317" s="3" t="b">
        <f t="shared" si="1"/>
        <v>0</v>
      </c>
      <c r="O317" s="23" t="str">
        <f>IFERROR(VLOOKUP(A317, '2023 Full View'!$1:$1000, 1, FALSE), "")</f>
        <v/>
      </c>
      <c r="P317" s="3" t="str">
        <f ca="1">IFERROR(__xludf.DUMMYFUNCTION("iferror(TEXTJOIN("", "",TRUE, FILTER($B$1:$E$1,B317:E317&lt;&gt;"""")),"""")"),"Bryce")</f>
        <v>Bryce</v>
      </c>
    </row>
    <row r="318" spans="1:16" ht="13">
      <c r="A318" s="33" t="s">
        <v>1973</v>
      </c>
      <c r="B318" s="33">
        <v>53</v>
      </c>
      <c r="C318" s="33"/>
      <c r="D318" s="33"/>
      <c r="E318" s="33"/>
      <c r="F318" s="33"/>
      <c r="G318" s="33">
        <v>265493</v>
      </c>
      <c r="H318" s="43">
        <v>45009</v>
      </c>
      <c r="I318" s="33">
        <v>78</v>
      </c>
      <c r="J318" s="33" t="s">
        <v>850</v>
      </c>
      <c r="K318" s="33" t="s">
        <v>482</v>
      </c>
      <c r="L318" s="33" t="s">
        <v>855</v>
      </c>
      <c r="N318" s="3" t="b">
        <f t="shared" si="1"/>
        <v>0</v>
      </c>
      <c r="O318" s="23" t="str">
        <f>IFERROR(VLOOKUP(A318, '2023 Full View'!$1:$1000, 1, FALSE), "")</f>
        <v>Fast CarLuke Combs</v>
      </c>
      <c r="P318" s="3" t="str">
        <f ca="1">IFERROR(__xludf.DUMMYFUNCTION("iferror(TEXTJOIN("", "",TRUE, FILTER($B$1:$E$1,B318:E318&lt;&gt;"""")),"""")"),"Zach")</f>
        <v>Zach</v>
      </c>
    </row>
    <row r="319" spans="1:16" ht="13">
      <c r="A319" s="33" t="s">
        <v>2140</v>
      </c>
      <c r="B319" s="33"/>
      <c r="C319" s="33"/>
      <c r="D319" s="33">
        <v>10</v>
      </c>
      <c r="E319" s="33"/>
      <c r="F319" s="33"/>
      <c r="G319" s="33">
        <v>151739</v>
      </c>
      <c r="H319" s="43">
        <v>45450</v>
      </c>
      <c r="I319" s="33">
        <v>78</v>
      </c>
      <c r="J319" s="33" t="s">
        <v>2524</v>
      </c>
      <c r="K319" s="33" t="s">
        <v>2113</v>
      </c>
      <c r="L319" s="33" t="s">
        <v>2114</v>
      </c>
      <c r="N319" s="3" t="b">
        <f t="shared" si="1"/>
        <v>0</v>
      </c>
      <c r="O319" s="23" t="str">
        <f>IFERROR(VLOOKUP(A319, '2023 Full View'!$1:$1000, 1, FALSE), "")</f>
        <v/>
      </c>
      <c r="P319" s="3" t="str">
        <f ca="1">IFERROR(__xludf.DUMMYFUNCTION("iferror(TEXTJOIN("", "",TRUE, FILTER($B$1:$E$1,B319:E319&lt;&gt;"""")),"""")"),"Zach")</f>
        <v>Zach</v>
      </c>
    </row>
    <row r="320" spans="1:16" ht="13">
      <c r="A320" s="33" t="s">
        <v>2044</v>
      </c>
      <c r="B320" s="33"/>
      <c r="C320" s="33">
        <v>35</v>
      </c>
      <c r="D320" s="33"/>
      <c r="E320" s="33"/>
      <c r="F320" s="33" t="s">
        <v>429</v>
      </c>
      <c r="G320" s="33">
        <v>178205</v>
      </c>
      <c r="H320" s="43">
        <v>45422</v>
      </c>
      <c r="I320" s="33">
        <v>79</v>
      </c>
      <c r="J320" s="33" t="s">
        <v>1007</v>
      </c>
      <c r="K320" s="33" t="s">
        <v>368</v>
      </c>
      <c r="L320" s="33" t="s">
        <v>1002</v>
      </c>
      <c r="N320" s="3" t="b">
        <f t="shared" si="1"/>
        <v>0</v>
      </c>
      <c r="O320" s="23" t="str">
        <f>IFERROR(VLOOKUP(A320, '2023 Full View'!$1:$1000, 1, FALSE), "")</f>
        <v/>
      </c>
      <c r="P320" s="3" t="str">
        <f ca="1">IFERROR(__xludf.DUMMYFUNCTION("iferror(TEXTJOIN("", "",TRUE, FILTER($B$1:$E$1,B320:E320&lt;&gt;"""")),"""")"),"Zach")</f>
        <v>Zach</v>
      </c>
    </row>
    <row r="321" spans="1:16" ht="13">
      <c r="A321" s="33" t="s">
        <v>2015</v>
      </c>
      <c r="B321" s="33"/>
      <c r="C321" s="33"/>
      <c r="D321" s="33">
        <v>42</v>
      </c>
      <c r="E321" s="33"/>
      <c r="F321" s="33" t="s">
        <v>368</v>
      </c>
      <c r="G321" s="33">
        <v>228965</v>
      </c>
      <c r="H321" s="43">
        <v>45400</v>
      </c>
      <c r="I321" s="33">
        <v>79</v>
      </c>
      <c r="J321" s="33" t="s">
        <v>953</v>
      </c>
      <c r="K321" s="33" t="s">
        <v>438</v>
      </c>
      <c r="L321" s="33" t="s">
        <v>954</v>
      </c>
      <c r="N321" s="3" t="b">
        <f t="shared" si="1"/>
        <v>0</v>
      </c>
      <c r="O321" s="23" t="str">
        <f>IFERROR(VLOOKUP(A321, '2023 Full View'!$1:$1000, 1, FALSE), "")</f>
        <v/>
      </c>
      <c r="P321" s="3" t="str">
        <f ca="1">IFERROR(__xludf.DUMMYFUNCTION("iferror(TEXTJOIN("", "",TRUE, FILTER($B$1:$E$1,B321:E321&lt;&gt;"""")),"""")"),"Zach")</f>
        <v>Zach</v>
      </c>
    </row>
    <row r="322" spans="1:16" ht="13">
      <c r="A322" s="33" t="s">
        <v>1840</v>
      </c>
      <c r="B322" s="33"/>
      <c r="C322" s="33"/>
      <c r="D322" s="33"/>
      <c r="E322" s="33">
        <v>87</v>
      </c>
      <c r="F322" s="33"/>
      <c r="G322" s="33">
        <v>225973</v>
      </c>
      <c r="H322" s="43">
        <v>45463</v>
      </c>
      <c r="I322" s="33">
        <v>79</v>
      </c>
      <c r="J322" s="33" t="s">
        <v>1029</v>
      </c>
      <c r="K322" s="33" t="s">
        <v>352</v>
      </c>
      <c r="L322" s="33" t="s">
        <v>990</v>
      </c>
      <c r="N322" s="3" t="b">
        <f t="shared" si="1"/>
        <v>0</v>
      </c>
      <c r="O322" s="23" t="str">
        <f>IFERROR(VLOOKUP(A322, '2023 Full View'!$1:$1000, 1, FALSE), "")</f>
        <v/>
      </c>
      <c r="P322" s="3" t="str">
        <f ca="1">IFERROR(__xludf.DUMMYFUNCTION("iferror(TEXTJOIN("", "",TRUE, FILTER($B$1:$E$1,B322:E322&lt;&gt;"""")),"""")"),"Jamie")</f>
        <v>Jamie</v>
      </c>
    </row>
    <row r="323" spans="1:16" ht="13">
      <c r="A323" s="33" t="s">
        <v>1947</v>
      </c>
      <c r="B323" s="33"/>
      <c r="C323" s="33">
        <v>60</v>
      </c>
      <c r="D323" s="33"/>
      <c r="E323" s="33"/>
      <c r="F323" s="33"/>
      <c r="G323" s="33">
        <v>192789</v>
      </c>
      <c r="H323" s="43">
        <v>41429</v>
      </c>
      <c r="I323" s="33">
        <v>79</v>
      </c>
      <c r="J323" s="33" t="s">
        <v>2525</v>
      </c>
      <c r="K323" s="33" t="s">
        <v>383</v>
      </c>
      <c r="L323" s="33" t="s">
        <v>703</v>
      </c>
      <c r="N323" s="3" t="b">
        <f t="shared" si="1"/>
        <v>0</v>
      </c>
      <c r="O323" s="23" t="str">
        <f>IFERROR(VLOOKUP(A323, '2023 Full View'!$1:$1000, 1, FALSE), "")</f>
        <v/>
      </c>
      <c r="P323" s="3" t="str">
        <f ca="1">IFERROR(__xludf.DUMMYFUNCTION("iferror(TEXTJOIN("", "",TRUE, FILTER($B$1:$E$1,B323:E323&lt;&gt;"""")),"""")"),"Zach, Bryce")</f>
        <v>Zach, Bryce</v>
      </c>
    </row>
    <row r="324" spans="1:16" ht="13">
      <c r="A324" s="33" t="s">
        <v>1948</v>
      </c>
      <c r="B324" s="33"/>
      <c r="C324" s="33"/>
      <c r="D324" s="33">
        <v>60</v>
      </c>
      <c r="E324" s="33"/>
      <c r="F324" s="33"/>
      <c r="G324" s="33">
        <v>185917</v>
      </c>
      <c r="H324" s="43">
        <v>45239</v>
      </c>
      <c r="I324" s="33">
        <v>79</v>
      </c>
      <c r="J324" s="33" t="s">
        <v>963</v>
      </c>
      <c r="K324" s="33" t="s">
        <v>440</v>
      </c>
      <c r="L324" s="33" t="s">
        <v>965</v>
      </c>
      <c r="N324" s="3" t="b">
        <f t="shared" si="1"/>
        <v>0</v>
      </c>
      <c r="O324" s="23" t="str">
        <f>IFERROR(VLOOKUP(A324, '2023 Full View'!$1:$1000, 1, FALSE), "")</f>
        <v/>
      </c>
      <c r="P324" s="3" t="str">
        <f ca="1">IFERROR(__xludf.DUMMYFUNCTION("iferror(TEXTJOIN("", "",TRUE, FILTER($B$1:$E$1,B324:E324&lt;&gt;"""")),"""")"),"Jamie")</f>
        <v>Jamie</v>
      </c>
    </row>
    <row r="325" spans="1:16" ht="13">
      <c r="A325" s="33" t="s">
        <v>1968</v>
      </c>
      <c r="B325" s="33"/>
      <c r="C325" s="33"/>
      <c r="D325" s="33"/>
      <c r="E325" s="33">
        <v>55</v>
      </c>
      <c r="F325" s="33"/>
      <c r="G325" s="33">
        <v>219724</v>
      </c>
      <c r="H325" s="43">
        <v>45177</v>
      </c>
      <c r="I325" s="33">
        <v>79</v>
      </c>
      <c r="J325" s="33" t="s">
        <v>933</v>
      </c>
      <c r="K325" s="33" t="s">
        <v>484</v>
      </c>
      <c r="L325" s="33" t="s">
        <v>882</v>
      </c>
      <c r="N325" s="3" t="b">
        <f t="shared" si="1"/>
        <v>0</v>
      </c>
      <c r="O325" s="23" t="str">
        <f>IFERROR(VLOOKUP(A325, '2023 Full View'!$1:$1000, 1, FALSE), "")</f>
        <v>vampireOlivia Rodrigo</v>
      </c>
      <c r="P325" s="3" t="str">
        <f ca="1">IFERROR(__xludf.DUMMYFUNCTION("iferror(TEXTJOIN("", "",TRUE, FILTER($B$1:$E$1,B325:E325&lt;&gt;"""")),"""")"),"Zach")</f>
        <v>Zach</v>
      </c>
    </row>
    <row r="326" spans="1:16" ht="13">
      <c r="A326" s="33" t="s">
        <v>2075</v>
      </c>
      <c r="B326" s="33"/>
      <c r="C326" s="33">
        <v>27</v>
      </c>
      <c r="D326" s="33"/>
      <c r="E326" s="33"/>
      <c r="F326" s="33"/>
      <c r="G326" s="33">
        <v>184841</v>
      </c>
      <c r="H326" s="43">
        <v>45149</v>
      </c>
      <c r="I326" s="33">
        <v>79</v>
      </c>
      <c r="J326" s="33" t="s">
        <v>893</v>
      </c>
      <c r="K326" s="33" t="s">
        <v>369</v>
      </c>
      <c r="L326" s="33" t="s">
        <v>897</v>
      </c>
      <c r="N326" s="3" t="b">
        <f t="shared" si="1"/>
        <v>0</v>
      </c>
      <c r="O326" s="23" t="str">
        <f>IFERROR(VLOOKUP(A326, '2023 Full View'!$1:$1000, 1, FALSE), "")</f>
        <v/>
      </c>
      <c r="P326" s="3" t="str">
        <f ca="1">IFERROR(__xludf.DUMMYFUNCTION("iferror(TEXTJOIN("", "",TRUE, FILTER($B$1:$E$1,B326:E326&lt;&gt;"""")),"""")"),"Zach")</f>
        <v>Zach</v>
      </c>
    </row>
    <row r="327" spans="1:16" ht="13">
      <c r="A327" s="33" t="s">
        <v>2526</v>
      </c>
      <c r="B327" s="33">
        <v>14</v>
      </c>
      <c r="C327" s="33"/>
      <c r="D327" s="33"/>
      <c r="E327" s="33"/>
      <c r="F327" s="33"/>
      <c r="G327" s="33">
        <v>171782</v>
      </c>
      <c r="H327" s="43">
        <v>45246</v>
      </c>
      <c r="I327" s="33">
        <v>79</v>
      </c>
      <c r="J327" s="33" t="s">
        <v>2527</v>
      </c>
      <c r="K327" s="33" t="s">
        <v>1768</v>
      </c>
      <c r="L327" s="33" t="s">
        <v>2528</v>
      </c>
      <c r="N327" s="3" t="b">
        <f t="shared" si="1"/>
        <v>0</v>
      </c>
      <c r="O327" s="23" t="str">
        <f>IFERROR(VLOOKUP(A327, '2023 Full View'!$1:$1000, 1, FALSE), "")</f>
        <v/>
      </c>
      <c r="P327" s="3" t="str">
        <f ca="1">IFERROR(__xludf.DUMMYFUNCTION("iferror(TEXTJOIN("", "",TRUE, FILTER($B$1:$E$1,B327:E327&lt;&gt;"""")),"""")"),"Maggie")</f>
        <v>Maggie</v>
      </c>
    </row>
    <row r="328" spans="1:16" ht="13">
      <c r="A328" s="33" t="s">
        <v>2143</v>
      </c>
      <c r="B328" s="33"/>
      <c r="C328" s="33">
        <v>9</v>
      </c>
      <c r="D328" s="33"/>
      <c r="E328" s="33"/>
      <c r="F328" s="33"/>
      <c r="G328" s="33">
        <v>274706</v>
      </c>
      <c r="H328" s="43">
        <v>34029</v>
      </c>
      <c r="I328" s="33">
        <v>79</v>
      </c>
      <c r="J328" s="33" t="s">
        <v>2529</v>
      </c>
      <c r="K328" s="33" t="s">
        <v>2123</v>
      </c>
      <c r="L328" s="33" t="s">
        <v>2124</v>
      </c>
      <c r="N328" s="3" t="b">
        <f t="shared" si="1"/>
        <v>0</v>
      </c>
      <c r="O328" s="23" t="str">
        <f>IFERROR(VLOOKUP(A328, '2023 Full View'!$1:$1000, 1, FALSE), "")</f>
        <v/>
      </c>
      <c r="P328" s="3" t="str">
        <f ca="1">IFERROR(__xludf.DUMMYFUNCTION("iferror(TEXTJOIN("", "",TRUE, FILTER($B$1:$E$1,B328:E328&lt;&gt;"""")),"""")"),"Maggie")</f>
        <v>Maggie</v>
      </c>
    </row>
    <row r="329" spans="1:16" ht="13">
      <c r="A329" s="33" t="s">
        <v>1830</v>
      </c>
      <c r="B329" s="33"/>
      <c r="C329" s="33">
        <v>89</v>
      </c>
      <c r="D329" s="33"/>
      <c r="E329" s="33"/>
      <c r="F329" s="33" t="s">
        <v>424</v>
      </c>
      <c r="G329" s="33">
        <v>250373</v>
      </c>
      <c r="H329" s="43">
        <v>38069</v>
      </c>
      <c r="I329" s="33">
        <v>80</v>
      </c>
      <c r="J329" s="33" t="s">
        <v>2530</v>
      </c>
      <c r="K329" s="33" t="s">
        <v>430</v>
      </c>
      <c r="L329" s="33" t="s">
        <v>672</v>
      </c>
      <c r="N329" s="3" t="b">
        <f t="shared" si="1"/>
        <v>0</v>
      </c>
      <c r="O329" s="23" t="str">
        <f>IFERROR(VLOOKUP(A329, '2023 Full View'!$1:$1000, 1, FALSE), "")</f>
        <v/>
      </c>
      <c r="P329" s="3" t="str">
        <f ca="1">IFERROR(__xludf.DUMMYFUNCTION("iferror(TEXTJOIN("", "",TRUE, FILTER($B$1:$E$1,B329:E329&lt;&gt;"""")),"""")"),"Jamie")</f>
        <v>Jamie</v>
      </c>
    </row>
    <row r="330" spans="1:16" ht="13">
      <c r="A330" s="33" t="s">
        <v>1876</v>
      </c>
      <c r="B330" s="33"/>
      <c r="C330" s="33"/>
      <c r="D330" s="33">
        <v>78</v>
      </c>
      <c r="E330" s="33"/>
      <c r="F330" s="33"/>
      <c r="G330" s="33">
        <v>169697</v>
      </c>
      <c r="H330" s="43">
        <v>45513</v>
      </c>
      <c r="I330" s="33">
        <v>80</v>
      </c>
      <c r="J330" s="33"/>
      <c r="K330" s="33" t="s">
        <v>547</v>
      </c>
      <c r="L330" s="33" t="s">
        <v>999</v>
      </c>
      <c r="N330" s="3" t="b">
        <f t="shared" si="1"/>
        <v>0</v>
      </c>
      <c r="O330" s="23" t="str">
        <f>IFERROR(VLOOKUP(A330, '2023 Full View'!$1:$1000, 1, FALSE), "")</f>
        <v/>
      </c>
      <c r="P330" s="3" t="str">
        <f ca="1">IFERROR(__xludf.DUMMYFUNCTION("iferror(TEXTJOIN("", "",TRUE, FILTER($B$1:$E$1,B330:E330&lt;&gt;"""")),"""")"),"")</f>
        <v/>
      </c>
    </row>
    <row r="331" spans="1:16" ht="13">
      <c r="A331" s="33" t="s">
        <v>1942</v>
      </c>
      <c r="B331" s="33"/>
      <c r="C331" s="33"/>
      <c r="D331" s="33"/>
      <c r="E331" s="33">
        <v>62</v>
      </c>
      <c r="F331" s="33"/>
      <c r="G331" s="33">
        <v>192720</v>
      </c>
      <c r="H331" s="43">
        <v>45063</v>
      </c>
      <c r="I331" s="33">
        <v>80</v>
      </c>
      <c r="J331" s="33" t="s">
        <v>893</v>
      </c>
      <c r="K331" s="33" t="s">
        <v>369</v>
      </c>
      <c r="L331" s="33" t="s">
        <v>895</v>
      </c>
      <c r="N331" s="3" t="b">
        <f t="shared" si="1"/>
        <v>0</v>
      </c>
      <c r="O331" s="23" t="str">
        <f>IFERROR(VLOOKUP(A331, '2023 Full View'!$1:$1000, 1, FALSE), "")</f>
        <v/>
      </c>
      <c r="P331" s="3" t="str">
        <f ca="1">IFERROR(__xludf.DUMMYFUNCTION("iferror(TEXTJOIN("", "",TRUE, FILTER($B$1:$E$1,B331:E331&lt;&gt;"""")),"""")"),"")</f>
        <v/>
      </c>
    </row>
    <row r="332" spans="1:16" ht="13">
      <c r="A332" s="33" t="s">
        <v>2073</v>
      </c>
      <c r="B332" s="33"/>
      <c r="C332" s="33"/>
      <c r="D332" s="33"/>
      <c r="E332" s="33">
        <v>28</v>
      </c>
      <c r="F332" s="33"/>
      <c r="G332" s="33">
        <v>185552</v>
      </c>
      <c r="H332" s="43">
        <v>45002</v>
      </c>
      <c r="I332" s="33">
        <v>80</v>
      </c>
      <c r="J332" s="33" t="s">
        <v>847</v>
      </c>
      <c r="K332" s="33" t="s">
        <v>366</v>
      </c>
      <c r="L332" s="33" t="s">
        <v>848</v>
      </c>
      <c r="N332" s="3" t="b">
        <f t="shared" si="1"/>
        <v>0</v>
      </c>
      <c r="O332" s="23" t="str">
        <f>IFERROR(VLOOKUP(A332, '2023 Full View'!$1:$1000, 1, FALSE), "")</f>
        <v/>
      </c>
      <c r="P332" s="3" t="str">
        <f ca="1">IFERROR(__xludf.DUMMYFUNCTION("iferror(TEXTJOIN("", "",TRUE, FILTER($B$1:$E$1,B332:E332&lt;&gt;"""")),"""")"),"")</f>
        <v/>
      </c>
    </row>
    <row r="333" spans="1:16" ht="13">
      <c r="A333" s="33" t="s">
        <v>2097</v>
      </c>
      <c r="B333" s="33"/>
      <c r="C333" s="33">
        <v>21</v>
      </c>
      <c r="D333" s="33"/>
      <c r="E333" s="33"/>
      <c r="F333" s="33"/>
      <c r="G333" s="33">
        <v>194920</v>
      </c>
      <c r="H333" s="43">
        <v>45436</v>
      </c>
      <c r="I333" s="33">
        <v>80</v>
      </c>
      <c r="J333" s="33"/>
      <c r="K333" s="33" t="s">
        <v>437</v>
      </c>
      <c r="L333" s="33" t="s">
        <v>980</v>
      </c>
      <c r="N333" s="3" t="b">
        <f t="shared" si="1"/>
        <v>0</v>
      </c>
      <c r="O333" s="23" t="str">
        <f>IFERROR(VLOOKUP(A333, '2023 Full View'!$1:$1000, 1, FALSE), "")</f>
        <v/>
      </c>
      <c r="P333" s="3" t="str">
        <f ca="1">IFERROR(__xludf.DUMMYFUNCTION("iferror(TEXTJOIN("", "",TRUE, FILTER($B$1:$E$1,B333:E333&lt;&gt;"""")),"""")"),"")</f>
        <v/>
      </c>
    </row>
    <row r="334" spans="1:16" ht="13">
      <c r="A334" s="33" t="s">
        <v>1915</v>
      </c>
      <c r="B334" s="33"/>
      <c r="C334" s="33">
        <v>68</v>
      </c>
      <c r="D334" s="33"/>
      <c r="E334" s="33"/>
      <c r="F334" s="33"/>
      <c r="G334" s="33">
        <v>292799</v>
      </c>
      <c r="H334" s="43">
        <v>41982</v>
      </c>
      <c r="I334" s="33">
        <v>81</v>
      </c>
      <c r="J334" s="33" t="s">
        <v>2531</v>
      </c>
      <c r="K334" s="33" t="s">
        <v>379</v>
      </c>
      <c r="L334" s="33" t="s">
        <v>714</v>
      </c>
      <c r="N334" s="3" t="b">
        <f t="shared" si="1"/>
        <v>0</v>
      </c>
      <c r="O334" s="23" t="str">
        <f>IFERROR(VLOOKUP(A334, '2023 Full View'!$1:$1000, 1, FALSE), "")</f>
        <v/>
      </c>
      <c r="P334" s="3" t="str">
        <f ca="1">IFERROR(__xludf.DUMMYFUNCTION("iferror(TEXTJOIN("", "",TRUE, FILTER($B$1:$E$1,B334:E334&lt;&gt;"""")),"""")"),"")</f>
        <v/>
      </c>
    </row>
    <row r="335" spans="1:16" ht="13">
      <c r="A335" s="33" t="s">
        <v>1956</v>
      </c>
      <c r="B335" s="33"/>
      <c r="C335" s="33"/>
      <c r="D335" s="33">
        <v>58</v>
      </c>
      <c r="E335" s="33"/>
      <c r="F335" s="33"/>
      <c r="G335" s="33">
        <v>131872</v>
      </c>
      <c r="H335" s="43">
        <v>45184</v>
      </c>
      <c r="I335" s="33">
        <v>81</v>
      </c>
      <c r="J335" s="33" t="s">
        <v>2532</v>
      </c>
      <c r="K335" s="33" t="s">
        <v>555</v>
      </c>
      <c r="L335" s="33" t="s">
        <v>883</v>
      </c>
      <c r="N335" s="3" t="b">
        <f t="shared" si="1"/>
        <v>0</v>
      </c>
      <c r="O335" s="23" t="str">
        <f>IFERROR(VLOOKUP(A335, '2023 Full View'!$1:$1000, 1, FALSE), "")</f>
        <v/>
      </c>
      <c r="P335" s="3" t="str">
        <f ca="1">IFERROR(__xludf.DUMMYFUNCTION("iferror(TEXTJOIN("", "",TRUE, FILTER($B$1:$E$1,B335:E335&lt;&gt;"""")),"""")"),"")</f>
        <v/>
      </c>
    </row>
    <row r="336" spans="1:16" ht="13">
      <c r="A336" s="33" t="s">
        <v>1984</v>
      </c>
      <c r="B336" s="33"/>
      <c r="C336" s="33"/>
      <c r="D336" s="33"/>
      <c r="E336" s="33">
        <v>51</v>
      </c>
      <c r="F336" s="33"/>
      <c r="G336" s="33">
        <v>222369</v>
      </c>
      <c r="H336" s="43">
        <v>45120</v>
      </c>
      <c r="I336" s="33">
        <v>81</v>
      </c>
      <c r="J336" s="33"/>
      <c r="K336" s="33" t="s">
        <v>491</v>
      </c>
      <c r="L336" s="33" t="s">
        <v>872</v>
      </c>
      <c r="N336" s="3" t="b">
        <f t="shared" si="1"/>
        <v>0</v>
      </c>
      <c r="O336" s="23" t="str">
        <f>IFERROR(VLOOKUP(A336, '2023 Full View'!$1:$1000, 1, FALSE), "")</f>
        <v/>
      </c>
      <c r="P336" s="3" t="str">
        <f ca="1">IFERROR(__xludf.DUMMYFUNCTION("iferror(TEXTJOIN("", "",TRUE, FILTER($B$1:$E$1,B336:E336&lt;&gt;"""")),"""")"),"")</f>
        <v/>
      </c>
    </row>
    <row r="337" spans="1:16" ht="13">
      <c r="A337" s="33" t="s">
        <v>1985</v>
      </c>
      <c r="B337" s="33">
        <v>50</v>
      </c>
      <c r="C337" s="33">
        <v>43</v>
      </c>
      <c r="D337" s="33"/>
      <c r="E337" s="33"/>
      <c r="F337" s="33"/>
      <c r="G337" s="33">
        <v>204828</v>
      </c>
      <c r="H337" s="43">
        <v>45583</v>
      </c>
      <c r="I337" s="33">
        <v>81</v>
      </c>
      <c r="J337" s="33"/>
      <c r="K337" s="33" t="s">
        <v>429</v>
      </c>
      <c r="L337" s="33" t="s">
        <v>1031</v>
      </c>
      <c r="N337" s="3" t="b">
        <f t="shared" si="1"/>
        <v>1</v>
      </c>
      <c r="O337" s="23" t="str">
        <f>IFERROR(VLOOKUP(A337, '2023 Full View'!$1:$1000, 1, FALSE), "")</f>
        <v/>
      </c>
      <c r="P337" s="3" t="str">
        <f ca="1">IFERROR(__xludf.DUMMYFUNCTION("iferror(TEXTJOIN("", "",TRUE, FILTER($B$1:$E$1,B337:E337&lt;&gt;"""")),"""")"),"")</f>
        <v/>
      </c>
    </row>
    <row r="338" spans="1:16" ht="13">
      <c r="A338" s="33" t="s">
        <v>2048</v>
      </c>
      <c r="B338" s="33">
        <v>32</v>
      </c>
      <c r="C338" s="33">
        <v>34</v>
      </c>
      <c r="D338" s="33"/>
      <c r="E338" s="33"/>
      <c r="F338" s="33"/>
      <c r="G338" s="33">
        <v>171291</v>
      </c>
      <c r="H338" s="43">
        <v>45394</v>
      </c>
      <c r="I338" s="33">
        <v>81</v>
      </c>
      <c r="J338" s="33" t="s">
        <v>2533</v>
      </c>
      <c r="K338" s="33" t="s">
        <v>363</v>
      </c>
      <c r="L338" s="33" t="s">
        <v>952</v>
      </c>
      <c r="N338" s="3" t="b">
        <f t="shared" si="1"/>
        <v>1</v>
      </c>
      <c r="O338" s="23" t="str">
        <f>IFERROR(VLOOKUP(A338, '2023 Full View'!$1:$1000, 1, FALSE), "")</f>
        <v/>
      </c>
      <c r="P338" s="3" t="str">
        <f ca="1">IFERROR(__xludf.DUMMYFUNCTION("iferror(TEXTJOIN("", "",TRUE, FILTER($B$1:$E$1,B338:E338&lt;&gt;"""")),"""")"),"")</f>
        <v/>
      </c>
    </row>
    <row r="339" spans="1:16" ht="13">
      <c r="A339" s="33" t="s">
        <v>2129</v>
      </c>
      <c r="B339" s="33"/>
      <c r="C339" s="33"/>
      <c r="D339" s="33"/>
      <c r="E339" s="33">
        <v>14</v>
      </c>
      <c r="F339" s="33"/>
      <c r="G339" s="33">
        <v>259333</v>
      </c>
      <c r="H339" s="43">
        <v>38229</v>
      </c>
      <c r="I339" s="33">
        <v>81</v>
      </c>
      <c r="J339" s="33" t="s">
        <v>1769</v>
      </c>
      <c r="K339" s="33" t="s">
        <v>1770</v>
      </c>
      <c r="L339" s="33" t="s">
        <v>1769</v>
      </c>
      <c r="N339" s="3" t="b">
        <f t="shared" si="1"/>
        <v>0</v>
      </c>
      <c r="O339" s="23" t="str">
        <f>IFERROR(VLOOKUP(A339, '2023 Full View'!$1:$1000, 1, FALSE), "")</f>
        <v/>
      </c>
      <c r="P339" s="3" t="str">
        <f ca="1">IFERROR(__xludf.DUMMYFUNCTION("iferror(TEXTJOIN("", "",TRUE, FILTER($B$1:$E$1,B339:E339&lt;&gt;"""")),"""")"),"")</f>
        <v/>
      </c>
    </row>
    <row r="340" spans="1:16" ht="13">
      <c r="A340" s="33" t="s">
        <v>2133</v>
      </c>
      <c r="B340" s="33"/>
      <c r="C340" s="33"/>
      <c r="D340" s="33"/>
      <c r="E340" s="33">
        <v>13</v>
      </c>
      <c r="F340" s="33"/>
      <c r="G340" s="33">
        <v>223192</v>
      </c>
      <c r="H340" s="43">
        <v>45527</v>
      </c>
      <c r="I340" s="33">
        <v>81</v>
      </c>
      <c r="J340" s="33" t="s">
        <v>1010</v>
      </c>
      <c r="K340" s="33" t="s">
        <v>366</v>
      </c>
      <c r="L340" s="33" t="s">
        <v>1777</v>
      </c>
      <c r="N340" s="3" t="b">
        <f t="shared" si="1"/>
        <v>0</v>
      </c>
      <c r="O340" s="23" t="str">
        <f>IFERROR(VLOOKUP(A340, '2023 Full View'!$1:$1000, 1, FALSE), "")</f>
        <v/>
      </c>
      <c r="P340" s="3" t="str">
        <f ca="1">IFERROR(__xludf.DUMMYFUNCTION("iferror(TEXTJOIN("", "",TRUE, FILTER($B$1:$E$1,B340:E340&lt;&gt;"""")),"""")"),"")</f>
        <v/>
      </c>
    </row>
    <row r="341" spans="1:16" ht="13">
      <c r="A341" s="33" t="s">
        <v>1866</v>
      </c>
      <c r="B341" s="33">
        <v>80</v>
      </c>
      <c r="C341" s="33"/>
      <c r="D341" s="33"/>
      <c r="E341" s="33"/>
      <c r="F341" s="33"/>
      <c r="G341" s="33">
        <v>187520</v>
      </c>
      <c r="H341" s="43">
        <v>37705</v>
      </c>
      <c r="I341" s="33">
        <v>82</v>
      </c>
      <c r="J341" s="33" t="s">
        <v>2534</v>
      </c>
      <c r="K341" s="33" t="s">
        <v>472</v>
      </c>
      <c r="L341" s="33" t="s">
        <v>670</v>
      </c>
      <c r="N341" s="3" t="b">
        <f t="shared" si="1"/>
        <v>0</v>
      </c>
      <c r="O341" s="23" t="str">
        <f>IFERROR(VLOOKUP(A341, '2023 Full View'!$1:$1000, 1, FALSE), "")</f>
        <v/>
      </c>
      <c r="P341" s="3" t="str">
        <f ca="1">IFERROR(__xludf.DUMMYFUNCTION("iferror(TEXTJOIN("", "",TRUE, FILTER($B$1:$E$1,B341:E341&lt;&gt;"""")),"""")"),"")</f>
        <v/>
      </c>
    </row>
    <row r="342" spans="1:16" ht="13">
      <c r="A342" s="33" t="s">
        <v>2079</v>
      </c>
      <c r="B342" s="33"/>
      <c r="C342" s="33">
        <v>26</v>
      </c>
      <c r="D342" s="33"/>
      <c r="E342" s="33"/>
      <c r="F342" s="33"/>
      <c r="G342" s="33">
        <v>172533</v>
      </c>
      <c r="H342" s="43">
        <v>45422</v>
      </c>
      <c r="I342" s="33">
        <v>82</v>
      </c>
      <c r="J342" s="33"/>
      <c r="K342" s="33" t="s">
        <v>413</v>
      </c>
      <c r="L342" s="33" t="s">
        <v>970</v>
      </c>
      <c r="N342" s="3" t="b">
        <f t="shared" si="1"/>
        <v>0</v>
      </c>
      <c r="O342" s="23" t="str">
        <f>IFERROR(VLOOKUP(A342, '2023 Full View'!$1:$1000, 1, FALSE), "")</f>
        <v/>
      </c>
      <c r="P342" s="3" t="str">
        <f ca="1">IFERROR(__xludf.DUMMYFUNCTION("iferror(TEXTJOIN("", "",TRUE, FILTER($B$1:$E$1,B342:E342&lt;&gt;"""")),"""")"),"")</f>
        <v/>
      </c>
    </row>
    <row r="343" spans="1:16" ht="13">
      <c r="A343" s="33" t="s">
        <v>2085</v>
      </c>
      <c r="B343" s="33">
        <v>24</v>
      </c>
      <c r="C343" s="33"/>
      <c r="D343" s="33"/>
      <c r="E343" s="33"/>
      <c r="F343" s="33"/>
      <c r="G343" s="33">
        <v>161831</v>
      </c>
      <c r="H343" s="43">
        <v>45372</v>
      </c>
      <c r="I343" s="33">
        <v>82</v>
      </c>
      <c r="J343" s="33" t="s">
        <v>945</v>
      </c>
      <c r="K343" s="33" t="s">
        <v>479</v>
      </c>
      <c r="L343" s="33" t="s">
        <v>946</v>
      </c>
      <c r="N343" s="3" t="b">
        <f t="shared" si="1"/>
        <v>0</v>
      </c>
      <c r="O343" s="23" t="str">
        <f>IFERROR(VLOOKUP(A343, '2023 Full View'!$1:$1000, 1, FALSE), "")</f>
        <v/>
      </c>
      <c r="P343" s="3" t="str">
        <f ca="1">IFERROR(__xludf.DUMMYFUNCTION("iferror(TEXTJOIN("", "",TRUE, FILTER($B$1:$E$1,B343:E343&lt;&gt;"""")),"""")"),"")</f>
        <v/>
      </c>
    </row>
    <row r="344" spans="1:16" ht="13">
      <c r="A344" s="33" t="s">
        <v>2098</v>
      </c>
      <c r="B344" s="33">
        <v>10</v>
      </c>
      <c r="C344" s="33"/>
      <c r="D344" s="33">
        <v>21</v>
      </c>
      <c r="E344" s="33"/>
      <c r="F344" s="33"/>
      <c r="G344" s="33">
        <v>186365</v>
      </c>
      <c r="H344" s="43">
        <v>45449</v>
      </c>
      <c r="I344" s="33">
        <v>82</v>
      </c>
      <c r="J344" s="33" t="s">
        <v>1010</v>
      </c>
      <c r="K344" s="33" t="s">
        <v>366</v>
      </c>
      <c r="L344" s="33" t="s">
        <v>1763</v>
      </c>
      <c r="N344" s="3" t="b">
        <f t="shared" si="1"/>
        <v>1</v>
      </c>
      <c r="O344" s="23" t="str">
        <f>IFERROR(VLOOKUP(A344, '2023 Full View'!$1:$1000, 1, FALSE), "")</f>
        <v/>
      </c>
      <c r="P344" s="3" t="str">
        <f ca="1">IFERROR(__xludf.DUMMYFUNCTION("iferror(TEXTJOIN("", "",TRUE, FILTER($B$1:$E$1,B344:E344&lt;&gt;"""")),"""")"),"")</f>
        <v/>
      </c>
    </row>
    <row r="345" spans="1:16" ht="13">
      <c r="A345" s="33" t="s">
        <v>2120</v>
      </c>
      <c r="B345" s="33"/>
      <c r="C345" s="33"/>
      <c r="D345" s="33">
        <v>16</v>
      </c>
      <c r="E345" s="33"/>
      <c r="F345" s="33"/>
      <c r="G345" s="33">
        <v>153946</v>
      </c>
      <c r="H345" s="43">
        <v>44903</v>
      </c>
      <c r="I345" s="33">
        <v>82</v>
      </c>
      <c r="J345" s="33" t="s">
        <v>1036</v>
      </c>
      <c r="K345" s="33" t="s">
        <v>442</v>
      </c>
      <c r="L345" s="33" t="s">
        <v>830</v>
      </c>
      <c r="N345" s="3" t="b">
        <f t="shared" si="1"/>
        <v>0</v>
      </c>
      <c r="O345" s="23" t="str">
        <f>IFERROR(VLOOKUP(A345, '2023 Full View'!$1:$1000, 1, FALSE), "")</f>
        <v>Kill BillSZA</v>
      </c>
      <c r="P345" s="3" t="str">
        <f ca="1">IFERROR(__xludf.DUMMYFUNCTION("iferror(TEXTJOIN("", "",TRUE, FILTER($B$1:$E$1,B345:E345&lt;&gt;"""")),"""")"),"")</f>
        <v/>
      </c>
    </row>
    <row r="346" spans="1:16" ht="13">
      <c r="A346" s="33" t="s">
        <v>2135</v>
      </c>
      <c r="B346" s="33"/>
      <c r="C346" s="33"/>
      <c r="D346" s="33">
        <v>12</v>
      </c>
      <c r="E346" s="33"/>
      <c r="F346" s="33"/>
      <c r="G346" s="33">
        <v>180853</v>
      </c>
      <c r="H346" s="43">
        <v>44903</v>
      </c>
      <c r="I346" s="33">
        <v>82</v>
      </c>
      <c r="J346" s="33" t="s">
        <v>1036</v>
      </c>
      <c r="K346" s="33" t="s">
        <v>442</v>
      </c>
      <c r="L346" s="33" t="s">
        <v>1073</v>
      </c>
      <c r="N346" s="3" t="b">
        <f t="shared" si="1"/>
        <v>0</v>
      </c>
      <c r="O346" s="23" t="str">
        <f>IFERROR(VLOOKUP(A346, '2023 Full View'!$1:$1000, 1, FALSE), "")</f>
        <v>Nobody Gets MeSZA</v>
      </c>
      <c r="P346" s="3" t="str">
        <f ca="1">IFERROR(__xludf.DUMMYFUNCTION("iferror(TEXTJOIN("", "",TRUE, FILTER($B$1:$E$1,B346:E346&lt;&gt;"""")),"""")"),"")</f>
        <v/>
      </c>
    </row>
    <row r="347" spans="1:16" ht="13">
      <c r="A347" s="33" t="s">
        <v>1888</v>
      </c>
      <c r="B347" s="33"/>
      <c r="C347" s="33"/>
      <c r="D347" s="33">
        <v>11</v>
      </c>
      <c r="E347" s="33">
        <v>75</v>
      </c>
      <c r="F347" s="33"/>
      <c r="G347" s="33">
        <v>258034</v>
      </c>
      <c r="H347" s="43">
        <v>44674</v>
      </c>
      <c r="I347" s="33">
        <v>83</v>
      </c>
      <c r="J347" s="33" t="s">
        <v>893</v>
      </c>
      <c r="K347" s="33" t="s">
        <v>369</v>
      </c>
      <c r="L347" s="33" t="s">
        <v>896</v>
      </c>
      <c r="N347" s="3" t="b">
        <f t="shared" si="1"/>
        <v>1</v>
      </c>
      <c r="O347" s="23" t="str">
        <f>IFERROR(VLOOKUP(A347, '2023 Full View'!$1:$1000, 1, FALSE), "")</f>
        <v/>
      </c>
      <c r="P347" s="3" t="str">
        <f ca="1">IFERROR(__xludf.DUMMYFUNCTION("iferror(TEXTJOIN("", "",TRUE, FILTER($B$1:$E$1,B347:E347&lt;&gt;"""")),"""")"),"")</f>
        <v/>
      </c>
    </row>
    <row r="348" spans="1:16" ht="13">
      <c r="A348" s="33" t="s">
        <v>1976</v>
      </c>
      <c r="B348" s="33"/>
      <c r="C348" s="33"/>
      <c r="D348" s="33"/>
      <c r="E348" s="33">
        <v>53</v>
      </c>
      <c r="F348" s="33"/>
      <c r="G348" s="33">
        <v>171869</v>
      </c>
      <c r="H348" s="43">
        <v>45527</v>
      </c>
      <c r="I348" s="33">
        <v>83</v>
      </c>
      <c r="J348" s="33" t="s">
        <v>1010</v>
      </c>
      <c r="K348" s="33" t="s">
        <v>366</v>
      </c>
      <c r="L348" s="33" t="s">
        <v>1017</v>
      </c>
      <c r="N348" s="3" t="b">
        <f t="shared" si="1"/>
        <v>0</v>
      </c>
      <c r="O348" s="23" t="str">
        <f>IFERROR(VLOOKUP(A348, '2023 Full View'!$1:$1000, 1, FALSE), "")</f>
        <v/>
      </c>
      <c r="P348" s="3" t="str">
        <f ca="1">IFERROR(__xludf.DUMMYFUNCTION("iferror(TEXTJOIN("", "",TRUE, FILTER($B$1:$E$1,B348:E348&lt;&gt;"""")),"""")"),"")</f>
        <v/>
      </c>
    </row>
    <row r="349" spans="1:16" ht="13">
      <c r="A349" s="33" t="s">
        <v>1794</v>
      </c>
      <c r="B349" s="33">
        <v>97</v>
      </c>
      <c r="C349" s="33"/>
      <c r="D349" s="33">
        <v>33</v>
      </c>
      <c r="E349" s="33">
        <v>22</v>
      </c>
      <c r="F349" s="33"/>
      <c r="G349" s="33">
        <v>175459</v>
      </c>
      <c r="H349" s="43">
        <v>45393</v>
      </c>
      <c r="I349" s="33">
        <v>84</v>
      </c>
      <c r="J349" s="33" t="s">
        <v>1010</v>
      </c>
      <c r="K349" s="33" t="s">
        <v>366</v>
      </c>
      <c r="L349" s="33" t="s">
        <v>1011</v>
      </c>
      <c r="N349" s="3" t="b">
        <f t="shared" si="1"/>
        <v>1</v>
      </c>
      <c r="O349" s="23" t="str">
        <f>IFERROR(VLOOKUP(A349, '2023 Full View'!$1:$1000, 1, FALSE), "")</f>
        <v/>
      </c>
      <c r="P349" s="3" t="str">
        <f ca="1">IFERROR(__xludf.DUMMYFUNCTION("iferror(TEXTJOIN("", "",TRUE, FILTER($B$1:$E$1,B349:E349&lt;&gt;"""")),"""")"),"")</f>
        <v/>
      </c>
    </row>
    <row r="350" spans="1:16" ht="13">
      <c r="A350" s="33" t="s">
        <v>2016</v>
      </c>
      <c r="B350" s="33"/>
      <c r="C350" s="33"/>
      <c r="D350" s="33"/>
      <c r="E350" s="33">
        <v>42</v>
      </c>
      <c r="F350" s="33"/>
      <c r="G350" s="33">
        <v>157146</v>
      </c>
      <c r="H350" s="43">
        <v>45463</v>
      </c>
      <c r="I350" s="33">
        <v>84</v>
      </c>
      <c r="J350" s="33" t="s">
        <v>1029</v>
      </c>
      <c r="K350" s="33" t="s">
        <v>352</v>
      </c>
      <c r="L350" s="33" t="s">
        <v>992</v>
      </c>
      <c r="N350" s="3" t="b">
        <f t="shared" si="1"/>
        <v>0</v>
      </c>
      <c r="O350" s="23" t="str">
        <f>IFERROR(VLOOKUP(A350, '2023 Full View'!$1:$1000, 1, FALSE), "")</f>
        <v/>
      </c>
      <c r="P350" s="3" t="str">
        <f ca="1">IFERROR(__xludf.DUMMYFUNCTION("iferror(TEXTJOIN("", "",TRUE, FILTER($B$1:$E$1,B350:E350&lt;&gt;"""")),"""")"),"")</f>
        <v/>
      </c>
    </row>
    <row r="351" spans="1:16" ht="13">
      <c r="A351" s="33" t="s">
        <v>2072</v>
      </c>
      <c r="B351" s="33"/>
      <c r="C351" s="33"/>
      <c r="D351" s="33">
        <v>28</v>
      </c>
      <c r="E351" s="33"/>
      <c r="F351" s="33"/>
      <c r="G351" s="33">
        <v>178426</v>
      </c>
      <c r="H351" s="43">
        <v>43700</v>
      </c>
      <c r="I351" s="33">
        <v>84</v>
      </c>
      <c r="J351" s="33" t="s">
        <v>760</v>
      </c>
      <c r="K351" s="33" t="s">
        <v>438</v>
      </c>
      <c r="L351" s="33" t="s">
        <v>761</v>
      </c>
      <c r="N351" s="3" t="b">
        <f t="shared" si="1"/>
        <v>0</v>
      </c>
      <c r="O351" s="23" t="str">
        <f>IFERROR(VLOOKUP(A351, '2023 Full View'!$1:$1000, 1, FALSE), "")</f>
        <v>Cruel SummerTaylor Swift</v>
      </c>
      <c r="P351" s="3" t="str">
        <f ca="1">IFERROR(__xludf.DUMMYFUNCTION("iferror(TEXTJOIN("", "",TRUE, FILTER($B$1:$E$1,B351:E351&lt;&gt;"""")),"""")"),"")</f>
        <v/>
      </c>
    </row>
    <row r="352" spans="1:16" ht="13">
      <c r="A352" s="33" t="s">
        <v>2062</v>
      </c>
      <c r="B352" s="33">
        <v>30</v>
      </c>
      <c r="C352" s="33"/>
      <c r="D352" s="33"/>
      <c r="E352" s="33"/>
      <c r="F352" s="33"/>
      <c r="G352" s="33">
        <v>180304</v>
      </c>
      <c r="H352" s="43">
        <v>45309</v>
      </c>
      <c r="I352" s="33">
        <v>85</v>
      </c>
      <c r="J352" s="33" t="s">
        <v>945</v>
      </c>
      <c r="K352" s="33" t="s">
        <v>479</v>
      </c>
      <c r="L352" s="33" t="s">
        <v>947</v>
      </c>
      <c r="N352" s="3" t="b">
        <f t="shared" si="1"/>
        <v>0</v>
      </c>
      <c r="O352" s="23" t="str">
        <f>IFERROR(VLOOKUP(A352, '2023 Full View'!$1:$1000, 1, FALSE), "")</f>
        <v/>
      </c>
      <c r="P352" s="3" t="str">
        <f ca="1">IFERROR(__xludf.DUMMYFUNCTION("iferror(TEXTJOIN("", "",TRUE, FILTER($B$1:$E$1,B352:E352&lt;&gt;"""")),"""")"),"")</f>
        <v/>
      </c>
    </row>
    <row r="353" spans="1:16" ht="13">
      <c r="A353" s="33" t="s">
        <v>1857</v>
      </c>
      <c r="B353" s="33">
        <v>82</v>
      </c>
      <c r="C353" s="33"/>
      <c r="D353" s="33"/>
      <c r="E353" s="33">
        <v>61</v>
      </c>
      <c r="F353" s="33"/>
      <c r="G353" s="33">
        <v>157279</v>
      </c>
      <c r="H353" s="43">
        <v>45527</v>
      </c>
      <c r="I353" s="33">
        <v>86</v>
      </c>
      <c r="J353" s="33" t="s">
        <v>1040</v>
      </c>
      <c r="K353" s="33" t="s">
        <v>366</v>
      </c>
      <c r="L353" s="33" t="s">
        <v>1018</v>
      </c>
      <c r="N353" s="3" t="b">
        <f t="shared" si="1"/>
        <v>1</v>
      </c>
      <c r="O353" s="23" t="str">
        <f>IFERROR(VLOOKUP(A353, '2023 Full View'!$1:$1000, 1, FALSE), "")</f>
        <v/>
      </c>
      <c r="P353" s="3" t="str">
        <f ca="1">IFERROR(__xludf.DUMMYFUNCTION("iferror(TEXTJOIN("", "",TRUE, FILTER($B$1:$E$1,B353:E353&lt;&gt;"""")),"""")"),"")</f>
        <v/>
      </c>
    </row>
    <row r="354" spans="1:16" ht="13">
      <c r="A354" s="33" t="s">
        <v>2009</v>
      </c>
      <c r="B354" s="33"/>
      <c r="C354" s="33"/>
      <c r="D354" s="33">
        <v>44</v>
      </c>
      <c r="E354" s="33">
        <v>32</v>
      </c>
      <c r="F354" s="33"/>
      <c r="G354" s="33">
        <v>218423</v>
      </c>
      <c r="H354" s="43">
        <v>45387</v>
      </c>
      <c r="I354" s="33">
        <v>89</v>
      </c>
      <c r="J354" s="33"/>
      <c r="K354" s="33" t="s">
        <v>369</v>
      </c>
      <c r="L354" s="33" t="s">
        <v>940</v>
      </c>
      <c r="N354" s="3" t="b">
        <f t="shared" si="1"/>
        <v>1</v>
      </c>
      <c r="O354" s="23" t="str">
        <f>IFERROR(VLOOKUP(A354, '2023 Full View'!$1:$1000, 1, FALSE), "")</f>
        <v/>
      </c>
      <c r="P354" s="3" t="str">
        <f ca="1">IFERROR(__xludf.DUMMYFUNCTION("iferror(TEXTJOIN("", "",TRUE, FILTER($B$1:$E$1,B354:E354&lt;&gt;"""")),"""")"),"")</f>
        <v/>
      </c>
    </row>
    <row r="355" spans="1:16" ht="13">
      <c r="A355" s="33" t="s">
        <v>1990</v>
      </c>
      <c r="B355" s="33"/>
      <c r="C355" s="33"/>
      <c r="D355" s="33">
        <v>49</v>
      </c>
      <c r="E355" s="33"/>
      <c r="F355" s="33"/>
      <c r="G355" s="33">
        <v>210373</v>
      </c>
      <c r="H355" s="43">
        <v>45429</v>
      </c>
      <c r="I355" s="33">
        <v>93</v>
      </c>
      <c r="J355" s="33" t="s">
        <v>972</v>
      </c>
      <c r="K355" s="33" t="s">
        <v>491</v>
      </c>
      <c r="L355" s="33" t="s">
        <v>973</v>
      </c>
      <c r="N355" s="3" t="b">
        <f t="shared" si="1"/>
        <v>0</v>
      </c>
      <c r="O355" s="23" t="str">
        <f>IFERROR(VLOOKUP(A355, '2023 Full View'!$1:$1000, 1, FALSE), "")</f>
        <v/>
      </c>
      <c r="P355" s="3" t="str">
        <f ca="1">IFERROR(__xludf.DUMMYFUNCTION("iferror(TEXTJOIN("", "",TRUE, FILTER($B$1:$E$1,B355:E355&lt;&gt;"""")),"""")"),"")</f>
        <v/>
      </c>
    </row>
    <row r="356" spans="1:16" ht="13">
      <c r="A356" s="33" t="s">
        <v>2146</v>
      </c>
      <c r="B356" s="33">
        <v>8</v>
      </c>
      <c r="C356" s="33"/>
      <c r="D356" s="33"/>
      <c r="E356" s="33"/>
      <c r="F356" s="33" t="s">
        <v>544</v>
      </c>
      <c r="G356" s="33">
        <v>251667</v>
      </c>
      <c r="H356" s="43">
        <v>45520</v>
      </c>
      <c r="I356" s="33">
        <v>96</v>
      </c>
      <c r="J356" s="33" t="s">
        <v>2535</v>
      </c>
      <c r="K356" s="33" t="s">
        <v>2154</v>
      </c>
      <c r="L356" s="33" t="s">
        <v>2153</v>
      </c>
      <c r="N356" s="3" t="b">
        <f t="shared" si="1"/>
        <v>0</v>
      </c>
      <c r="O356" s="23" t="str">
        <f>IFERROR(VLOOKUP(A356, '2023 Full View'!$1:$1000, 1, FALSE), "")</f>
        <v/>
      </c>
      <c r="P356" s="3" t="str">
        <f ca="1">IFERROR(__xludf.DUMMYFUNCTION("iferror(TEXTJOIN("", "",TRUE, FILTER($B$1:$E$1,B356:E356&lt;&gt;"""")),"""")"),"")</f>
        <v/>
      </c>
    </row>
    <row r="357" spans="1:16" ht="13">
      <c r="A357" s="3" t="str">
        <f t="shared" ref="A357:A391" si="2">K357&amp;L357</f>
        <v/>
      </c>
      <c r="N357" s="3" t="str">
        <f t="shared" si="1"/>
        <v/>
      </c>
      <c r="O357" s="23" t="str">
        <f>IFERROR(VLOOKUP(A357, '2023 Full View'!$1:$1000, 1, FALSE), "")</f>
        <v/>
      </c>
      <c r="P357" s="3" t="str">
        <f ca="1">IFERROR(__xludf.DUMMYFUNCTION("iferror(TEXTJOIN("", "",TRUE, FILTER($B$1:$E$1,B357:E357&lt;&gt;"""")),"""")"),"")</f>
        <v/>
      </c>
    </row>
    <row r="358" spans="1:16" ht="13">
      <c r="A358" s="3" t="str">
        <f t="shared" si="2"/>
        <v/>
      </c>
      <c r="N358" s="3" t="str">
        <f t="shared" si="1"/>
        <v/>
      </c>
      <c r="O358" s="23" t="str">
        <f>IFERROR(VLOOKUP(A358, '2023 Full View'!$1:$1000, 1, FALSE), "")</f>
        <v/>
      </c>
      <c r="P358" s="3" t="str">
        <f ca="1">IFERROR(__xludf.DUMMYFUNCTION("iferror(TEXTJOIN("", "",TRUE, FILTER($B$1:$E$1,B358:E358&lt;&gt;"""")),"""")"),"")</f>
        <v/>
      </c>
    </row>
    <row r="359" spans="1:16" ht="13">
      <c r="A359" s="3" t="str">
        <f t="shared" si="2"/>
        <v/>
      </c>
      <c r="N359" s="3" t="str">
        <f t="shared" si="1"/>
        <v/>
      </c>
      <c r="O359" s="23" t="str">
        <f>IFERROR(VLOOKUP(A359, '2023 Full View'!$1:$1000, 1, FALSE), "")</f>
        <v/>
      </c>
      <c r="P359" s="3" t="str">
        <f ca="1">IFERROR(__xludf.DUMMYFUNCTION("iferror(TEXTJOIN("", "",TRUE, FILTER($B$1:$E$1,B359:E359&lt;&gt;"""")),"""")"),"")</f>
        <v/>
      </c>
    </row>
    <row r="360" spans="1:16" ht="13">
      <c r="A360" s="3" t="str">
        <f t="shared" si="2"/>
        <v/>
      </c>
      <c r="N360" s="3" t="str">
        <f t="shared" si="1"/>
        <v/>
      </c>
      <c r="O360" s="23" t="str">
        <f>IFERROR(VLOOKUP(A360, '2023 Full View'!$1:$1000, 1, FALSE), "")</f>
        <v/>
      </c>
      <c r="P360" s="3" t="str">
        <f ca="1">IFERROR(__xludf.DUMMYFUNCTION("iferror(TEXTJOIN("", "",TRUE, FILTER($B$1:$E$1,B360:E360&lt;&gt;"""")),"""")"),"")</f>
        <v/>
      </c>
    </row>
    <row r="361" spans="1:16" ht="13">
      <c r="A361" s="3" t="str">
        <f t="shared" si="2"/>
        <v/>
      </c>
      <c r="N361" s="3" t="str">
        <f t="shared" si="1"/>
        <v/>
      </c>
      <c r="O361" s="23" t="str">
        <f>IFERROR(VLOOKUP(A361, '2023 Full View'!$1:$1000, 1, FALSE), "")</f>
        <v/>
      </c>
      <c r="P361" s="3" t="str">
        <f ca="1">IFERROR(__xludf.DUMMYFUNCTION("iferror(TEXTJOIN("", "",TRUE, FILTER($B$1:$E$1,B361:E361&lt;&gt;"""")),"""")"),"")</f>
        <v/>
      </c>
    </row>
    <row r="362" spans="1:16" ht="13">
      <c r="A362" s="3" t="str">
        <f t="shared" si="2"/>
        <v/>
      </c>
      <c r="N362" s="3" t="str">
        <f t="shared" si="1"/>
        <v/>
      </c>
      <c r="O362" s="23" t="str">
        <f>IFERROR(VLOOKUP(A362, '2023 Full View'!$1:$1000, 1, FALSE), "")</f>
        <v/>
      </c>
      <c r="P362" s="3" t="str">
        <f ca="1">IFERROR(__xludf.DUMMYFUNCTION("iferror(TEXTJOIN("", "",TRUE, FILTER($B$1:$E$1,B362:E362&lt;&gt;"""")),"""")"),"")</f>
        <v/>
      </c>
    </row>
    <row r="363" spans="1:16" ht="13">
      <c r="A363" s="3" t="str">
        <f t="shared" si="2"/>
        <v/>
      </c>
      <c r="N363" s="3" t="str">
        <f t="shared" si="1"/>
        <v/>
      </c>
      <c r="O363" s="23" t="str">
        <f>IFERROR(VLOOKUP(A363, '2023 Full View'!$1:$1000, 1, FALSE), "")</f>
        <v/>
      </c>
      <c r="P363" s="3" t="str">
        <f ca="1">IFERROR(__xludf.DUMMYFUNCTION("iferror(TEXTJOIN("", "",TRUE, FILTER($B$1:$E$1,B363:E363&lt;&gt;"""")),"""")"),"")</f>
        <v/>
      </c>
    </row>
    <row r="364" spans="1:16" ht="13">
      <c r="A364" s="3" t="str">
        <f t="shared" si="2"/>
        <v/>
      </c>
      <c r="N364" s="3" t="str">
        <f t="shared" si="1"/>
        <v/>
      </c>
      <c r="O364" s="23" t="str">
        <f>IFERROR(VLOOKUP(A364, '2023 Full View'!$1:$1000, 1, FALSE), "")</f>
        <v/>
      </c>
      <c r="P364" s="3" t="str">
        <f ca="1">IFERROR(__xludf.DUMMYFUNCTION("iferror(TEXTJOIN("", "",TRUE, FILTER($B$1:$E$1,B364:E364&lt;&gt;"""")),"""")"),"")</f>
        <v/>
      </c>
    </row>
    <row r="365" spans="1:16" ht="13">
      <c r="A365" s="3" t="str">
        <f t="shared" si="2"/>
        <v/>
      </c>
      <c r="N365" s="3" t="str">
        <f t="shared" si="1"/>
        <v/>
      </c>
      <c r="O365" s="23" t="str">
        <f>IFERROR(VLOOKUP(A365, '2023 Full View'!$1:$1000, 1, FALSE), "")</f>
        <v/>
      </c>
      <c r="P365" s="3" t="str">
        <f ca="1">IFERROR(__xludf.DUMMYFUNCTION("iferror(TEXTJOIN("", "",TRUE, FILTER($B$1:$E$1,B365:E365&lt;&gt;"""")),"""")"),"")</f>
        <v/>
      </c>
    </row>
    <row r="366" spans="1:16" ht="13">
      <c r="A366" s="3" t="str">
        <f t="shared" si="2"/>
        <v/>
      </c>
      <c r="N366" s="3" t="str">
        <f t="shared" si="1"/>
        <v/>
      </c>
      <c r="O366" s="23" t="str">
        <f>IFERROR(VLOOKUP(A366, '2023 Full View'!$1:$1000, 1, FALSE), "")</f>
        <v/>
      </c>
      <c r="P366" s="3" t="str">
        <f ca="1">IFERROR(__xludf.DUMMYFUNCTION("iferror(TEXTJOIN("", "",TRUE, FILTER($B$1:$E$1,B366:E366&lt;&gt;"""")),"""")"),"")</f>
        <v/>
      </c>
    </row>
    <row r="367" spans="1:16" ht="13">
      <c r="A367" s="3" t="str">
        <f t="shared" si="2"/>
        <v/>
      </c>
      <c r="N367" s="3" t="str">
        <f t="shared" si="1"/>
        <v/>
      </c>
      <c r="O367" s="23" t="str">
        <f>IFERROR(VLOOKUP(A367, '2023 Full View'!$1:$1000, 1, FALSE), "")</f>
        <v/>
      </c>
      <c r="P367" s="3" t="str">
        <f ca="1">IFERROR(__xludf.DUMMYFUNCTION("iferror(TEXTJOIN("", "",TRUE, FILTER($B$1:$E$1,B367:E367&lt;&gt;"""")),"""")"),"")</f>
        <v/>
      </c>
    </row>
    <row r="368" spans="1:16" ht="13">
      <c r="A368" s="3" t="str">
        <f t="shared" si="2"/>
        <v/>
      </c>
      <c r="N368" s="3" t="str">
        <f t="shared" si="1"/>
        <v/>
      </c>
      <c r="O368" s="23" t="str">
        <f>IFERROR(VLOOKUP(A368, '2023 Full View'!$1:$1000, 1, FALSE), "")</f>
        <v/>
      </c>
      <c r="P368" s="3" t="str">
        <f ca="1">IFERROR(__xludf.DUMMYFUNCTION("iferror(TEXTJOIN("", "",TRUE, FILTER($B$1:$E$1,B368:E368&lt;&gt;"""")),"""")"),"")</f>
        <v/>
      </c>
    </row>
    <row r="369" spans="1:16" ht="13">
      <c r="A369" s="3" t="str">
        <f t="shared" si="2"/>
        <v/>
      </c>
      <c r="N369" s="3" t="str">
        <f t="shared" si="1"/>
        <v/>
      </c>
      <c r="O369" s="23" t="str">
        <f>IFERROR(VLOOKUP(A369, '2023 Full View'!$1:$1000, 1, FALSE), "")</f>
        <v/>
      </c>
      <c r="P369" s="3" t="str">
        <f ca="1">IFERROR(__xludf.DUMMYFUNCTION("iferror(TEXTJOIN("", "",TRUE, FILTER($B$1:$E$1,B369:E369&lt;&gt;"""")),"""")"),"")</f>
        <v/>
      </c>
    </row>
    <row r="370" spans="1:16" ht="13">
      <c r="A370" s="3" t="str">
        <f t="shared" si="2"/>
        <v/>
      </c>
      <c r="N370" s="3" t="str">
        <f t="shared" si="1"/>
        <v/>
      </c>
      <c r="P370" s="3" t="str">
        <f ca="1">IFERROR(__xludf.DUMMYFUNCTION("iferror(TEXTJOIN("", "",TRUE, FILTER($B$1:$E$1,B370:E370&lt;&gt;"""")),"""")"),"")</f>
        <v/>
      </c>
    </row>
    <row r="371" spans="1:16" ht="13">
      <c r="A371" s="3" t="str">
        <f t="shared" si="2"/>
        <v/>
      </c>
      <c r="N371" s="3" t="str">
        <f t="shared" si="1"/>
        <v/>
      </c>
      <c r="P371" s="3" t="str">
        <f ca="1">IFERROR(__xludf.DUMMYFUNCTION("iferror(TEXTJOIN("", "",TRUE, FILTER($B$1:$E$1,B371:E371&lt;&gt;"""")),"""")"),"")</f>
        <v/>
      </c>
    </row>
    <row r="372" spans="1:16" ht="13">
      <c r="A372" s="3" t="str">
        <f t="shared" si="2"/>
        <v/>
      </c>
      <c r="N372" s="3" t="str">
        <f t="shared" si="1"/>
        <v/>
      </c>
      <c r="P372" s="3" t="str">
        <f ca="1">IFERROR(__xludf.DUMMYFUNCTION("iferror(TEXTJOIN("", "",TRUE, FILTER($B$1:$E$1,B372:E372&lt;&gt;"""")),"""")"),"")</f>
        <v/>
      </c>
    </row>
    <row r="373" spans="1:16" ht="13">
      <c r="A373" s="3" t="str">
        <f t="shared" si="2"/>
        <v/>
      </c>
      <c r="N373" s="3" t="str">
        <f t="shared" si="1"/>
        <v/>
      </c>
      <c r="P373" s="3" t="str">
        <f ca="1">IFERROR(__xludf.DUMMYFUNCTION("iferror(TEXTJOIN("", "",TRUE, FILTER($B$1:$E$1,B373:E373&lt;&gt;"""")),"""")"),"")</f>
        <v/>
      </c>
    </row>
    <row r="374" spans="1:16" ht="13">
      <c r="A374" s="3" t="str">
        <f t="shared" si="2"/>
        <v/>
      </c>
      <c r="N374" s="3" t="str">
        <f t="shared" si="1"/>
        <v/>
      </c>
      <c r="P374" s="3" t="str">
        <f ca="1">IFERROR(__xludf.DUMMYFUNCTION("iferror(TEXTJOIN("", "",TRUE, FILTER($B$1:$E$1,B374:E374&lt;&gt;"""")),"""")"),"")</f>
        <v/>
      </c>
    </row>
    <row r="375" spans="1:16" ht="13">
      <c r="A375" s="3" t="str">
        <f t="shared" si="2"/>
        <v/>
      </c>
      <c r="N375" s="3" t="str">
        <f t="shared" si="1"/>
        <v/>
      </c>
      <c r="P375" s="3" t="str">
        <f ca="1">IFERROR(__xludf.DUMMYFUNCTION("iferror(TEXTJOIN("", "",TRUE, FILTER($B$1:$E$1,B375:E375&lt;&gt;"""")),"""")"),"")</f>
        <v/>
      </c>
    </row>
    <row r="376" spans="1:16" ht="13">
      <c r="A376" s="3" t="str">
        <f t="shared" si="2"/>
        <v/>
      </c>
      <c r="N376" s="3" t="str">
        <f t="shared" si="1"/>
        <v/>
      </c>
      <c r="P376" s="3" t="str">
        <f ca="1">IFERROR(__xludf.DUMMYFUNCTION("iferror(TEXTJOIN("", "",TRUE, FILTER($B$1:$E$1,B376:E376&lt;&gt;"""")),"""")"),"")</f>
        <v/>
      </c>
    </row>
    <row r="377" spans="1:16" ht="13">
      <c r="A377" s="3" t="str">
        <f t="shared" si="2"/>
        <v/>
      </c>
      <c r="N377" s="3" t="str">
        <f t="shared" si="1"/>
        <v/>
      </c>
      <c r="P377" s="3" t="str">
        <f ca="1">IFERROR(__xludf.DUMMYFUNCTION("iferror(TEXTJOIN("", "",TRUE, FILTER($B$1:$E$1,B377:E377&lt;&gt;"""")),"""")"),"")</f>
        <v/>
      </c>
    </row>
    <row r="378" spans="1:16" ht="13">
      <c r="A378" s="3" t="str">
        <f t="shared" si="2"/>
        <v/>
      </c>
      <c r="N378" s="3" t="str">
        <f t="shared" si="1"/>
        <v/>
      </c>
      <c r="P378" s="3" t="str">
        <f ca="1">IFERROR(__xludf.DUMMYFUNCTION("iferror(TEXTJOIN("", "",TRUE, FILTER($B$1:$E$1,B378:E378&lt;&gt;"""")),"""")"),"")</f>
        <v/>
      </c>
    </row>
    <row r="379" spans="1:16" ht="13">
      <c r="A379" s="3" t="str">
        <f t="shared" si="2"/>
        <v/>
      </c>
      <c r="N379" s="3" t="str">
        <f t="shared" si="1"/>
        <v/>
      </c>
      <c r="P379" s="3" t="str">
        <f ca="1">IFERROR(__xludf.DUMMYFUNCTION("iferror(TEXTJOIN("", "",TRUE, FILTER($B$1:$E$1,B379:E379&lt;&gt;"""")),"""")"),"")</f>
        <v/>
      </c>
    </row>
    <row r="380" spans="1:16" ht="13">
      <c r="A380" s="3" t="str">
        <f t="shared" si="2"/>
        <v/>
      </c>
      <c r="N380" s="3" t="str">
        <f t="shared" si="1"/>
        <v/>
      </c>
      <c r="P380" s="3" t="str">
        <f ca="1">IFERROR(__xludf.DUMMYFUNCTION("iferror(TEXTJOIN("", "",TRUE, FILTER($B$1:$E$1,B380:E380&lt;&gt;"""")),"""")"),"")</f>
        <v/>
      </c>
    </row>
    <row r="381" spans="1:16" ht="13">
      <c r="A381" s="3" t="str">
        <f t="shared" si="2"/>
        <v/>
      </c>
      <c r="N381" s="3" t="str">
        <f t="shared" si="1"/>
        <v/>
      </c>
      <c r="P381" s="3" t="str">
        <f ca="1">IFERROR(__xludf.DUMMYFUNCTION("iferror(TEXTJOIN("", "",TRUE, FILTER($B$1:$E$1,B381:E381&lt;&gt;"""")),"""")"),"")</f>
        <v/>
      </c>
    </row>
    <row r="382" spans="1:16" ht="13">
      <c r="A382" s="3" t="str">
        <f t="shared" si="2"/>
        <v/>
      </c>
      <c r="N382" s="3" t="str">
        <f t="shared" si="1"/>
        <v/>
      </c>
      <c r="P382" s="3" t="str">
        <f ca="1">IFERROR(__xludf.DUMMYFUNCTION("iferror(TEXTJOIN("", "",TRUE, FILTER($B$1:$E$1,B382:E382&lt;&gt;"""")),"""")"),"")</f>
        <v/>
      </c>
    </row>
    <row r="383" spans="1:16" ht="13">
      <c r="A383" s="3" t="str">
        <f t="shared" si="2"/>
        <v/>
      </c>
      <c r="N383" s="3" t="str">
        <f t="shared" si="1"/>
        <v/>
      </c>
      <c r="P383" s="3" t="str">
        <f ca="1">IFERROR(__xludf.DUMMYFUNCTION("iferror(TEXTJOIN("", "",TRUE, FILTER($B$1:$E$1,B383:E383&lt;&gt;"""")),"""")"),"")</f>
        <v/>
      </c>
    </row>
    <row r="384" spans="1:16" ht="13">
      <c r="A384" s="3" t="str">
        <f t="shared" si="2"/>
        <v/>
      </c>
      <c r="N384" s="3" t="str">
        <f t="shared" si="1"/>
        <v/>
      </c>
      <c r="P384" s="3" t="str">
        <f ca="1">IFERROR(__xludf.DUMMYFUNCTION("iferror(TEXTJOIN("", "",TRUE, FILTER($B$1:$E$1,B384:E384&lt;&gt;"""")),"""")"),"")</f>
        <v/>
      </c>
    </row>
    <row r="385" spans="1:16" ht="13">
      <c r="A385" s="3" t="str">
        <f t="shared" si="2"/>
        <v/>
      </c>
      <c r="N385" s="3" t="str">
        <f t="shared" si="1"/>
        <v/>
      </c>
      <c r="P385" s="3" t="str">
        <f ca="1">IFERROR(__xludf.DUMMYFUNCTION("iferror(TEXTJOIN("", "",TRUE, FILTER($B$1:$E$1,B385:E385&lt;&gt;"""")),"""")"),"")</f>
        <v/>
      </c>
    </row>
    <row r="386" spans="1:16" ht="13">
      <c r="A386" s="3" t="str">
        <f t="shared" si="2"/>
        <v/>
      </c>
      <c r="N386" s="3" t="str">
        <f t="shared" si="1"/>
        <v/>
      </c>
      <c r="P386" s="3" t="str">
        <f ca="1">IFERROR(__xludf.DUMMYFUNCTION("iferror(TEXTJOIN("", "",TRUE, FILTER($B$1:$E$1,B386:E386&lt;&gt;"""")),"""")"),"")</f>
        <v/>
      </c>
    </row>
    <row r="387" spans="1:16" ht="13">
      <c r="A387" s="3" t="str">
        <f t="shared" si="2"/>
        <v/>
      </c>
      <c r="N387" s="3" t="str">
        <f t="shared" si="1"/>
        <v/>
      </c>
      <c r="P387" s="3" t="str">
        <f ca="1">IFERROR(__xludf.DUMMYFUNCTION("iferror(TEXTJOIN("", "",TRUE, FILTER($B$1:$E$1,B387:E387&lt;&gt;"""")),"""")"),"")</f>
        <v/>
      </c>
    </row>
    <row r="388" spans="1:16" ht="13">
      <c r="A388" s="3" t="str">
        <f t="shared" si="2"/>
        <v/>
      </c>
      <c r="N388" s="3" t="str">
        <f t="shared" si="1"/>
        <v/>
      </c>
      <c r="P388" s="3" t="str">
        <f ca="1">IFERROR(__xludf.DUMMYFUNCTION("iferror(TEXTJOIN("", "",TRUE, FILTER($B$1:$E$1,B388:E388&lt;&gt;"""")),"""")"),"")</f>
        <v/>
      </c>
    </row>
    <row r="389" spans="1:16" ht="13">
      <c r="A389" s="3" t="str">
        <f t="shared" si="2"/>
        <v/>
      </c>
      <c r="N389" s="3" t="str">
        <f t="shared" si="1"/>
        <v/>
      </c>
      <c r="P389" s="3" t="str">
        <f ca="1">IFERROR(__xludf.DUMMYFUNCTION("iferror(TEXTJOIN("", "",TRUE, FILTER($B$1:$E$1,B389:E389&lt;&gt;"""")),"""")"),"")</f>
        <v/>
      </c>
    </row>
    <row r="390" spans="1:16" ht="13">
      <c r="A390" s="3" t="str">
        <f t="shared" si="2"/>
        <v/>
      </c>
      <c r="N390" s="3" t="str">
        <f t="shared" si="1"/>
        <v/>
      </c>
      <c r="P390" s="3" t="str">
        <f ca="1">IFERROR(__xludf.DUMMYFUNCTION("iferror(TEXTJOIN("", "",TRUE, FILTER($B$1:$E$1,B390:E390&lt;&gt;"""")),"""")"),"")</f>
        <v/>
      </c>
    </row>
    <row r="391" spans="1:16" ht="13">
      <c r="A391" s="3" t="str">
        <f t="shared" si="2"/>
        <v/>
      </c>
      <c r="N391" s="3" t="str">
        <f t="shared" si="1"/>
        <v/>
      </c>
      <c r="P391" s="3" t="str">
        <f ca="1">IFERROR(__xludf.DUMMYFUNCTION("iferror(TEXTJOIN("", "",TRUE, FILTER($B$1:$E$1,B391:E391&lt;&gt;"""")),"""")"),"")</f>
        <v/>
      </c>
    </row>
    <row r="392" spans="1:16" ht="13">
      <c r="A392" s="3"/>
      <c r="N392" s="3" t="str">
        <f t="shared" si="1"/>
        <v/>
      </c>
      <c r="P392" s="3" t="str">
        <f ca="1">IFERROR(__xludf.DUMMYFUNCTION("iferror(TEXTJOIN("", "",TRUE, FILTER($B$1:$E$1,B392:E392&lt;&gt;"""")),"""")"),"")</f>
        <v/>
      </c>
    </row>
    <row r="393" spans="1:16" ht="13">
      <c r="A393" s="3"/>
      <c r="N393" s="3" t="str">
        <f t="shared" si="1"/>
        <v/>
      </c>
      <c r="P393" s="3" t="str">
        <f ca="1">IFERROR(__xludf.DUMMYFUNCTION("iferror(TEXTJOIN("", "",TRUE, FILTER($B$1:$E$1,B393:E393&lt;&gt;"""")),"""")"),"")</f>
        <v/>
      </c>
    </row>
    <row r="394" spans="1:16" ht="13">
      <c r="A394" s="3"/>
      <c r="N394" s="3" t="str">
        <f t="shared" si="1"/>
        <v/>
      </c>
      <c r="P394" s="3" t="str">
        <f ca="1">IFERROR(__xludf.DUMMYFUNCTION("iferror(TEXTJOIN("", "",TRUE, FILTER($B$1:$E$1,B394:E394&lt;&gt;"""")),"""")"),"")</f>
        <v/>
      </c>
    </row>
    <row r="395" spans="1:16" ht="13">
      <c r="A395" s="3"/>
      <c r="N395" s="3" t="str">
        <f t="shared" si="1"/>
        <v/>
      </c>
      <c r="P395" s="3" t="str">
        <f ca="1">IFERROR(__xludf.DUMMYFUNCTION("iferror(TEXTJOIN("", "",TRUE, FILTER($B$1:$E$1,B395:E395&lt;&gt;"""")),"""")"),"")</f>
        <v/>
      </c>
    </row>
    <row r="396" spans="1:16" ht="13">
      <c r="A396" s="3"/>
      <c r="N396" s="3" t="str">
        <f t="shared" si="1"/>
        <v/>
      </c>
      <c r="P396" s="3" t="str">
        <f ca="1">IFERROR(__xludf.DUMMYFUNCTION("iferror(TEXTJOIN("", "",TRUE, FILTER($B$1:$E$1,B396:E396&lt;&gt;"""")),"""")"),"")</f>
        <v/>
      </c>
    </row>
    <row r="397" spans="1:16" ht="13">
      <c r="A397" s="3"/>
      <c r="N397" s="3" t="str">
        <f t="shared" si="1"/>
        <v/>
      </c>
      <c r="P397" s="3" t="str">
        <f ca="1">IFERROR(__xludf.DUMMYFUNCTION("iferror(TEXTJOIN("", "",TRUE, FILTER($B$1:$E$1,B397:E397&lt;&gt;"""")),"""")"),"")</f>
        <v/>
      </c>
    </row>
    <row r="398" spans="1:16" ht="13">
      <c r="A398" s="3"/>
      <c r="N398" s="3" t="str">
        <f t="shared" si="1"/>
        <v/>
      </c>
      <c r="P398" s="3" t="str">
        <f ca="1">IFERROR(__xludf.DUMMYFUNCTION("iferror(TEXTJOIN("", "",TRUE, FILTER($B$1:$E$1,B398:E398&lt;&gt;"""")),"""")"),"")</f>
        <v/>
      </c>
    </row>
    <row r="399" spans="1:16" ht="13">
      <c r="A399" s="3"/>
      <c r="N399" s="3" t="str">
        <f t="shared" si="1"/>
        <v/>
      </c>
      <c r="P399" s="3" t="str">
        <f ca="1">IFERROR(__xludf.DUMMYFUNCTION("iferror(TEXTJOIN("", "",TRUE, FILTER($B$1:$E$1,B399:E399&lt;&gt;"""")),"""")"),"")</f>
        <v/>
      </c>
    </row>
    <row r="400" spans="1:16" ht="13">
      <c r="A400" s="3"/>
      <c r="N400" s="3" t="str">
        <f t="shared" si="1"/>
        <v/>
      </c>
      <c r="P400" s="3" t="str">
        <f ca="1">IFERROR(__xludf.DUMMYFUNCTION("iferror(TEXTJOIN("", "",TRUE, FILTER($B$1:$E$1,B400:E400&lt;&gt;"""")),"""")"),"")</f>
        <v/>
      </c>
    </row>
    <row r="401" spans="1:16" ht="13">
      <c r="A401" s="3"/>
      <c r="N401" s="3" t="str">
        <f t="shared" si="1"/>
        <v/>
      </c>
      <c r="P401" s="3" t="str">
        <f ca="1">IFERROR(__xludf.DUMMYFUNCTION("iferror(TEXTJOIN("", "",TRUE, FILTER($B$1:$E$1,B401:E401&lt;&gt;"""")),"""")"),"")</f>
        <v/>
      </c>
    </row>
    <row r="402" spans="1:16" ht="13">
      <c r="A402" s="3"/>
      <c r="N402" s="3" t="str">
        <f t="shared" si="1"/>
        <v/>
      </c>
      <c r="P402" s="3" t="str">
        <f ca="1">IFERROR(__xludf.DUMMYFUNCTION("iferror(TEXTJOIN("", "",TRUE, FILTER($B$1:$E$1,B402:E402&lt;&gt;"""")),"""")"),"")</f>
        <v/>
      </c>
    </row>
    <row r="403" spans="1:16" ht="13">
      <c r="A403" s="3"/>
      <c r="N403" s="3" t="str">
        <f t="shared" si="1"/>
        <v/>
      </c>
      <c r="P403" s="3" t="str">
        <f ca="1">IFERROR(__xludf.DUMMYFUNCTION("iferror(TEXTJOIN("", "",TRUE, FILTER($B$1:$E$1,B403:E403&lt;&gt;"""")),"""")"),"")</f>
        <v/>
      </c>
    </row>
    <row r="404" spans="1:16" ht="13">
      <c r="A404" s="3"/>
      <c r="N404" s="3" t="str">
        <f t="shared" si="1"/>
        <v/>
      </c>
      <c r="P404" s="3" t="str">
        <f ca="1">IFERROR(__xludf.DUMMYFUNCTION("iferror(TEXTJOIN("", "",TRUE, FILTER($B$1:$E$1,B404:E404&lt;&gt;"""")),"""")"),"")</f>
        <v/>
      </c>
    </row>
    <row r="405" spans="1:16" ht="13">
      <c r="A405" s="3"/>
      <c r="N405" s="3" t="str">
        <f t="shared" si="1"/>
        <v/>
      </c>
      <c r="P405" s="3" t="str">
        <f ca="1">IFERROR(__xludf.DUMMYFUNCTION("iferror(TEXTJOIN("", "",TRUE, FILTER($B$1:$E$1,B405:E405&lt;&gt;"""")),"""")"),"")</f>
        <v/>
      </c>
    </row>
    <row r="406" spans="1:16" ht="13">
      <c r="A406" s="3"/>
      <c r="N406" s="3" t="str">
        <f t="shared" si="1"/>
        <v/>
      </c>
      <c r="P406" s="3" t="str">
        <f ca="1">IFERROR(__xludf.DUMMYFUNCTION("iferror(TEXTJOIN("", "",TRUE, FILTER($B$1:$E$1,B406:E406&lt;&gt;"""")),"""")"),"")</f>
        <v/>
      </c>
    </row>
    <row r="407" spans="1:16" ht="13">
      <c r="A407" s="3"/>
      <c r="N407" s="3" t="str">
        <f t="shared" si="1"/>
        <v/>
      </c>
      <c r="P407" s="3" t="str">
        <f ca="1">IFERROR(__xludf.DUMMYFUNCTION("iferror(TEXTJOIN("", "",TRUE, FILTER($B$1:$E$1,B407:E407&lt;&gt;"""")),"""")"),"")</f>
        <v/>
      </c>
    </row>
    <row r="408" spans="1:16" ht="13">
      <c r="A408" s="3"/>
      <c r="N408" s="3" t="str">
        <f t="shared" si="1"/>
        <v/>
      </c>
      <c r="P408" s="3" t="str">
        <f ca="1">IFERROR(__xludf.DUMMYFUNCTION("iferror(TEXTJOIN("", "",TRUE, FILTER($B$1:$E$1,B408:E408&lt;&gt;"""")),"""")"),"")</f>
        <v/>
      </c>
    </row>
    <row r="409" spans="1:16" ht="13">
      <c r="A409" s="3"/>
      <c r="N409" s="3" t="str">
        <f t="shared" si="1"/>
        <v/>
      </c>
      <c r="P409" s="3" t="str">
        <f ca="1">IFERROR(__xludf.DUMMYFUNCTION("iferror(TEXTJOIN("", "",TRUE, FILTER($B$1:$E$1,B409:E409&lt;&gt;"""")),"""")"),"")</f>
        <v/>
      </c>
    </row>
    <row r="410" spans="1:16" ht="13">
      <c r="A410" s="3"/>
      <c r="N410" s="3" t="str">
        <f t="shared" si="1"/>
        <v/>
      </c>
      <c r="P410" s="3" t="str">
        <f ca="1">IFERROR(__xludf.DUMMYFUNCTION("iferror(TEXTJOIN("", "",TRUE, FILTER($B$1:$E$1,B410:E410&lt;&gt;"""")),"""")"),"")</f>
        <v/>
      </c>
    </row>
    <row r="411" spans="1:16" ht="13">
      <c r="A411" s="3"/>
      <c r="N411" s="3" t="str">
        <f t="shared" si="1"/>
        <v/>
      </c>
      <c r="P411" s="3" t="str">
        <f ca="1">IFERROR(__xludf.DUMMYFUNCTION("iferror(TEXTJOIN("", "",TRUE, FILTER($B$1:$E$1,B411:E411&lt;&gt;"""")),"""")"),"")</f>
        <v/>
      </c>
    </row>
    <row r="412" spans="1:16" ht="13">
      <c r="A412" s="3"/>
      <c r="P412" s="3" t="str">
        <f ca="1">IFERROR(__xludf.DUMMYFUNCTION("iferror(TEXTJOIN("", "",TRUE, FILTER($B$1:$E$1,B412:E412&lt;&gt;"""")),"""")"),"")</f>
        <v/>
      </c>
    </row>
    <row r="413" spans="1:16" ht="13">
      <c r="A413" s="3"/>
      <c r="P413" s="3" t="str">
        <f ca="1">IFERROR(__xludf.DUMMYFUNCTION("iferror(TEXTJOIN("", "",TRUE, FILTER($B$1:$E$1,B413:E413&lt;&gt;"""")),"""")"),"")</f>
        <v/>
      </c>
    </row>
    <row r="414" spans="1:16" ht="13">
      <c r="A414" s="3"/>
      <c r="P414" s="3" t="str">
        <f ca="1">IFERROR(__xludf.DUMMYFUNCTION("iferror(TEXTJOIN("", "",TRUE, FILTER($B$1:$E$1,B414:E414&lt;&gt;"""")),"""")"),"")</f>
        <v/>
      </c>
    </row>
    <row r="415" spans="1:16" ht="13">
      <c r="A415" s="3"/>
      <c r="P415" s="3" t="str">
        <f ca="1">IFERROR(__xludf.DUMMYFUNCTION("iferror(TEXTJOIN("", "",TRUE, FILTER($B$1:$E$1,B415:E415&lt;&gt;"""")),"""")"),"")</f>
        <v/>
      </c>
    </row>
    <row r="416" spans="1:16" ht="13">
      <c r="A416" s="3"/>
      <c r="P416" s="3" t="str">
        <f ca="1">IFERROR(__xludf.DUMMYFUNCTION("iferror(TEXTJOIN("", "",TRUE, FILTER($B$1:$E$1,B416:E416&lt;&gt;"""")),"""")"),"")</f>
        <v/>
      </c>
    </row>
    <row r="417" spans="1:16" ht="13">
      <c r="A417" s="3"/>
      <c r="P417" s="3" t="str">
        <f ca="1">IFERROR(__xludf.DUMMYFUNCTION("iferror(TEXTJOIN("", "",TRUE, FILTER($B$1:$E$1,B417:E417&lt;&gt;"""")),"""")"),"")</f>
        <v/>
      </c>
    </row>
    <row r="418" spans="1:16" ht="13">
      <c r="A418" s="3"/>
      <c r="P418" s="3" t="str">
        <f ca="1">IFERROR(__xludf.DUMMYFUNCTION("iferror(TEXTJOIN("", "",TRUE, FILTER($B$1:$E$1,B418:E418&lt;&gt;"""")),"""")"),"")</f>
        <v/>
      </c>
    </row>
    <row r="419" spans="1:16" ht="13">
      <c r="A419" s="3"/>
      <c r="P419" s="3" t="str">
        <f ca="1">IFERROR(__xludf.DUMMYFUNCTION("iferror(TEXTJOIN("", "",TRUE, FILTER($B$1:$E$1,B419:E419&lt;&gt;"""")),"""")"),"")</f>
        <v/>
      </c>
    </row>
    <row r="420" spans="1:16" ht="13">
      <c r="A420" s="3"/>
      <c r="P420" s="3" t="str">
        <f ca="1">IFERROR(__xludf.DUMMYFUNCTION("iferror(TEXTJOIN("", "",TRUE, FILTER($B$1:$E$1,B420:E420&lt;&gt;"""")),"""")"),"")</f>
        <v/>
      </c>
    </row>
    <row r="421" spans="1:16" ht="13">
      <c r="A421" s="3"/>
      <c r="P421" s="3" t="str">
        <f ca="1">IFERROR(__xludf.DUMMYFUNCTION("iferror(TEXTJOIN("", "",TRUE, FILTER($B$1:$E$1,B421:E421&lt;&gt;"""")),"""")"),"")</f>
        <v/>
      </c>
    </row>
    <row r="422" spans="1:16" ht="13">
      <c r="A422" s="3"/>
      <c r="P422" s="3" t="str">
        <f ca="1">IFERROR(__xludf.DUMMYFUNCTION("iferror(TEXTJOIN("", "",TRUE, FILTER($B$1:$E$1,B422:E422&lt;&gt;"""")),"""")"),"")</f>
        <v/>
      </c>
    </row>
    <row r="423" spans="1:16" ht="13">
      <c r="A423" s="3"/>
      <c r="P423" s="3" t="str">
        <f ca="1">IFERROR(__xludf.DUMMYFUNCTION("iferror(TEXTJOIN("", "",TRUE, FILTER($B$1:$E$1,B423:E423&lt;&gt;"""")),"""")"),"")</f>
        <v/>
      </c>
    </row>
    <row r="424" spans="1:16" ht="13">
      <c r="A424" s="3"/>
      <c r="P424" s="3" t="str">
        <f ca="1">IFERROR(__xludf.DUMMYFUNCTION("iferror(TEXTJOIN("", "",TRUE, FILTER($B$1:$E$1,B424:E424&lt;&gt;"""")),"""")"),"")</f>
        <v/>
      </c>
    </row>
    <row r="425" spans="1:16" ht="13">
      <c r="A425" s="3"/>
      <c r="P425" s="3" t="str">
        <f ca="1">IFERROR(__xludf.DUMMYFUNCTION("iferror(TEXTJOIN("", "",TRUE, FILTER($B$1:$E$1,B425:E425&lt;&gt;"""")),"""")"),"")</f>
        <v/>
      </c>
    </row>
    <row r="426" spans="1:16" ht="13">
      <c r="A426" s="3"/>
      <c r="P426" s="3" t="str">
        <f ca="1">IFERROR(__xludf.DUMMYFUNCTION("iferror(TEXTJOIN("", "",TRUE, FILTER($B$1:$E$1,B426:E426&lt;&gt;"""")),"""")"),"")</f>
        <v/>
      </c>
    </row>
    <row r="427" spans="1:16" ht="13">
      <c r="A427" s="3"/>
      <c r="P427" s="3" t="str">
        <f ca="1">IFERROR(__xludf.DUMMYFUNCTION("iferror(TEXTJOIN("", "",TRUE, FILTER($B$1:$E$1,B427:E427&lt;&gt;"""")),"""")"),"")</f>
        <v/>
      </c>
    </row>
    <row r="428" spans="1:16" ht="13">
      <c r="A428" s="3"/>
      <c r="P428" s="3" t="str">
        <f ca="1">IFERROR(__xludf.DUMMYFUNCTION("iferror(TEXTJOIN("", "",TRUE, FILTER($B$1:$E$1,B428:E428&lt;&gt;"""")),"""")"),"")</f>
        <v/>
      </c>
    </row>
    <row r="429" spans="1:16" ht="13">
      <c r="A429" s="3"/>
      <c r="P429" s="3" t="str">
        <f ca="1">IFERROR(__xludf.DUMMYFUNCTION("iferror(TEXTJOIN("", "",TRUE, FILTER($B$1:$E$1,B429:E429&lt;&gt;"""")),"""")"),"")</f>
        <v/>
      </c>
    </row>
    <row r="430" spans="1:16" ht="13">
      <c r="A430" s="3"/>
      <c r="P430" s="3" t="str">
        <f ca="1">IFERROR(__xludf.DUMMYFUNCTION("iferror(TEXTJOIN("", "",TRUE, FILTER($B$1:$E$1,B430:E430&lt;&gt;"""")),"""")"),"")</f>
        <v/>
      </c>
    </row>
    <row r="431" spans="1:16" ht="13">
      <c r="A431" s="3"/>
      <c r="P431" s="3" t="str">
        <f ca="1">IFERROR(__xludf.DUMMYFUNCTION("iferror(TEXTJOIN("", "",TRUE, FILTER($B$1:$E$1,B431:E431&lt;&gt;"""")),"""")"),"")</f>
        <v/>
      </c>
    </row>
    <row r="432" spans="1:16" ht="13">
      <c r="A432" s="3"/>
      <c r="P432" s="3" t="str">
        <f ca="1">IFERROR(__xludf.DUMMYFUNCTION("iferror(TEXTJOIN("", "",TRUE, FILTER($B$1:$E$1,B432:E432&lt;&gt;"""")),"""")"),"")</f>
        <v/>
      </c>
    </row>
    <row r="433" spans="1:16" ht="13">
      <c r="A433" s="3"/>
      <c r="P433" s="3" t="str">
        <f ca="1">IFERROR(__xludf.DUMMYFUNCTION("iferror(TEXTJOIN("", "",TRUE, FILTER($B$1:$E$1,B433:E433&lt;&gt;"""")),"""")"),"")</f>
        <v/>
      </c>
    </row>
    <row r="434" spans="1:16" ht="13">
      <c r="A434" s="3"/>
    </row>
    <row r="435" spans="1:16" ht="13">
      <c r="A435" s="3"/>
    </row>
    <row r="436" spans="1:16" ht="13">
      <c r="A436" s="3"/>
    </row>
    <row r="437" spans="1:16" ht="13">
      <c r="A437" s="3"/>
    </row>
    <row r="438" spans="1:16" ht="13">
      <c r="A438" s="3"/>
    </row>
    <row r="439" spans="1:16" ht="13">
      <c r="A439" s="3"/>
    </row>
    <row r="440" spans="1:16" ht="13">
      <c r="A440" s="3"/>
    </row>
    <row r="441" spans="1:16" ht="13">
      <c r="A441" s="3"/>
    </row>
    <row r="442" spans="1:16" ht="13">
      <c r="A442" s="3"/>
    </row>
    <row r="443" spans="1:16" ht="13">
      <c r="A443" s="3"/>
    </row>
    <row r="444" spans="1:16" ht="13">
      <c r="A444" s="3"/>
    </row>
    <row r="445" spans="1:16" ht="13">
      <c r="A445" s="3"/>
    </row>
    <row r="446" spans="1:16" ht="13">
      <c r="A446" s="3"/>
    </row>
    <row r="447" spans="1:16" ht="13">
      <c r="A447" s="3"/>
    </row>
    <row r="448" spans="1:16" ht="13">
      <c r="A448" s="3"/>
    </row>
    <row r="449" spans="1:1" ht="13">
      <c r="A449" s="3"/>
    </row>
    <row r="450" spans="1:1" ht="13">
      <c r="A450" s="3"/>
    </row>
    <row r="451" spans="1:1" ht="13">
      <c r="A451" s="3"/>
    </row>
    <row r="452" spans="1:1" ht="13">
      <c r="A452" s="3"/>
    </row>
    <row r="453" spans="1:1" ht="13">
      <c r="A453" s="3"/>
    </row>
    <row r="454" spans="1:1" ht="13">
      <c r="A454" s="3"/>
    </row>
    <row r="455" spans="1:1" ht="13">
      <c r="A455" s="3"/>
    </row>
    <row r="456" spans="1:1" ht="13">
      <c r="A456" s="3"/>
    </row>
    <row r="457" spans="1:1" ht="13">
      <c r="A457" s="3"/>
    </row>
    <row r="458" spans="1:1" ht="13">
      <c r="A458" s="3"/>
    </row>
    <row r="459" spans="1:1" ht="13">
      <c r="A459" s="3"/>
    </row>
    <row r="460" spans="1:1" ht="13">
      <c r="A460" s="3"/>
    </row>
    <row r="461" spans="1:1" ht="13">
      <c r="A461" s="3"/>
    </row>
    <row r="462" spans="1:1" ht="13">
      <c r="A462" s="3"/>
    </row>
    <row r="463" spans="1:1" ht="13">
      <c r="A463" s="3"/>
    </row>
    <row r="464" spans="1:1" ht="13">
      <c r="A464" s="3"/>
    </row>
    <row r="465" spans="1:1" ht="13">
      <c r="A465" s="3"/>
    </row>
    <row r="466" spans="1:1" ht="13">
      <c r="A466" s="3"/>
    </row>
    <row r="467" spans="1:1" ht="13">
      <c r="A467" s="3"/>
    </row>
    <row r="468" spans="1:1" ht="13">
      <c r="A468" s="3"/>
    </row>
    <row r="469" spans="1:1" ht="13">
      <c r="A469" s="3"/>
    </row>
    <row r="470" spans="1:1" ht="13">
      <c r="A470" s="3"/>
    </row>
    <row r="471" spans="1:1" ht="13">
      <c r="A471" s="3"/>
    </row>
    <row r="472" spans="1:1" ht="13">
      <c r="A472" s="3"/>
    </row>
    <row r="473" spans="1:1" ht="13">
      <c r="A473" s="3"/>
    </row>
    <row r="474" spans="1:1" ht="13">
      <c r="A474" s="3"/>
    </row>
    <row r="475" spans="1:1" ht="13">
      <c r="A475" s="3"/>
    </row>
    <row r="476" spans="1:1" ht="13">
      <c r="A476" s="3"/>
    </row>
    <row r="477" spans="1:1" ht="13">
      <c r="A477" s="3"/>
    </row>
    <row r="478" spans="1:1" ht="13">
      <c r="A478" s="3"/>
    </row>
    <row r="479" spans="1:1" ht="13">
      <c r="A479" s="3"/>
    </row>
    <row r="480" spans="1:1" ht="13">
      <c r="A480" s="3"/>
    </row>
    <row r="481" spans="1:1" ht="13">
      <c r="A481" s="3"/>
    </row>
    <row r="482" spans="1:1" ht="13">
      <c r="A482" s="3"/>
    </row>
    <row r="483" spans="1:1" ht="13">
      <c r="A483" s="3"/>
    </row>
    <row r="484" spans="1:1" ht="13">
      <c r="A484" s="3"/>
    </row>
    <row r="485" spans="1:1" ht="13">
      <c r="A485" s="3"/>
    </row>
    <row r="486" spans="1:1" ht="13">
      <c r="A486" s="3"/>
    </row>
    <row r="487" spans="1:1" ht="13">
      <c r="A487" s="3"/>
    </row>
    <row r="488" spans="1:1" ht="13">
      <c r="A488" s="3"/>
    </row>
    <row r="489" spans="1:1" ht="13">
      <c r="A489" s="3"/>
    </row>
    <row r="490" spans="1:1" ht="13">
      <c r="A490" s="3"/>
    </row>
    <row r="491" spans="1:1" ht="13">
      <c r="A491" s="3"/>
    </row>
    <row r="492" spans="1:1" ht="13">
      <c r="A492" s="3"/>
    </row>
    <row r="493" spans="1:1" ht="13">
      <c r="A493" s="3"/>
    </row>
    <row r="494" spans="1:1" ht="13">
      <c r="A494" s="3"/>
    </row>
    <row r="495" spans="1:1" ht="13">
      <c r="A495" s="3"/>
    </row>
    <row r="496" spans="1:1" ht="13">
      <c r="A496" s="3"/>
    </row>
    <row r="497" spans="1:1" ht="13">
      <c r="A497" s="3"/>
    </row>
    <row r="498" spans="1:1" ht="13">
      <c r="A498" s="3"/>
    </row>
    <row r="499" spans="1:1" ht="13">
      <c r="A499" s="3"/>
    </row>
    <row r="500" spans="1:1" ht="13">
      <c r="A500" s="3"/>
    </row>
    <row r="501" spans="1:1" ht="13">
      <c r="A501" s="3"/>
    </row>
    <row r="502" spans="1:1" ht="13">
      <c r="A502" s="3"/>
    </row>
    <row r="503" spans="1:1" ht="13">
      <c r="A503" s="3"/>
    </row>
    <row r="504" spans="1:1" ht="13">
      <c r="A504" s="3"/>
    </row>
    <row r="505" spans="1:1" ht="13">
      <c r="A505" s="3"/>
    </row>
    <row r="506" spans="1:1" ht="13">
      <c r="A506" s="3"/>
    </row>
    <row r="507" spans="1:1" ht="13">
      <c r="A507" s="3"/>
    </row>
    <row r="508" spans="1:1" ht="13">
      <c r="A508" s="3"/>
    </row>
    <row r="509" spans="1:1" ht="13">
      <c r="A509" s="3"/>
    </row>
    <row r="510" spans="1:1" ht="13">
      <c r="A510" s="3"/>
    </row>
    <row r="511" spans="1:1" ht="13">
      <c r="A511" s="3"/>
    </row>
    <row r="512" spans="1:1" ht="13">
      <c r="A512" s="3"/>
    </row>
    <row r="513" spans="1:1" ht="13">
      <c r="A513" s="3"/>
    </row>
    <row r="514" spans="1:1" ht="13">
      <c r="A514" s="3"/>
    </row>
    <row r="515" spans="1:1" ht="13">
      <c r="A515" s="3"/>
    </row>
    <row r="516" spans="1:1" ht="13">
      <c r="A516" s="3"/>
    </row>
    <row r="517" spans="1:1" ht="13">
      <c r="A517" s="3"/>
    </row>
    <row r="518" spans="1:1" ht="13">
      <c r="A518" s="3"/>
    </row>
    <row r="519" spans="1:1" ht="13">
      <c r="A519" s="3"/>
    </row>
    <row r="520" spans="1:1" ht="13">
      <c r="A520" s="3"/>
    </row>
    <row r="521" spans="1:1" ht="13">
      <c r="A521" s="3"/>
    </row>
    <row r="522" spans="1:1" ht="13">
      <c r="A522" s="3"/>
    </row>
    <row r="523" spans="1:1" ht="13">
      <c r="A523" s="3"/>
    </row>
    <row r="524" spans="1:1" ht="13">
      <c r="A524" s="3"/>
    </row>
    <row r="525" spans="1:1" ht="13">
      <c r="A525" s="3"/>
    </row>
    <row r="526" spans="1:1" ht="13">
      <c r="A526" s="3"/>
    </row>
    <row r="527" spans="1:1" ht="13">
      <c r="A527" s="3"/>
    </row>
    <row r="528" spans="1:1" ht="13">
      <c r="A528" s="3"/>
    </row>
    <row r="529" spans="1:1" ht="13">
      <c r="A529" s="3"/>
    </row>
    <row r="530" spans="1:1" ht="13">
      <c r="A530" s="3"/>
    </row>
    <row r="531" spans="1:1" ht="13">
      <c r="A531" s="3"/>
    </row>
    <row r="532" spans="1:1" ht="13">
      <c r="A532" s="3"/>
    </row>
    <row r="533" spans="1:1" ht="13">
      <c r="A533" s="3"/>
    </row>
    <row r="534" spans="1:1" ht="13">
      <c r="A534" s="3"/>
    </row>
    <row r="535" spans="1:1" ht="13">
      <c r="A535" s="3"/>
    </row>
    <row r="536" spans="1:1" ht="13">
      <c r="A536" s="3"/>
    </row>
    <row r="537" spans="1:1" ht="13">
      <c r="A537" s="3"/>
    </row>
    <row r="538" spans="1:1" ht="13">
      <c r="A538" s="3"/>
    </row>
    <row r="539" spans="1:1" ht="13">
      <c r="A539" s="3"/>
    </row>
    <row r="540" spans="1:1" ht="13">
      <c r="A540" s="3"/>
    </row>
    <row r="541" spans="1:1" ht="13">
      <c r="A541" s="3"/>
    </row>
    <row r="542" spans="1:1" ht="13">
      <c r="A542" s="3"/>
    </row>
    <row r="543" spans="1:1" ht="13">
      <c r="A543" s="3"/>
    </row>
    <row r="544" spans="1:1" ht="13">
      <c r="A544" s="3"/>
    </row>
    <row r="545" spans="1:1" ht="13">
      <c r="A545" s="3"/>
    </row>
    <row r="546" spans="1:1" ht="13">
      <c r="A546" s="3"/>
    </row>
    <row r="547" spans="1:1" ht="13">
      <c r="A547" s="3"/>
    </row>
    <row r="548" spans="1:1" ht="13">
      <c r="A548" s="3"/>
    </row>
    <row r="549" spans="1:1" ht="13">
      <c r="A549" s="3"/>
    </row>
    <row r="550" spans="1:1" ht="13">
      <c r="A550" s="3"/>
    </row>
    <row r="551" spans="1:1" ht="13">
      <c r="A551" s="3"/>
    </row>
    <row r="552" spans="1:1" ht="13">
      <c r="A552" s="3"/>
    </row>
    <row r="553" spans="1:1" ht="13">
      <c r="A553" s="3"/>
    </row>
    <row r="554" spans="1:1" ht="13">
      <c r="A554" s="3"/>
    </row>
    <row r="555" spans="1:1" ht="13">
      <c r="A555" s="3"/>
    </row>
    <row r="556" spans="1:1" ht="13">
      <c r="A556" s="3"/>
    </row>
    <row r="557" spans="1:1" ht="13">
      <c r="A557" s="3"/>
    </row>
    <row r="558" spans="1:1" ht="13">
      <c r="A558" s="3"/>
    </row>
    <row r="559" spans="1:1" ht="13">
      <c r="A559" s="3"/>
    </row>
    <row r="560" spans="1:1" ht="13">
      <c r="A560" s="3"/>
    </row>
    <row r="561" spans="1:1" ht="13">
      <c r="A561" s="3"/>
    </row>
    <row r="562" spans="1:1" ht="13">
      <c r="A562" s="3"/>
    </row>
    <row r="563" spans="1:1" ht="13">
      <c r="A563" s="3"/>
    </row>
    <row r="564" spans="1:1" ht="13">
      <c r="A564" s="3"/>
    </row>
    <row r="565" spans="1:1" ht="13">
      <c r="A565" s="3"/>
    </row>
    <row r="566" spans="1:1" ht="13">
      <c r="A566" s="3"/>
    </row>
    <row r="567" spans="1:1" ht="13">
      <c r="A567" s="3"/>
    </row>
    <row r="568" spans="1:1" ht="13">
      <c r="A568" s="3"/>
    </row>
    <row r="569" spans="1:1" ht="13">
      <c r="A569" s="3"/>
    </row>
    <row r="570" spans="1:1" ht="13">
      <c r="A570" s="3"/>
    </row>
    <row r="571" spans="1:1" ht="13">
      <c r="A571" s="3"/>
    </row>
    <row r="572" spans="1:1" ht="13">
      <c r="A572" s="3"/>
    </row>
    <row r="573" spans="1:1" ht="13">
      <c r="A573" s="3"/>
    </row>
    <row r="574" spans="1:1" ht="13">
      <c r="A574" s="3"/>
    </row>
    <row r="575" spans="1:1" ht="13">
      <c r="A575" s="3"/>
    </row>
    <row r="576" spans="1:1" ht="13">
      <c r="A576" s="3"/>
    </row>
    <row r="577" spans="1:1" ht="13">
      <c r="A577" s="3"/>
    </row>
    <row r="578" spans="1:1" ht="13">
      <c r="A578" s="3"/>
    </row>
    <row r="579" spans="1:1" ht="13">
      <c r="A579" s="3"/>
    </row>
    <row r="580" spans="1:1" ht="13">
      <c r="A580" s="3"/>
    </row>
    <row r="581" spans="1:1" ht="13">
      <c r="A581" s="3"/>
    </row>
    <row r="582" spans="1:1" ht="13">
      <c r="A582" s="3"/>
    </row>
    <row r="583" spans="1:1" ht="13">
      <c r="A583" s="3"/>
    </row>
    <row r="584" spans="1:1" ht="13">
      <c r="A584" s="3"/>
    </row>
    <row r="585" spans="1:1" ht="13">
      <c r="A585" s="3"/>
    </row>
    <row r="586" spans="1:1" ht="13">
      <c r="A586" s="3"/>
    </row>
    <row r="587" spans="1:1" ht="13">
      <c r="A587" s="3"/>
    </row>
    <row r="588" spans="1:1" ht="13">
      <c r="A588" s="3"/>
    </row>
    <row r="589" spans="1:1" ht="13">
      <c r="A589" s="3"/>
    </row>
    <row r="590" spans="1:1" ht="13">
      <c r="A590" s="3"/>
    </row>
    <row r="591" spans="1:1" ht="13">
      <c r="A591" s="3"/>
    </row>
    <row r="592" spans="1:1" ht="13">
      <c r="A592" s="3"/>
    </row>
    <row r="593" spans="1:1" ht="13">
      <c r="A593" s="3"/>
    </row>
    <row r="594" spans="1:1" ht="13">
      <c r="A594" s="3"/>
    </row>
    <row r="595" spans="1:1" ht="13">
      <c r="A595" s="3"/>
    </row>
    <row r="596" spans="1:1" ht="13">
      <c r="A596" s="3"/>
    </row>
    <row r="597" spans="1:1" ht="13">
      <c r="A597" s="3"/>
    </row>
    <row r="598" spans="1:1" ht="13">
      <c r="A598" s="3"/>
    </row>
    <row r="599" spans="1:1" ht="13">
      <c r="A599" s="3"/>
    </row>
    <row r="600" spans="1:1" ht="13">
      <c r="A600" s="3"/>
    </row>
    <row r="601" spans="1:1" ht="13">
      <c r="A601" s="3"/>
    </row>
    <row r="602" spans="1:1" ht="13">
      <c r="A602" s="3"/>
    </row>
    <row r="603" spans="1:1" ht="13">
      <c r="A603" s="3"/>
    </row>
    <row r="604" spans="1:1" ht="13">
      <c r="A604" s="3"/>
    </row>
    <row r="605" spans="1:1" ht="13">
      <c r="A605" s="3"/>
    </row>
    <row r="606" spans="1:1" ht="13">
      <c r="A606" s="3"/>
    </row>
    <row r="607" spans="1:1" ht="13">
      <c r="A607" s="3"/>
    </row>
    <row r="608" spans="1:1" ht="13">
      <c r="A608" s="3"/>
    </row>
    <row r="609" spans="1:1" ht="13">
      <c r="A609" s="3"/>
    </row>
    <row r="610" spans="1:1" ht="13">
      <c r="A610" s="3"/>
    </row>
    <row r="611" spans="1:1" ht="13">
      <c r="A611" s="3"/>
    </row>
    <row r="612" spans="1:1" ht="13">
      <c r="A612" s="3"/>
    </row>
    <row r="613" spans="1:1" ht="13">
      <c r="A613" s="3"/>
    </row>
    <row r="614" spans="1:1" ht="13">
      <c r="A614" s="3"/>
    </row>
    <row r="615" spans="1:1" ht="13">
      <c r="A615" s="3"/>
    </row>
    <row r="616" spans="1:1" ht="13">
      <c r="A616" s="3"/>
    </row>
    <row r="617" spans="1:1" ht="13">
      <c r="A617" s="3"/>
    </row>
    <row r="618" spans="1:1" ht="13">
      <c r="A618" s="3"/>
    </row>
    <row r="619" spans="1:1" ht="13">
      <c r="A619" s="3"/>
    </row>
    <row r="620" spans="1:1" ht="13">
      <c r="A620" s="3"/>
    </row>
    <row r="621" spans="1:1" ht="13">
      <c r="A621" s="3"/>
    </row>
    <row r="622" spans="1:1" ht="13">
      <c r="A622" s="3"/>
    </row>
    <row r="623" spans="1:1" ht="13">
      <c r="A623" s="3"/>
    </row>
    <row r="624" spans="1:1" ht="13">
      <c r="A624" s="3"/>
    </row>
    <row r="625" spans="1:1" ht="13">
      <c r="A625" s="3"/>
    </row>
    <row r="626" spans="1:1" ht="13">
      <c r="A626" s="3"/>
    </row>
    <row r="627" spans="1:1" ht="13">
      <c r="A627" s="3"/>
    </row>
    <row r="628" spans="1:1" ht="13">
      <c r="A628" s="3"/>
    </row>
    <row r="629" spans="1:1" ht="13">
      <c r="A629" s="3"/>
    </row>
    <row r="630" spans="1:1" ht="13">
      <c r="A630" s="3"/>
    </row>
    <row r="631" spans="1:1" ht="13">
      <c r="A631" s="3"/>
    </row>
    <row r="632" spans="1:1" ht="13">
      <c r="A632" s="3"/>
    </row>
    <row r="633" spans="1:1" ht="13">
      <c r="A633" s="3"/>
    </row>
    <row r="634" spans="1:1" ht="13">
      <c r="A634" s="3"/>
    </row>
    <row r="635" spans="1:1" ht="13">
      <c r="A635" s="3"/>
    </row>
    <row r="636" spans="1:1" ht="13">
      <c r="A636" s="3"/>
    </row>
    <row r="637" spans="1:1" ht="13">
      <c r="A637" s="3"/>
    </row>
    <row r="638" spans="1:1" ht="13">
      <c r="A638" s="3"/>
    </row>
    <row r="639" spans="1:1" ht="13">
      <c r="A639" s="3"/>
    </row>
    <row r="640" spans="1:1" ht="13">
      <c r="A640" s="3"/>
    </row>
    <row r="641" spans="1:1" ht="13">
      <c r="A641" s="3"/>
    </row>
    <row r="642" spans="1:1" ht="13">
      <c r="A642" s="3"/>
    </row>
    <row r="643" spans="1:1" ht="13">
      <c r="A643" s="3"/>
    </row>
    <row r="644" spans="1:1" ht="13">
      <c r="A644" s="3"/>
    </row>
    <row r="645" spans="1:1" ht="13">
      <c r="A645" s="3"/>
    </row>
    <row r="646" spans="1:1" ht="13">
      <c r="A646" s="3"/>
    </row>
    <row r="647" spans="1:1" ht="13">
      <c r="A647" s="3"/>
    </row>
    <row r="648" spans="1:1" ht="13">
      <c r="A648" s="3"/>
    </row>
    <row r="649" spans="1:1" ht="13">
      <c r="A649" s="3"/>
    </row>
    <row r="650" spans="1:1" ht="13">
      <c r="A650" s="3"/>
    </row>
    <row r="651" spans="1:1" ht="13">
      <c r="A651" s="3"/>
    </row>
    <row r="652" spans="1:1" ht="13">
      <c r="A652" s="3"/>
    </row>
    <row r="653" spans="1:1" ht="13">
      <c r="A653" s="3"/>
    </row>
    <row r="654" spans="1:1" ht="13">
      <c r="A654" s="3"/>
    </row>
    <row r="655" spans="1:1" ht="13">
      <c r="A655" s="3"/>
    </row>
    <row r="656" spans="1:1" ht="13">
      <c r="A656" s="3"/>
    </row>
    <row r="657" spans="1:1" ht="13">
      <c r="A657" s="3"/>
    </row>
    <row r="658" spans="1:1" ht="13">
      <c r="A658" s="3"/>
    </row>
    <row r="659" spans="1:1" ht="13">
      <c r="A659" s="3"/>
    </row>
    <row r="660" spans="1:1" ht="13">
      <c r="A660" s="3"/>
    </row>
    <row r="661" spans="1:1" ht="13">
      <c r="A661" s="3"/>
    </row>
    <row r="662" spans="1:1" ht="13">
      <c r="A662" s="3"/>
    </row>
    <row r="663" spans="1:1" ht="13">
      <c r="A663" s="3"/>
    </row>
    <row r="664" spans="1:1" ht="13">
      <c r="A664" s="3"/>
    </row>
    <row r="665" spans="1:1" ht="13">
      <c r="A665" s="3"/>
    </row>
    <row r="666" spans="1:1" ht="13">
      <c r="A666" s="3"/>
    </row>
    <row r="667" spans="1:1" ht="13">
      <c r="A667" s="3"/>
    </row>
    <row r="668" spans="1:1" ht="13">
      <c r="A668" s="3"/>
    </row>
    <row r="669" spans="1:1" ht="13">
      <c r="A669" s="3"/>
    </row>
    <row r="670" spans="1:1" ht="13">
      <c r="A670" s="3"/>
    </row>
    <row r="671" spans="1:1" ht="13">
      <c r="A671" s="3"/>
    </row>
    <row r="672" spans="1:1" ht="13">
      <c r="A672" s="3"/>
    </row>
    <row r="673" spans="1:1" ht="13">
      <c r="A673" s="3"/>
    </row>
    <row r="674" spans="1:1" ht="13">
      <c r="A674" s="3"/>
    </row>
    <row r="675" spans="1:1" ht="13">
      <c r="A675" s="3"/>
    </row>
    <row r="676" spans="1:1" ht="13">
      <c r="A676" s="3"/>
    </row>
    <row r="677" spans="1:1" ht="13">
      <c r="A677" s="3"/>
    </row>
    <row r="678" spans="1:1" ht="13">
      <c r="A678" s="3"/>
    </row>
    <row r="679" spans="1:1" ht="13">
      <c r="A679" s="3"/>
    </row>
    <row r="680" spans="1:1" ht="13">
      <c r="A680" s="3"/>
    </row>
    <row r="681" spans="1:1" ht="13">
      <c r="A681" s="3"/>
    </row>
    <row r="682" spans="1:1" ht="13">
      <c r="A682" s="3"/>
    </row>
    <row r="683" spans="1:1" ht="13">
      <c r="A683" s="3"/>
    </row>
    <row r="684" spans="1:1" ht="13">
      <c r="A684" s="3"/>
    </row>
    <row r="685" spans="1:1" ht="13">
      <c r="A685" s="3"/>
    </row>
    <row r="686" spans="1:1" ht="13">
      <c r="A686" s="3"/>
    </row>
    <row r="687" spans="1:1" ht="13">
      <c r="A687" s="3"/>
    </row>
    <row r="688" spans="1:1" ht="13">
      <c r="A688" s="3"/>
    </row>
    <row r="689" spans="1:1" ht="13">
      <c r="A689" s="3"/>
    </row>
    <row r="690" spans="1:1" ht="13">
      <c r="A690" s="3"/>
    </row>
    <row r="691" spans="1:1" ht="13">
      <c r="A691" s="3"/>
    </row>
    <row r="692" spans="1:1" ht="13">
      <c r="A692" s="3"/>
    </row>
    <row r="693" spans="1:1" ht="13">
      <c r="A693" s="3"/>
    </row>
    <row r="694" spans="1:1" ht="13">
      <c r="A694" s="3"/>
    </row>
    <row r="695" spans="1:1" ht="13">
      <c r="A695" s="3"/>
    </row>
    <row r="696" spans="1:1" ht="13">
      <c r="A696" s="3"/>
    </row>
    <row r="697" spans="1:1" ht="13">
      <c r="A697" s="3"/>
    </row>
    <row r="698" spans="1:1" ht="13">
      <c r="A698" s="3"/>
    </row>
    <row r="699" spans="1:1" ht="13">
      <c r="A699" s="3"/>
    </row>
    <row r="700" spans="1:1" ht="13">
      <c r="A700" s="3"/>
    </row>
    <row r="701" spans="1:1" ht="13">
      <c r="A701" s="3"/>
    </row>
    <row r="702" spans="1:1" ht="13">
      <c r="A702" s="3"/>
    </row>
    <row r="703" spans="1:1" ht="13">
      <c r="A703" s="3"/>
    </row>
    <row r="704" spans="1:1" ht="13">
      <c r="A704" s="3"/>
    </row>
    <row r="705" spans="1:1" ht="13">
      <c r="A705" s="3"/>
    </row>
    <row r="706" spans="1:1" ht="13">
      <c r="A706" s="3"/>
    </row>
    <row r="707" spans="1:1" ht="13">
      <c r="A707" s="3"/>
    </row>
    <row r="708" spans="1:1" ht="13">
      <c r="A708" s="3"/>
    </row>
    <row r="709" spans="1:1" ht="13">
      <c r="A709" s="3"/>
    </row>
    <row r="710" spans="1:1" ht="13">
      <c r="A710" s="3"/>
    </row>
    <row r="711" spans="1:1" ht="13">
      <c r="A711" s="3"/>
    </row>
    <row r="712" spans="1:1" ht="13">
      <c r="A712" s="3"/>
    </row>
    <row r="713" spans="1:1" ht="13">
      <c r="A713" s="3"/>
    </row>
    <row r="714" spans="1:1" ht="13">
      <c r="A714" s="3"/>
    </row>
    <row r="715" spans="1:1" ht="13">
      <c r="A715" s="3"/>
    </row>
    <row r="716" spans="1:1" ht="13">
      <c r="A716" s="3"/>
    </row>
    <row r="717" spans="1:1" ht="13">
      <c r="A717" s="3"/>
    </row>
    <row r="718" spans="1:1" ht="13">
      <c r="A718" s="3"/>
    </row>
    <row r="719" spans="1:1" ht="13">
      <c r="A719" s="3"/>
    </row>
    <row r="720" spans="1:1" ht="13">
      <c r="A720" s="3"/>
    </row>
    <row r="721" spans="1:1" ht="13">
      <c r="A721" s="3"/>
    </row>
    <row r="722" spans="1:1" ht="13">
      <c r="A722" s="3"/>
    </row>
    <row r="723" spans="1:1" ht="13">
      <c r="A723" s="3"/>
    </row>
    <row r="724" spans="1:1" ht="13">
      <c r="A724" s="3"/>
    </row>
    <row r="725" spans="1:1" ht="13">
      <c r="A725" s="3"/>
    </row>
    <row r="726" spans="1:1" ht="13">
      <c r="A726" s="3"/>
    </row>
    <row r="727" spans="1:1" ht="13">
      <c r="A727" s="3"/>
    </row>
    <row r="728" spans="1:1" ht="13">
      <c r="A728" s="3"/>
    </row>
    <row r="729" spans="1:1" ht="13">
      <c r="A729" s="3"/>
    </row>
    <row r="730" spans="1:1" ht="13">
      <c r="A730" s="3"/>
    </row>
    <row r="731" spans="1:1" ht="13">
      <c r="A731" s="3"/>
    </row>
    <row r="732" spans="1:1" ht="13">
      <c r="A732" s="3"/>
    </row>
    <row r="733" spans="1:1" ht="13">
      <c r="A733" s="3"/>
    </row>
    <row r="734" spans="1:1" ht="13">
      <c r="A734" s="3"/>
    </row>
    <row r="735" spans="1:1" ht="13">
      <c r="A735" s="3"/>
    </row>
    <row r="736" spans="1:1" ht="13">
      <c r="A736" s="3"/>
    </row>
    <row r="737" spans="1:1" ht="13">
      <c r="A737" s="3"/>
    </row>
    <row r="738" spans="1:1" ht="13">
      <c r="A738" s="3"/>
    </row>
    <row r="739" spans="1:1" ht="13">
      <c r="A739" s="3"/>
    </row>
    <row r="740" spans="1:1" ht="13">
      <c r="A740" s="3"/>
    </row>
    <row r="741" spans="1:1" ht="13">
      <c r="A741" s="3"/>
    </row>
    <row r="742" spans="1:1" ht="13">
      <c r="A742" s="3"/>
    </row>
    <row r="743" spans="1:1" ht="13">
      <c r="A743" s="3"/>
    </row>
    <row r="744" spans="1:1" ht="13">
      <c r="A744" s="3"/>
    </row>
    <row r="745" spans="1:1" ht="13">
      <c r="A745" s="3"/>
    </row>
    <row r="746" spans="1:1" ht="13">
      <c r="A746" s="3"/>
    </row>
    <row r="747" spans="1:1" ht="13">
      <c r="A747" s="3"/>
    </row>
    <row r="748" spans="1:1" ht="13">
      <c r="A748" s="3"/>
    </row>
    <row r="749" spans="1:1" ht="13">
      <c r="A749" s="3"/>
    </row>
    <row r="750" spans="1:1" ht="13">
      <c r="A750" s="3"/>
    </row>
    <row r="751" spans="1:1" ht="13">
      <c r="A751" s="3"/>
    </row>
    <row r="752" spans="1:1" ht="13">
      <c r="A752" s="3"/>
    </row>
    <row r="753" spans="1:1" ht="13">
      <c r="A753" s="3"/>
    </row>
    <row r="754" spans="1:1" ht="13">
      <c r="A754" s="3"/>
    </row>
    <row r="755" spans="1:1" ht="13">
      <c r="A755" s="3"/>
    </row>
    <row r="756" spans="1:1" ht="13">
      <c r="A756" s="3"/>
    </row>
    <row r="757" spans="1:1" ht="13">
      <c r="A757" s="3"/>
    </row>
    <row r="758" spans="1:1" ht="13">
      <c r="A758" s="3"/>
    </row>
    <row r="759" spans="1:1" ht="13">
      <c r="A759" s="3"/>
    </row>
    <row r="760" spans="1:1" ht="13">
      <c r="A760" s="3"/>
    </row>
    <row r="761" spans="1:1" ht="13">
      <c r="A761" s="3"/>
    </row>
    <row r="762" spans="1:1" ht="13">
      <c r="A762" s="3"/>
    </row>
    <row r="763" spans="1:1" ht="13">
      <c r="A763" s="3"/>
    </row>
    <row r="764" spans="1:1" ht="13">
      <c r="A764" s="3"/>
    </row>
    <row r="765" spans="1:1" ht="13">
      <c r="A765" s="3"/>
    </row>
    <row r="766" spans="1:1" ht="13">
      <c r="A766" s="3"/>
    </row>
    <row r="767" spans="1:1" ht="13">
      <c r="A767" s="3"/>
    </row>
    <row r="768" spans="1:1" ht="13">
      <c r="A768" s="3"/>
    </row>
    <row r="769" spans="1:1" ht="13">
      <c r="A769" s="3"/>
    </row>
    <row r="770" spans="1:1" ht="13">
      <c r="A770" s="3"/>
    </row>
    <row r="771" spans="1:1" ht="13">
      <c r="A771" s="3"/>
    </row>
    <row r="772" spans="1:1" ht="13">
      <c r="A772" s="3"/>
    </row>
    <row r="773" spans="1:1" ht="13">
      <c r="A773" s="3"/>
    </row>
    <row r="774" spans="1:1" ht="13">
      <c r="A774" s="3"/>
    </row>
    <row r="775" spans="1:1" ht="13">
      <c r="A775" s="3"/>
    </row>
    <row r="776" spans="1:1" ht="13">
      <c r="A776" s="3"/>
    </row>
    <row r="777" spans="1:1" ht="13">
      <c r="A777" s="3"/>
    </row>
    <row r="778" spans="1:1" ht="13">
      <c r="A778" s="3"/>
    </row>
    <row r="779" spans="1:1" ht="13">
      <c r="A779" s="3"/>
    </row>
    <row r="780" spans="1:1" ht="13">
      <c r="A780" s="3"/>
    </row>
    <row r="781" spans="1:1" ht="13">
      <c r="A781" s="3"/>
    </row>
    <row r="782" spans="1:1" ht="13">
      <c r="A782" s="3"/>
    </row>
    <row r="783" spans="1:1" ht="13">
      <c r="A783" s="3"/>
    </row>
    <row r="784" spans="1:1" ht="13">
      <c r="A784" s="3"/>
    </row>
    <row r="785" spans="1:1" ht="13">
      <c r="A785" s="3"/>
    </row>
    <row r="786" spans="1:1" ht="13">
      <c r="A786" s="3"/>
    </row>
    <row r="787" spans="1:1" ht="13">
      <c r="A787" s="3"/>
    </row>
    <row r="788" spans="1:1" ht="13">
      <c r="A788" s="3"/>
    </row>
    <row r="789" spans="1:1" ht="13">
      <c r="A789" s="3"/>
    </row>
    <row r="790" spans="1:1" ht="13">
      <c r="A790" s="3"/>
    </row>
    <row r="791" spans="1:1" ht="13">
      <c r="A791" s="3"/>
    </row>
    <row r="792" spans="1:1" ht="13">
      <c r="A792" s="3"/>
    </row>
    <row r="793" spans="1:1" ht="13">
      <c r="A793" s="3"/>
    </row>
    <row r="794" spans="1:1" ht="13">
      <c r="A794" s="3"/>
    </row>
    <row r="795" spans="1:1" ht="13">
      <c r="A795" s="3"/>
    </row>
    <row r="796" spans="1:1" ht="13">
      <c r="A796" s="3"/>
    </row>
    <row r="797" spans="1:1" ht="13">
      <c r="A797" s="3"/>
    </row>
    <row r="798" spans="1:1" ht="13">
      <c r="A798" s="3"/>
    </row>
    <row r="799" spans="1:1" ht="13">
      <c r="A799" s="3"/>
    </row>
    <row r="800" spans="1:1" ht="13">
      <c r="A800" s="3"/>
    </row>
    <row r="801" spans="1:1" ht="13">
      <c r="A801" s="3"/>
    </row>
    <row r="802" spans="1:1" ht="13">
      <c r="A802" s="3"/>
    </row>
    <row r="803" spans="1:1" ht="13">
      <c r="A803" s="3"/>
    </row>
    <row r="804" spans="1:1" ht="13">
      <c r="A804" s="3"/>
    </row>
    <row r="805" spans="1:1" ht="13">
      <c r="A805" s="3"/>
    </row>
    <row r="806" spans="1:1" ht="13">
      <c r="A806" s="3"/>
    </row>
    <row r="807" spans="1:1" ht="13">
      <c r="A807" s="3"/>
    </row>
    <row r="808" spans="1:1" ht="13">
      <c r="A808" s="3"/>
    </row>
    <row r="809" spans="1:1" ht="13">
      <c r="A809" s="3"/>
    </row>
    <row r="810" spans="1:1" ht="13">
      <c r="A810" s="3"/>
    </row>
    <row r="811" spans="1:1" ht="13">
      <c r="A811" s="3"/>
    </row>
    <row r="812" spans="1:1" ht="13">
      <c r="A812" s="3"/>
    </row>
    <row r="813" spans="1:1" ht="13">
      <c r="A813" s="3"/>
    </row>
    <row r="814" spans="1:1" ht="13">
      <c r="A814" s="3"/>
    </row>
    <row r="815" spans="1:1" ht="13">
      <c r="A815" s="3"/>
    </row>
    <row r="816" spans="1:1" ht="13">
      <c r="A816" s="3"/>
    </row>
    <row r="817" spans="1:1" ht="13">
      <c r="A817" s="3"/>
    </row>
    <row r="818" spans="1:1" ht="13">
      <c r="A818" s="3"/>
    </row>
    <row r="819" spans="1:1" ht="13">
      <c r="A819" s="3"/>
    </row>
    <row r="820" spans="1:1" ht="13">
      <c r="A820" s="3"/>
    </row>
    <row r="821" spans="1:1" ht="13">
      <c r="A821" s="3"/>
    </row>
    <row r="822" spans="1:1" ht="13">
      <c r="A822" s="3"/>
    </row>
    <row r="823" spans="1:1" ht="13">
      <c r="A823" s="3"/>
    </row>
    <row r="824" spans="1:1" ht="13">
      <c r="A824" s="3"/>
    </row>
    <row r="825" spans="1:1" ht="13">
      <c r="A825" s="3"/>
    </row>
    <row r="826" spans="1:1" ht="13">
      <c r="A826" s="3"/>
    </row>
    <row r="827" spans="1:1" ht="13">
      <c r="A827" s="3"/>
    </row>
    <row r="828" spans="1:1" ht="13">
      <c r="A828" s="3"/>
    </row>
    <row r="829" spans="1:1" ht="13">
      <c r="A829" s="3"/>
    </row>
    <row r="830" spans="1:1" ht="13">
      <c r="A830" s="3"/>
    </row>
    <row r="831" spans="1:1" ht="13">
      <c r="A831" s="3"/>
    </row>
    <row r="832" spans="1:1" ht="13">
      <c r="A832" s="3"/>
    </row>
    <row r="833" spans="1:1" ht="13">
      <c r="A833" s="3"/>
    </row>
    <row r="834" spans="1:1" ht="13">
      <c r="A834" s="3"/>
    </row>
    <row r="835" spans="1:1" ht="13">
      <c r="A835" s="3"/>
    </row>
    <row r="836" spans="1:1" ht="13">
      <c r="A836" s="3"/>
    </row>
    <row r="837" spans="1:1" ht="13">
      <c r="A837" s="3"/>
    </row>
    <row r="838" spans="1:1" ht="13">
      <c r="A838" s="3"/>
    </row>
    <row r="839" spans="1:1" ht="13">
      <c r="A839" s="3"/>
    </row>
    <row r="840" spans="1:1" ht="13">
      <c r="A840" s="3"/>
    </row>
    <row r="841" spans="1:1" ht="13">
      <c r="A841" s="3"/>
    </row>
    <row r="842" spans="1:1" ht="13">
      <c r="A842" s="3"/>
    </row>
    <row r="843" spans="1:1" ht="13">
      <c r="A843" s="3"/>
    </row>
    <row r="844" spans="1:1" ht="13">
      <c r="A844" s="3"/>
    </row>
    <row r="845" spans="1:1" ht="13">
      <c r="A845" s="3"/>
    </row>
    <row r="846" spans="1:1" ht="13">
      <c r="A846" s="3"/>
    </row>
    <row r="847" spans="1:1" ht="13">
      <c r="A847" s="3"/>
    </row>
    <row r="848" spans="1:1" ht="13">
      <c r="A848" s="3"/>
    </row>
    <row r="849" spans="1:1" ht="13">
      <c r="A849" s="3"/>
    </row>
    <row r="850" spans="1:1" ht="13">
      <c r="A850" s="3"/>
    </row>
    <row r="851" spans="1:1" ht="13">
      <c r="A851" s="3"/>
    </row>
    <row r="852" spans="1:1" ht="13">
      <c r="A852" s="3"/>
    </row>
    <row r="853" spans="1:1" ht="13">
      <c r="A853" s="3"/>
    </row>
    <row r="854" spans="1:1" ht="13">
      <c r="A854" s="3"/>
    </row>
    <row r="855" spans="1:1" ht="13">
      <c r="A855" s="3"/>
    </row>
    <row r="856" spans="1:1" ht="13">
      <c r="A856" s="3"/>
    </row>
    <row r="857" spans="1:1" ht="13">
      <c r="A857" s="3"/>
    </row>
    <row r="858" spans="1:1" ht="13">
      <c r="A858" s="3"/>
    </row>
    <row r="859" spans="1:1" ht="13">
      <c r="A859" s="3"/>
    </row>
    <row r="860" spans="1:1" ht="13">
      <c r="A860" s="3"/>
    </row>
    <row r="861" spans="1:1" ht="13">
      <c r="A861" s="3"/>
    </row>
    <row r="862" spans="1:1" ht="13">
      <c r="A862" s="3"/>
    </row>
    <row r="863" spans="1:1" ht="13">
      <c r="A863" s="3"/>
    </row>
    <row r="864" spans="1:1" ht="13">
      <c r="A864" s="3"/>
    </row>
    <row r="865" spans="1:1" ht="13">
      <c r="A865" s="3"/>
    </row>
    <row r="866" spans="1:1" ht="13">
      <c r="A866" s="3"/>
    </row>
    <row r="867" spans="1:1" ht="13">
      <c r="A867" s="3"/>
    </row>
    <row r="868" spans="1:1" ht="13">
      <c r="A868" s="3"/>
    </row>
    <row r="869" spans="1:1" ht="13">
      <c r="A869" s="3"/>
    </row>
    <row r="870" spans="1:1" ht="13">
      <c r="A870" s="3"/>
    </row>
    <row r="871" spans="1:1" ht="13">
      <c r="A871" s="3"/>
    </row>
    <row r="872" spans="1:1" ht="13">
      <c r="A872" s="3"/>
    </row>
    <row r="873" spans="1:1" ht="13">
      <c r="A873" s="3"/>
    </row>
    <row r="874" spans="1:1" ht="13">
      <c r="A874" s="3"/>
    </row>
    <row r="875" spans="1:1" ht="13">
      <c r="A875" s="3"/>
    </row>
    <row r="876" spans="1:1" ht="13">
      <c r="A876" s="3"/>
    </row>
    <row r="877" spans="1:1" ht="13">
      <c r="A877" s="3"/>
    </row>
    <row r="878" spans="1:1" ht="13">
      <c r="A878" s="3"/>
    </row>
    <row r="879" spans="1:1" ht="13">
      <c r="A879" s="3"/>
    </row>
    <row r="880" spans="1:1" ht="13">
      <c r="A880" s="3"/>
    </row>
    <row r="881" spans="1:1" ht="13">
      <c r="A881" s="3"/>
    </row>
    <row r="882" spans="1:1" ht="13">
      <c r="A882" s="3"/>
    </row>
    <row r="883" spans="1:1" ht="13">
      <c r="A883" s="3"/>
    </row>
    <row r="884" spans="1:1" ht="13">
      <c r="A884" s="3"/>
    </row>
    <row r="885" spans="1:1" ht="13">
      <c r="A885" s="3"/>
    </row>
    <row r="886" spans="1:1" ht="13">
      <c r="A886" s="3"/>
    </row>
    <row r="887" spans="1:1" ht="13">
      <c r="A887" s="3"/>
    </row>
    <row r="888" spans="1:1" ht="13">
      <c r="A888" s="3"/>
    </row>
    <row r="889" spans="1:1" ht="13">
      <c r="A889" s="3"/>
    </row>
    <row r="890" spans="1:1" ht="13">
      <c r="A890" s="3"/>
    </row>
    <row r="891" spans="1:1" ht="13">
      <c r="A891" s="3"/>
    </row>
    <row r="892" spans="1:1" ht="13">
      <c r="A892" s="3"/>
    </row>
    <row r="893" spans="1:1" ht="13">
      <c r="A893" s="3"/>
    </row>
    <row r="894" spans="1:1" ht="13">
      <c r="A894" s="3"/>
    </row>
    <row r="895" spans="1:1" ht="13">
      <c r="A895" s="3"/>
    </row>
    <row r="896" spans="1:1" ht="13">
      <c r="A896" s="3"/>
    </row>
    <row r="897" spans="1:1" ht="13">
      <c r="A897" s="3"/>
    </row>
    <row r="898" spans="1:1" ht="13">
      <c r="A898" s="3"/>
    </row>
    <row r="899" spans="1:1" ht="13">
      <c r="A899" s="3"/>
    </row>
    <row r="900" spans="1:1" ht="13">
      <c r="A900" s="3"/>
    </row>
    <row r="901" spans="1:1" ht="13">
      <c r="A901" s="3"/>
    </row>
    <row r="902" spans="1:1" ht="13">
      <c r="A902" s="3"/>
    </row>
    <row r="903" spans="1:1" ht="13">
      <c r="A903" s="3"/>
    </row>
    <row r="904" spans="1:1" ht="13">
      <c r="A904" s="3"/>
    </row>
    <row r="905" spans="1:1" ht="13">
      <c r="A905" s="3"/>
    </row>
    <row r="906" spans="1:1" ht="13">
      <c r="A906" s="3"/>
    </row>
    <row r="907" spans="1:1" ht="13">
      <c r="A907" s="3"/>
    </row>
    <row r="908" spans="1:1" ht="13">
      <c r="A908" s="3"/>
    </row>
    <row r="909" spans="1:1" ht="13">
      <c r="A909" s="3"/>
    </row>
    <row r="910" spans="1:1" ht="13">
      <c r="A910" s="3"/>
    </row>
    <row r="911" spans="1:1" ht="13">
      <c r="A911" s="3"/>
    </row>
    <row r="912" spans="1:1" ht="13">
      <c r="A912" s="3"/>
    </row>
    <row r="913" spans="1:1" ht="13">
      <c r="A913" s="3"/>
    </row>
    <row r="914" spans="1:1" ht="13">
      <c r="A914" s="3"/>
    </row>
    <row r="915" spans="1:1" ht="13">
      <c r="A915" s="3"/>
    </row>
    <row r="916" spans="1:1" ht="13">
      <c r="A916" s="3"/>
    </row>
    <row r="917" spans="1:1" ht="13">
      <c r="A917" s="3"/>
    </row>
    <row r="918" spans="1:1" ht="13">
      <c r="A918" s="3"/>
    </row>
    <row r="919" spans="1:1" ht="13">
      <c r="A919" s="3"/>
    </row>
    <row r="920" spans="1:1" ht="13">
      <c r="A920" s="3"/>
    </row>
    <row r="921" spans="1:1" ht="13">
      <c r="A921" s="3"/>
    </row>
    <row r="922" spans="1:1" ht="13">
      <c r="A922" s="3"/>
    </row>
    <row r="923" spans="1:1" ht="13">
      <c r="A923" s="3"/>
    </row>
    <row r="924" spans="1:1" ht="13">
      <c r="A924" s="3"/>
    </row>
    <row r="925" spans="1:1" ht="13">
      <c r="A925" s="3"/>
    </row>
    <row r="926" spans="1:1" ht="13">
      <c r="A926" s="3"/>
    </row>
    <row r="927" spans="1:1" ht="13">
      <c r="A927" s="3"/>
    </row>
    <row r="928" spans="1:1" ht="13">
      <c r="A928" s="3"/>
    </row>
    <row r="929" spans="1:1" ht="13">
      <c r="A929" s="3"/>
    </row>
    <row r="930" spans="1:1" ht="13">
      <c r="A930" s="3"/>
    </row>
    <row r="931" spans="1:1" ht="13">
      <c r="A931" s="3"/>
    </row>
    <row r="932" spans="1:1" ht="13">
      <c r="A932" s="3"/>
    </row>
    <row r="933" spans="1:1" ht="13">
      <c r="A933" s="3"/>
    </row>
    <row r="934" spans="1:1" ht="13">
      <c r="A934" s="3"/>
    </row>
    <row r="935" spans="1:1" ht="13">
      <c r="A935" s="3"/>
    </row>
    <row r="936" spans="1:1" ht="13">
      <c r="A936" s="3"/>
    </row>
    <row r="937" spans="1:1" ht="13">
      <c r="A937" s="3"/>
    </row>
    <row r="938" spans="1:1" ht="13">
      <c r="A938" s="3"/>
    </row>
    <row r="939" spans="1:1" ht="13">
      <c r="A939" s="3"/>
    </row>
    <row r="940" spans="1:1" ht="13">
      <c r="A940" s="3"/>
    </row>
    <row r="941" spans="1:1" ht="13">
      <c r="A941" s="3"/>
    </row>
    <row r="942" spans="1:1" ht="13">
      <c r="A942" s="3"/>
    </row>
    <row r="943" spans="1:1" ht="13">
      <c r="A943" s="3"/>
    </row>
    <row r="944" spans="1:1" ht="13">
      <c r="A944" s="3"/>
    </row>
    <row r="945" spans="1:1" ht="13">
      <c r="A945" s="3"/>
    </row>
    <row r="946" spans="1:1" ht="13">
      <c r="A946" s="3"/>
    </row>
    <row r="947" spans="1:1" ht="13">
      <c r="A947" s="3"/>
    </row>
    <row r="948" spans="1:1" ht="13">
      <c r="A948" s="3"/>
    </row>
    <row r="949" spans="1:1" ht="13">
      <c r="A949" s="3"/>
    </row>
    <row r="950" spans="1:1" ht="13">
      <c r="A950" s="3"/>
    </row>
    <row r="951" spans="1:1" ht="13">
      <c r="A951" s="3"/>
    </row>
    <row r="952" spans="1:1" ht="13">
      <c r="A952" s="3"/>
    </row>
    <row r="953" spans="1:1" ht="13">
      <c r="A953" s="3"/>
    </row>
    <row r="954" spans="1:1" ht="13">
      <c r="A954" s="3"/>
    </row>
    <row r="955" spans="1:1" ht="13">
      <c r="A955" s="3"/>
    </row>
    <row r="956" spans="1:1" ht="13">
      <c r="A956" s="3"/>
    </row>
    <row r="957" spans="1:1" ht="13">
      <c r="A957" s="3"/>
    </row>
    <row r="958" spans="1:1" ht="13">
      <c r="A958" s="3"/>
    </row>
    <row r="959" spans="1:1" ht="13">
      <c r="A959" s="3"/>
    </row>
    <row r="960" spans="1:1" ht="13">
      <c r="A960" s="3"/>
    </row>
    <row r="961" spans="1:1" ht="13">
      <c r="A961" s="3"/>
    </row>
    <row r="962" spans="1:1" ht="13">
      <c r="A962" s="3"/>
    </row>
    <row r="963" spans="1:1" ht="13">
      <c r="A963" s="3"/>
    </row>
    <row r="964" spans="1:1" ht="13">
      <c r="A964" s="3"/>
    </row>
    <row r="965" spans="1:1" ht="13">
      <c r="A965" s="3"/>
    </row>
    <row r="966" spans="1:1" ht="13">
      <c r="A966" s="3"/>
    </row>
    <row r="967" spans="1:1" ht="13">
      <c r="A967" s="3"/>
    </row>
    <row r="968" spans="1:1" ht="13">
      <c r="A968" s="3"/>
    </row>
    <row r="969" spans="1:1" ht="13">
      <c r="A969" s="3"/>
    </row>
    <row r="970" spans="1:1" ht="13">
      <c r="A970" s="3"/>
    </row>
    <row r="971" spans="1:1" ht="13">
      <c r="A971" s="3"/>
    </row>
    <row r="972" spans="1:1" ht="13">
      <c r="A972" s="3"/>
    </row>
    <row r="973" spans="1:1" ht="13">
      <c r="A973" s="3"/>
    </row>
    <row r="974" spans="1:1" ht="13">
      <c r="A974" s="3"/>
    </row>
    <row r="975" spans="1:1" ht="13">
      <c r="A975" s="3"/>
    </row>
    <row r="976" spans="1:1" ht="13">
      <c r="A976" s="3"/>
    </row>
    <row r="977" spans="1:1" ht="13">
      <c r="A977" s="3"/>
    </row>
    <row r="978" spans="1:1" ht="13">
      <c r="A978" s="3"/>
    </row>
    <row r="979" spans="1:1" ht="13">
      <c r="A979" s="3"/>
    </row>
    <row r="980" spans="1:1" ht="13">
      <c r="A980" s="3"/>
    </row>
    <row r="981" spans="1:1" ht="13">
      <c r="A981" s="3"/>
    </row>
    <row r="982" spans="1:1" ht="13">
      <c r="A982" s="3"/>
    </row>
    <row r="983" spans="1:1" ht="13">
      <c r="A983" s="3"/>
    </row>
    <row r="984" spans="1:1" ht="13">
      <c r="A984" s="3"/>
    </row>
    <row r="985" spans="1:1" ht="13">
      <c r="A985" s="3"/>
    </row>
    <row r="986" spans="1:1" ht="13">
      <c r="A986" s="3"/>
    </row>
    <row r="987" spans="1:1" ht="13">
      <c r="A987" s="3"/>
    </row>
    <row r="988" spans="1:1" ht="13">
      <c r="A988" s="3"/>
    </row>
    <row r="989" spans="1:1" ht="13">
      <c r="A989" s="3"/>
    </row>
    <row r="990" spans="1:1" ht="13">
      <c r="A990" s="3"/>
    </row>
    <row r="991" spans="1:1" ht="13">
      <c r="A991" s="3"/>
    </row>
    <row r="992" spans="1:1" ht="13">
      <c r="A992" s="3"/>
    </row>
    <row r="993" spans="1:1" ht="13">
      <c r="A993" s="3"/>
    </row>
    <row r="994" spans="1:1" ht="13">
      <c r="A994" s="3"/>
    </row>
    <row r="995" spans="1:1" ht="13">
      <c r="A995" s="3"/>
    </row>
    <row r="996" spans="1:1" ht="13">
      <c r="A996" s="3"/>
    </row>
    <row r="997" spans="1:1" ht="13">
      <c r="A997" s="3"/>
    </row>
    <row r="998" spans="1:1" ht="13">
      <c r="A998" s="3"/>
    </row>
    <row r="999" spans="1:1" ht="13">
      <c r="A999" s="3"/>
    </row>
  </sheetData>
  <autoFilter ref="B1:L33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0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2.6640625" defaultRowHeight="15.75" customHeight="1"/>
  <cols>
    <col min="1" max="1" width="5.1640625" customWidth="1"/>
    <col min="15" max="15" width="23.6640625" customWidth="1"/>
  </cols>
  <sheetData>
    <row r="1" spans="1:20" ht="15.75" customHeight="1">
      <c r="A1" s="34" t="s">
        <v>578</v>
      </c>
      <c r="B1" s="35" t="s">
        <v>0</v>
      </c>
      <c r="C1" s="35" t="s">
        <v>1</v>
      </c>
      <c r="D1" s="35" t="s">
        <v>2</v>
      </c>
      <c r="E1" s="35" t="s">
        <v>3</v>
      </c>
      <c r="F1" s="35" t="s">
        <v>579</v>
      </c>
      <c r="G1" s="35" t="s">
        <v>580</v>
      </c>
      <c r="H1" s="35" t="s">
        <v>581</v>
      </c>
      <c r="I1" s="35" t="s">
        <v>582</v>
      </c>
      <c r="J1" s="35" t="s">
        <v>583</v>
      </c>
      <c r="K1" s="35" t="s">
        <v>357</v>
      </c>
      <c r="L1" s="35" t="s">
        <v>358</v>
      </c>
      <c r="M1" s="27"/>
      <c r="O1" s="3" t="s">
        <v>1042</v>
      </c>
      <c r="P1" s="3" t="s">
        <v>354</v>
      </c>
    </row>
    <row r="2" spans="1:20" ht="15.75" customHeight="1">
      <c r="A2" s="36" t="s">
        <v>2072</v>
      </c>
      <c r="B2" s="36">
        <v>98</v>
      </c>
      <c r="C2" s="33"/>
      <c r="D2" s="36">
        <v>2</v>
      </c>
      <c r="E2" s="36">
        <v>43</v>
      </c>
      <c r="F2" s="33"/>
      <c r="G2" s="36">
        <v>178426</v>
      </c>
      <c r="H2" s="37">
        <v>43700</v>
      </c>
      <c r="I2" s="36">
        <v>98</v>
      </c>
      <c r="J2" s="36" t="s">
        <v>760</v>
      </c>
      <c r="K2" s="36" t="s">
        <v>438</v>
      </c>
      <c r="L2" s="36" t="s">
        <v>761</v>
      </c>
      <c r="M2" s="27"/>
      <c r="O2" s="28" t="str">
        <f>IFERROR(VLOOKUP(A2, '2024 Full View'!$1:$999, 1, FALSE), "")</f>
        <v>Cruel SummerTaylor Swift</v>
      </c>
      <c r="P2" s="3" t="str">
        <f ca="1">IFERROR(__xludf.DUMMYFUNCTION("TEXTJOIN("", "",TRUE, FILTER($B$1:$E$1,B2:E2&lt;&gt;""""))"),"Zach, Maggie, Jamie")</f>
        <v>Zach, Maggie, Jamie</v>
      </c>
    </row>
    <row r="3" spans="1:20" ht="15.75" customHeight="1">
      <c r="A3" s="36" t="s">
        <v>2155</v>
      </c>
      <c r="B3" s="33"/>
      <c r="C3" s="33"/>
      <c r="D3" s="36">
        <v>22</v>
      </c>
      <c r="E3" s="36">
        <v>56</v>
      </c>
      <c r="F3" s="33"/>
      <c r="G3" s="36">
        <v>182346</v>
      </c>
      <c r="H3" s="37">
        <v>44848</v>
      </c>
      <c r="I3" s="36">
        <v>97</v>
      </c>
      <c r="J3" s="36" t="s">
        <v>825</v>
      </c>
      <c r="K3" s="36" t="s">
        <v>471</v>
      </c>
      <c r="L3" s="36" t="s">
        <v>825</v>
      </c>
      <c r="M3" s="27"/>
      <c r="O3" s="28" t="str">
        <f>IFERROR(VLOOKUP(A3, '2024 Full View'!$1:$999, 1, FALSE), "")</f>
        <v/>
      </c>
      <c r="P3" s="3" t="str">
        <f ca="1">IFERROR(__xludf.DUMMYFUNCTION("TEXTJOIN("", "",TRUE, FILTER($B$1:$E$1,B3:E3&lt;&gt;""""))"),"Maggie, Jamie")</f>
        <v>Maggie, Jamie</v>
      </c>
      <c r="S3" s="29"/>
      <c r="T3" s="29"/>
    </row>
    <row r="4" spans="1:20" ht="15.75" customHeight="1">
      <c r="A4" s="36" t="s">
        <v>2156</v>
      </c>
      <c r="B4" s="33"/>
      <c r="C4" s="33"/>
      <c r="D4" s="36">
        <v>38</v>
      </c>
      <c r="E4" s="33"/>
      <c r="F4" s="33"/>
      <c r="G4" s="36">
        <v>200600</v>
      </c>
      <c r="H4" s="37">
        <v>45156</v>
      </c>
      <c r="I4" s="36">
        <v>94</v>
      </c>
      <c r="J4" s="36" t="s">
        <v>1043</v>
      </c>
      <c r="K4" s="36" t="s">
        <v>465</v>
      </c>
      <c r="L4" s="36" t="s">
        <v>1044</v>
      </c>
      <c r="M4" s="27"/>
      <c r="O4" s="28" t="str">
        <f>IFERROR(VLOOKUP(A4, '2024 Full View'!$1:$999, 1, FALSE), "")</f>
        <v/>
      </c>
      <c r="P4" s="3" t="str">
        <f ca="1">IFERROR(__xludf.DUMMYFUNCTION("TEXTJOIN("", "",TRUE, FILTER($B$1:$E$1,B4:E4&lt;&gt;""""))"),"Maggie")</f>
        <v>Maggie</v>
      </c>
      <c r="T4" s="15"/>
    </row>
    <row r="5" spans="1:20" ht="15.75" customHeight="1">
      <c r="A5" s="36" t="s">
        <v>1968</v>
      </c>
      <c r="B5" s="36">
        <v>87</v>
      </c>
      <c r="C5" s="33"/>
      <c r="D5" s="33"/>
      <c r="E5" s="36">
        <v>4</v>
      </c>
      <c r="F5" s="33"/>
      <c r="G5" s="36">
        <v>219724</v>
      </c>
      <c r="H5" s="37">
        <v>45177</v>
      </c>
      <c r="I5" s="36">
        <v>94</v>
      </c>
      <c r="J5" s="36" t="s">
        <v>880</v>
      </c>
      <c r="K5" s="36" t="s">
        <v>484</v>
      </c>
      <c r="L5" s="36" t="s">
        <v>882</v>
      </c>
      <c r="M5" s="27"/>
      <c r="O5" s="28" t="str">
        <f>IFERROR(VLOOKUP(A5, '2024 Full View'!$1:$999, 1, FALSE), "")</f>
        <v>vampireOlivia Rodrigo</v>
      </c>
      <c r="P5" s="3" t="str">
        <f ca="1">IFERROR(__xludf.DUMMYFUNCTION("TEXTJOIN("", "",TRUE, FILTER($B$1:$E$1,B5:E5&lt;&gt;""""))"),"Zach, Jamie")</f>
        <v>Zach, Jamie</v>
      </c>
      <c r="T5" s="15"/>
    </row>
    <row r="6" spans="1:20" ht="15.75" customHeight="1">
      <c r="A6" s="36" t="s">
        <v>2157</v>
      </c>
      <c r="B6" s="36">
        <v>69</v>
      </c>
      <c r="C6" s="33"/>
      <c r="D6" s="33"/>
      <c r="E6" s="33"/>
      <c r="F6" s="33"/>
      <c r="G6" s="36">
        <v>201800</v>
      </c>
      <c r="H6" s="37">
        <v>44904</v>
      </c>
      <c r="I6" s="36">
        <v>93</v>
      </c>
      <c r="J6" s="36" t="s">
        <v>829</v>
      </c>
      <c r="K6" s="36" t="s">
        <v>442</v>
      </c>
      <c r="L6" s="36" t="s">
        <v>1045</v>
      </c>
      <c r="M6" s="27"/>
      <c r="O6" s="28" t="str">
        <f>IFERROR(VLOOKUP(A6, '2024 Full View'!$1:$999, 1, FALSE), "")</f>
        <v/>
      </c>
      <c r="P6" s="3" t="str">
        <f ca="1">IFERROR(__xludf.DUMMYFUNCTION("TEXTJOIN("", "",TRUE, FILTER($B$1:$E$1,B6:E6&lt;&gt;""""))"),"Zach")</f>
        <v>Zach</v>
      </c>
      <c r="T6" s="15"/>
    </row>
    <row r="7" spans="1:20" ht="15.75" customHeight="1">
      <c r="A7" s="36" t="s">
        <v>2158</v>
      </c>
      <c r="B7" s="36">
        <v>90</v>
      </c>
      <c r="C7" s="33"/>
      <c r="D7" s="36">
        <v>40</v>
      </c>
      <c r="E7" s="33"/>
      <c r="F7" s="33"/>
      <c r="G7" s="36">
        <v>200690</v>
      </c>
      <c r="H7" s="37">
        <v>44855</v>
      </c>
      <c r="I7" s="36">
        <v>92</v>
      </c>
      <c r="J7" s="36" t="s">
        <v>1046</v>
      </c>
      <c r="K7" s="36" t="s">
        <v>438</v>
      </c>
      <c r="L7" s="36" t="s">
        <v>1047</v>
      </c>
      <c r="M7" s="27"/>
      <c r="O7" s="28" t="str">
        <f>IFERROR(VLOOKUP(A7, '2024 Full View'!$1:$999, 1, FALSE), "")</f>
        <v/>
      </c>
      <c r="P7" s="3" t="str">
        <f ca="1">IFERROR(__xludf.DUMMYFUNCTION("TEXTJOIN("", "",TRUE, FILTER($B$1:$E$1,B7:E7&lt;&gt;""""))"),"Zach, Maggie")</f>
        <v>Zach, Maggie</v>
      </c>
      <c r="T7" s="15"/>
    </row>
    <row r="8" spans="1:20" ht="15.75" customHeight="1">
      <c r="A8" s="36" t="s">
        <v>2159</v>
      </c>
      <c r="B8" s="36">
        <v>11</v>
      </c>
      <c r="C8" s="33"/>
      <c r="D8" s="36">
        <v>17</v>
      </c>
      <c r="E8" s="33"/>
      <c r="F8" s="33"/>
      <c r="G8" s="36">
        <v>176579</v>
      </c>
      <c r="H8" s="37">
        <v>45071</v>
      </c>
      <c r="I8" s="36">
        <v>91</v>
      </c>
      <c r="J8" s="36" t="s">
        <v>1048</v>
      </c>
      <c r="K8" s="36" t="s">
        <v>440</v>
      </c>
      <c r="L8" s="36" t="s">
        <v>1049</v>
      </c>
      <c r="M8" s="27"/>
      <c r="O8" s="28" t="str">
        <f>IFERROR(VLOOKUP(A8, '2024 Full View'!$1:$999, 1, FALSE), "")</f>
        <v/>
      </c>
      <c r="P8" s="3" t="str">
        <f ca="1">IFERROR(__xludf.DUMMYFUNCTION("TEXTJOIN("", "",TRUE, FILTER($B$1:$E$1,B8:E8&lt;&gt;""""))"),"Zach, Maggie")</f>
        <v>Zach, Maggie</v>
      </c>
    </row>
    <row r="9" spans="1:20" ht="15.75" customHeight="1">
      <c r="A9" s="36" t="s">
        <v>2160</v>
      </c>
      <c r="B9" s="33"/>
      <c r="C9" s="33"/>
      <c r="D9" s="36">
        <v>64</v>
      </c>
      <c r="E9" s="33"/>
      <c r="F9" s="33"/>
      <c r="G9" s="36">
        <v>229477</v>
      </c>
      <c r="H9" s="37">
        <v>45225</v>
      </c>
      <c r="I9" s="36">
        <v>91</v>
      </c>
      <c r="J9" s="36" t="s">
        <v>905</v>
      </c>
      <c r="K9" s="36" t="s">
        <v>438</v>
      </c>
      <c r="L9" s="36" t="s">
        <v>1050</v>
      </c>
      <c r="M9" s="27"/>
      <c r="O9" s="28" t="str">
        <f>IFERROR(VLOOKUP(A9, '2024 Full View'!$1:$999, 1, FALSE), "")</f>
        <v/>
      </c>
      <c r="P9" s="3" t="str">
        <f ca="1">IFERROR(__xludf.DUMMYFUNCTION("TEXTJOIN("", "",TRUE, FILTER($B$1:$E$1,B9:E9&lt;&gt;""""))"),"Maggie")</f>
        <v>Maggie</v>
      </c>
    </row>
    <row r="10" spans="1:20" ht="15.75" customHeight="1">
      <c r="A10" s="36" t="s">
        <v>2161</v>
      </c>
      <c r="B10" s="33"/>
      <c r="C10" s="33"/>
      <c r="D10" s="36">
        <v>47</v>
      </c>
      <c r="E10" s="33"/>
      <c r="F10" s="33"/>
      <c r="G10" s="36">
        <v>160133</v>
      </c>
      <c r="H10" s="37">
        <v>25909</v>
      </c>
      <c r="I10" s="36">
        <v>90</v>
      </c>
      <c r="J10" s="36" t="s">
        <v>1051</v>
      </c>
      <c r="K10" s="36" t="s">
        <v>1052</v>
      </c>
      <c r="L10" s="36" t="s">
        <v>1053</v>
      </c>
      <c r="M10" s="27"/>
      <c r="O10" s="28" t="str">
        <f>IFERROR(VLOOKUP(A10, '2024 Full View'!$1:$999, 1, FALSE), "")</f>
        <v/>
      </c>
      <c r="P10" s="3" t="str">
        <f ca="1">IFERROR(__xludf.DUMMYFUNCTION("TEXTJOIN("", "",TRUE, FILTER($B$1:$E$1,B10:E10&lt;&gt;""""))"),"Maggie")</f>
        <v>Maggie</v>
      </c>
    </row>
    <row r="11" spans="1:20" ht="15.75" customHeight="1">
      <c r="A11" s="36" t="s">
        <v>2162</v>
      </c>
      <c r="B11" s="33"/>
      <c r="C11" s="33"/>
      <c r="D11" s="36">
        <v>92</v>
      </c>
      <c r="E11" s="36">
        <v>28</v>
      </c>
      <c r="F11" s="33"/>
      <c r="G11" s="36">
        <v>239560</v>
      </c>
      <c r="H11" s="37">
        <v>44036</v>
      </c>
      <c r="I11" s="36">
        <v>90</v>
      </c>
      <c r="J11" s="36" t="s">
        <v>773</v>
      </c>
      <c r="K11" s="36" t="s">
        <v>438</v>
      </c>
      <c r="L11" s="36" t="s">
        <v>1054</v>
      </c>
      <c r="M11" s="27"/>
      <c r="O11" s="28" t="str">
        <f>IFERROR(VLOOKUP(A11, '2024 Full View'!$1:$999, 1, FALSE), "")</f>
        <v/>
      </c>
      <c r="P11" s="3" t="str">
        <f ca="1">IFERROR(__xludf.DUMMYFUNCTION("TEXTJOIN("", "",TRUE, FILTER($B$1:$E$1,B11:E11&lt;&gt;""""))"),"Maggie, Jamie")</f>
        <v>Maggie, Jamie</v>
      </c>
    </row>
    <row r="12" spans="1:20" ht="15.75" customHeight="1">
      <c r="A12" s="36" t="s">
        <v>2163</v>
      </c>
      <c r="B12" s="33"/>
      <c r="C12" s="33"/>
      <c r="D12" s="36">
        <v>60</v>
      </c>
      <c r="E12" s="33"/>
      <c r="F12" s="33"/>
      <c r="G12" s="36">
        <v>236413</v>
      </c>
      <c r="H12" s="37">
        <v>43049</v>
      </c>
      <c r="I12" s="36">
        <v>90</v>
      </c>
      <c r="J12" s="36" t="s">
        <v>738</v>
      </c>
      <c r="K12" s="36" t="s">
        <v>438</v>
      </c>
      <c r="L12" s="36" t="s">
        <v>1055</v>
      </c>
      <c r="M12" s="27"/>
      <c r="O12" s="28" t="str">
        <f>IFERROR(VLOOKUP(A12, '2024 Full View'!$1:$999, 1, FALSE), "")</f>
        <v/>
      </c>
      <c r="P12" s="3" t="str">
        <f ca="1">IFERROR(__xludf.DUMMYFUNCTION("TEXTJOIN("", "",TRUE, FILTER($B$1:$E$1,B12:E12&lt;&gt;""""))"),"Maggie")</f>
        <v>Maggie</v>
      </c>
    </row>
    <row r="13" spans="1:20" ht="15.75" customHeight="1">
      <c r="A13" s="36" t="s">
        <v>2164</v>
      </c>
      <c r="B13" s="33"/>
      <c r="C13" s="33"/>
      <c r="D13" s="36">
        <v>89</v>
      </c>
      <c r="E13" s="33"/>
      <c r="F13" s="33"/>
      <c r="G13" s="36">
        <v>163648</v>
      </c>
      <c r="H13" s="37">
        <v>44757</v>
      </c>
      <c r="I13" s="36">
        <v>89</v>
      </c>
      <c r="J13" s="36" t="s">
        <v>1056</v>
      </c>
      <c r="K13" s="36" t="s">
        <v>366</v>
      </c>
      <c r="L13" s="36" t="s">
        <v>1057</v>
      </c>
      <c r="M13" s="27"/>
      <c r="O13" s="28" t="str">
        <f>IFERROR(VLOOKUP(A13, '2024 Full View'!$1:$999, 1, FALSE), "")</f>
        <v/>
      </c>
      <c r="P13" s="3" t="str">
        <f ca="1">IFERROR(__xludf.DUMMYFUNCTION("TEXTJOIN("", "",TRUE, FILTER($B$1:$E$1,B13:E13&lt;&gt;""""))"),"Maggie")</f>
        <v>Maggie</v>
      </c>
    </row>
    <row r="14" spans="1:20" ht="15.75" customHeight="1">
      <c r="A14" s="36" t="s">
        <v>2120</v>
      </c>
      <c r="B14" s="36">
        <v>29</v>
      </c>
      <c r="C14" s="33"/>
      <c r="D14" s="36">
        <v>10</v>
      </c>
      <c r="E14" s="33"/>
      <c r="F14" s="33"/>
      <c r="G14" s="36">
        <v>153946</v>
      </c>
      <c r="H14" s="37">
        <v>44903</v>
      </c>
      <c r="I14" s="36">
        <v>89</v>
      </c>
      <c r="J14" s="36" t="s">
        <v>829</v>
      </c>
      <c r="K14" s="36" t="s">
        <v>442</v>
      </c>
      <c r="L14" s="36" t="s">
        <v>830</v>
      </c>
      <c r="M14" s="27"/>
      <c r="O14" s="28" t="str">
        <f>IFERROR(VLOOKUP(A14, '2024 Full View'!$1:$999, 1, FALSE), "")</f>
        <v>Kill BillSZA</v>
      </c>
      <c r="P14" s="3" t="str">
        <f ca="1">IFERROR(__xludf.DUMMYFUNCTION("TEXTJOIN("", "",TRUE, FILTER($B$1:$E$1,B14:E14&lt;&gt;""""))"),"Zach, Maggie")</f>
        <v>Zach, Maggie</v>
      </c>
    </row>
    <row r="15" spans="1:20" ht="15.75" customHeight="1">
      <c r="A15" s="36" t="s">
        <v>1929</v>
      </c>
      <c r="B15" s="33"/>
      <c r="C15" s="33"/>
      <c r="D15" s="36">
        <v>24</v>
      </c>
      <c r="E15" s="36">
        <v>32</v>
      </c>
      <c r="F15" s="33"/>
      <c r="G15" s="36">
        <v>261922</v>
      </c>
      <c r="H15" s="37">
        <v>44036</v>
      </c>
      <c r="I15" s="36">
        <v>89</v>
      </c>
      <c r="J15" s="36" t="s">
        <v>773</v>
      </c>
      <c r="K15" s="36" t="s">
        <v>438</v>
      </c>
      <c r="L15" s="36" t="s">
        <v>774</v>
      </c>
      <c r="M15" s="27"/>
      <c r="O15" s="28" t="str">
        <f>IFERROR(VLOOKUP(A15, '2024 Full View'!$1:$999, 1, FALSE), "")</f>
        <v>augustTaylor Swift</v>
      </c>
      <c r="P15" s="3" t="str">
        <f ca="1">IFERROR(__xludf.DUMMYFUNCTION("TEXTJOIN("", "",TRUE, FILTER($B$1:$E$1,B15:E15&lt;&gt;""""))"),"Maggie, Jamie")</f>
        <v>Maggie, Jamie</v>
      </c>
    </row>
    <row r="16" spans="1:20" ht="15.75" customHeight="1">
      <c r="A16" s="36" t="s">
        <v>2165</v>
      </c>
      <c r="B16" s="33"/>
      <c r="C16" s="33"/>
      <c r="D16" s="33"/>
      <c r="E16" s="36">
        <v>53</v>
      </c>
      <c r="F16" s="33"/>
      <c r="G16" s="36">
        <v>251488</v>
      </c>
      <c r="H16" s="37">
        <v>31103</v>
      </c>
      <c r="I16" s="36">
        <v>89</v>
      </c>
      <c r="J16" s="36" t="s">
        <v>1058</v>
      </c>
      <c r="K16" s="36" t="s">
        <v>1059</v>
      </c>
      <c r="L16" s="36" t="s">
        <v>1060</v>
      </c>
      <c r="M16" s="27"/>
      <c r="O16" s="28" t="str">
        <f>IFERROR(VLOOKUP(A16, '2024 Full View'!$1:$999, 1, FALSE), "")</f>
        <v/>
      </c>
      <c r="P16" s="3" t="str">
        <f ca="1">IFERROR(__xludf.DUMMYFUNCTION("TEXTJOIN("", "",TRUE, FILTER($B$1:$E$1,B16:E16&lt;&gt;""""))"),"Jamie")</f>
        <v>Jamie</v>
      </c>
    </row>
    <row r="17" spans="1:16" ht="15.75" customHeight="1">
      <c r="A17" s="36" t="s">
        <v>2166</v>
      </c>
      <c r="B17" s="33"/>
      <c r="C17" s="33"/>
      <c r="D17" s="36">
        <v>70</v>
      </c>
      <c r="E17" s="33"/>
      <c r="F17" s="33"/>
      <c r="G17" s="36">
        <v>215626</v>
      </c>
      <c r="H17" s="37">
        <v>43910</v>
      </c>
      <c r="I17" s="36">
        <v>89</v>
      </c>
      <c r="J17" s="36" t="s">
        <v>1061</v>
      </c>
      <c r="K17" s="36" t="s">
        <v>1062</v>
      </c>
      <c r="L17" s="36" t="s">
        <v>1063</v>
      </c>
      <c r="M17" s="27"/>
      <c r="O17" s="28" t="str">
        <f>IFERROR(VLOOKUP(A17, '2024 Full View'!$1:$999, 1, FALSE), "")</f>
        <v/>
      </c>
      <c r="P17" s="3" t="str">
        <f ca="1">IFERROR(__xludf.DUMMYFUNCTION("TEXTJOIN("", "",TRUE, FILTER($B$1:$E$1,B17:E17&lt;&gt;""""))"),"Maggie")</f>
        <v>Maggie</v>
      </c>
    </row>
    <row r="18" spans="1:16" ht="15.75" customHeight="1">
      <c r="A18" s="36" t="s">
        <v>1973</v>
      </c>
      <c r="B18" s="36">
        <v>1</v>
      </c>
      <c r="C18" s="36">
        <v>88</v>
      </c>
      <c r="D18" s="33"/>
      <c r="E18" s="33"/>
      <c r="F18" s="33"/>
      <c r="G18" s="36">
        <v>265493</v>
      </c>
      <c r="H18" s="37">
        <v>45009</v>
      </c>
      <c r="I18" s="36">
        <v>88</v>
      </c>
      <c r="J18" s="36" t="s">
        <v>850</v>
      </c>
      <c r="K18" s="36" t="s">
        <v>482</v>
      </c>
      <c r="L18" s="36" t="s">
        <v>855</v>
      </c>
      <c r="M18" s="27"/>
      <c r="O18" s="28" t="str">
        <f>IFERROR(VLOOKUP(A18, '2024 Full View'!$1:$999, 1, FALSE), "")</f>
        <v>Fast CarLuke Combs</v>
      </c>
      <c r="P18" s="3" t="str">
        <f ca="1">IFERROR(__xludf.DUMMYFUNCTION("TEXTJOIN("", "",TRUE, FILTER($B$1:$E$1,B18:E18&lt;&gt;""""))"),"Zach, Bryce")</f>
        <v>Zach, Bryce</v>
      </c>
    </row>
    <row r="19" spans="1:16" ht="15.75" customHeight="1">
      <c r="A19" s="36" t="s">
        <v>2167</v>
      </c>
      <c r="B19" s="33"/>
      <c r="C19" s="36">
        <v>97</v>
      </c>
      <c r="D19" s="33"/>
      <c r="E19" s="33"/>
      <c r="F19" s="33"/>
      <c r="G19" s="36">
        <v>177387</v>
      </c>
      <c r="H19" s="37">
        <v>44988</v>
      </c>
      <c r="I19" s="36">
        <v>87</v>
      </c>
      <c r="J19" s="36" t="s">
        <v>843</v>
      </c>
      <c r="K19" s="36" t="s">
        <v>429</v>
      </c>
      <c r="L19" s="36" t="s">
        <v>1064</v>
      </c>
      <c r="M19" s="27"/>
      <c r="O19" s="28" t="str">
        <f>IFERROR(VLOOKUP(A19, '2024 Full View'!$1:$999, 1, FALSE), "")</f>
        <v/>
      </c>
      <c r="P19" s="3" t="str">
        <f ca="1">IFERROR(__xludf.DUMMYFUNCTION("TEXTJOIN("", "",TRUE, FILTER($B$1:$E$1,B19:E19&lt;&gt;""""))"),"Bryce")</f>
        <v>Bryce</v>
      </c>
    </row>
    <row r="20" spans="1:16" ht="15.75" customHeight="1">
      <c r="A20" s="36" t="s">
        <v>2168</v>
      </c>
      <c r="B20" s="33"/>
      <c r="C20" s="33"/>
      <c r="D20" s="36">
        <v>56</v>
      </c>
      <c r="E20" s="33"/>
      <c r="F20" s="33"/>
      <c r="G20" s="36">
        <v>204852</v>
      </c>
      <c r="H20" s="37">
        <v>44855</v>
      </c>
      <c r="I20" s="36">
        <v>87</v>
      </c>
      <c r="J20" s="36" t="s">
        <v>1046</v>
      </c>
      <c r="K20" s="36" t="s">
        <v>438</v>
      </c>
      <c r="L20" s="36" t="s">
        <v>1065</v>
      </c>
      <c r="M20" s="27"/>
      <c r="O20" s="28" t="str">
        <f>IFERROR(VLOOKUP(A20, '2024 Full View'!$1:$999, 1, FALSE), "")</f>
        <v/>
      </c>
      <c r="P20" s="3" t="str">
        <f ca="1">IFERROR(__xludf.DUMMYFUNCTION("TEXTJOIN("", "",TRUE, FILTER($B$1:$E$1,B20:E20&lt;&gt;""""))"),"Maggie")</f>
        <v>Maggie</v>
      </c>
    </row>
    <row r="21" spans="1:16" ht="15.75" customHeight="1">
      <c r="A21" s="36" t="s">
        <v>1969</v>
      </c>
      <c r="B21" s="36">
        <v>4</v>
      </c>
      <c r="C21" s="36">
        <v>3</v>
      </c>
      <c r="D21" s="33"/>
      <c r="E21" s="33"/>
      <c r="F21" s="33"/>
      <c r="G21" s="36">
        <v>163854</v>
      </c>
      <c r="H21" s="37">
        <v>44988</v>
      </c>
      <c r="I21" s="36">
        <v>86</v>
      </c>
      <c r="J21" s="36" t="s">
        <v>843</v>
      </c>
      <c r="K21" s="36" t="s">
        <v>429</v>
      </c>
      <c r="L21" s="36" t="s">
        <v>845</v>
      </c>
      <c r="M21" s="27"/>
      <c r="O21" s="28" t="str">
        <f>IFERROR(VLOOKUP(A21, '2024 Full View'!$1:$999, 1, FALSE), "")</f>
        <v>Last NightMorgan Wallen</v>
      </c>
      <c r="P21" s="3" t="str">
        <f ca="1">IFERROR(__xludf.DUMMYFUNCTION("TEXTJOIN("", "",TRUE, FILTER($B$1:$E$1,B21:E21&lt;&gt;""""))"),"Zach, Bryce")</f>
        <v>Zach, Bryce</v>
      </c>
    </row>
    <row r="22" spans="1:16" ht="15.75" customHeight="1">
      <c r="A22" s="36" t="s">
        <v>1798</v>
      </c>
      <c r="B22" s="36">
        <v>3</v>
      </c>
      <c r="C22" s="36">
        <v>15</v>
      </c>
      <c r="D22" s="33"/>
      <c r="E22" s="36">
        <v>29</v>
      </c>
      <c r="F22" s="36" t="s">
        <v>368</v>
      </c>
      <c r="G22" s="36">
        <v>213817</v>
      </c>
      <c r="H22" s="37">
        <v>45125</v>
      </c>
      <c r="I22" s="36">
        <v>86</v>
      </c>
      <c r="J22" s="36" t="s">
        <v>873</v>
      </c>
      <c r="K22" s="36" t="s">
        <v>471</v>
      </c>
      <c r="L22" s="36" t="s">
        <v>873</v>
      </c>
      <c r="M22" s="27"/>
      <c r="O22" s="28" t="str">
        <f>IFERROR(VLOOKUP(A22, '2024 Full View'!$1:$999, 1, FALSE), "")</f>
        <v>Dial Drunk (with Post Malone)Noah Kahan</v>
      </c>
      <c r="P22" s="3" t="str">
        <f ca="1">IFERROR(__xludf.DUMMYFUNCTION("TEXTJOIN("", "",TRUE, FILTER($B$1:$E$1,B22:E22&lt;&gt;""""))"),"Zach, Bryce, Jamie")</f>
        <v>Zach, Bryce, Jamie</v>
      </c>
    </row>
    <row r="23" spans="1:16" ht="15.75" customHeight="1">
      <c r="A23" s="36" t="s">
        <v>2169</v>
      </c>
      <c r="B23" s="33"/>
      <c r="C23" s="36">
        <v>55</v>
      </c>
      <c r="D23" s="33"/>
      <c r="E23" s="33"/>
      <c r="F23" s="33"/>
      <c r="G23" s="36">
        <v>207853</v>
      </c>
      <c r="H23" s="37">
        <v>44498</v>
      </c>
      <c r="I23" s="36">
        <v>86</v>
      </c>
      <c r="J23" s="33" t="s">
        <v>1066</v>
      </c>
      <c r="K23" s="36" t="s">
        <v>1067</v>
      </c>
      <c r="L23" s="36" t="s">
        <v>1068</v>
      </c>
      <c r="M23" s="27"/>
      <c r="O23" s="28" t="str">
        <f>IFERROR(VLOOKUP(A23, '2024 Full View'!$1:$999, 1, FALSE), "")</f>
        <v/>
      </c>
      <c r="P23" s="3" t="str">
        <f ca="1">IFERROR(__xludf.DUMMYFUNCTION("TEXTJOIN("", "",TRUE, FILTER($B$1:$E$1,B23:E23&lt;&gt;""""))"),"Bryce")</f>
        <v>Bryce</v>
      </c>
    </row>
    <row r="24" spans="1:16" ht="15.75" customHeight="1">
      <c r="A24" s="36" t="s">
        <v>2170</v>
      </c>
      <c r="B24" s="36">
        <v>53</v>
      </c>
      <c r="C24" s="33"/>
      <c r="D24" s="33"/>
      <c r="E24" s="36">
        <v>8</v>
      </c>
      <c r="F24" s="33"/>
      <c r="G24" s="36">
        <v>182887</v>
      </c>
      <c r="H24" s="37">
        <v>44659</v>
      </c>
      <c r="I24" s="36">
        <v>86</v>
      </c>
      <c r="J24" s="36" t="s">
        <v>1069</v>
      </c>
      <c r="K24" s="36" t="s">
        <v>487</v>
      </c>
      <c r="L24" s="36" t="s">
        <v>1070</v>
      </c>
      <c r="M24" s="27"/>
      <c r="O24" s="28" t="str">
        <f>IFERROR(VLOOKUP(A24, '2024 Full View'!$1:$999, 1, FALSE), "")</f>
        <v/>
      </c>
      <c r="P24" s="3" t="str">
        <f ca="1">IFERROR(__xludf.DUMMYFUNCTION("TEXTJOIN("", "",TRUE, FILTER($B$1:$E$1,B24:E24&lt;&gt;""""))"),"Zach, Jamie")</f>
        <v>Zach, Jamie</v>
      </c>
    </row>
    <row r="25" spans="1:16" ht="15.75" customHeight="1">
      <c r="A25" s="36" t="s">
        <v>2171</v>
      </c>
      <c r="B25" s="33"/>
      <c r="C25" s="33"/>
      <c r="D25" s="33"/>
      <c r="E25" s="36">
        <v>3</v>
      </c>
      <c r="F25" s="33"/>
      <c r="G25" s="36">
        <v>152666</v>
      </c>
      <c r="H25" s="37">
        <v>44337</v>
      </c>
      <c r="I25" s="36">
        <v>86</v>
      </c>
      <c r="J25" s="36" t="s">
        <v>1071</v>
      </c>
      <c r="K25" s="36" t="s">
        <v>484</v>
      </c>
      <c r="L25" s="36" t="s">
        <v>1072</v>
      </c>
      <c r="M25" s="27"/>
      <c r="O25" s="28" t="str">
        <f>IFERROR(VLOOKUP(A25, '2024 Full View'!$1:$999, 1, FALSE), "")</f>
        <v/>
      </c>
      <c r="P25" s="3" t="str">
        <f ca="1">IFERROR(__xludf.DUMMYFUNCTION("TEXTJOIN("", "",TRUE, FILTER($B$1:$E$1,B25:E25&lt;&gt;""""))"),"Jamie")</f>
        <v>Jamie</v>
      </c>
    </row>
    <row r="26" spans="1:16" ht="15.75" customHeight="1">
      <c r="A26" s="36" t="s">
        <v>2135</v>
      </c>
      <c r="B26" s="36">
        <v>45</v>
      </c>
      <c r="C26" s="33"/>
      <c r="D26" s="33"/>
      <c r="E26" s="33"/>
      <c r="F26" s="33"/>
      <c r="G26" s="36">
        <v>180853</v>
      </c>
      <c r="H26" s="37">
        <v>44904</v>
      </c>
      <c r="I26" s="36">
        <v>86</v>
      </c>
      <c r="J26" s="36" t="s">
        <v>829</v>
      </c>
      <c r="K26" s="36" t="s">
        <v>442</v>
      </c>
      <c r="L26" s="36" t="s">
        <v>1073</v>
      </c>
      <c r="M26" s="27"/>
      <c r="O26" s="28" t="str">
        <f>IFERROR(VLOOKUP(A26, '2024 Full View'!$1:$999, 1, FALSE), "")</f>
        <v>Nobody Gets MeSZA</v>
      </c>
      <c r="P26" s="3" t="str">
        <f ca="1">IFERROR(__xludf.DUMMYFUNCTION("TEXTJOIN("", "",TRUE, FILTER($B$1:$E$1,B26:E26&lt;&gt;""""))"),"Zach")</f>
        <v>Zach</v>
      </c>
    </row>
    <row r="27" spans="1:16" ht="15.75" customHeight="1">
      <c r="A27" s="36" t="s">
        <v>2172</v>
      </c>
      <c r="B27" s="33"/>
      <c r="C27" s="33"/>
      <c r="D27" s="36">
        <v>11</v>
      </c>
      <c r="E27" s="33"/>
      <c r="F27" s="33"/>
      <c r="G27" s="36">
        <v>233626</v>
      </c>
      <c r="H27" s="37">
        <v>43049</v>
      </c>
      <c r="I27" s="36">
        <v>86</v>
      </c>
      <c r="J27" s="36" t="s">
        <v>738</v>
      </c>
      <c r="K27" s="36" t="s">
        <v>438</v>
      </c>
      <c r="L27" s="36" t="s">
        <v>1074</v>
      </c>
      <c r="M27" s="27"/>
      <c r="O27" s="28" t="str">
        <f>IFERROR(VLOOKUP(A27, '2024 Full View'!$1:$999, 1, FALSE), "")</f>
        <v/>
      </c>
      <c r="P27" s="3" t="str">
        <f ca="1">IFERROR(__xludf.DUMMYFUNCTION("TEXTJOIN("", "",TRUE, FILTER($B$1:$E$1,B27:E27&lt;&gt;""""))"),"Maggie")</f>
        <v>Maggie</v>
      </c>
    </row>
    <row r="28" spans="1:16" ht="15.75" customHeight="1">
      <c r="A28" s="36" t="s">
        <v>2173</v>
      </c>
      <c r="B28" s="36">
        <v>64</v>
      </c>
      <c r="C28" s="33"/>
      <c r="D28" s="33"/>
      <c r="E28" s="33"/>
      <c r="F28" s="33"/>
      <c r="G28" s="36">
        <v>178520</v>
      </c>
      <c r="H28" s="37">
        <v>44204</v>
      </c>
      <c r="I28" s="36">
        <v>85</v>
      </c>
      <c r="J28" s="36" t="s">
        <v>1075</v>
      </c>
      <c r="K28" s="36" t="s">
        <v>429</v>
      </c>
      <c r="L28" s="36" t="s">
        <v>1076</v>
      </c>
      <c r="M28" s="27"/>
      <c r="O28" s="28" t="str">
        <f>IFERROR(VLOOKUP(A28, '2024 Full View'!$1:$999, 1, FALSE), "")</f>
        <v/>
      </c>
      <c r="P28" s="3" t="str">
        <f ca="1">IFERROR(__xludf.DUMMYFUNCTION("TEXTJOIN("", "",TRUE, FILTER($B$1:$E$1,B28:E28&lt;&gt;""""))"),"Zach")</f>
        <v>Zach</v>
      </c>
    </row>
    <row r="29" spans="1:16" ht="15.75" customHeight="1">
      <c r="A29" s="36" t="s">
        <v>1895</v>
      </c>
      <c r="B29" s="36">
        <v>57</v>
      </c>
      <c r="C29" s="33"/>
      <c r="D29" s="33"/>
      <c r="E29" s="33"/>
      <c r="F29" s="33"/>
      <c r="G29" s="36">
        <v>184013</v>
      </c>
      <c r="H29" s="37">
        <v>45030</v>
      </c>
      <c r="I29" s="36">
        <v>85</v>
      </c>
      <c r="J29" s="36" t="s">
        <v>856</v>
      </c>
      <c r="K29" s="36" t="s">
        <v>368</v>
      </c>
      <c r="L29" s="36" t="s">
        <v>856</v>
      </c>
      <c r="M29" s="27"/>
      <c r="O29" s="28" t="str">
        <f>IFERROR(VLOOKUP(A29, '2024 Full View'!$1:$999, 1, FALSE), "")</f>
        <v>ChemicalPost Malone</v>
      </c>
      <c r="P29" s="3" t="str">
        <f ca="1">IFERROR(__xludf.DUMMYFUNCTION("TEXTJOIN("", "",TRUE, FILTER($B$1:$E$1,B29:E29&lt;&gt;""""))"),"Zach")</f>
        <v>Zach</v>
      </c>
    </row>
    <row r="30" spans="1:16" ht="15.75" customHeight="1">
      <c r="A30" s="36" t="s">
        <v>2174</v>
      </c>
      <c r="B30" s="33"/>
      <c r="C30" s="33"/>
      <c r="D30" s="36">
        <v>16</v>
      </c>
      <c r="E30" s="33"/>
      <c r="F30" s="36" t="s">
        <v>438</v>
      </c>
      <c r="G30" s="36">
        <v>247160</v>
      </c>
      <c r="H30" s="37">
        <v>43048</v>
      </c>
      <c r="I30" s="36">
        <v>85</v>
      </c>
      <c r="J30" s="36" t="s">
        <v>1077</v>
      </c>
      <c r="K30" s="36" t="s">
        <v>1078</v>
      </c>
      <c r="L30" s="36" t="s">
        <v>1079</v>
      </c>
      <c r="M30" s="27"/>
      <c r="O30" s="28" t="str">
        <f>IFERROR(VLOOKUP(A30, '2024 Full View'!$1:$999, 1, FALSE), "")</f>
        <v/>
      </c>
      <c r="P30" s="3" t="str">
        <f ca="1">IFERROR(__xludf.DUMMYFUNCTION("TEXTJOIN("", "",TRUE, FILTER($B$1:$E$1,B30:E30&lt;&gt;""""))"),"Maggie")</f>
        <v>Maggie</v>
      </c>
    </row>
    <row r="31" spans="1:16" ht="15.75" customHeight="1">
      <c r="A31" s="36" t="s">
        <v>2175</v>
      </c>
      <c r="B31" s="33"/>
      <c r="C31" s="36">
        <v>71</v>
      </c>
      <c r="D31" s="33"/>
      <c r="E31" s="33"/>
      <c r="F31" s="33"/>
      <c r="G31" s="36">
        <v>235766</v>
      </c>
      <c r="H31" s="37">
        <v>44239</v>
      </c>
      <c r="I31" s="36">
        <v>84</v>
      </c>
      <c r="J31" s="36" t="s">
        <v>1080</v>
      </c>
      <c r="K31" s="36" t="s">
        <v>438</v>
      </c>
      <c r="L31" s="36" t="s">
        <v>1080</v>
      </c>
      <c r="M31" s="27"/>
      <c r="O31" s="28" t="str">
        <f>IFERROR(VLOOKUP(A31, '2024 Full View'!$1:$999, 1, FALSE), "")</f>
        <v/>
      </c>
      <c r="P31" s="3" t="str">
        <f ca="1">IFERROR(__xludf.DUMMYFUNCTION("TEXTJOIN("", "",TRUE, FILTER($B$1:$E$1,B31:E31&lt;&gt;""""))"),"Bryce")</f>
        <v>Bryce</v>
      </c>
    </row>
    <row r="32" spans="1:16" ht="15.75" customHeight="1">
      <c r="A32" s="36" t="s">
        <v>2176</v>
      </c>
      <c r="B32" s="36">
        <v>72</v>
      </c>
      <c r="C32" s="36">
        <v>80</v>
      </c>
      <c r="D32" s="33"/>
      <c r="E32" s="33"/>
      <c r="F32" s="33"/>
      <c r="G32" s="36">
        <v>157477</v>
      </c>
      <c r="H32" s="37">
        <v>44988</v>
      </c>
      <c r="I32" s="36">
        <v>84</v>
      </c>
      <c r="J32" s="36" t="s">
        <v>843</v>
      </c>
      <c r="K32" s="36" t="s">
        <v>429</v>
      </c>
      <c r="L32" s="36" t="s">
        <v>1081</v>
      </c>
      <c r="M32" s="27"/>
      <c r="O32" s="28" t="str">
        <f>IFERROR(VLOOKUP(A32, '2024 Full View'!$1:$999, 1, FALSE), "")</f>
        <v/>
      </c>
      <c r="P32" s="3" t="str">
        <f ca="1">IFERROR(__xludf.DUMMYFUNCTION("TEXTJOIN("", "",TRUE, FILTER($B$1:$E$1,B32:E32&lt;&gt;""""))"),"Zach, Bryce")</f>
        <v>Zach, Bryce</v>
      </c>
    </row>
    <row r="33" spans="1:16" ht="15.75" customHeight="1">
      <c r="A33" s="36" t="s">
        <v>2177</v>
      </c>
      <c r="B33" s="36">
        <v>89</v>
      </c>
      <c r="C33" s="33"/>
      <c r="D33" s="33"/>
      <c r="E33" s="33"/>
      <c r="F33" s="33"/>
      <c r="G33" s="36">
        <v>225388</v>
      </c>
      <c r="H33" s="37">
        <v>44771</v>
      </c>
      <c r="I33" s="36">
        <v>84</v>
      </c>
      <c r="J33" s="36" t="s">
        <v>1082</v>
      </c>
      <c r="K33" s="36" t="s">
        <v>1083</v>
      </c>
      <c r="L33" s="36" t="s">
        <v>1084</v>
      </c>
      <c r="M33" s="27"/>
      <c r="O33" s="28" t="str">
        <f>IFERROR(VLOOKUP(A33, '2024 Full View'!$1:$999, 1, FALSE), "")</f>
        <v/>
      </c>
      <c r="P33" s="3" t="str">
        <f ca="1">IFERROR(__xludf.DUMMYFUNCTION("TEXTJOIN("", "",TRUE, FILTER($B$1:$E$1,B33:E33&lt;&gt;""""))"),"Zach")</f>
        <v>Zach</v>
      </c>
    </row>
    <row r="34" spans="1:16" ht="15.75" customHeight="1">
      <c r="A34" s="36" t="s">
        <v>2178</v>
      </c>
      <c r="B34" s="33"/>
      <c r="C34" s="33"/>
      <c r="D34" s="36">
        <v>41</v>
      </c>
      <c r="E34" s="33"/>
      <c r="F34" s="33"/>
      <c r="G34" s="36">
        <v>217866</v>
      </c>
      <c r="H34" s="37">
        <v>40456</v>
      </c>
      <c r="I34" s="36">
        <v>84</v>
      </c>
      <c r="J34" s="36" t="s">
        <v>1085</v>
      </c>
      <c r="K34" s="36" t="s">
        <v>544</v>
      </c>
      <c r="L34" s="36" t="s">
        <v>1086</v>
      </c>
      <c r="M34" s="27"/>
      <c r="O34" s="28" t="str">
        <f>IFERROR(VLOOKUP(A34, '2024 Full View'!$1:$999, 1, FALSE), "")</f>
        <v/>
      </c>
      <c r="P34" s="3" t="str">
        <f ca="1">IFERROR(__xludf.DUMMYFUNCTION("TEXTJOIN("", "",TRUE, FILTER($B$1:$E$1,B34:E34&lt;&gt;""""))"),"Maggie")</f>
        <v>Maggie</v>
      </c>
    </row>
    <row r="35" spans="1:16" ht="15.75" customHeight="1">
      <c r="A35" s="36" t="s">
        <v>2179</v>
      </c>
      <c r="B35" s="33"/>
      <c r="C35" s="33"/>
      <c r="D35" s="36">
        <v>9</v>
      </c>
      <c r="E35" s="33"/>
      <c r="F35" s="33"/>
      <c r="G35" s="36">
        <v>177954</v>
      </c>
      <c r="H35" s="37">
        <v>44701</v>
      </c>
      <c r="I35" s="36">
        <v>84</v>
      </c>
      <c r="J35" s="36" t="s">
        <v>1087</v>
      </c>
      <c r="K35" s="36" t="s">
        <v>1088</v>
      </c>
      <c r="L35" s="36" t="s">
        <v>1089</v>
      </c>
      <c r="M35" s="27"/>
      <c r="O35" s="28" t="str">
        <f>IFERROR(VLOOKUP(A35, '2024 Full View'!$1:$999, 1, FALSE), "")</f>
        <v/>
      </c>
      <c r="P35" s="3" t="str">
        <f ca="1">IFERROR(__xludf.DUMMYFUNCTION("TEXTJOIN("", "",TRUE, FILTER($B$1:$E$1,B35:E35&lt;&gt;""""))"),"Maggie")</f>
        <v>Maggie</v>
      </c>
    </row>
    <row r="36" spans="1:16" ht="15.75" customHeight="1">
      <c r="A36" s="36" t="s">
        <v>2180</v>
      </c>
      <c r="B36" s="36">
        <v>49</v>
      </c>
      <c r="C36" s="33"/>
      <c r="D36" s="33"/>
      <c r="E36" s="33"/>
      <c r="F36" s="33"/>
      <c r="G36" s="36">
        <v>184791</v>
      </c>
      <c r="H36" s="37">
        <v>44901</v>
      </c>
      <c r="I36" s="36">
        <v>84</v>
      </c>
      <c r="J36" s="36" t="s">
        <v>1090</v>
      </c>
      <c r="K36" s="36" t="s">
        <v>1091</v>
      </c>
      <c r="L36" s="36" t="s">
        <v>1090</v>
      </c>
      <c r="M36" s="27"/>
      <c r="O36" s="28" t="str">
        <f>IFERROR(VLOOKUP(A36, '2024 Full View'!$1:$999, 1, FALSE), "")</f>
        <v/>
      </c>
      <c r="P36" s="3" t="str">
        <f ca="1">IFERROR(__xludf.DUMMYFUNCTION("TEXTJOIN("", "",TRUE, FILTER($B$1:$E$1,B36:E36&lt;&gt;""""))"),"Zach")</f>
        <v>Zach</v>
      </c>
    </row>
    <row r="37" spans="1:16" ht="15.75" customHeight="1">
      <c r="A37" s="36" t="s">
        <v>2181</v>
      </c>
      <c r="B37" s="33"/>
      <c r="C37" s="33"/>
      <c r="D37" s="33"/>
      <c r="E37" s="36">
        <v>72</v>
      </c>
      <c r="F37" s="33"/>
      <c r="G37" s="36">
        <v>156106</v>
      </c>
      <c r="H37" s="37">
        <v>43966</v>
      </c>
      <c r="I37" s="36">
        <v>84</v>
      </c>
      <c r="J37" s="36" t="s">
        <v>1092</v>
      </c>
      <c r="K37" s="36" t="s">
        <v>1093</v>
      </c>
      <c r="L37" s="36" t="s">
        <v>1094</v>
      </c>
      <c r="M37" s="27"/>
      <c r="O37" s="28" t="str">
        <f>IFERROR(VLOOKUP(A37, '2024 Full View'!$1:$999, 1, FALSE), "")</f>
        <v/>
      </c>
      <c r="P37" s="3" t="str">
        <f ca="1">IFERROR(__xludf.DUMMYFUNCTION("TEXTJOIN("", "",TRUE, FILTER($B$1:$E$1,B37:E37&lt;&gt;""""))"),"Jamie")</f>
        <v>Jamie</v>
      </c>
    </row>
    <row r="38" spans="1:16" ht="15.75" customHeight="1">
      <c r="A38" s="36" t="s">
        <v>2182</v>
      </c>
      <c r="B38" s="33"/>
      <c r="C38" s="36">
        <v>19</v>
      </c>
      <c r="D38" s="33"/>
      <c r="E38" s="33"/>
      <c r="F38" s="33"/>
      <c r="G38" s="36">
        <v>260285</v>
      </c>
      <c r="H38" s="37">
        <v>43168</v>
      </c>
      <c r="I38" s="36">
        <v>83</v>
      </c>
      <c r="J38" s="36" t="s">
        <v>1095</v>
      </c>
      <c r="K38" s="36" t="s">
        <v>1096</v>
      </c>
      <c r="L38" s="36" t="s">
        <v>1097</v>
      </c>
      <c r="M38" s="27"/>
      <c r="O38" s="28" t="str">
        <f>IFERROR(VLOOKUP(A38, '2024 Full View'!$1:$999, 1, FALSE), "")</f>
        <v/>
      </c>
      <c r="P38" s="3" t="str">
        <f ca="1">IFERROR(__xludf.DUMMYFUNCTION("TEXTJOIN("", "",TRUE, FILTER($B$1:$E$1,B38:E38&lt;&gt;""""))"),"Bryce")</f>
        <v>Bryce</v>
      </c>
    </row>
    <row r="39" spans="1:16" ht="15.75" customHeight="1">
      <c r="A39" s="36" t="s">
        <v>2183</v>
      </c>
      <c r="B39" s="36">
        <v>63</v>
      </c>
      <c r="C39" s="36">
        <v>47</v>
      </c>
      <c r="D39" s="33"/>
      <c r="E39" s="33"/>
      <c r="F39" s="33"/>
      <c r="G39" s="36">
        <v>194848</v>
      </c>
      <c r="H39" s="37">
        <v>45051</v>
      </c>
      <c r="I39" s="36">
        <v>83</v>
      </c>
      <c r="J39" s="33" t="s">
        <v>1098</v>
      </c>
      <c r="K39" s="36" t="s">
        <v>1067</v>
      </c>
      <c r="L39" s="33" t="s">
        <v>1099</v>
      </c>
      <c r="M39" s="27"/>
      <c r="O39" s="28" t="str">
        <f>IFERROR(VLOOKUP(A39, '2024 Full View'!$1:$999, 1, FALSE), "")</f>
        <v/>
      </c>
      <c r="P39" s="3" t="str">
        <f ca="1">IFERROR(__xludf.DUMMYFUNCTION("TEXTJOIN("", "",TRUE, FILTER($B$1:$E$1,B39:E39&lt;&gt;""""))"),"Zach, Bryce")</f>
        <v>Zach, Bryce</v>
      </c>
    </row>
    <row r="40" spans="1:16" ht="15.75" customHeight="1">
      <c r="A40" s="36" t="s">
        <v>2184</v>
      </c>
      <c r="B40" s="33"/>
      <c r="C40" s="36">
        <v>48</v>
      </c>
      <c r="D40" s="33"/>
      <c r="E40" s="33"/>
      <c r="F40" s="36" t="s">
        <v>409</v>
      </c>
      <c r="G40" s="36">
        <v>181621</v>
      </c>
      <c r="H40" s="37">
        <v>44988</v>
      </c>
      <c r="I40" s="36">
        <v>83</v>
      </c>
      <c r="J40" s="36" t="s">
        <v>843</v>
      </c>
      <c r="K40" s="36" t="s">
        <v>429</v>
      </c>
      <c r="L40" s="36" t="s">
        <v>1100</v>
      </c>
      <c r="M40" s="27"/>
      <c r="O40" s="28" t="str">
        <f>IFERROR(VLOOKUP(A40, '2024 Full View'!$1:$999, 1, FALSE), "")</f>
        <v/>
      </c>
      <c r="P40" s="3" t="str">
        <f ca="1">IFERROR(__xludf.DUMMYFUNCTION("TEXTJOIN("", "",TRUE, FILTER($B$1:$E$1,B40:E40&lt;&gt;""""))"),"Bryce")</f>
        <v>Bryce</v>
      </c>
    </row>
    <row r="41" spans="1:16" ht="15.75" customHeight="1">
      <c r="A41" s="36" t="s">
        <v>2185</v>
      </c>
      <c r="B41" s="36">
        <v>88</v>
      </c>
      <c r="C41" s="33"/>
      <c r="D41" s="33"/>
      <c r="E41" s="33"/>
      <c r="F41" s="36" t="s">
        <v>1101</v>
      </c>
      <c r="G41" s="36">
        <v>167480</v>
      </c>
      <c r="H41" s="37">
        <v>44337</v>
      </c>
      <c r="I41" s="36">
        <v>83</v>
      </c>
      <c r="J41" s="36" t="s">
        <v>1102</v>
      </c>
      <c r="K41" s="36" t="s">
        <v>1103</v>
      </c>
      <c r="L41" s="36" t="s">
        <v>1102</v>
      </c>
      <c r="M41" s="27"/>
      <c r="O41" s="28" t="str">
        <f>IFERROR(VLOOKUP(A41, '2024 Full View'!$1:$999, 1, FALSE), "")</f>
        <v/>
      </c>
      <c r="P41" s="3" t="str">
        <f ca="1">IFERROR(__xludf.DUMMYFUNCTION("TEXTJOIN("", "",TRUE, FILTER($B$1:$E$1,B41:E41&lt;&gt;""""))"),"Zach")</f>
        <v>Zach</v>
      </c>
    </row>
    <row r="42" spans="1:16" ht="15.75" customHeight="1">
      <c r="A42" s="36" t="s">
        <v>2186</v>
      </c>
      <c r="B42" s="33"/>
      <c r="C42" s="33"/>
      <c r="D42" s="36">
        <v>68</v>
      </c>
      <c r="E42" s="33"/>
      <c r="F42" s="33"/>
      <c r="G42" s="36">
        <v>234146</v>
      </c>
      <c r="H42" s="37">
        <v>43700</v>
      </c>
      <c r="I42" s="36">
        <v>83</v>
      </c>
      <c r="J42" s="36" t="s">
        <v>760</v>
      </c>
      <c r="K42" s="36" t="s">
        <v>438</v>
      </c>
      <c r="L42" s="36" t="s">
        <v>1104</v>
      </c>
      <c r="M42" s="27"/>
      <c r="O42" s="28" t="str">
        <f>IFERROR(VLOOKUP(A42, '2024 Full View'!$1:$999, 1, FALSE), "")</f>
        <v/>
      </c>
      <c r="P42" s="3" t="str">
        <f ca="1">IFERROR(__xludf.DUMMYFUNCTION("TEXTJOIN("", "",TRUE, FILTER($B$1:$E$1,B42:E42&lt;&gt;""""))"),"Maggie")</f>
        <v>Maggie</v>
      </c>
    </row>
    <row r="43" spans="1:16" ht="15.75" customHeight="1">
      <c r="A43" s="36" t="s">
        <v>2005</v>
      </c>
      <c r="B43" s="33"/>
      <c r="C43" s="33"/>
      <c r="D43" s="36">
        <v>85</v>
      </c>
      <c r="E43" s="33"/>
      <c r="F43" s="33"/>
      <c r="G43" s="36">
        <v>181481</v>
      </c>
      <c r="H43" s="37">
        <v>45212</v>
      </c>
      <c r="I43" s="36">
        <v>83</v>
      </c>
      <c r="J43" s="36" t="s">
        <v>901</v>
      </c>
      <c r="K43" s="36" t="s">
        <v>501</v>
      </c>
      <c r="L43" s="36" t="s">
        <v>902</v>
      </c>
      <c r="M43" s="27"/>
      <c r="O43" s="28" t="str">
        <f>IFERROR(VLOOKUP(A43, '2024 Full View'!$1:$999, 1, FALSE), "")</f>
        <v>One Of Your GirlsTroye Sivan</v>
      </c>
      <c r="P43" s="3" t="str">
        <f ca="1">IFERROR(__xludf.DUMMYFUNCTION("TEXTJOIN("", "",TRUE, FILTER($B$1:$E$1,B43:E43&lt;&gt;""""))"),"Maggie")</f>
        <v>Maggie</v>
      </c>
    </row>
    <row r="44" spans="1:16" ht="15.75" customHeight="1">
      <c r="A44" s="36" t="s">
        <v>2187</v>
      </c>
      <c r="B44" s="33"/>
      <c r="C44" s="36">
        <v>46</v>
      </c>
      <c r="D44" s="33"/>
      <c r="E44" s="33"/>
      <c r="F44" s="33"/>
      <c r="G44" s="36">
        <v>207540</v>
      </c>
      <c r="H44" s="37">
        <v>44937</v>
      </c>
      <c r="I44" s="36">
        <v>82</v>
      </c>
      <c r="J44" s="36" t="s">
        <v>832</v>
      </c>
      <c r="K44" s="36" t="s">
        <v>477</v>
      </c>
      <c r="L44" s="36" t="s">
        <v>1105</v>
      </c>
      <c r="M44" s="27"/>
      <c r="O44" s="28" t="str">
        <f>IFERROR(VLOOKUP(A44, '2024 Full View'!$1:$999, 1, FALSE), "")</f>
        <v/>
      </c>
      <c r="P44" s="3" t="str">
        <f ca="1">IFERROR(__xludf.DUMMYFUNCTION("TEXTJOIN("", "",TRUE, FILTER($B$1:$E$1,B44:E44&lt;&gt;""""))"),"Bryce")</f>
        <v>Bryce</v>
      </c>
    </row>
    <row r="45" spans="1:16" ht="15.75" customHeight="1">
      <c r="A45" s="36" t="s">
        <v>2104</v>
      </c>
      <c r="B45" s="36">
        <v>48</v>
      </c>
      <c r="C45" s="36">
        <v>57</v>
      </c>
      <c r="D45" s="33"/>
      <c r="E45" s="33"/>
      <c r="F45" s="36" t="s">
        <v>468</v>
      </c>
      <c r="G45" s="36">
        <v>191231</v>
      </c>
      <c r="H45" s="37">
        <v>44988</v>
      </c>
      <c r="I45" s="36">
        <v>82</v>
      </c>
      <c r="J45" s="36" t="s">
        <v>843</v>
      </c>
      <c r="K45" s="36" t="s">
        <v>429</v>
      </c>
      <c r="L45" s="36" t="s">
        <v>846</v>
      </c>
      <c r="M45" s="27"/>
      <c r="O45" s="28" t="str">
        <f>IFERROR(VLOOKUP(A45, '2024 Full View'!$1:$999, 1, FALSE), "")</f>
        <v>Man Made A Bar (feat. Eric Church)Morgan Wallen</v>
      </c>
      <c r="P45" s="3" t="str">
        <f ca="1">IFERROR(__xludf.DUMMYFUNCTION("TEXTJOIN("", "",TRUE, FILTER($B$1:$E$1,B45:E45&lt;&gt;""""))"),"Zach, Bryce")</f>
        <v>Zach, Bryce</v>
      </c>
    </row>
    <row r="46" spans="1:16" ht="15.75" customHeight="1">
      <c r="A46" s="36" t="s">
        <v>2188</v>
      </c>
      <c r="B46" s="33"/>
      <c r="C46" s="36">
        <v>58</v>
      </c>
      <c r="D46" s="33"/>
      <c r="E46" s="33"/>
      <c r="F46" s="33"/>
      <c r="G46" s="36">
        <v>259933</v>
      </c>
      <c r="H46" s="37">
        <v>36977</v>
      </c>
      <c r="I46" s="36">
        <v>82</v>
      </c>
      <c r="J46" s="36" t="s">
        <v>1106</v>
      </c>
      <c r="K46" s="36" t="s">
        <v>1107</v>
      </c>
      <c r="L46" s="36" t="s">
        <v>1108</v>
      </c>
      <c r="M46" s="27"/>
      <c r="O46" s="28" t="str">
        <f>IFERROR(VLOOKUP(A46, '2024 Full View'!$1:$999, 1, FALSE), "")</f>
        <v/>
      </c>
      <c r="P46" s="3" t="str">
        <f ca="1">IFERROR(__xludf.DUMMYFUNCTION("TEXTJOIN("", "",TRUE, FILTER($B$1:$E$1,B46:E46&lt;&gt;""""))"),"Bryce")</f>
        <v>Bryce</v>
      </c>
    </row>
    <row r="47" spans="1:16" ht="15.75" customHeight="1">
      <c r="A47" s="36" t="s">
        <v>1790</v>
      </c>
      <c r="B47" s="36">
        <v>33</v>
      </c>
      <c r="C47" s="33"/>
      <c r="D47" s="33"/>
      <c r="E47" s="33"/>
      <c r="F47" s="33"/>
      <c r="G47" s="36">
        <v>178723</v>
      </c>
      <c r="H47" s="37">
        <v>44937</v>
      </c>
      <c r="I47" s="36">
        <v>82</v>
      </c>
      <c r="J47" s="36" t="s">
        <v>832</v>
      </c>
      <c r="K47" s="36" t="s">
        <v>477</v>
      </c>
      <c r="L47" s="36" t="s">
        <v>833</v>
      </c>
      <c r="M47" s="27"/>
      <c r="O47" s="28" t="str">
        <f>IFERROR(VLOOKUP(A47, '2024 Full View'!$1:$999, 1, FALSE), "")</f>
        <v>ReligiouslyBailey Zimmerman</v>
      </c>
      <c r="P47" s="3" t="str">
        <f ca="1">IFERROR(__xludf.DUMMYFUNCTION("TEXTJOIN("", "",TRUE, FILTER($B$1:$E$1,B47:E47&lt;&gt;""""))"),"Zach")</f>
        <v>Zach</v>
      </c>
    </row>
    <row r="48" spans="1:16" ht="15.75" customHeight="1">
      <c r="A48" s="36" t="s">
        <v>2189</v>
      </c>
      <c r="B48" s="33"/>
      <c r="C48" s="33"/>
      <c r="D48" s="36">
        <v>97</v>
      </c>
      <c r="E48" s="33"/>
      <c r="F48" s="33"/>
      <c r="G48" s="36">
        <v>191185</v>
      </c>
      <c r="H48" s="37">
        <v>45156</v>
      </c>
      <c r="I48" s="36">
        <v>82</v>
      </c>
      <c r="J48" s="36" t="s">
        <v>1043</v>
      </c>
      <c r="K48" s="36" t="s">
        <v>465</v>
      </c>
      <c r="L48" s="36" t="s">
        <v>1109</v>
      </c>
      <c r="M48" s="27"/>
      <c r="O48" s="28" t="str">
        <f>IFERROR(VLOOKUP(A48, '2024 Full View'!$1:$999, 1, FALSE), "")</f>
        <v/>
      </c>
      <c r="P48" s="3" t="str">
        <f ca="1">IFERROR(__xludf.DUMMYFUNCTION("TEXTJOIN("", "",TRUE, FILTER($B$1:$E$1,B48:E48&lt;&gt;""""))"),"Maggie")</f>
        <v>Maggie</v>
      </c>
    </row>
    <row r="49" spans="1:16" ht="15.75" customHeight="1">
      <c r="A49" s="36" t="s">
        <v>1797</v>
      </c>
      <c r="B49" s="33"/>
      <c r="C49" s="33"/>
      <c r="D49" s="33"/>
      <c r="E49" s="36">
        <v>78</v>
      </c>
      <c r="F49" s="33"/>
      <c r="G49" s="36">
        <v>251510</v>
      </c>
      <c r="H49" s="37">
        <v>44848</v>
      </c>
      <c r="I49" s="36">
        <v>82</v>
      </c>
      <c r="J49" s="36" t="s">
        <v>825</v>
      </c>
      <c r="K49" s="36" t="s">
        <v>471</v>
      </c>
      <c r="L49" s="36" t="s">
        <v>826</v>
      </c>
      <c r="M49" s="27"/>
      <c r="O49" s="28" t="str">
        <f>IFERROR(VLOOKUP(A49, '2024 Full View'!$1:$999, 1, FALSE), "")</f>
        <v>All My LoveNoah Kahan</v>
      </c>
      <c r="P49" s="3" t="str">
        <f ca="1">IFERROR(__xludf.DUMMYFUNCTION("TEXTJOIN("", "",TRUE, FILTER($B$1:$E$1,B49:E49&lt;&gt;""""))"),"Jamie")</f>
        <v>Jamie</v>
      </c>
    </row>
    <row r="50" spans="1:16" ht="15.75" customHeight="1">
      <c r="A50" s="36" t="s">
        <v>2190</v>
      </c>
      <c r="B50" s="33"/>
      <c r="C50" s="33"/>
      <c r="D50" s="33"/>
      <c r="E50" s="36">
        <v>6</v>
      </c>
      <c r="F50" s="33"/>
      <c r="G50" s="36">
        <v>286369</v>
      </c>
      <c r="H50" s="37">
        <v>45086</v>
      </c>
      <c r="I50" s="36">
        <v>82</v>
      </c>
      <c r="J50" s="36" t="s">
        <v>864</v>
      </c>
      <c r="K50" s="36" t="s">
        <v>471</v>
      </c>
      <c r="L50" s="36" t="s">
        <v>1110</v>
      </c>
      <c r="M50" s="27"/>
      <c r="O50" s="28" t="str">
        <f>IFERROR(VLOOKUP(A50, '2024 Full View'!$1:$999, 1, FALSE), "")</f>
        <v/>
      </c>
      <c r="P50" s="3" t="str">
        <f ca="1">IFERROR(__xludf.DUMMYFUNCTION("TEXTJOIN("", "",TRUE, FILTER($B$1:$E$1,B50:E50&lt;&gt;""""))"),"Jamie")</f>
        <v>Jamie</v>
      </c>
    </row>
    <row r="51" spans="1:16" ht="14">
      <c r="A51" s="36" t="s">
        <v>2191</v>
      </c>
      <c r="B51" s="33"/>
      <c r="C51" s="33"/>
      <c r="D51" s="36">
        <v>84</v>
      </c>
      <c r="E51" s="33"/>
      <c r="F51" s="33"/>
      <c r="G51" s="36">
        <v>244000</v>
      </c>
      <c r="H51" s="37">
        <v>44176</v>
      </c>
      <c r="I51" s="36">
        <v>82</v>
      </c>
      <c r="J51" s="36" t="s">
        <v>1111</v>
      </c>
      <c r="K51" s="36" t="s">
        <v>438</v>
      </c>
      <c r="L51" s="36" t="s">
        <v>1112</v>
      </c>
      <c r="M51" s="27"/>
      <c r="O51" s="28" t="str">
        <f>IFERROR(VLOOKUP(A51, '2024 Full View'!$1:$999, 1, FALSE), "")</f>
        <v/>
      </c>
      <c r="P51" s="3" t="str">
        <f ca="1">IFERROR(__xludf.DUMMYFUNCTION("TEXTJOIN("", "",TRUE, FILTER($B$1:$E$1,B51:E51&lt;&gt;""""))"),"Maggie")</f>
        <v>Maggie</v>
      </c>
    </row>
    <row r="52" spans="1:16" ht="14">
      <c r="A52" s="36" t="s">
        <v>2192</v>
      </c>
      <c r="B52" s="33"/>
      <c r="C52" s="33"/>
      <c r="D52" s="33"/>
      <c r="E52" s="36">
        <v>81</v>
      </c>
      <c r="F52" s="36" t="s">
        <v>1113</v>
      </c>
      <c r="G52" s="36">
        <v>285634</v>
      </c>
      <c r="H52" s="37">
        <v>44036</v>
      </c>
      <c r="I52" s="36">
        <v>82</v>
      </c>
      <c r="J52" s="36" t="s">
        <v>773</v>
      </c>
      <c r="K52" s="36" t="s">
        <v>438</v>
      </c>
      <c r="L52" s="36" t="s">
        <v>1114</v>
      </c>
      <c r="M52" s="27"/>
      <c r="O52" s="28" t="str">
        <f>IFERROR(VLOOKUP(A52, '2024 Full View'!$1:$999, 1, FALSE), "")</f>
        <v/>
      </c>
      <c r="P52" s="3" t="str">
        <f ca="1">IFERROR(__xludf.DUMMYFUNCTION("TEXTJOIN("", "",TRUE, FILTER($B$1:$E$1,B52:E52&lt;&gt;""""))"),"Jamie")</f>
        <v>Jamie</v>
      </c>
    </row>
    <row r="53" spans="1:16" ht="14">
      <c r="A53" s="36" t="s">
        <v>2193</v>
      </c>
      <c r="B53" s="33"/>
      <c r="C53" s="33"/>
      <c r="D53" s="36">
        <v>29</v>
      </c>
      <c r="E53" s="33"/>
      <c r="F53" s="33"/>
      <c r="G53" s="36">
        <v>162373</v>
      </c>
      <c r="H53" s="36" t="s">
        <v>2194</v>
      </c>
      <c r="I53" s="36">
        <v>82</v>
      </c>
      <c r="J53" s="36" t="s">
        <v>1115</v>
      </c>
      <c r="K53" s="36" t="s">
        <v>1116</v>
      </c>
      <c r="L53" s="36" t="s">
        <v>1117</v>
      </c>
      <c r="M53" s="27"/>
      <c r="O53" s="28" t="str">
        <f>IFERROR(VLOOKUP(A53, '2024 Full View'!$1:$999, 1, FALSE), "")</f>
        <v/>
      </c>
      <c r="P53" s="3" t="str">
        <f ca="1">IFERROR(__xludf.DUMMYFUNCTION("TEXTJOIN("", "",TRUE, FILTER($B$1:$E$1,B53:E53&lt;&gt;""""))"),"Maggie")</f>
        <v>Maggie</v>
      </c>
    </row>
    <row r="54" spans="1:16" ht="14">
      <c r="A54" s="36" t="s">
        <v>2195</v>
      </c>
      <c r="B54" s="33"/>
      <c r="C54" s="36">
        <v>78</v>
      </c>
      <c r="D54" s="33"/>
      <c r="E54" s="33"/>
      <c r="F54" s="33"/>
      <c r="G54" s="36">
        <v>261153</v>
      </c>
      <c r="H54" s="37">
        <v>42797</v>
      </c>
      <c r="I54" s="36">
        <v>81</v>
      </c>
      <c r="J54" s="33" t="s">
        <v>1118</v>
      </c>
      <c r="K54" s="36" t="s">
        <v>1067</v>
      </c>
      <c r="L54" s="36" t="s">
        <v>1119</v>
      </c>
      <c r="M54" s="27"/>
      <c r="O54" s="28" t="str">
        <f>IFERROR(VLOOKUP(A54, '2024 Full View'!$1:$999, 1, FALSE), "")</f>
        <v/>
      </c>
      <c r="P54" s="3" t="str">
        <f ca="1">IFERROR(__xludf.DUMMYFUNCTION("TEXTJOIN("", "",TRUE, FILTER($B$1:$E$1,B54:E54&lt;&gt;""""))"),"Bryce")</f>
        <v>Bryce</v>
      </c>
    </row>
    <row r="55" spans="1:16" ht="14">
      <c r="A55" s="36" t="s">
        <v>2196</v>
      </c>
      <c r="B55" s="33"/>
      <c r="C55" s="33"/>
      <c r="D55" s="33"/>
      <c r="E55" s="36">
        <v>73</v>
      </c>
      <c r="F55" s="33"/>
      <c r="G55" s="36">
        <v>234933</v>
      </c>
      <c r="H55" s="37">
        <v>45016</v>
      </c>
      <c r="I55" s="36">
        <v>81</v>
      </c>
      <c r="J55" s="36" t="s">
        <v>1120</v>
      </c>
      <c r="K55" s="36" t="s">
        <v>1121</v>
      </c>
      <c r="L55" s="36" t="s">
        <v>1122</v>
      </c>
      <c r="M55" s="27"/>
      <c r="O55" s="28" t="str">
        <f>IFERROR(VLOOKUP(A55, '2024 Full View'!$1:$999, 1, FALSE), "")</f>
        <v/>
      </c>
      <c r="P55" s="3" t="str">
        <f ca="1">IFERROR(__xludf.DUMMYFUNCTION("TEXTJOIN("", "",TRUE, FILTER($B$1:$E$1,B55:E55&lt;&gt;""""))"),"Jamie")</f>
        <v>Jamie</v>
      </c>
    </row>
    <row r="56" spans="1:16" ht="14">
      <c r="A56" s="36" t="s">
        <v>2197</v>
      </c>
      <c r="B56" s="33"/>
      <c r="C56" s="33"/>
      <c r="D56" s="33"/>
      <c r="E56" s="36">
        <v>93</v>
      </c>
      <c r="F56" s="33"/>
      <c r="G56" s="36">
        <v>377960</v>
      </c>
      <c r="H56" s="37">
        <v>43812</v>
      </c>
      <c r="I56" s="36">
        <v>81</v>
      </c>
      <c r="J56" s="36" t="s">
        <v>1123</v>
      </c>
      <c r="K56" s="36" t="s">
        <v>1088</v>
      </c>
      <c r="L56" s="36" t="s">
        <v>1123</v>
      </c>
      <c r="M56" s="27"/>
      <c r="O56" s="28" t="str">
        <f>IFERROR(VLOOKUP(A56, '2024 Full View'!$1:$999, 1, FALSE), "")</f>
        <v/>
      </c>
      <c r="P56" s="3" t="str">
        <f ca="1">IFERROR(__xludf.DUMMYFUNCTION("TEXTJOIN("", "",TRUE, FILTER($B$1:$E$1,B56:E56&lt;&gt;""""))"),"Jamie")</f>
        <v>Jamie</v>
      </c>
    </row>
    <row r="57" spans="1:16" ht="14">
      <c r="A57" s="36" t="s">
        <v>2198</v>
      </c>
      <c r="B57" s="33"/>
      <c r="C57" s="33"/>
      <c r="D57" s="36">
        <v>7</v>
      </c>
      <c r="E57" s="33"/>
      <c r="F57" s="33"/>
      <c r="G57" s="36">
        <v>273186</v>
      </c>
      <c r="H57" s="37">
        <v>45114</v>
      </c>
      <c r="I57" s="36">
        <v>81</v>
      </c>
      <c r="J57" s="36" t="s">
        <v>870</v>
      </c>
      <c r="K57" s="36" t="s">
        <v>438</v>
      </c>
      <c r="L57" s="33" t="s">
        <v>1124</v>
      </c>
      <c r="M57" s="27"/>
      <c r="O57" s="28" t="str">
        <f>IFERROR(VLOOKUP(A57, '2024 Full View'!$1:$999, 1, FALSE), "")</f>
        <v/>
      </c>
      <c r="P57" s="3" t="str">
        <f ca="1">IFERROR(__xludf.DUMMYFUNCTION("TEXTJOIN("", "",TRUE, FILTER($B$1:$E$1,B57:E57&lt;&gt;""""))"),"Maggie")</f>
        <v>Maggie</v>
      </c>
    </row>
    <row r="58" spans="1:16" ht="14">
      <c r="A58" s="36" t="s">
        <v>2199</v>
      </c>
      <c r="B58" s="33"/>
      <c r="C58" s="33"/>
      <c r="D58" s="36">
        <v>88</v>
      </c>
      <c r="E58" s="33"/>
      <c r="F58" s="33"/>
      <c r="G58" s="36">
        <v>210251</v>
      </c>
      <c r="H58" s="37">
        <v>44036</v>
      </c>
      <c r="I58" s="36">
        <v>81</v>
      </c>
      <c r="J58" s="36" t="s">
        <v>773</v>
      </c>
      <c r="K58" s="36" t="s">
        <v>438</v>
      </c>
      <c r="L58" s="36" t="s">
        <v>1125</v>
      </c>
      <c r="M58" s="27"/>
      <c r="O58" s="28" t="str">
        <f>IFERROR(VLOOKUP(A58, '2024 Full View'!$1:$999, 1, FALSE), "")</f>
        <v/>
      </c>
      <c r="P58" s="3" t="str">
        <f ca="1">IFERROR(__xludf.DUMMYFUNCTION("TEXTJOIN("", "",TRUE, FILTER($B$1:$E$1,B58:E58&lt;&gt;""""))"),"Maggie")</f>
        <v>Maggie</v>
      </c>
    </row>
    <row r="59" spans="1:16" ht="14">
      <c r="A59" s="36" t="s">
        <v>2200</v>
      </c>
      <c r="B59" s="33"/>
      <c r="C59" s="33"/>
      <c r="D59" s="33"/>
      <c r="E59" s="36">
        <v>54</v>
      </c>
      <c r="F59" s="33"/>
      <c r="G59" s="36">
        <v>243136</v>
      </c>
      <c r="H59" s="37">
        <v>44295</v>
      </c>
      <c r="I59" s="36">
        <v>81</v>
      </c>
      <c r="J59" s="36" t="s">
        <v>1126</v>
      </c>
      <c r="K59" s="36" t="s">
        <v>438</v>
      </c>
      <c r="L59" s="36" t="s">
        <v>1127</v>
      </c>
      <c r="M59" s="27"/>
      <c r="O59" s="28" t="str">
        <f>IFERROR(VLOOKUP(A59, '2024 Full View'!$1:$999, 1, FALSE), "")</f>
        <v/>
      </c>
      <c r="P59" s="3" t="str">
        <f ca="1">IFERROR(__xludf.DUMMYFUNCTION("TEXTJOIN("", "",TRUE, FILTER($B$1:$E$1,B59:E59&lt;&gt;""""))"),"Jamie")</f>
        <v>Jamie</v>
      </c>
    </row>
    <row r="60" spans="1:16" ht="14">
      <c r="A60" s="36" t="s">
        <v>2201</v>
      </c>
      <c r="B60" s="33"/>
      <c r="C60" s="36">
        <v>44</v>
      </c>
      <c r="D60" s="33"/>
      <c r="E60" s="33"/>
      <c r="F60" s="33"/>
      <c r="G60" s="36">
        <v>158003</v>
      </c>
      <c r="H60" s="37">
        <v>44988</v>
      </c>
      <c r="I60" s="36">
        <v>80</v>
      </c>
      <c r="J60" s="36" t="s">
        <v>843</v>
      </c>
      <c r="K60" s="36" t="s">
        <v>429</v>
      </c>
      <c r="L60" s="36" t="s">
        <v>1128</v>
      </c>
      <c r="M60" s="27"/>
      <c r="O60" s="28" t="str">
        <f>IFERROR(VLOOKUP(A60, '2024 Full View'!$1:$999, 1, FALSE), "")</f>
        <v/>
      </c>
      <c r="P60" s="3" t="str">
        <f ca="1">IFERROR(__xludf.DUMMYFUNCTION("TEXTJOIN("", "",TRUE, FILTER($B$1:$E$1,B60:E60&lt;&gt;""""))"),"Bryce")</f>
        <v>Bryce</v>
      </c>
    </row>
    <row r="61" spans="1:16" ht="14">
      <c r="A61" s="36" t="s">
        <v>2202</v>
      </c>
      <c r="B61" s="33"/>
      <c r="C61" s="36">
        <v>96</v>
      </c>
      <c r="D61" s="33"/>
      <c r="E61" s="33"/>
      <c r="F61" s="33"/>
      <c r="G61" s="36">
        <v>167534</v>
      </c>
      <c r="H61" s="37">
        <v>44946</v>
      </c>
      <c r="I61" s="36">
        <v>80</v>
      </c>
      <c r="J61" s="36" t="s">
        <v>835</v>
      </c>
      <c r="K61" s="36" t="s">
        <v>428</v>
      </c>
      <c r="L61" s="36" t="s">
        <v>1129</v>
      </c>
      <c r="M61" s="27"/>
      <c r="O61" s="28" t="str">
        <f>IFERROR(VLOOKUP(A61, '2024 Full View'!$1:$999, 1, FALSE), "")</f>
        <v/>
      </c>
      <c r="P61" s="3" t="str">
        <f ca="1">IFERROR(__xludf.DUMMYFUNCTION("TEXTJOIN("", "",TRUE, FILTER($B$1:$E$1,B61:E61&lt;&gt;""""))"),"Bryce")</f>
        <v>Bryce</v>
      </c>
    </row>
    <row r="62" spans="1:16" ht="14">
      <c r="A62" s="36" t="s">
        <v>2049</v>
      </c>
      <c r="B62" s="33"/>
      <c r="C62" s="33"/>
      <c r="D62" s="36">
        <v>34</v>
      </c>
      <c r="E62" s="33"/>
      <c r="F62" s="33"/>
      <c r="G62" s="36">
        <v>197213</v>
      </c>
      <c r="H62" s="37">
        <v>28856</v>
      </c>
      <c r="I62" s="36">
        <v>80</v>
      </c>
      <c r="J62" s="36" t="s">
        <v>642</v>
      </c>
      <c r="K62" s="36" t="s">
        <v>497</v>
      </c>
      <c r="L62" s="36" t="s">
        <v>643</v>
      </c>
      <c r="M62" s="27"/>
      <c r="O62" s="28" t="str">
        <f>IFERROR(VLOOKUP(A62, '2024 Full View'!$1:$999, 1, FALSE), "")</f>
        <v>More Than A WomanBee Gees</v>
      </c>
      <c r="P62" s="3" t="str">
        <f ca="1">IFERROR(__xludf.DUMMYFUNCTION("TEXTJOIN("", "",TRUE, FILTER($B$1:$E$1,B62:E62&lt;&gt;""""))"),"Maggie")</f>
        <v>Maggie</v>
      </c>
    </row>
    <row r="63" spans="1:16" ht="14">
      <c r="A63" s="36" t="s">
        <v>2203</v>
      </c>
      <c r="B63" s="33"/>
      <c r="C63" s="33"/>
      <c r="D63" s="36">
        <v>30</v>
      </c>
      <c r="E63" s="33"/>
      <c r="F63" s="33"/>
      <c r="G63" s="36">
        <v>254293</v>
      </c>
      <c r="H63" s="37">
        <v>26456</v>
      </c>
      <c r="I63" s="36">
        <v>80</v>
      </c>
      <c r="J63" s="36" t="s">
        <v>1130</v>
      </c>
      <c r="K63" s="36" t="s">
        <v>526</v>
      </c>
      <c r="L63" s="36" t="s">
        <v>1131</v>
      </c>
      <c r="M63" s="27"/>
      <c r="O63" s="28" t="str">
        <f>IFERROR(VLOOKUP(A63, '2024 Full View'!$1:$999, 1, FALSE), "")</f>
        <v/>
      </c>
      <c r="P63" s="3" t="str">
        <f ca="1">IFERROR(__xludf.DUMMYFUNCTION("TEXTJOIN("", "",TRUE, FILTER($B$1:$E$1,B63:E63&lt;&gt;""""))"),"Maggie")</f>
        <v>Maggie</v>
      </c>
    </row>
    <row r="64" spans="1:16" ht="14">
      <c r="A64" s="36" t="s">
        <v>2204</v>
      </c>
      <c r="B64" s="33"/>
      <c r="C64" s="33"/>
      <c r="D64" s="33"/>
      <c r="E64" s="36">
        <v>1</v>
      </c>
      <c r="F64" s="33"/>
      <c r="G64" s="36">
        <v>236160</v>
      </c>
      <c r="H64" s="37">
        <v>37987</v>
      </c>
      <c r="I64" s="36">
        <v>80</v>
      </c>
      <c r="J64" s="36" t="s">
        <v>1132</v>
      </c>
      <c r="K64" s="36" t="s">
        <v>1133</v>
      </c>
      <c r="L64" s="36" t="s">
        <v>1134</v>
      </c>
      <c r="M64" s="27"/>
      <c r="O64" s="28" t="str">
        <f>IFERROR(VLOOKUP(A64, '2024 Full View'!$1:$999, 1, FALSE), "")</f>
        <v/>
      </c>
      <c r="P64" s="3" t="str">
        <f ca="1">IFERROR(__xludf.DUMMYFUNCTION("TEXTJOIN("", "",TRUE, FILTER($B$1:$E$1,B64:E64&lt;&gt;""""))"),"Jamie")</f>
        <v>Jamie</v>
      </c>
    </row>
    <row r="65" spans="1:16" ht="14">
      <c r="A65" s="36" t="s">
        <v>2205</v>
      </c>
      <c r="B65" s="36">
        <v>30</v>
      </c>
      <c r="C65" s="33"/>
      <c r="D65" s="33"/>
      <c r="E65" s="33"/>
      <c r="F65" s="33"/>
      <c r="G65" s="36">
        <v>224426</v>
      </c>
      <c r="H65" s="37">
        <v>44736</v>
      </c>
      <c r="I65" s="36">
        <v>80</v>
      </c>
      <c r="J65" s="36" t="s">
        <v>1135</v>
      </c>
      <c r="K65" s="36" t="s">
        <v>482</v>
      </c>
      <c r="L65" s="36" t="s">
        <v>1136</v>
      </c>
      <c r="M65" s="27"/>
      <c r="O65" s="28" t="str">
        <f>IFERROR(VLOOKUP(A65, '2024 Full View'!$1:$999, 1, FALSE), "")</f>
        <v/>
      </c>
      <c r="P65" s="3" t="str">
        <f ca="1">IFERROR(__xludf.DUMMYFUNCTION("TEXTJOIN("", "",TRUE, FILTER($B$1:$E$1,B65:E65&lt;&gt;""""))"),"Zach")</f>
        <v>Zach</v>
      </c>
    </row>
    <row r="66" spans="1:16" ht="14">
      <c r="A66" s="36" t="s">
        <v>2206</v>
      </c>
      <c r="B66" s="36">
        <v>94</v>
      </c>
      <c r="C66" s="33"/>
      <c r="D66" s="33"/>
      <c r="E66" s="33"/>
      <c r="F66" s="33"/>
      <c r="G66" s="36">
        <v>215571</v>
      </c>
      <c r="H66" s="37">
        <v>44988</v>
      </c>
      <c r="I66" s="36">
        <v>80</v>
      </c>
      <c r="J66" s="36" t="s">
        <v>843</v>
      </c>
      <c r="K66" s="36" t="s">
        <v>429</v>
      </c>
      <c r="L66" s="36" t="s">
        <v>1137</v>
      </c>
      <c r="M66" s="27"/>
      <c r="O66" s="28" t="str">
        <f>IFERROR(VLOOKUP(A66, '2024 Full View'!$1:$999, 1, FALSE), "")</f>
        <v/>
      </c>
      <c r="P66" s="3" t="str">
        <f ca="1">IFERROR(__xludf.DUMMYFUNCTION("TEXTJOIN("", "",TRUE, FILTER($B$1:$E$1,B66:E66&lt;&gt;""""))"),"Zach")</f>
        <v>Zach</v>
      </c>
    </row>
    <row r="67" spans="1:16" ht="14">
      <c r="A67" s="36" t="s">
        <v>1802</v>
      </c>
      <c r="B67" s="33"/>
      <c r="C67" s="33"/>
      <c r="D67" s="36">
        <v>28</v>
      </c>
      <c r="E67" s="33"/>
      <c r="F67" s="33"/>
      <c r="G67" s="36">
        <v>234466</v>
      </c>
      <c r="H67" s="37">
        <v>45072</v>
      </c>
      <c r="I67" s="36">
        <v>80</v>
      </c>
      <c r="J67" s="36" t="s">
        <v>860</v>
      </c>
      <c r="K67" s="36" t="s">
        <v>438</v>
      </c>
      <c r="L67" s="36" t="s">
        <v>861</v>
      </c>
      <c r="M67" s="27"/>
      <c r="O67" s="28" t="str">
        <f>IFERROR(VLOOKUP(A67, '2024 Full View'!$1:$999, 1, FALSE), "")</f>
        <v>Hits DifferentTaylor Swift</v>
      </c>
      <c r="P67" s="3" t="str">
        <f ca="1">IFERROR(__xludf.DUMMYFUNCTION("TEXTJOIN("", "",TRUE, FILTER($B$1:$E$1,B67:E67&lt;&gt;""""))"),"Maggie")</f>
        <v>Maggie</v>
      </c>
    </row>
    <row r="68" spans="1:16" ht="14">
      <c r="A68" s="36" t="s">
        <v>2207</v>
      </c>
      <c r="B68" s="33"/>
      <c r="C68" s="33"/>
      <c r="D68" s="33"/>
      <c r="E68" s="36">
        <v>88</v>
      </c>
      <c r="F68" s="33"/>
      <c r="G68" s="36">
        <v>210080</v>
      </c>
      <c r="H68" s="37">
        <v>41338</v>
      </c>
      <c r="I68" s="36">
        <v>80</v>
      </c>
      <c r="J68" s="36" t="s">
        <v>1138</v>
      </c>
      <c r="K68" s="36" t="s">
        <v>1139</v>
      </c>
      <c r="L68" s="36" t="s">
        <v>1140</v>
      </c>
      <c r="M68" s="27"/>
      <c r="O68" s="28" t="str">
        <f>IFERROR(VLOOKUP(A68, '2024 Full View'!$1:$999, 1, FALSE), "")</f>
        <v/>
      </c>
      <c r="P68" s="3" t="str">
        <f ca="1">IFERROR(__xludf.DUMMYFUNCTION("TEXTJOIN("", "",TRUE, FILTER($B$1:$E$1,B68:E68&lt;&gt;""""))"),"Jamie")</f>
        <v>Jamie</v>
      </c>
    </row>
    <row r="69" spans="1:16" ht="14">
      <c r="A69" s="36" t="s">
        <v>2040</v>
      </c>
      <c r="B69" s="33"/>
      <c r="C69" s="36">
        <v>24</v>
      </c>
      <c r="D69" s="33"/>
      <c r="E69" s="33"/>
      <c r="F69" s="33"/>
      <c r="G69" s="36">
        <v>207453</v>
      </c>
      <c r="H69" s="37">
        <v>44701</v>
      </c>
      <c r="I69" s="36">
        <v>79</v>
      </c>
      <c r="J69" s="36" t="s">
        <v>807</v>
      </c>
      <c r="K69" s="36" t="s">
        <v>437</v>
      </c>
      <c r="L69" s="36" t="s">
        <v>810</v>
      </c>
      <c r="M69" s="27"/>
      <c r="O69" s="28" t="str">
        <f>IFERROR(VLOOKUP(A69, '2024 Full View'!$1:$999, 1, FALSE), "")</f>
        <v>From AustinZach Bryan</v>
      </c>
      <c r="P69" s="3" t="str">
        <f ca="1">IFERROR(__xludf.DUMMYFUNCTION("TEXTJOIN("", "",TRUE, FILTER($B$1:$E$1,B69:E69&lt;&gt;""""))"),"Bryce")</f>
        <v>Bryce</v>
      </c>
    </row>
    <row r="70" spans="1:16" ht="14">
      <c r="A70" s="36" t="s">
        <v>2208</v>
      </c>
      <c r="B70" s="33"/>
      <c r="C70" s="36">
        <v>31</v>
      </c>
      <c r="D70" s="33"/>
      <c r="E70" s="33"/>
      <c r="F70" s="33"/>
      <c r="G70" s="36">
        <v>208106</v>
      </c>
      <c r="H70" s="37">
        <v>39083</v>
      </c>
      <c r="I70" s="36">
        <v>79</v>
      </c>
      <c r="J70" s="36" t="s">
        <v>1141</v>
      </c>
      <c r="K70" s="36" t="s">
        <v>1142</v>
      </c>
      <c r="L70" s="36" t="s">
        <v>1143</v>
      </c>
      <c r="M70" s="27"/>
      <c r="O70" s="28" t="str">
        <f>IFERROR(VLOOKUP(A70, '2024 Full View'!$1:$999, 1, FALSE), "")</f>
        <v/>
      </c>
      <c r="P70" s="3" t="str">
        <f ca="1">IFERROR(__xludf.DUMMYFUNCTION("TEXTJOIN("", "",TRUE, FILTER($B$1:$E$1,B70:E70&lt;&gt;""""))"),"Bryce")</f>
        <v>Bryce</v>
      </c>
    </row>
    <row r="71" spans="1:16" ht="14">
      <c r="A71" s="36" t="s">
        <v>1785</v>
      </c>
      <c r="B71" s="36">
        <v>41</v>
      </c>
      <c r="C71" s="36">
        <v>41</v>
      </c>
      <c r="D71" s="33"/>
      <c r="E71" s="33"/>
      <c r="F71" s="33"/>
      <c r="G71" s="36">
        <v>267893</v>
      </c>
      <c r="H71" s="37">
        <v>45128</v>
      </c>
      <c r="I71" s="36">
        <v>79</v>
      </c>
      <c r="J71" s="36" t="s">
        <v>909</v>
      </c>
      <c r="K71" s="36" t="s">
        <v>365</v>
      </c>
      <c r="L71" s="36" t="s">
        <v>909</v>
      </c>
      <c r="M71" s="27"/>
      <c r="O71" s="28" t="str">
        <f>IFERROR(VLOOKUP(A71, '2024 Full View'!$1:$999, 1, FALSE), "")</f>
        <v>White HorseChris Stapleton</v>
      </c>
      <c r="P71" s="3" t="str">
        <f ca="1">IFERROR(__xludf.DUMMYFUNCTION("TEXTJOIN("", "",TRUE, FILTER($B$1:$E$1,B71:E71&lt;&gt;""""))"),"Zach, Bryce")</f>
        <v>Zach, Bryce</v>
      </c>
    </row>
    <row r="72" spans="1:16" ht="14">
      <c r="A72" s="36" t="s">
        <v>2209</v>
      </c>
      <c r="B72" s="33"/>
      <c r="C72" s="36">
        <v>42</v>
      </c>
      <c r="D72" s="33"/>
      <c r="E72" s="33"/>
      <c r="F72" s="33"/>
      <c r="G72" s="36">
        <v>232058</v>
      </c>
      <c r="H72" s="37">
        <v>44937</v>
      </c>
      <c r="I72" s="36">
        <v>79</v>
      </c>
      <c r="J72" s="36" t="s">
        <v>832</v>
      </c>
      <c r="K72" s="36" t="s">
        <v>477</v>
      </c>
      <c r="L72" s="36" t="s">
        <v>1144</v>
      </c>
      <c r="M72" s="27"/>
      <c r="O72" s="28" t="str">
        <f>IFERROR(VLOOKUP(A72, '2024 Full View'!$1:$999, 1, FALSE), "")</f>
        <v/>
      </c>
      <c r="P72" s="3" t="str">
        <f ca="1">IFERROR(__xludf.DUMMYFUNCTION("TEXTJOIN("", "",TRUE, FILTER($B$1:$E$1,B72:E72&lt;&gt;""""))"),"Bryce")</f>
        <v>Bryce</v>
      </c>
    </row>
    <row r="73" spans="1:16" ht="14">
      <c r="A73" s="36" t="s">
        <v>2210</v>
      </c>
      <c r="B73" s="33"/>
      <c r="C73" s="36">
        <v>77</v>
      </c>
      <c r="D73" s="33"/>
      <c r="E73" s="33"/>
      <c r="F73" s="33"/>
      <c r="G73" s="36">
        <v>182826</v>
      </c>
      <c r="H73" s="37">
        <v>39350</v>
      </c>
      <c r="I73" s="36">
        <v>79</v>
      </c>
      <c r="J73" s="36" t="s">
        <v>1145</v>
      </c>
      <c r="K73" s="36" t="s">
        <v>1146</v>
      </c>
      <c r="L73" s="36" t="s">
        <v>1147</v>
      </c>
      <c r="M73" s="27"/>
      <c r="O73" s="28" t="str">
        <f>IFERROR(VLOOKUP(A73, '2024 Full View'!$1:$999, 1, FALSE), "")</f>
        <v/>
      </c>
      <c r="P73" s="3" t="str">
        <f ca="1">IFERROR(__xludf.DUMMYFUNCTION("TEXTJOIN("", "",TRUE, FILTER($B$1:$E$1,B73:E73&lt;&gt;""""))"),"Bryce")</f>
        <v>Bryce</v>
      </c>
    </row>
    <row r="74" spans="1:16" ht="14">
      <c r="A74" s="36" t="s">
        <v>2211</v>
      </c>
      <c r="B74" s="36">
        <v>92</v>
      </c>
      <c r="C74" s="33"/>
      <c r="D74" s="33"/>
      <c r="E74" s="33"/>
      <c r="F74" s="33"/>
      <c r="G74" s="36">
        <v>220933</v>
      </c>
      <c r="H74" s="37">
        <v>40909</v>
      </c>
      <c r="I74" s="36">
        <v>79</v>
      </c>
      <c r="J74" s="36" t="s">
        <v>1148</v>
      </c>
      <c r="K74" s="36" t="s">
        <v>1149</v>
      </c>
      <c r="L74" s="36" t="s">
        <v>1150</v>
      </c>
      <c r="M74" s="27"/>
      <c r="O74" s="28" t="str">
        <f>IFERROR(VLOOKUP(A74, '2024 Full View'!$1:$999, 1, FALSE), "")</f>
        <v/>
      </c>
      <c r="P74" s="3" t="str">
        <f ca="1">IFERROR(__xludf.DUMMYFUNCTION("TEXTJOIN("", "",TRUE, FILTER($B$1:$E$1,B74:E74&lt;&gt;""""))"),"Zach")</f>
        <v>Zach</v>
      </c>
    </row>
    <row r="75" spans="1:16" ht="14">
      <c r="A75" s="36" t="s">
        <v>2212</v>
      </c>
      <c r="B75" s="33"/>
      <c r="C75" s="33"/>
      <c r="D75" s="33"/>
      <c r="E75" s="36">
        <v>71</v>
      </c>
      <c r="F75" s="33"/>
      <c r="G75" s="36">
        <v>160097</v>
      </c>
      <c r="H75" s="37">
        <v>42468</v>
      </c>
      <c r="I75" s="36">
        <v>79</v>
      </c>
      <c r="J75" s="36" t="s">
        <v>1151</v>
      </c>
      <c r="K75" s="36" t="s">
        <v>372</v>
      </c>
      <c r="L75" s="36" t="s">
        <v>1152</v>
      </c>
      <c r="M75" s="27"/>
      <c r="O75" s="28" t="str">
        <f>IFERROR(VLOOKUP(A75, '2024 Full View'!$1:$999, 1, FALSE), "")</f>
        <v/>
      </c>
      <c r="P75" s="3" t="str">
        <f ca="1">IFERROR(__xludf.DUMMYFUNCTION("TEXTJOIN("", "",TRUE, FILTER($B$1:$E$1,B75:E75&lt;&gt;""""))"),"Jamie")</f>
        <v>Jamie</v>
      </c>
    </row>
    <row r="76" spans="1:16" ht="14">
      <c r="A76" s="36" t="s">
        <v>1809</v>
      </c>
      <c r="B76" s="33"/>
      <c r="C76" s="33"/>
      <c r="D76" s="33"/>
      <c r="E76" s="36">
        <v>59</v>
      </c>
      <c r="F76" s="33"/>
      <c r="G76" s="36">
        <v>198600</v>
      </c>
      <c r="H76" s="37">
        <v>43161</v>
      </c>
      <c r="I76" s="36">
        <v>79</v>
      </c>
      <c r="J76" s="36" t="s">
        <v>507</v>
      </c>
      <c r="K76" s="36" t="s">
        <v>507</v>
      </c>
      <c r="L76" s="36" t="s">
        <v>742</v>
      </c>
      <c r="M76" s="27"/>
      <c r="O76" s="28" t="str">
        <f>IFERROR(VLOOKUP(A76, '2024 Full View'!$1:$999, 1, FALSE), "")</f>
        <v>Silver LiningMt. Joy</v>
      </c>
      <c r="P76" s="3" t="str">
        <f ca="1">IFERROR(__xludf.DUMMYFUNCTION("TEXTJOIN("", "",TRUE, FILTER($B$1:$E$1,B76:E76&lt;&gt;""""))"),"Jamie")</f>
        <v>Jamie</v>
      </c>
    </row>
    <row r="77" spans="1:16" ht="14">
      <c r="A77" s="36" t="s">
        <v>2213</v>
      </c>
      <c r="B77" s="33"/>
      <c r="C77" s="33"/>
      <c r="D77" s="33"/>
      <c r="E77" s="36">
        <v>41</v>
      </c>
      <c r="F77" s="33"/>
      <c r="G77" s="36">
        <v>297103</v>
      </c>
      <c r="H77" s="37">
        <v>44848</v>
      </c>
      <c r="I77" s="36">
        <v>79</v>
      </c>
      <c r="J77" s="36" t="s">
        <v>825</v>
      </c>
      <c r="K77" s="36" t="s">
        <v>471</v>
      </c>
      <c r="L77" s="36" t="s">
        <v>1153</v>
      </c>
      <c r="M77" s="27"/>
      <c r="O77" s="28" t="str">
        <f>IFERROR(VLOOKUP(A77, '2024 Full View'!$1:$999, 1, FALSE), "")</f>
        <v/>
      </c>
      <c r="P77" s="3" t="str">
        <f ca="1">IFERROR(__xludf.DUMMYFUNCTION("TEXTJOIN("", "",TRUE, FILTER($B$1:$E$1,B77:E77&lt;&gt;""""))"),"Jamie")</f>
        <v>Jamie</v>
      </c>
    </row>
    <row r="78" spans="1:16" ht="14">
      <c r="A78" s="36" t="s">
        <v>2214</v>
      </c>
      <c r="B78" s="33"/>
      <c r="C78" s="33"/>
      <c r="D78" s="33"/>
      <c r="E78" s="36">
        <v>99</v>
      </c>
      <c r="F78" s="33"/>
      <c r="G78" s="36">
        <v>252880</v>
      </c>
      <c r="H78" s="37">
        <v>44036</v>
      </c>
      <c r="I78" s="36">
        <v>79</v>
      </c>
      <c r="J78" s="36" t="s">
        <v>773</v>
      </c>
      <c r="K78" s="36" t="s">
        <v>438</v>
      </c>
      <c r="L78" s="36" t="s">
        <v>1154</v>
      </c>
      <c r="M78" s="27"/>
      <c r="O78" s="28" t="str">
        <f>IFERROR(VLOOKUP(A78, '2024 Full View'!$1:$999, 1, FALSE), "")</f>
        <v/>
      </c>
      <c r="P78" s="3" t="str">
        <f ca="1">IFERROR(__xludf.DUMMYFUNCTION("TEXTJOIN("", "",TRUE, FILTER($B$1:$E$1,B78:E78&lt;&gt;""""))"),"Jamie")</f>
        <v>Jamie</v>
      </c>
    </row>
    <row r="79" spans="1:16" ht="14">
      <c r="A79" s="36" t="s">
        <v>2215</v>
      </c>
      <c r="B79" s="33"/>
      <c r="C79" s="36">
        <v>90</v>
      </c>
      <c r="D79" s="33"/>
      <c r="E79" s="33"/>
      <c r="F79" s="33"/>
      <c r="G79" s="36">
        <v>232093</v>
      </c>
      <c r="H79" s="37">
        <v>44456</v>
      </c>
      <c r="I79" s="36">
        <v>78</v>
      </c>
      <c r="J79" s="36" t="s">
        <v>1155</v>
      </c>
      <c r="K79" s="36" t="s">
        <v>360</v>
      </c>
      <c r="L79" s="36" t="s">
        <v>1156</v>
      </c>
      <c r="M79" s="27"/>
      <c r="O79" s="28" t="str">
        <f>IFERROR(VLOOKUP(A79, '2024 Full View'!$1:$999, 1, FALSE), "")</f>
        <v/>
      </c>
      <c r="P79" s="3" t="str">
        <f ca="1">IFERROR(__xludf.DUMMYFUNCTION("TEXTJOIN("", "",TRUE, FILTER($B$1:$E$1,B79:E79&lt;&gt;""""))"),"Bryce")</f>
        <v>Bryce</v>
      </c>
    </row>
    <row r="80" spans="1:16" ht="14">
      <c r="A80" s="36" t="s">
        <v>2216</v>
      </c>
      <c r="B80" s="36">
        <v>74</v>
      </c>
      <c r="C80" s="33"/>
      <c r="D80" s="33"/>
      <c r="E80" s="33"/>
      <c r="F80" s="33"/>
      <c r="G80" s="36">
        <v>177266</v>
      </c>
      <c r="H80" s="37">
        <v>44736</v>
      </c>
      <c r="I80" s="36">
        <v>78</v>
      </c>
      <c r="J80" s="36" t="s">
        <v>1135</v>
      </c>
      <c r="K80" s="36" t="s">
        <v>482</v>
      </c>
      <c r="L80" s="36" t="s">
        <v>1157</v>
      </c>
      <c r="M80" s="27"/>
      <c r="O80" s="28" t="str">
        <f>IFERROR(VLOOKUP(A80, '2024 Full View'!$1:$999, 1, FALSE), "")</f>
        <v/>
      </c>
      <c r="P80" s="3" t="str">
        <f ca="1">IFERROR(__xludf.DUMMYFUNCTION("TEXTJOIN("", "",TRUE, FILTER($B$1:$E$1,B80:E80&lt;&gt;""""))"),"Zach")</f>
        <v>Zach</v>
      </c>
    </row>
    <row r="81" spans="1:16" ht="14">
      <c r="A81" s="36" t="s">
        <v>2077</v>
      </c>
      <c r="B81" s="36">
        <v>65</v>
      </c>
      <c r="C81" s="33"/>
      <c r="D81" s="36">
        <v>57</v>
      </c>
      <c r="E81" s="33"/>
      <c r="F81" s="33"/>
      <c r="G81" s="36">
        <v>186043</v>
      </c>
      <c r="H81" s="37">
        <v>45086</v>
      </c>
      <c r="I81" s="36">
        <v>78</v>
      </c>
      <c r="J81" s="36" t="s">
        <v>862</v>
      </c>
      <c r="K81" s="36" t="s">
        <v>494</v>
      </c>
      <c r="L81" s="36" t="s">
        <v>863</v>
      </c>
      <c r="M81" s="27"/>
      <c r="O81" s="28" t="str">
        <f>IFERROR(VLOOKUP(A81, '2024 Full View'!$1:$999, 1, FALSE), "")</f>
        <v>HeavenNiall Horan</v>
      </c>
      <c r="P81" s="3" t="str">
        <f ca="1">IFERROR(__xludf.DUMMYFUNCTION("TEXTJOIN("", "",TRUE, FILTER($B$1:$E$1,B81:E81&lt;&gt;""""))"),"Zach, Maggie")</f>
        <v>Zach, Maggie</v>
      </c>
    </row>
    <row r="82" spans="1:16" ht="14">
      <c r="A82" s="36" t="s">
        <v>2217</v>
      </c>
      <c r="B82" s="33"/>
      <c r="C82" s="33"/>
      <c r="D82" s="33"/>
      <c r="E82" s="36">
        <v>74</v>
      </c>
      <c r="F82" s="33"/>
      <c r="G82" s="36">
        <v>194416</v>
      </c>
      <c r="H82" s="37">
        <v>44848</v>
      </c>
      <c r="I82" s="36">
        <v>78</v>
      </c>
      <c r="J82" s="36" t="s">
        <v>825</v>
      </c>
      <c r="K82" s="36" t="s">
        <v>471</v>
      </c>
      <c r="L82" s="36" t="s">
        <v>1158</v>
      </c>
      <c r="M82" s="27"/>
      <c r="O82" s="28" t="str">
        <f>IFERROR(VLOOKUP(A82, '2024 Full View'!$1:$999, 1, FALSE), "")</f>
        <v/>
      </c>
      <c r="P82" s="3" t="str">
        <f ca="1">IFERROR(__xludf.DUMMYFUNCTION("TEXTJOIN("", "",TRUE, FILTER($B$1:$E$1,B82:E82&lt;&gt;""""))"),"Jamie")</f>
        <v>Jamie</v>
      </c>
    </row>
    <row r="83" spans="1:16" ht="14">
      <c r="A83" s="36" t="s">
        <v>2218</v>
      </c>
      <c r="B83" s="36">
        <v>17</v>
      </c>
      <c r="C83" s="33"/>
      <c r="D83" s="33"/>
      <c r="E83" s="33"/>
      <c r="F83" s="33"/>
      <c r="G83" s="36">
        <v>143264</v>
      </c>
      <c r="H83" s="37">
        <v>45072</v>
      </c>
      <c r="I83" s="36">
        <v>78</v>
      </c>
      <c r="J83" s="36" t="s">
        <v>1159</v>
      </c>
      <c r="K83" s="36" t="s">
        <v>1160</v>
      </c>
      <c r="L83" s="36" t="s">
        <v>1159</v>
      </c>
      <c r="M83" s="27"/>
      <c r="O83" s="28" t="str">
        <f>IFERROR(VLOOKUP(A83, '2024 Full View'!$1:$999, 1, FALSE), "")</f>
        <v/>
      </c>
      <c r="P83" s="3" t="str">
        <f ca="1">IFERROR(__xludf.DUMMYFUNCTION("TEXTJOIN("", "",TRUE, FILTER($B$1:$E$1,B83:E83&lt;&gt;""""))"),"Zach")</f>
        <v>Zach</v>
      </c>
    </row>
    <row r="84" spans="1:16" ht="14">
      <c r="A84" s="36" t="s">
        <v>1941</v>
      </c>
      <c r="B84" s="33"/>
      <c r="C84" s="33"/>
      <c r="D84" s="36">
        <v>13</v>
      </c>
      <c r="E84" s="33"/>
      <c r="F84" s="33"/>
      <c r="G84" s="36">
        <v>270773</v>
      </c>
      <c r="H84" s="37">
        <v>25542</v>
      </c>
      <c r="I84" s="36">
        <v>78</v>
      </c>
      <c r="J84" s="36" t="s">
        <v>616</v>
      </c>
      <c r="K84" s="36" t="s">
        <v>569</v>
      </c>
      <c r="L84" s="36" t="s">
        <v>617</v>
      </c>
      <c r="M84" s="27"/>
      <c r="O84" s="28" t="str">
        <f>IFERROR(VLOOKUP(A84, '2024 Full View'!$1:$999, 1, FALSE), "")</f>
        <v>Gimme ShelterThe Rolling Stones</v>
      </c>
      <c r="P84" s="3" t="str">
        <f ca="1">IFERROR(__xludf.DUMMYFUNCTION("TEXTJOIN("", "",TRUE, FILTER($B$1:$E$1,B84:E84&lt;&gt;""""))"),"Maggie")</f>
        <v>Maggie</v>
      </c>
    </row>
    <row r="85" spans="1:16" ht="14">
      <c r="A85" s="36" t="s">
        <v>2219</v>
      </c>
      <c r="B85" s="33"/>
      <c r="C85" s="33"/>
      <c r="D85" s="36">
        <v>36</v>
      </c>
      <c r="E85" s="33"/>
      <c r="F85" s="33"/>
      <c r="G85" s="36">
        <v>271000</v>
      </c>
      <c r="H85" s="37">
        <v>45225</v>
      </c>
      <c r="I85" s="36">
        <v>78</v>
      </c>
      <c r="J85" s="36" t="s">
        <v>905</v>
      </c>
      <c r="K85" s="36" t="s">
        <v>438</v>
      </c>
      <c r="L85" s="36" t="s">
        <v>1161</v>
      </c>
      <c r="M85" s="27"/>
      <c r="O85" s="28" t="str">
        <f>IFERROR(VLOOKUP(A85, '2024 Full View'!$1:$999, 1, FALSE), "")</f>
        <v/>
      </c>
      <c r="P85" s="3" t="str">
        <f ca="1">IFERROR(__xludf.DUMMYFUNCTION("TEXTJOIN("", "",TRUE, FILTER($B$1:$E$1,B85:E85&lt;&gt;""""))"),"Maggie")</f>
        <v>Maggie</v>
      </c>
    </row>
    <row r="86" spans="1:16" ht="14">
      <c r="A86" s="36" t="s">
        <v>2220</v>
      </c>
      <c r="B86" s="33"/>
      <c r="C86" s="33"/>
      <c r="D86" s="36">
        <v>3</v>
      </c>
      <c r="E86" s="33"/>
      <c r="F86" s="33"/>
      <c r="G86" s="36">
        <v>198533</v>
      </c>
      <c r="H86" s="37">
        <v>43700</v>
      </c>
      <c r="I86" s="36">
        <v>78</v>
      </c>
      <c r="J86" s="36" t="s">
        <v>760</v>
      </c>
      <c r="K86" s="36" t="s">
        <v>438</v>
      </c>
      <c r="L86" s="36" t="s">
        <v>1162</v>
      </c>
      <c r="M86" s="27"/>
      <c r="O86" s="28" t="str">
        <f>IFERROR(VLOOKUP(A86, '2024 Full View'!$1:$999, 1, FALSE), "")</f>
        <v/>
      </c>
      <c r="P86" s="3" t="str">
        <f ca="1">IFERROR(__xludf.DUMMYFUNCTION("TEXTJOIN("", "",TRUE, FILTER($B$1:$E$1,B86:E86&lt;&gt;""""))"),"Maggie")</f>
        <v>Maggie</v>
      </c>
    </row>
    <row r="87" spans="1:16" ht="14">
      <c r="A87" s="36" t="s">
        <v>2221</v>
      </c>
      <c r="B87" s="33"/>
      <c r="C87" s="33"/>
      <c r="D87" s="33"/>
      <c r="E87" s="36">
        <v>100</v>
      </c>
      <c r="F87" s="33"/>
      <c r="G87" s="36">
        <v>217466</v>
      </c>
      <c r="H87" s="37">
        <v>39814</v>
      </c>
      <c r="I87" s="36">
        <v>78</v>
      </c>
      <c r="J87" s="36" t="s">
        <v>1163</v>
      </c>
      <c r="K87" s="36" t="s">
        <v>1164</v>
      </c>
      <c r="L87" s="36" t="s">
        <v>1165</v>
      </c>
      <c r="M87" s="27"/>
      <c r="O87" s="28" t="str">
        <f>IFERROR(VLOOKUP(A87, '2024 Full View'!$1:$999, 1, FALSE), "")</f>
        <v/>
      </c>
      <c r="P87" s="3" t="str">
        <f ca="1">IFERROR(__xludf.DUMMYFUNCTION("TEXTJOIN("", "",TRUE, FILTER($B$1:$E$1,B87:E87&lt;&gt;""""))"),"Jamie")</f>
        <v>Jamie</v>
      </c>
    </row>
    <row r="88" spans="1:16" ht="14">
      <c r="A88" s="36" t="s">
        <v>2222</v>
      </c>
      <c r="B88" s="33"/>
      <c r="C88" s="36">
        <v>4</v>
      </c>
      <c r="D88" s="33"/>
      <c r="E88" s="33"/>
      <c r="F88" s="33"/>
      <c r="G88" s="36">
        <v>230693</v>
      </c>
      <c r="H88" s="37">
        <v>41208</v>
      </c>
      <c r="I88" s="36">
        <v>77</v>
      </c>
      <c r="J88" s="36" t="s">
        <v>1166</v>
      </c>
      <c r="K88" s="36" t="s">
        <v>1167</v>
      </c>
      <c r="L88" s="36" t="s">
        <v>1168</v>
      </c>
      <c r="M88" s="27"/>
      <c r="O88" s="28" t="str">
        <f>IFERROR(VLOOKUP(A88, '2024 Full View'!$1:$999, 1, FALSE), "")</f>
        <v/>
      </c>
      <c r="P88" s="3" t="str">
        <f ca="1">IFERROR(__xludf.DUMMYFUNCTION("TEXTJOIN("", "",TRUE, FILTER($B$1:$E$1,B88:E88&lt;&gt;""""))"),"Bryce")</f>
        <v>Bryce</v>
      </c>
    </row>
    <row r="89" spans="1:16" ht="14">
      <c r="A89" s="36" t="s">
        <v>2223</v>
      </c>
      <c r="B89" s="36">
        <v>68</v>
      </c>
      <c r="C89" s="36">
        <v>25</v>
      </c>
      <c r="D89" s="33"/>
      <c r="E89" s="33"/>
      <c r="F89" s="33"/>
      <c r="G89" s="36">
        <v>206864</v>
      </c>
      <c r="H89" s="37">
        <v>44988</v>
      </c>
      <c r="I89" s="36">
        <v>77</v>
      </c>
      <c r="J89" s="36" t="s">
        <v>843</v>
      </c>
      <c r="K89" s="36" t="s">
        <v>429</v>
      </c>
      <c r="L89" s="36" t="s">
        <v>843</v>
      </c>
      <c r="M89" s="27"/>
      <c r="O89" s="28" t="str">
        <f>IFERROR(VLOOKUP(A89, '2024 Full View'!$1:$999, 1, FALSE), "")</f>
        <v/>
      </c>
      <c r="P89" s="3" t="str">
        <f ca="1">IFERROR(__xludf.DUMMYFUNCTION("TEXTJOIN("", "",TRUE, FILTER($B$1:$E$1,B89:E89&lt;&gt;""""))"),"Zach, Bryce")</f>
        <v>Zach, Bryce</v>
      </c>
    </row>
    <row r="90" spans="1:16" ht="14">
      <c r="A90" s="36" t="s">
        <v>2224</v>
      </c>
      <c r="B90" s="33"/>
      <c r="C90" s="36">
        <v>67</v>
      </c>
      <c r="D90" s="33"/>
      <c r="E90" s="33"/>
      <c r="F90" s="33"/>
      <c r="G90" s="36">
        <v>293053</v>
      </c>
      <c r="H90" s="37">
        <v>38718</v>
      </c>
      <c r="I90" s="36">
        <v>77</v>
      </c>
      <c r="J90" s="36" t="s">
        <v>1169</v>
      </c>
      <c r="K90" s="36" t="s">
        <v>1170</v>
      </c>
      <c r="L90" s="36" t="s">
        <v>1171</v>
      </c>
      <c r="M90" s="27"/>
      <c r="O90" s="28" t="str">
        <f>IFERROR(VLOOKUP(A90, '2024 Full View'!$1:$999, 1, FALSE), "")</f>
        <v/>
      </c>
      <c r="P90" s="3" t="str">
        <f ca="1">IFERROR(__xludf.DUMMYFUNCTION("TEXTJOIN("", "",TRUE, FILTER($B$1:$E$1,B90:E90&lt;&gt;""""))"),"Bryce")</f>
        <v>Bryce</v>
      </c>
    </row>
    <row r="91" spans="1:16" ht="14">
      <c r="A91" s="36" t="s">
        <v>2225</v>
      </c>
      <c r="B91" s="36">
        <v>83</v>
      </c>
      <c r="C91" s="33"/>
      <c r="D91" s="33"/>
      <c r="E91" s="33"/>
      <c r="F91" s="33"/>
      <c r="G91" s="36">
        <v>186800</v>
      </c>
      <c r="H91" s="37">
        <v>44974</v>
      </c>
      <c r="I91" s="36">
        <v>77</v>
      </c>
      <c r="J91" s="36" t="s">
        <v>1172</v>
      </c>
      <c r="K91" s="36" t="s">
        <v>1103</v>
      </c>
      <c r="L91" s="36" t="s">
        <v>1173</v>
      </c>
      <c r="M91" s="27"/>
      <c r="O91" s="28" t="str">
        <f>IFERROR(VLOOKUP(A91, '2024 Full View'!$1:$999, 1, FALSE), "")</f>
        <v/>
      </c>
      <c r="P91" s="3" t="str">
        <f ca="1">IFERROR(__xludf.DUMMYFUNCTION("TEXTJOIN("", "",TRUE, FILTER($B$1:$E$1,B91:E91&lt;&gt;""""))"),"Zach")</f>
        <v>Zach</v>
      </c>
    </row>
    <row r="92" spans="1:16" ht="14">
      <c r="A92" s="36" t="s">
        <v>2226</v>
      </c>
      <c r="B92" s="36">
        <v>25</v>
      </c>
      <c r="C92" s="33"/>
      <c r="D92" s="36">
        <v>42</v>
      </c>
      <c r="E92" s="33"/>
      <c r="F92" s="33"/>
      <c r="G92" s="36">
        <v>185933</v>
      </c>
      <c r="H92" s="37">
        <v>45156</v>
      </c>
      <c r="I92" s="36">
        <v>77</v>
      </c>
      <c r="J92" s="36" t="s">
        <v>1043</v>
      </c>
      <c r="K92" s="36" t="s">
        <v>465</v>
      </c>
      <c r="L92" s="36" t="s">
        <v>1174</v>
      </c>
      <c r="M92" s="27"/>
      <c r="O92" s="28" t="str">
        <f>IFERROR(VLOOKUP(A92, '2024 Full View'!$1:$999, 1, FALSE), "")</f>
        <v/>
      </c>
      <c r="P92" s="3" t="str">
        <f ca="1">IFERROR(__xludf.DUMMYFUNCTION("TEXTJOIN("", "",TRUE, FILTER($B$1:$E$1,B92:E92&lt;&gt;""""))"),"Zach, Maggie")</f>
        <v>Zach, Maggie</v>
      </c>
    </row>
    <row r="93" spans="1:16" ht="14">
      <c r="A93" s="36" t="s">
        <v>2227</v>
      </c>
      <c r="B93" s="33"/>
      <c r="C93" s="33"/>
      <c r="D93" s="36">
        <v>5</v>
      </c>
      <c r="E93" s="33"/>
      <c r="F93" s="33"/>
      <c r="G93" s="36">
        <v>156631</v>
      </c>
      <c r="H93" s="37">
        <v>44876</v>
      </c>
      <c r="I93" s="36">
        <v>77</v>
      </c>
      <c r="J93" s="36" t="s">
        <v>1175</v>
      </c>
      <c r="K93" s="33" t="s">
        <v>1176</v>
      </c>
      <c r="L93" s="36" t="s">
        <v>1177</v>
      </c>
      <c r="M93" s="27"/>
      <c r="O93" s="28" t="str">
        <f>IFERROR(VLOOKUP(A93, '2024 Full View'!$1:$999, 1, FALSE), "")</f>
        <v/>
      </c>
      <c r="P93" s="3" t="str">
        <f ca="1">IFERROR(__xludf.DUMMYFUNCTION("TEXTJOIN("", "",TRUE, FILTER($B$1:$E$1,B93:E93&lt;&gt;""""))"),"Maggie")</f>
        <v>Maggie</v>
      </c>
    </row>
    <row r="94" spans="1:16" ht="14">
      <c r="A94" s="36" t="s">
        <v>2228</v>
      </c>
      <c r="B94" s="33"/>
      <c r="C94" s="33"/>
      <c r="D94" s="36">
        <v>76</v>
      </c>
      <c r="E94" s="36">
        <v>85</v>
      </c>
      <c r="F94" s="36" t="s">
        <v>1178</v>
      </c>
      <c r="G94" s="36">
        <v>258812</v>
      </c>
      <c r="H94" s="37">
        <v>44512</v>
      </c>
      <c r="I94" s="36">
        <v>77</v>
      </c>
      <c r="J94" s="36" t="s">
        <v>796</v>
      </c>
      <c r="K94" s="36" t="s">
        <v>438</v>
      </c>
      <c r="L94" s="36" t="s">
        <v>1179</v>
      </c>
      <c r="M94" s="27"/>
      <c r="O94" s="28" t="str">
        <f>IFERROR(VLOOKUP(A94, '2024 Full View'!$1:$999, 1, FALSE), "")</f>
        <v/>
      </c>
      <c r="P94" s="3" t="str">
        <f ca="1">IFERROR(__xludf.DUMMYFUNCTION("TEXTJOIN("", "",TRUE, FILTER($B$1:$E$1,B94:E94&lt;&gt;""""))"),"Maggie, Jamie")</f>
        <v>Maggie, Jamie</v>
      </c>
    </row>
    <row r="95" spans="1:16" ht="14">
      <c r="A95" s="36" t="s">
        <v>1963</v>
      </c>
      <c r="B95" s="33"/>
      <c r="C95" s="36">
        <v>13</v>
      </c>
      <c r="D95" s="33"/>
      <c r="E95" s="33"/>
      <c r="F95" s="36" t="s">
        <v>426</v>
      </c>
      <c r="G95" s="36">
        <v>139460</v>
      </c>
      <c r="H95" s="37">
        <v>44099</v>
      </c>
      <c r="I95" s="36">
        <v>76</v>
      </c>
      <c r="J95" s="36" t="s">
        <v>777</v>
      </c>
      <c r="K95" s="36" t="s">
        <v>435</v>
      </c>
      <c r="L95" s="36" t="s">
        <v>778</v>
      </c>
      <c r="M95" s="27"/>
      <c r="O95" s="28" t="str">
        <f>IFERROR(VLOOKUP(A95, '2024 Full View'!$1:$999, 1, FALSE), "")</f>
        <v>my ex's best friend (with blackbear)mgk</v>
      </c>
      <c r="P95" s="3" t="str">
        <f ca="1">IFERROR(__xludf.DUMMYFUNCTION("TEXTJOIN("", "",TRUE, FILTER($B$1:$E$1,B95:E95&lt;&gt;""""))"),"Bryce")</f>
        <v>Bryce</v>
      </c>
    </row>
    <row r="96" spans="1:16" ht="14">
      <c r="A96" s="36" t="s">
        <v>2229</v>
      </c>
      <c r="B96" s="33"/>
      <c r="C96" s="36">
        <v>33</v>
      </c>
      <c r="D96" s="33"/>
      <c r="E96" s="33"/>
      <c r="F96" s="33"/>
      <c r="G96" s="36">
        <v>172266</v>
      </c>
      <c r="H96" s="37">
        <v>44651</v>
      </c>
      <c r="I96" s="36">
        <v>76</v>
      </c>
      <c r="J96" s="36" t="s">
        <v>1180</v>
      </c>
      <c r="K96" s="36" t="s">
        <v>1181</v>
      </c>
      <c r="L96" s="36" t="s">
        <v>1180</v>
      </c>
      <c r="M96" s="27"/>
      <c r="O96" s="28" t="str">
        <f>IFERROR(VLOOKUP(A96, '2024 Full View'!$1:$999, 1, FALSE), "")</f>
        <v/>
      </c>
      <c r="P96" s="3" t="str">
        <f ca="1">IFERROR(__xludf.DUMMYFUNCTION("TEXTJOIN("", "",TRUE, FILTER($B$1:$E$1,B96:E96&lt;&gt;""""))"),"Bryce")</f>
        <v>Bryce</v>
      </c>
    </row>
    <row r="97" spans="1:16" ht="14">
      <c r="A97" s="36" t="s">
        <v>2230</v>
      </c>
      <c r="B97" s="33"/>
      <c r="C97" s="36">
        <v>60</v>
      </c>
      <c r="D97" s="33"/>
      <c r="E97" s="33"/>
      <c r="F97" s="33"/>
      <c r="G97" s="36">
        <v>237093</v>
      </c>
      <c r="H97" s="37">
        <v>42244</v>
      </c>
      <c r="I97" s="36">
        <v>76</v>
      </c>
      <c r="J97" s="36" t="s">
        <v>722</v>
      </c>
      <c r="K97" s="36" t="s">
        <v>433</v>
      </c>
      <c r="L97" s="33" t="s">
        <v>1182</v>
      </c>
      <c r="M97" s="27"/>
      <c r="O97" s="28" t="str">
        <f>IFERROR(VLOOKUP(A97, '2024 Full View'!$1:$999, 1, FALSE), "")</f>
        <v/>
      </c>
      <c r="P97" s="3" t="str">
        <f ca="1">IFERROR(__xludf.DUMMYFUNCTION("TEXTJOIN("", "",TRUE, FILTER($B$1:$E$1,B97:E97&lt;&gt;""""))"),"Bryce")</f>
        <v>Bryce</v>
      </c>
    </row>
    <row r="98" spans="1:16" ht="14">
      <c r="A98" s="36" t="s">
        <v>2231</v>
      </c>
      <c r="B98" s="36">
        <v>36</v>
      </c>
      <c r="C98" s="36">
        <v>76</v>
      </c>
      <c r="D98" s="33"/>
      <c r="E98" s="33"/>
      <c r="F98" s="36" t="s">
        <v>429</v>
      </c>
      <c r="G98" s="36">
        <v>219173</v>
      </c>
      <c r="H98" s="37">
        <v>45072</v>
      </c>
      <c r="I98" s="36">
        <v>76</v>
      </c>
      <c r="J98" s="36" t="s">
        <v>1183</v>
      </c>
      <c r="K98" s="36" t="s">
        <v>1184</v>
      </c>
      <c r="L98" s="36" t="s">
        <v>1185</v>
      </c>
      <c r="M98" s="27"/>
      <c r="O98" s="28" t="str">
        <f>IFERROR(VLOOKUP(A98, '2024 Full View'!$1:$999, 1, FALSE), "")</f>
        <v/>
      </c>
      <c r="P98" s="3" t="str">
        <f ca="1">IFERROR(__xludf.DUMMYFUNCTION("TEXTJOIN("", "",TRUE, FILTER($B$1:$E$1,B98:E98&lt;&gt;""""))"),"Zach, Bryce")</f>
        <v>Zach, Bryce</v>
      </c>
    </row>
    <row r="99" spans="1:16" ht="14">
      <c r="A99" s="36" t="s">
        <v>1994</v>
      </c>
      <c r="B99" s="33"/>
      <c r="C99" s="33"/>
      <c r="D99" s="36">
        <v>26</v>
      </c>
      <c r="E99" s="33"/>
      <c r="F99" s="36" t="s">
        <v>576</v>
      </c>
      <c r="G99" s="36">
        <v>160766</v>
      </c>
      <c r="H99" s="37">
        <v>44365</v>
      </c>
      <c r="I99" s="36">
        <v>76</v>
      </c>
      <c r="J99" s="36" t="s">
        <v>786</v>
      </c>
      <c r="K99" s="36" t="s">
        <v>565</v>
      </c>
      <c r="L99" s="36" t="s">
        <v>786</v>
      </c>
      <c r="M99" s="27"/>
      <c r="O99" s="28" t="str">
        <f>IFERROR(VLOOKUP(A99, '2024 Full View'!$1:$999, 1, FALSE), "")</f>
        <v>RememberBecky Hill</v>
      </c>
      <c r="P99" s="3" t="str">
        <f ca="1">IFERROR(__xludf.DUMMYFUNCTION("TEXTJOIN("", "",TRUE, FILTER($B$1:$E$1,B99:E99&lt;&gt;""""))"),"Maggie")</f>
        <v>Maggie</v>
      </c>
    </row>
    <row r="100" spans="1:16" ht="14">
      <c r="A100" s="36" t="s">
        <v>2232</v>
      </c>
      <c r="B100" s="33"/>
      <c r="C100" s="33"/>
      <c r="D100" s="36">
        <v>45</v>
      </c>
      <c r="E100" s="33"/>
      <c r="F100" s="33"/>
      <c r="G100" s="36">
        <v>264906</v>
      </c>
      <c r="H100" s="37">
        <v>32468</v>
      </c>
      <c r="I100" s="36">
        <v>76</v>
      </c>
      <c r="J100" s="36" t="s">
        <v>1186</v>
      </c>
      <c r="K100" s="36" t="s">
        <v>1187</v>
      </c>
      <c r="L100" s="36" t="s">
        <v>1188</v>
      </c>
      <c r="M100" s="27"/>
      <c r="O100" s="28" t="str">
        <f>IFERROR(VLOOKUP(A100, '2024 Full View'!$1:$999, 1, FALSE), "")</f>
        <v/>
      </c>
      <c r="P100" s="3" t="str">
        <f ca="1">IFERROR(__xludf.DUMMYFUNCTION("TEXTJOIN("", "",TRUE, FILTER($B$1:$E$1,B100:E100&lt;&gt;""""))"),"Maggie")</f>
        <v>Maggie</v>
      </c>
    </row>
    <row r="101" spans="1:16" ht="14">
      <c r="A101" s="36" t="s">
        <v>2233</v>
      </c>
      <c r="B101" s="36">
        <v>61</v>
      </c>
      <c r="C101" s="33"/>
      <c r="D101" s="33"/>
      <c r="E101" s="33"/>
      <c r="F101" s="33"/>
      <c r="G101" s="36">
        <v>172853</v>
      </c>
      <c r="H101" s="37">
        <v>44974</v>
      </c>
      <c r="I101" s="36">
        <v>76</v>
      </c>
      <c r="J101" s="36" t="s">
        <v>1172</v>
      </c>
      <c r="K101" s="36" t="s">
        <v>1103</v>
      </c>
      <c r="L101" s="36" t="s">
        <v>1189</v>
      </c>
      <c r="M101" s="27"/>
      <c r="O101" s="28" t="str">
        <f>IFERROR(VLOOKUP(A101, '2024 Full View'!$1:$999, 1, FALSE), "")</f>
        <v/>
      </c>
      <c r="P101" s="3" t="str">
        <f ca="1">IFERROR(__xludf.DUMMYFUNCTION("TEXTJOIN("", "",TRUE, FILTER($B$1:$E$1,B101:E101&lt;&gt;""""))"),"Zach")</f>
        <v>Zach</v>
      </c>
    </row>
    <row r="102" spans="1:16" ht="14">
      <c r="A102" s="36" t="s">
        <v>2234</v>
      </c>
      <c r="B102" s="33"/>
      <c r="C102" s="33"/>
      <c r="D102" s="36">
        <v>51</v>
      </c>
      <c r="E102" s="33"/>
      <c r="F102" s="33"/>
      <c r="G102" s="36">
        <v>191822</v>
      </c>
      <c r="H102" s="37">
        <v>44665</v>
      </c>
      <c r="I102" s="36">
        <v>76</v>
      </c>
      <c r="J102" s="36" t="s">
        <v>1190</v>
      </c>
      <c r="K102" s="36" t="s">
        <v>1191</v>
      </c>
      <c r="L102" s="36" t="s">
        <v>1190</v>
      </c>
      <c r="M102" s="27"/>
      <c r="O102" s="28" t="str">
        <f>IFERROR(VLOOKUP(A102, '2024 Full View'!$1:$999, 1, FALSE), "")</f>
        <v/>
      </c>
      <c r="P102" s="3" t="str">
        <f ca="1">IFERROR(__xludf.DUMMYFUNCTION("TEXTJOIN("", "",TRUE, FILTER($B$1:$E$1,B102:E102&lt;&gt;""""))"),"Maggie")</f>
        <v>Maggie</v>
      </c>
    </row>
    <row r="103" spans="1:16" ht="14">
      <c r="A103" s="36" t="s">
        <v>1920</v>
      </c>
      <c r="B103" s="33"/>
      <c r="C103" s="33"/>
      <c r="D103" s="36">
        <v>66</v>
      </c>
      <c r="E103" s="33"/>
      <c r="F103" s="33"/>
      <c r="G103" s="36">
        <v>186826</v>
      </c>
      <c r="H103" s="36">
        <v>1972</v>
      </c>
      <c r="I103" s="36">
        <v>76</v>
      </c>
      <c r="J103" s="36" t="s">
        <v>561</v>
      </c>
      <c r="K103" s="36" t="s">
        <v>561</v>
      </c>
      <c r="L103" s="36" t="s">
        <v>590</v>
      </c>
      <c r="M103" s="27"/>
      <c r="O103" s="28" t="str">
        <f>IFERROR(VLOOKUP(A103, '2024 Full View'!$1:$999, 1, FALSE), "")</f>
        <v>Brandy (You're a Fine Girl)Looking Glass</v>
      </c>
      <c r="P103" s="3" t="str">
        <f ca="1">IFERROR(__xludf.DUMMYFUNCTION("TEXTJOIN("", "",TRUE, FILTER($B$1:$E$1,B103:E103&lt;&gt;""""))"),"Maggie")</f>
        <v>Maggie</v>
      </c>
    </row>
    <row r="104" spans="1:16" ht="14">
      <c r="A104" s="36" t="s">
        <v>2235</v>
      </c>
      <c r="B104" s="36">
        <v>10</v>
      </c>
      <c r="C104" s="33"/>
      <c r="D104" s="33"/>
      <c r="E104" s="33"/>
      <c r="F104" s="33"/>
      <c r="G104" s="36">
        <v>229626</v>
      </c>
      <c r="H104" s="37">
        <v>45009</v>
      </c>
      <c r="I104" s="36">
        <v>76</v>
      </c>
      <c r="J104" s="36" t="s">
        <v>850</v>
      </c>
      <c r="K104" s="36" t="s">
        <v>482</v>
      </c>
      <c r="L104" s="36" t="s">
        <v>1192</v>
      </c>
      <c r="M104" s="27"/>
      <c r="O104" s="28" t="str">
        <f>IFERROR(VLOOKUP(A104, '2024 Full View'!$1:$999, 1, FALSE), "")</f>
        <v/>
      </c>
      <c r="P104" s="3" t="str">
        <f ca="1">IFERROR(__xludf.DUMMYFUNCTION("TEXTJOIN("", "",TRUE, FILTER($B$1:$E$1,B104:E104&lt;&gt;""""))"),"Zach")</f>
        <v>Zach</v>
      </c>
    </row>
    <row r="105" spans="1:16" ht="14">
      <c r="A105" s="36" t="s">
        <v>2236</v>
      </c>
      <c r="B105" s="33"/>
      <c r="C105" s="33"/>
      <c r="D105" s="36">
        <v>69</v>
      </c>
      <c r="E105" s="33"/>
      <c r="F105" s="36" t="s">
        <v>1193</v>
      </c>
      <c r="G105" s="36">
        <v>160656</v>
      </c>
      <c r="H105" s="37">
        <v>44463</v>
      </c>
      <c r="I105" s="36">
        <v>76</v>
      </c>
      <c r="J105" s="36" t="s">
        <v>1194</v>
      </c>
      <c r="K105" s="36" t="s">
        <v>1195</v>
      </c>
      <c r="L105" s="36" t="s">
        <v>1194</v>
      </c>
      <c r="M105" s="27"/>
      <c r="O105" s="28" t="str">
        <f>IFERROR(VLOOKUP(A105, '2024 Full View'!$1:$999, 1, FALSE), "")</f>
        <v/>
      </c>
      <c r="P105" s="3" t="str">
        <f ca="1">IFERROR(__xludf.DUMMYFUNCTION("TEXTJOIN("", "",TRUE, FILTER($B$1:$E$1,B105:E105&lt;&gt;""""))"),"Maggie")</f>
        <v>Maggie</v>
      </c>
    </row>
    <row r="106" spans="1:16" ht="14">
      <c r="A106" s="36" t="s">
        <v>2237</v>
      </c>
      <c r="B106" s="33"/>
      <c r="C106" s="33"/>
      <c r="D106" s="33"/>
      <c r="E106" s="36">
        <v>27</v>
      </c>
      <c r="F106" s="33"/>
      <c r="G106" s="36">
        <v>267653</v>
      </c>
      <c r="H106" s="37">
        <v>40084</v>
      </c>
      <c r="I106" s="36">
        <v>76</v>
      </c>
      <c r="J106" s="36" t="s">
        <v>1196</v>
      </c>
      <c r="K106" s="36" t="s">
        <v>1197</v>
      </c>
      <c r="L106" s="36" t="s">
        <v>1198</v>
      </c>
      <c r="M106" s="27"/>
      <c r="O106" s="28" t="str">
        <f>IFERROR(VLOOKUP(A106, '2024 Full View'!$1:$999, 1, FALSE), "")</f>
        <v/>
      </c>
      <c r="P106" s="3" t="str">
        <f ca="1">IFERROR(__xludf.DUMMYFUNCTION("TEXTJOIN("", "",TRUE, FILTER($B$1:$E$1,B106:E106&lt;&gt;""""))"),"Jamie")</f>
        <v>Jamie</v>
      </c>
    </row>
    <row r="107" spans="1:16" ht="14">
      <c r="A107" s="36" t="s">
        <v>2238</v>
      </c>
      <c r="B107" s="33"/>
      <c r="C107" s="33"/>
      <c r="D107" s="36">
        <v>72</v>
      </c>
      <c r="E107" s="33"/>
      <c r="F107" s="33"/>
      <c r="G107" s="36">
        <v>267653</v>
      </c>
      <c r="H107" s="37">
        <v>45114</v>
      </c>
      <c r="I107" s="36">
        <v>76</v>
      </c>
      <c r="J107" s="36" t="s">
        <v>870</v>
      </c>
      <c r="K107" s="36" t="s">
        <v>438</v>
      </c>
      <c r="L107" s="36" t="s">
        <v>1199</v>
      </c>
      <c r="M107" s="27"/>
      <c r="O107" s="28" t="str">
        <f>IFERROR(VLOOKUP(A107, '2024 Full View'!$1:$999, 1, FALSE), "")</f>
        <v/>
      </c>
      <c r="P107" s="3" t="str">
        <f ca="1">IFERROR(__xludf.DUMMYFUNCTION("TEXTJOIN("", "",TRUE, FILTER($B$1:$E$1,B107:E107&lt;&gt;""""))"),"Maggie")</f>
        <v>Maggie</v>
      </c>
    </row>
    <row r="108" spans="1:16" ht="14">
      <c r="A108" s="36" t="s">
        <v>2239</v>
      </c>
      <c r="B108" s="33"/>
      <c r="C108" s="33"/>
      <c r="D108" s="36">
        <v>100</v>
      </c>
      <c r="E108" s="33"/>
      <c r="F108" s="33"/>
      <c r="G108" s="36">
        <v>277591</v>
      </c>
      <c r="H108" s="37">
        <v>44295</v>
      </c>
      <c r="I108" s="36">
        <v>76</v>
      </c>
      <c r="J108" s="36" t="s">
        <v>1126</v>
      </c>
      <c r="K108" s="36" t="s">
        <v>438</v>
      </c>
      <c r="L108" s="36" t="s">
        <v>1200</v>
      </c>
      <c r="M108" s="27"/>
      <c r="O108" s="28" t="str">
        <f>IFERROR(VLOOKUP(A108, '2024 Full View'!$1:$999, 1, FALSE), "")</f>
        <v/>
      </c>
      <c r="P108" s="3" t="str">
        <f ca="1">IFERROR(__xludf.DUMMYFUNCTION("TEXTJOIN("", "",TRUE, FILTER($B$1:$E$1,B108:E108&lt;&gt;""""))"),"Maggie")</f>
        <v>Maggie</v>
      </c>
    </row>
    <row r="109" spans="1:16" ht="14">
      <c r="A109" s="36" t="s">
        <v>2240</v>
      </c>
      <c r="B109" s="36">
        <v>67</v>
      </c>
      <c r="C109" s="36">
        <v>10</v>
      </c>
      <c r="D109" s="33"/>
      <c r="E109" s="33"/>
      <c r="F109" s="33"/>
      <c r="G109" s="36">
        <v>179640</v>
      </c>
      <c r="H109" s="37">
        <v>44953</v>
      </c>
      <c r="I109" s="36">
        <v>75</v>
      </c>
      <c r="J109" s="36" t="s">
        <v>1201</v>
      </c>
      <c r="K109" s="36" t="s">
        <v>1201</v>
      </c>
      <c r="L109" s="36" t="s">
        <v>1202</v>
      </c>
      <c r="M109" s="27"/>
      <c r="O109" s="28" t="str">
        <f>IFERROR(VLOOKUP(A109, '2024 Full View'!$1:$999, 1, FALSE), "")</f>
        <v/>
      </c>
      <c r="P109" s="3" t="str">
        <f ca="1">IFERROR(__xludf.DUMMYFUNCTION("TEXTJOIN("", "",TRUE, FILTER($B$1:$E$1,B109:E109&lt;&gt;""""))"),"Zach, Bryce")</f>
        <v>Zach, Bryce</v>
      </c>
    </row>
    <row r="110" spans="1:16" ht="14">
      <c r="A110" s="36" t="s">
        <v>2241</v>
      </c>
      <c r="B110" s="36">
        <v>20</v>
      </c>
      <c r="C110" s="36">
        <v>16</v>
      </c>
      <c r="D110" s="33"/>
      <c r="E110" s="33"/>
      <c r="F110" s="33"/>
      <c r="G110" s="36">
        <v>187047</v>
      </c>
      <c r="H110" s="37">
        <v>44988</v>
      </c>
      <c r="I110" s="36">
        <v>75</v>
      </c>
      <c r="J110" s="36" t="s">
        <v>843</v>
      </c>
      <c r="K110" s="36" t="s">
        <v>429</v>
      </c>
      <c r="L110" s="36" t="s">
        <v>1203</v>
      </c>
      <c r="M110" s="27"/>
      <c r="O110" s="28" t="str">
        <f>IFERROR(VLOOKUP(A110, '2024 Full View'!$1:$999, 1, FALSE), "")</f>
        <v/>
      </c>
      <c r="P110" s="3" t="str">
        <f ca="1">IFERROR(__xludf.DUMMYFUNCTION("TEXTJOIN("", "",TRUE, FILTER($B$1:$E$1,B110:E110&lt;&gt;""""))"),"Zach, Bryce")</f>
        <v>Zach, Bryce</v>
      </c>
    </row>
    <row r="111" spans="1:16" ht="14">
      <c r="A111" s="36" t="s">
        <v>2242</v>
      </c>
      <c r="B111" s="33"/>
      <c r="C111" s="36">
        <v>53</v>
      </c>
      <c r="D111" s="33"/>
      <c r="E111" s="33"/>
      <c r="F111" s="36" t="s">
        <v>429</v>
      </c>
      <c r="G111" s="36">
        <v>185600</v>
      </c>
      <c r="H111" s="37">
        <v>44630</v>
      </c>
      <c r="I111" s="36">
        <v>75</v>
      </c>
      <c r="J111" s="36" t="s">
        <v>1204</v>
      </c>
      <c r="K111" s="36" t="s">
        <v>1184</v>
      </c>
      <c r="L111" s="36" t="s">
        <v>1205</v>
      </c>
      <c r="M111" s="27"/>
      <c r="O111" s="28" t="str">
        <f>IFERROR(VLOOKUP(A111, '2024 Full View'!$1:$999, 1, FALSE), "")</f>
        <v/>
      </c>
      <c r="P111" s="3" t="str">
        <f ca="1">IFERROR(__xludf.DUMMYFUNCTION("TEXTJOIN("", "",TRUE, FILTER($B$1:$E$1,B111:E111&lt;&gt;""""))"),"Bryce")</f>
        <v>Bryce</v>
      </c>
    </row>
    <row r="112" spans="1:16" ht="14">
      <c r="A112" s="36" t="s">
        <v>2243</v>
      </c>
      <c r="B112" s="33"/>
      <c r="C112" s="36">
        <v>59</v>
      </c>
      <c r="D112" s="33"/>
      <c r="E112" s="33"/>
      <c r="F112" s="36" t="s">
        <v>1067</v>
      </c>
      <c r="G112" s="36">
        <v>221013</v>
      </c>
      <c r="H112" s="37">
        <v>43084</v>
      </c>
      <c r="I112" s="36">
        <v>75</v>
      </c>
      <c r="J112" s="36" t="s">
        <v>1206</v>
      </c>
      <c r="K112" s="36" t="s">
        <v>382</v>
      </c>
      <c r="L112" s="36" t="s">
        <v>1207</v>
      </c>
      <c r="M112" s="27"/>
      <c r="O112" s="28" t="str">
        <f>IFERROR(VLOOKUP(A112, '2024 Full View'!$1:$999, 1, FALSE), "")</f>
        <v/>
      </c>
      <c r="P112" s="3" t="str">
        <f ca="1">IFERROR(__xludf.DUMMYFUNCTION("TEXTJOIN("", "",TRUE, FILTER($B$1:$E$1,B112:E112&lt;&gt;""""))"),"Bryce")</f>
        <v>Bryce</v>
      </c>
    </row>
    <row r="113" spans="1:16" ht="14">
      <c r="A113" s="36" t="s">
        <v>2244</v>
      </c>
      <c r="B113" s="33"/>
      <c r="C113" s="33"/>
      <c r="D113" s="33"/>
      <c r="E113" s="36">
        <v>60</v>
      </c>
      <c r="F113" s="33"/>
      <c r="G113" s="36">
        <v>160093</v>
      </c>
      <c r="H113" s="37">
        <v>39833</v>
      </c>
      <c r="I113" s="36">
        <v>75</v>
      </c>
      <c r="J113" s="36" t="s">
        <v>1208</v>
      </c>
      <c r="K113" s="36" t="s">
        <v>1113</v>
      </c>
      <c r="L113" s="36" t="s">
        <v>1209</v>
      </c>
      <c r="M113" s="27"/>
      <c r="O113" s="28" t="str">
        <f>IFERROR(VLOOKUP(A113, '2024 Full View'!$1:$999, 1, FALSE), "")</f>
        <v/>
      </c>
      <c r="P113" s="3" t="str">
        <f ca="1">IFERROR(__xludf.DUMMYFUNCTION("TEXTJOIN("", "",TRUE, FILTER($B$1:$E$1,B113:E113&lt;&gt;""""))"),"Jamie")</f>
        <v>Jamie</v>
      </c>
    </row>
    <row r="114" spans="1:16" ht="14">
      <c r="A114" s="36" t="s">
        <v>2245</v>
      </c>
      <c r="B114" s="33"/>
      <c r="C114" s="33"/>
      <c r="D114" s="36">
        <v>67</v>
      </c>
      <c r="E114" s="33"/>
      <c r="F114" s="33"/>
      <c r="G114" s="36">
        <v>239826</v>
      </c>
      <c r="H114" s="37">
        <v>32509</v>
      </c>
      <c r="I114" s="36">
        <v>75</v>
      </c>
      <c r="J114" s="36" t="s">
        <v>1210</v>
      </c>
      <c r="K114" s="36" t="s">
        <v>1211</v>
      </c>
      <c r="L114" s="36" t="s">
        <v>1212</v>
      </c>
      <c r="M114" s="27"/>
      <c r="O114" s="28" t="str">
        <f>IFERROR(VLOOKUP(A114, '2024 Full View'!$1:$999, 1, FALSE), "")</f>
        <v/>
      </c>
      <c r="P114" s="3" t="str">
        <f ca="1">IFERROR(__xludf.DUMMYFUNCTION("TEXTJOIN("", "",TRUE, FILTER($B$1:$E$1,B114:E114&lt;&gt;""""))"),"Maggie")</f>
        <v>Maggie</v>
      </c>
    </row>
    <row r="115" spans="1:16" ht="14">
      <c r="A115" s="36" t="s">
        <v>2246</v>
      </c>
      <c r="B115" s="36">
        <v>85</v>
      </c>
      <c r="C115" s="33"/>
      <c r="D115" s="33"/>
      <c r="E115" s="33"/>
      <c r="F115" s="36" t="s">
        <v>1213</v>
      </c>
      <c r="G115" s="36">
        <v>174560</v>
      </c>
      <c r="H115" s="37">
        <v>44813</v>
      </c>
      <c r="I115" s="36">
        <v>75</v>
      </c>
      <c r="J115" s="36" t="s">
        <v>1214</v>
      </c>
      <c r="K115" s="36" t="s">
        <v>476</v>
      </c>
      <c r="L115" s="36" t="s">
        <v>1215</v>
      </c>
      <c r="M115" s="27"/>
      <c r="O115" s="28" t="str">
        <f>IFERROR(VLOOKUP(A115, '2024 Full View'!$1:$999, 1, FALSE), "")</f>
        <v/>
      </c>
      <c r="P115" s="3" t="str">
        <f ca="1">IFERROR(__xludf.DUMMYFUNCTION("TEXTJOIN("", "",TRUE, FILTER($B$1:$E$1,B115:E115&lt;&gt;""""))"),"Zach")</f>
        <v>Zach</v>
      </c>
    </row>
    <row r="116" spans="1:16" ht="14">
      <c r="A116" s="36" t="s">
        <v>2247</v>
      </c>
      <c r="B116" s="33"/>
      <c r="C116" s="33"/>
      <c r="D116" s="33"/>
      <c r="E116" s="36">
        <v>22</v>
      </c>
      <c r="F116" s="33"/>
      <c r="G116" s="36">
        <v>240200</v>
      </c>
      <c r="H116" s="37">
        <v>42178</v>
      </c>
      <c r="I116" s="36">
        <v>75</v>
      </c>
      <c r="J116" s="36" t="s">
        <v>1216</v>
      </c>
      <c r="K116" s="36" t="s">
        <v>470</v>
      </c>
      <c r="L116" s="36" t="s">
        <v>1217</v>
      </c>
      <c r="M116" s="27"/>
      <c r="O116" s="28" t="str">
        <f>IFERROR(VLOOKUP(A116, '2024 Full View'!$1:$999, 1, FALSE), "")</f>
        <v/>
      </c>
      <c r="P116" s="3" t="str">
        <f ca="1">IFERROR(__xludf.DUMMYFUNCTION("TEXTJOIN("", "",TRUE, FILTER($B$1:$E$1,B116:E116&lt;&gt;""""))"),"Jamie")</f>
        <v>Jamie</v>
      </c>
    </row>
    <row r="117" spans="1:16" ht="14">
      <c r="A117" s="36" t="s">
        <v>2248</v>
      </c>
      <c r="B117" s="33"/>
      <c r="C117" s="33"/>
      <c r="D117" s="36">
        <v>43</v>
      </c>
      <c r="E117" s="33"/>
      <c r="F117" s="33"/>
      <c r="G117" s="36">
        <v>201106</v>
      </c>
      <c r="H117" s="37">
        <v>39014</v>
      </c>
      <c r="I117" s="36">
        <v>75</v>
      </c>
      <c r="J117" s="36" t="s">
        <v>438</v>
      </c>
      <c r="K117" s="36" t="s">
        <v>438</v>
      </c>
      <c r="L117" s="36" t="s">
        <v>1218</v>
      </c>
      <c r="M117" s="27"/>
      <c r="O117" s="28" t="str">
        <f>IFERROR(VLOOKUP(A117, '2024 Full View'!$1:$999, 1, FALSE), "")</f>
        <v/>
      </c>
      <c r="P117" s="3" t="str">
        <f ca="1">IFERROR(__xludf.DUMMYFUNCTION("TEXTJOIN("", "",TRUE, FILTER($B$1:$E$1,B117:E117&lt;&gt;""""))"),"Maggie")</f>
        <v>Maggie</v>
      </c>
    </row>
    <row r="118" spans="1:16" ht="14">
      <c r="A118" s="36" t="s">
        <v>2249</v>
      </c>
      <c r="B118" s="36">
        <v>16</v>
      </c>
      <c r="C118" s="36">
        <v>21</v>
      </c>
      <c r="D118" s="33"/>
      <c r="E118" s="33"/>
      <c r="F118" s="33"/>
      <c r="G118" s="36">
        <v>178704</v>
      </c>
      <c r="H118" s="37">
        <v>44988</v>
      </c>
      <c r="I118" s="36">
        <v>74</v>
      </c>
      <c r="J118" s="36" t="s">
        <v>843</v>
      </c>
      <c r="K118" s="36" t="s">
        <v>429</v>
      </c>
      <c r="L118" s="36" t="s">
        <v>1219</v>
      </c>
      <c r="M118" s="27"/>
      <c r="O118" s="28" t="str">
        <f>IFERROR(VLOOKUP(A118, '2024 Full View'!$1:$999, 1, FALSE), "")</f>
        <v/>
      </c>
      <c r="P118" s="3" t="str">
        <f ca="1">IFERROR(__xludf.DUMMYFUNCTION("TEXTJOIN("", "",TRUE, FILTER($B$1:$E$1,B118:E118&lt;&gt;""""))"),"Zach, Bryce")</f>
        <v>Zach, Bryce</v>
      </c>
    </row>
    <row r="119" spans="1:16" ht="14">
      <c r="A119" s="36" t="s">
        <v>2250</v>
      </c>
      <c r="B119" s="33"/>
      <c r="C119" s="36">
        <v>51</v>
      </c>
      <c r="D119" s="33"/>
      <c r="E119" s="33"/>
      <c r="F119" s="33"/>
      <c r="G119" s="36">
        <v>219840</v>
      </c>
      <c r="H119" s="37">
        <v>41811</v>
      </c>
      <c r="I119" s="36">
        <v>74</v>
      </c>
      <c r="J119" s="36" t="s">
        <v>1220</v>
      </c>
      <c r="K119" s="36" t="s">
        <v>1067</v>
      </c>
      <c r="L119" s="36" t="s">
        <v>1221</v>
      </c>
      <c r="M119" s="27"/>
      <c r="O119" s="28" t="str">
        <f>IFERROR(VLOOKUP(A119, '2024 Full View'!$1:$999, 1, FALSE), "")</f>
        <v/>
      </c>
      <c r="P119" s="3" t="str">
        <f ca="1">IFERROR(__xludf.DUMMYFUNCTION("TEXTJOIN("", "",TRUE, FILTER($B$1:$E$1,B119:E119&lt;&gt;""""))"),"Bryce")</f>
        <v>Bryce</v>
      </c>
    </row>
    <row r="120" spans="1:16" ht="14">
      <c r="A120" s="36" t="s">
        <v>2251</v>
      </c>
      <c r="B120" s="33"/>
      <c r="C120" s="36">
        <v>52</v>
      </c>
      <c r="D120" s="33"/>
      <c r="E120" s="33"/>
      <c r="F120" s="36" t="s">
        <v>1222</v>
      </c>
      <c r="G120" s="36">
        <v>170133</v>
      </c>
      <c r="H120" s="37">
        <v>44645</v>
      </c>
      <c r="I120" s="36">
        <v>74</v>
      </c>
      <c r="J120" s="36" t="s">
        <v>803</v>
      </c>
      <c r="K120" s="36" t="s">
        <v>435</v>
      </c>
      <c r="L120" s="36" t="s">
        <v>1223</v>
      </c>
      <c r="M120" s="27"/>
      <c r="O120" s="28" t="str">
        <f>IFERROR(VLOOKUP(A120, '2024 Full View'!$1:$999, 1, FALSE), "")</f>
        <v/>
      </c>
      <c r="P120" s="3" t="str">
        <f ca="1">IFERROR(__xludf.DUMMYFUNCTION("TEXTJOIN("", "",TRUE, FILTER($B$1:$E$1,B120:E120&lt;&gt;""""))"),"Bryce")</f>
        <v>Bryce</v>
      </c>
    </row>
    <row r="121" spans="1:16" ht="14">
      <c r="A121" s="36" t="s">
        <v>2252</v>
      </c>
      <c r="B121" s="33"/>
      <c r="C121" s="33"/>
      <c r="D121" s="36">
        <v>4</v>
      </c>
      <c r="E121" s="33"/>
      <c r="F121" s="33"/>
      <c r="G121" s="36">
        <v>288786</v>
      </c>
      <c r="H121" s="37">
        <v>28160</v>
      </c>
      <c r="I121" s="36">
        <v>74</v>
      </c>
      <c r="J121" s="36" t="s">
        <v>1224</v>
      </c>
      <c r="K121" s="36" t="s">
        <v>1187</v>
      </c>
      <c r="L121" s="36" t="s">
        <v>1225</v>
      </c>
      <c r="M121" s="27"/>
      <c r="O121" s="28" t="str">
        <f>IFERROR(VLOOKUP(A121, '2024 Full View'!$1:$999, 1, FALSE), "")</f>
        <v/>
      </c>
      <c r="P121" s="3" t="str">
        <f ca="1">IFERROR(__xludf.DUMMYFUNCTION("TEXTJOIN("", "",TRUE, FILTER($B$1:$E$1,B121:E121&lt;&gt;""""))"),"Maggie")</f>
        <v>Maggie</v>
      </c>
    </row>
    <row r="122" spans="1:16" ht="14">
      <c r="A122" s="36" t="s">
        <v>2253</v>
      </c>
      <c r="B122" s="36">
        <v>22</v>
      </c>
      <c r="C122" s="33"/>
      <c r="D122" s="36">
        <v>35</v>
      </c>
      <c r="E122" s="33"/>
      <c r="F122" s="33"/>
      <c r="G122" s="36">
        <v>145440</v>
      </c>
      <c r="H122" s="37">
        <v>45058</v>
      </c>
      <c r="I122" s="36">
        <v>74</v>
      </c>
      <c r="J122" s="36" t="s">
        <v>1226</v>
      </c>
      <c r="K122" s="36" t="s">
        <v>1227</v>
      </c>
      <c r="L122" s="36" t="s">
        <v>1228</v>
      </c>
      <c r="M122" s="27"/>
      <c r="O122" s="28" t="str">
        <f>IFERROR(VLOOKUP(A122, '2024 Full View'!$1:$999, 1, FALSE), "")</f>
        <v/>
      </c>
      <c r="P122" s="3" t="str">
        <f ca="1">IFERROR(__xludf.DUMMYFUNCTION("TEXTJOIN("", "",TRUE, FILTER($B$1:$E$1,B122:E122&lt;&gt;""""))"),"Zach, Maggie")</f>
        <v>Zach, Maggie</v>
      </c>
    </row>
    <row r="123" spans="1:16" ht="14">
      <c r="A123" s="36" t="s">
        <v>2254</v>
      </c>
      <c r="B123" s="33"/>
      <c r="C123" s="33"/>
      <c r="D123" s="36">
        <v>14</v>
      </c>
      <c r="E123" s="36">
        <v>75</v>
      </c>
      <c r="F123" s="33"/>
      <c r="G123" s="36">
        <v>201413</v>
      </c>
      <c r="H123" s="37">
        <v>42468</v>
      </c>
      <c r="I123" s="36">
        <v>74</v>
      </c>
      <c r="J123" s="36" t="s">
        <v>1151</v>
      </c>
      <c r="K123" s="36" t="s">
        <v>372</v>
      </c>
      <c r="L123" s="36" t="s">
        <v>1151</v>
      </c>
      <c r="M123" s="27"/>
      <c r="O123" s="28" t="str">
        <f>IFERROR(VLOOKUP(A123, '2024 Full View'!$1:$999, 1, FALSE), "")</f>
        <v/>
      </c>
      <c r="P123" s="3" t="str">
        <f ca="1">IFERROR(__xludf.DUMMYFUNCTION("TEXTJOIN("", "",TRUE, FILTER($B$1:$E$1,B123:E123&lt;&gt;""""))"),"Maggie, Jamie")</f>
        <v>Maggie, Jamie</v>
      </c>
    </row>
    <row r="124" spans="1:16" ht="14">
      <c r="A124" s="36" t="s">
        <v>1926</v>
      </c>
      <c r="B124" s="33"/>
      <c r="C124" s="33"/>
      <c r="D124" s="33"/>
      <c r="E124" s="36">
        <v>17</v>
      </c>
      <c r="F124" s="33"/>
      <c r="G124" s="36">
        <v>279000</v>
      </c>
      <c r="H124" s="37">
        <v>41002</v>
      </c>
      <c r="I124" s="36">
        <v>74</v>
      </c>
      <c r="J124" s="36" t="s">
        <v>372</v>
      </c>
      <c r="K124" s="36" t="s">
        <v>372</v>
      </c>
      <c r="L124" s="36" t="s">
        <v>700</v>
      </c>
      <c r="M124" s="27"/>
      <c r="O124" s="28" t="str">
        <f>IFERROR(VLOOKUP(A124, '2024 Full View'!$1:$999, 1, FALSE), "")</f>
        <v>Stubborn LoveThe Lumineers</v>
      </c>
      <c r="P124" s="3" t="str">
        <f ca="1">IFERROR(__xludf.DUMMYFUNCTION("TEXTJOIN("", "",TRUE, FILTER($B$1:$E$1,B124:E124&lt;&gt;""""))"),"Jamie")</f>
        <v>Jamie</v>
      </c>
    </row>
    <row r="125" spans="1:16" ht="14">
      <c r="A125" s="36" t="s">
        <v>2255</v>
      </c>
      <c r="B125" s="33"/>
      <c r="C125" s="33"/>
      <c r="D125" s="33"/>
      <c r="E125" s="36">
        <v>97</v>
      </c>
      <c r="F125" s="33"/>
      <c r="G125" s="36">
        <v>255143</v>
      </c>
      <c r="H125" s="37">
        <v>44848</v>
      </c>
      <c r="I125" s="36">
        <v>74</v>
      </c>
      <c r="J125" s="36" t="s">
        <v>825</v>
      </c>
      <c r="K125" s="36" t="s">
        <v>471</v>
      </c>
      <c r="L125" s="36" t="s">
        <v>1229</v>
      </c>
      <c r="M125" s="27"/>
      <c r="O125" s="28" t="str">
        <f>IFERROR(VLOOKUP(A125, '2024 Full View'!$1:$999, 1, FALSE), "")</f>
        <v/>
      </c>
      <c r="P125" s="3" t="str">
        <f ca="1">IFERROR(__xludf.DUMMYFUNCTION("TEXTJOIN("", "",TRUE, FILTER($B$1:$E$1,B125:E125&lt;&gt;""""))"),"Jamie")</f>
        <v>Jamie</v>
      </c>
    </row>
    <row r="126" spans="1:16" ht="14">
      <c r="A126" s="36" t="s">
        <v>2256</v>
      </c>
      <c r="B126" s="33"/>
      <c r="C126" s="33"/>
      <c r="D126" s="33"/>
      <c r="E126" s="36">
        <v>51</v>
      </c>
      <c r="F126" s="33"/>
      <c r="G126" s="36">
        <v>256871</v>
      </c>
      <c r="H126" s="37">
        <v>44848</v>
      </c>
      <c r="I126" s="36">
        <v>74</v>
      </c>
      <c r="J126" s="36" t="s">
        <v>825</v>
      </c>
      <c r="K126" s="36" t="s">
        <v>471</v>
      </c>
      <c r="L126" s="36" t="s">
        <v>1230</v>
      </c>
      <c r="M126" s="27"/>
      <c r="O126" s="28" t="str">
        <f>IFERROR(VLOOKUP(A126, '2024 Full View'!$1:$999, 1, FALSE), "")</f>
        <v/>
      </c>
      <c r="P126" s="3" t="str">
        <f ca="1">IFERROR(__xludf.DUMMYFUNCTION("TEXTJOIN("", "",TRUE, FILTER($B$1:$E$1,B126:E126&lt;&gt;""""))"),"Jamie")</f>
        <v>Jamie</v>
      </c>
    </row>
    <row r="127" spans="1:16" ht="14">
      <c r="A127" s="36" t="s">
        <v>2257</v>
      </c>
      <c r="B127" s="36">
        <v>14</v>
      </c>
      <c r="C127" s="36">
        <v>43</v>
      </c>
      <c r="D127" s="33"/>
      <c r="E127" s="33"/>
      <c r="F127" s="36" t="s">
        <v>482</v>
      </c>
      <c r="G127" s="36">
        <v>210208</v>
      </c>
      <c r="H127" s="37">
        <v>45049</v>
      </c>
      <c r="I127" s="36">
        <v>73</v>
      </c>
      <c r="J127" s="36" t="s">
        <v>1231</v>
      </c>
      <c r="K127" s="36" t="s">
        <v>1067</v>
      </c>
      <c r="L127" s="36" t="s">
        <v>1231</v>
      </c>
      <c r="M127" s="27"/>
      <c r="O127" s="28" t="str">
        <f>IFERROR(VLOOKUP(A127, '2024 Full View'!$1:$999, 1, FALSE), "")</f>
        <v/>
      </c>
      <c r="P127" s="3" t="str">
        <f ca="1">IFERROR(__xludf.DUMMYFUNCTION("TEXTJOIN("", "",TRUE, FILTER($B$1:$E$1,B127:E127&lt;&gt;""""))"),"Zach, Bryce")</f>
        <v>Zach, Bryce</v>
      </c>
    </row>
    <row r="128" spans="1:16" ht="14">
      <c r="A128" s="36" t="s">
        <v>2258</v>
      </c>
      <c r="B128" s="33"/>
      <c r="C128" s="36">
        <v>63</v>
      </c>
      <c r="D128" s="33"/>
      <c r="E128" s="33"/>
      <c r="F128" s="33"/>
      <c r="G128" s="36">
        <v>217801</v>
      </c>
      <c r="H128" s="37">
        <v>44078</v>
      </c>
      <c r="I128" s="36">
        <v>73</v>
      </c>
      <c r="J128" s="36" t="s">
        <v>1232</v>
      </c>
      <c r="K128" s="36" t="s">
        <v>428</v>
      </c>
      <c r="L128" s="36" t="s">
        <v>1233</v>
      </c>
      <c r="M128" s="27"/>
      <c r="O128" s="28" t="str">
        <f>IFERROR(VLOOKUP(A128, '2024 Full View'!$1:$999, 1, FALSE), "")</f>
        <v/>
      </c>
      <c r="P128" s="3" t="str">
        <f ca="1">IFERROR(__xludf.DUMMYFUNCTION("TEXTJOIN("", "",TRUE, FILTER($B$1:$E$1,B128:E128&lt;&gt;""""))"),"Bryce")</f>
        <v>Bryce</v>
      </c>
    </row>
    <row r="129" spans="1:16" ht="14">
      <c r="A129" s="36" t="s">
        <v>2259</v>
      </c>
      <c r="B129" s="33"/>
      <c r="C129" s="33"/>
      <c r="D129" s="36">
        <v>87</v>
      </c>
      <c r="E129" s="33"/>
      <c r="F129" s="33"/>
      <c r="G129" s="36">
        <v>180026</v>
      </c>
      <c r="H129" s="37">
        <v>28126</v>
      </c>
      <c r="I129" s="36">
        <v>73</v>
      </c>
      <c r="J129" s="36" t="s">
        <v>1234</v>
      </c>
      <c r="K129" s="36" t="s">
        <v>528</v>
      </c>
      <c r="L129" s="36" t="s">
        <v>1234</v>
      </c>
      <c r="M129" s="27"/>
      <c r="O129" s="28" t="str">
        <f>IFERROR(VLOOKUP(A129, '2024 Full View'!$1:$999, 1, FALSE), "")</f>
        <v/>
      </c>
      <c r="P129" s="3" t="str">
        <f ca="1">IFERROR(__xludf.DUMMYFUNCTION("TEXTJOIN("", "",TRUE, FILTER($B$1:$E$1,B129:E129&lt;&gt;""""))"),"Maggie")</f>
        <v>Maggie</v>
      </c>
    </row>
    <row r="130" spans="1:16" ht="14">
      <c r="A130" s="36" t="s">
        <v>2260</v>
      </c>
      <c r="B130" s="33"/>
      <c r="C130" s="33"/>
      <c r="D130" s="36">
        <v>33</v>
      </c>
      <c r="E130" s="33"/>
      <c r="F130" s="33"/>
      <c r="G130" s="36">
        <v>229706</v>
      </c>
      <c r="H130" s="37">
        <v>26390</v>
      </c>
      <c r="I130" s="36">
        <v>73</v>
      </c>
      <c r="J130" s="36" t="s">
        <v>1235</v>
      </c>
      <c r="K130" s="36" t="s">
        <v>1236</v>
      </c>
      <c r="L130" s="36" t="s">
        <v>1237</v>
      </c>
      <c r="M130" s="27"/>
      <c r="O130" s="28" t="str">
        <f>IFERROR(VLOOKUP(A130, '2024 Full View'!$1:$999, 1, FALSE), "")</f>
        <v/>
      </c>
      <c r="P130" s="3" t="str">
        <f ca="1">IFERROR(__xludf.DUMMYFUNCTION("TEXTJOIN("", "",TRUE, FILTER($B$1:$E$1,B130:E130&lt;&gt;""""))"),"Maggie")</f>
        <v>Maggie</v>
      </c>
    </row>
    <row r="131" spans="1:16" ht="14">
      <c r="A131" s="36" t="s">
        <v>2261</v>
      </c>
      <c r="B131" s="33"/>
      <c r="C131" s="33"/>
      <c r="D131" s="36">
        <v>12</v>
      </c>
      <c r="E131" s="33"/>
      <c r="F131" s="33"/>
      <c r="G131" s="36">
        <v>218960</v>
      </c>
      <c r="H131" s="36">
        <v>1982</v>
      </c>
      <c r="I131" s="36">
        <v>73</v>
      </c>
      <c r="J131" s="36" t="s">
        <v>1238</v>
      </c>
      <c r="K131" s="36" t="s">
        <v>1239</v>
      </c>
      <c r="L131" s="36" t="s">
        <v>1240</v>
      </c>
      <c r="M131" s="27"/>
      <c r="O131" s="28" t="str">
        <f>IFERROR(VLOOKUP(A131, '2024 Full View'!$1:$999, 1, FALSE), "")</f>
        <v/>
      </c>
      <c r="P131" s="3" t="str">
        <f ca="1">IFERROR(__xludf.DUMMYFUNCTION("TEXTJOIN("", "",TRUE, FILTER($B$1:$E$1,B131:E131&lt;&gt;""""))"),"Maggie")</f>
        <v>Maggie</v>
      </c>
    </row>
    <row r="132" spans="1:16" ht="14">
      <c r="A132" s="36" t="s">
        <v>2099</v>
      </c>
      <c r="B132" s="33"/>
      <c r="C132" s="33"/>
      <c r="D132" s="36">
        <v>61</v>
      </c>
      <c r="E132" s="33"/>
      <c r="F132" s="33"/>
      <c r="G132" s="36">
        <v>197786</v>
      </c>
      <c r="H132" s="37">
        <v>42314</v>
      </c>
      <c r="I132" s="36">
        <v>73</v>
      </c>
      <c r="J132" s="36" t="s">
        <v>726</v>
      </c>
      <c r="K132" s="36" t="s">
        <v>564</v>
      </c>
      <c r="L132" s="36" t="s">
        <v>727</v>
      </c>
      <c r="M132" s="27"/>
      <c r="O132" s="28" t="str">
        <f>IFERROR(VLOOKUP(A132, '2024 Full View'!$1:$999, 1, FALSE), "")</f>
        <v>Love Me Like YouLittle Mix</v>
      </c>
      <c r="P132" s="3" t="str">
        <f ca="1">IFERROR(__xludf.DUMMYFUNCTION("TEXTJOIN("", "",TRUE, FILTER($B$1:$E$1,B132:E132&lt;&gt;""""))"),"Maggie")</f>
        <v>Maggie</v>
      </c>
    </row>
    <row r="133" spans="1:16" ht="14">
      <c r="A133" s="36" t="s">
        <v>2262</v>
      </c>
      <c r="B133" s="33"/>
      <c r="C133" s="33"/>
      <c r="D133" s="33"/>
      <c r="E133" s="36">
        <v>33</v>
      </c>
      <c r="F133" s="33"/>
      <c r="G133" s="36">
        <v>215341</v>
      </c>
      <c r="H133" s="37">
        <v>44848</v>
      </c>
      <c r="I133" s="36">
        <v>73</v>
      </c>
      <c r="J133" s="36" t="s">
        <v>825</v>
      </c>
      <c r="K133" s="36" t="s">
        <v>471</v>
      </c>
      <c r="L133" s="36" t="s">
        <v>1241</v>
      </c>
      <c r="M133" s="27"/>
      <c r="O133" s="28" t="str">
        <f>IFERROR(VLOOKUP(A133, '2024 Full View'!$1:$999, 1, FALSE), "")</f>
        <v/>
      </c>
      <c r="P133" s="3" t="str">
        <f ca="1">IFERROR(__xludf.DUMMYFUNCTION("TEXTJOIN("", "",TRUE, FILTER($B$1:$E$1,B133:E133&lt;&gt;""""))"),"Jamie")</f>
        <v>Jamie</v>
      </c>
    </row>
    <row r="134" spans="1:16" ht="14">
      <c r="A134" s="36" t="s">
        <v>2263</v>
      </c>
      <c r="B134" s="33"/>
      <c r="C134" s="33"/>
      <c r="D134" s="36">
        <v>80</v>
      </c>
      <c r="E134" s="33"/>
      <c r="F134" s="33"/>
      <c r="G134" s="36">
        <v>260440</v>
      </c>
      <c r="H134" s="37">
        <v>44176</v>
      </c>
      <c r="I134" s="36">
        <v>73</v>
      </c>
      <c r="J134" s="36" t="s">
        <v>1111</v>
      </c>
      <c r="K134" s="36" t="s">
        <v>438</v>
      </c>
      <c r="L134" s="36" t="s">
        <v>1242</v>
      </c>
      <c r="M134" s="27"/>
      <c r="O134" s="28" t="str">
        <f>IFERROR(VLOOKUP(A134, '2024 Full View'!$1:$999, 1, FALSE), "")</f>
        <v/>
      </c>
      <c r="P134" s="3" t="str">
        <f ca="1">IFERROR(__xludf.DUMMYFUNCTION("TEXTJOIN("", "",TRUE, FILTER($B$1:$E$1,B134:E134&lt;&gt;""""))"),"Maggie")</f>
        <v>Maggie</v>
      </c>
    </row>
    <row r="135" spans="1:16" ht="14">
      <c r="A135" s="36" t="s">
        <v>2264</v>
      </c>
      <c r="B135" s="33"/>
      <c r="C135" s="33"/>
      <c r="D135" s="36">
        <v>96</v>
      </c>
      <c r="E135" s="33"/>
      <c r="F135" s="33"/>
      <c r="G135" s="36">
        <v>252385</v>
      </c>
      <c r="H135" s="37">
        <v>45114</v>
      </c>
      <c r="I135" s="36">
        <v>73</v>
      </c>
      <c r="J135" s="36" t="s">
        <v>870</v>
      </c>
      <c r="K135" s="36" t="s">
        <v>438</v>
      </c>
      <c r="L135" s="36" t="s">
        <v>1243</v>
      </c>
      <c r="M135" s="27"/>
      <c r="O135" s="28" t="str">
        <f>IFERROR(VLOOKUP(A135, '2024 Full View'!$1:$999, 1, FALSE), "")</f>
        <v/>
      </c>
      <c r="P135" s="3" t="str">
        <f ca="1">IFERROR(__xludf.DUMMYFUNCTION("TEXTJOIN("", "",TRUE, FILTER($B$1:$E$1,B135:E135&lt;&gt;""""))"),"Maggie")</f>
        <v>Maggie</v>
      </c>
    </row>
    <row r="136" spans="1:16" ht="14">
      <c r="A136" s="36" t="s">
        <v>2265</v>
      </c>
      <c r="B136" s="33"/>
      <c r="C136" s="36">
        <v>20</v>
      </c>
      <c r="D136" s="33"/>
      <c r="E136" s="33"/>
      <c r="F136" s="33"/>
      <c r="G136" s="36">
        <v>208208</v>
      </c>
      <c r="H136" s="37">
        <v>44379</v>
      </c>
      <c r="I136" s="36">
        <v>72</v>
      </c>
      <c r="J136" s="36" t="s">
        <v>1244</v>
      </c>
      <c r="K136" s="36" t="s">
        <v>1245</v>
      </c>
      <c r="L136" s="36" t="s">
        <v>1244</v>
      </c>
      <c r="M136" s="27"/>
      <c r="O136" s="28" t="str">
        <f>IFERROR(VLOOKUP(A136, '2024 Full View'!$1:$999, 1, FALSE), "")</f>
        <v/>
      </c>
      <c r="P136" s="3" t="str">
        <f ca="1">IFERROR(__xludf.DUMMYFUNCTION("TEXTJOIN("", "",TRUE, FILTER($B$1:$E$1,B136:E136&lt;&gt;""""))"),"Bryce")</f>
        <v>Bryce</v>
      </c>
    </row>
    <row r="137" spans="1:16" ht="14">
      <c r="A137" s="36" t="s">
        <v>2266</v>
      </c>
      <c r="B137" s="33"/>
      <c r="C137" s="36">
        <v>38</v>
      </c>
      <c r="D137" s="33"/>
      <c r="E137" s="33"/>
      <c r="F137" s="33"/>
      <c r="G137" s="36">
        <v>181600</v>
      </c>
      <c r="H137" s="37">
        <v>45233</v>
      </c>
      <c r="I137" s="36">
        <v>72</v>
      </c>
      <c r="J137" s="36" t="s">
        <v>1246</v>
      </c>
      <c r="K137" s="36" t="s">
        <v>1247</v>
      </c>
      <c r="L137" s="36" t="s">
        <v>1248</v>
      </c>
      <c r="M137" s="27"/>
      <c r="O137" s="28" t="str">
        <f>IFERROR(VLOOKUP(A137, '2024 Full View'!$1:$999, 1, FALSE), "")</f>
        <v/>
      </c>
      <c r="P137" s="3" t="str">
        <f ca="1">IFERROR(__xludf.DUMMYFUNCTION("TEXTJOIN("", "",TRUE, FILTER($B$1:$E$1,B137:E137&lt;&gt;""""))"),"Bryce")</f>
        <v>Bryce</v>
      </c>
    </row>
    <row r="138" spans="1:16" ht="14">
      <c r="A138" s="36" t="s">
        <v>2267</v>
      </c>
      <c r="B138" s="33"/>
      <c r="C138" s="36">
        <v>65</v>
      </c>
      <c r="D138" s="33"/>
      <c r="E138" s="33"/>
      <c r="F138" s="33"/>
      <c r="G138" s="36">
        <v>181766</v>
      </c>
      <c r="H138" s="37">
        <v>44988</v>
      </c>
      <c r="I138" s="36">
        <v>72</v>
      </c>
      <c r="J138" s="36" t="s">
        <v>843</v>
      </c>
      <c r="K138" s="36" t="s">
        <v>429</v>
      </c>
      <c r="L138" s="36" t="s">
        <v>1249</v>
      </c>
      <c r="M138" s="27"/>
      <c r="O138" s="28" t="str">
        <f>IFERROR(VLOOKUP(A138, '2024 Full View'!$1:$999, 1, FALSE), "")</f>
        <v/>
      </c>
      <c r="P138" s="3" t="str">
        <f ca="1">IFERROR(__xludf.DUMMYFUNCTION("TEXTJOIN("", "",TRUE, FILTER($B$1:$E$1,B138:E138&lt;&gt;""""))"),"Bryce")</f>
        <v>Bryce</v>
      </c>
    </row>
    <row r="139" spans="1:16" ht="14">
      <c r="A139" s="36" t="s">
        <v>2268</v>
      </c>
      <c r="B139" s="33"/>
      <c r="C139" s="33"/>
      <c r="D139" s="33"/>
      <c r="E139" s="36">
        <v>18</v>
      </c>
      <c r="F139" s="33"/>
      <c r="G139" s="36">
        <v>251906</v>
      </c>
      <c r="H139" s="37">
        <v>44022</v>
      </c>
      <c r="I139" s="36">
        <v>72</v>
      </c>
      <c r="J139" s="36" t="s">
        <v>1250</v>
      </c>
      <c r="K139" s="36" t="s">
        <v>1251</v>
      </c>
      <c r="L139" s="36" t="s">
        <v>1252</v>
      </c>
      <c r="M139" s="27"/>
      <c r="O139" s="28" t="str">
        <f>IFERROR(VLOOKUP(A139, '2024 Full View'!$1:$999, 1, FALSE), "")</f>
        <v/>
      </c>
      <c r="P139" s="3" t="str">
        <f ca="1">IFERROR(__xludf.DUMMYFUNCTION("TEXTJOIN("", "",TRUE, FILTER($B$1:$E$1,B139:E139&lt;&gt;""""))"),"Jamie")</f>
        <v>Jamie</v>
      </c>
    </row>
    <row r="140" spans="1:16" ht="14">
      <c r="A140" s="36" t="s">
        <v>2064</v>
      </c>
      <c r="B140" s="33"/>
      <c r="C140" s="33"/>
      <c r="D140" s="36">
        <v>81</v>
      </c>
      <c r="E140" s="33"/>
      <c r="F140" s="33"/>
      <c r="G140" s="36">
        <v>233173</v>
      </c>
      <c r="H140" s="36">
        <v>1971</v>
      </c>
      <c r="I140" s="36">
        <v>72</v>
      </c>
      <c r="J140" s="36" t="s">
        <v>588</v>
      </c>
      <c r="K140" s="36" t="s">
        <v>508</v>
      </c>
      <c r="L140" s="36" t="s">
        <v>589</v>
      </c>
      <c r="M140" s="27"/>
      <c r="O140" s="28" t="str">
        <f>IFERROR(VLOOKUP(A140, '2024 Full View'!$1:$999, 1, FALSE), "")</f>
        <v>It's Too LateCarole King</v>
      </c>
      <c r="P140" s="3" t="str">
        <f ca="1">IFERROR(__xludf.DUMMYFUNCTION("TEXTJOIN("", "",TRUE, FILTER($B$1:$E$1,B140:E140&lt;&gt;""""))"),"Maggie")</f>
        <v>Maggie</v>
      </c>
    </row>
    <row r="141" spans="1:16" ht="14">
      <c r="A141" s="36" t="s">
        <v>2269</v>
      </c>
      <c r="B141" s="33"/>
      <c r="C141" s="33"/>
      <c r="D141" s="36">
        <v>94</v>
      </c>
      <c r="E141" s="33"/>
      <c r="F141" s="33"/>
      <c r="G141" s="36">
        <v>198373</v>
      </c>
      <c r="H141" s="37">
        <v>33970</v>
      </c>
      <c r="I141" s="36">
        <v>72</v>
      </c>
      <c r="J141" s="36" t="s">
        <v>1253</v>
      </c>
      <c r="K141" s="36" t="s">
        <v>1254</v>
      </c>
      <c r="L141" s="36" t="s">
        <v>1255</v>
      </c>
      <c r="M141" s="27"/>
      <c r="O141" s="28" t="str">
        <f>IFERROR(VLOOKUP(A141, '2024 Full View'!$1:$999, 1, FALSE), "")</f>
        <v/>
      </c>
      <c r="P141" s="3" t="str">
        <f ca="1">IFERROR(__xludf.DUMMYFUNCTION("TEXTJOIN("", "",TRUE, FILTER($B$1:$E$1,B141:E141&lt;&gt;""""))"),"Maggie")</f>
        <v>Maggie</v>
      </c>
    </row>
    <row r="142" spans="1:16" ht="14">
      <c r="A142" s="36" t="s">
        <v>2270</v>
      </c>
      <c r="B142" s="33"/>
      <c r="C142" s="33"/>
      <c r="D142" s="33"/>
      <c r="E142" s="36">
        <v>55</v>
      </c>
      <c r="F142" s="33"/>
      <c r="G142" s="36">
        <v>269893</v>
      </c>
      <c r="H142" s="37">
        <v>42531</v>
      </c>
      <c r="I142" s="36">
        <v>72</v>
      </c>
      <c r="J142" s="36" t="s">
        <v>1256</v>
      </c>
      <c r="K142" s="36" t="s">
        <v>1257</v>
      </c>
      <c r="L142" s="36" t="s">
        <v>1258</v>
      </c>
      <c r="M142" s="27"/>
      <c r="O142" s="28" t="str">
        <f>IFERROR(VLOOKUP(A142, '2024 Full View'!$1:$999, 1, FALSE), "")</f>
        <v/>
      </c>
      <c r="P142" s="3" t="str">
        <f ca="1">IFERROR(__xludf.DUMMYFUNCTION("TEXTJOIN("", "",TRUE, FILTER($B$1:$E$1,B142:E142&lt;&gt;""""))"),"Jamie")</f>
        <v>Jamie</v>
      </c>
    </row>
    <row r="143" spans="1:16" ht="14">
      <c r="A143" s="36" t="s">
        <v>2271</v>
      </c>
      <c r="B143" s="33"/>
      <c r="C143" s="33"/>
      <c r="D143" s="33"/>
      <c r="E143" s="36">
        <v>31</v>
      </c>
      <c r="F143" s="33"/>
      <c r="G143" s="36">
        <v>211851</v>
      </c>
      <c r="H143" s="37">
        <v>42468</v>
      </c>
      <c r="I143" s="36">
        <v>72</v>
      </c>
      <c r="J143" s="36" t="s">
        <v>1151</v>
      </c>
      <c r="K143" s="36" t="s">
        <v>372</v>
      </c>
      <c r="L143" s="36" t="s">
        <v>1259</v>
      </c>
      <c r="M143" s="27"/>
      <c r="O143" s="28" t="str">
        <f>IFERROR(VLOOKUP(A143, '2024 Full View'!$1:$999, 1, FALSE), "")</f>
        <v/>
      </c>
      <c r="P143" s="3" t="str">
        <f ca="1">IFERROR(__xludf.DUMMYFUNCTION("TEXTJOIN("", "",TRUE, FILTER($B$1:$E$1,B143:E143&lt;&gt;""""))"),"Jamie")</f>
        <v>Jamie</v>
      </c>
    </row>
    <row r="144" spans="1:16" ht="14">
      <c r="A144" s="36" t="s">
        <v>2272</v>
      </c>
      <c r="B144" s="33"/>
      <c r="C144" s="33"/>
      <c r="D144" s="33"/>
      <c r="E144" s="36">
        <v>47</v>
      </c>
      <c r="F144" s="33"/>
      <c r="G144" s="36">
        <v>278670</v>
      </c>
      <c r="H144" s="37">
        <v>45086</v>
      </c>
      <c r="I144" s="36">
        <v>72</v>
      </c>
      <c r="J144" s="36" t="s">
        <v>864</v>
      </c>
      <c r="K144" s="36" t="s">
        <v>471</v>
      </c>
      <c r="L144" s="36" t="s">
        <v>1260</v>
      </c>
      <c r="M144" s="27"/>
      <c r="O144" s="28" t="str">
        <f>IFERROR(VLOOKUP(A144, '2024 Full View'!$1:$999, 1, FALSE), "")</f>
        <v/>
      </c>
      <c r="P144" s="3" t="str">
        <f ca="1">IFERROR(__xludf.DUMMYFUNCTION("TEXTJOIN("", "",TRUE, FILTER($B$1:$E$1,B144:E144&lt;&gt;""""))"),"Jamie")</f>
        <v>Jamie</v>
      </c>
    </row>
    <row r="145" spans="1:16" ht="14">
      <c r="A145" s="36" t="s">
        <v>2273</v>
      </c>
      <c r="B145" s="33"/>
      <c r="C145" s="33"/>
      <c r="D145" s="33"/>
      <c r="E145" s="36">
        <v>39</v>
      </c>
      <c r="F145" s="33"/>
      <c r="G145" s="36">
        <v>294419</v>
      </c>
      <c r="H145" s="37">
        <v>44295</v>
      </c>
      <c r="I145" s="36">
        <v>72</v>
      </c>
      <c r="J145" s="36" t="s">
        <v>1126</v>
      </c>
      <c r="K145" s="36" t="s">
        <v>438</v>
      </c>
      <c r="L145" s="36" t="s">
        <v>1261</v>
      </c>
      <c r="M145" s="27"/>
      <c r="O145" s="28" t="str">
        <f>IFERROR(VLOOKUP(A145, '2024 Full View'!$1:$999, 1, FALSE), "")</f>
        <v/>
      </c>
      <c r="P145" s="3" t="str">
        <f ca="1">IFERROR(__xludf.DUMMYFUNCTION("TEXTJOIN("", "",TRUE, FILTER($B$1:$E$1,B145:E145&lt;&gt;""""))"),"Jamie")</f>
        <v>Jamie</v>
      </c>
    </row>
    <row r="146" spans="1:16" ht="14">
      <c r="A146" s="36" t="s">
        <v>2274</v>
      </c>
      <c r="B146" s="33"/>
      <c r="C146" s="33"/>
      <c r="D146" s="36">
        <v>32</v>
      </c>
      <c r="E146" s="33"/>
      <c r="F146" s="36" t="s">
        <v>1262</v>
      </c>
      <c r="G146" s="36">
        <v>201493</v>
      </c>
      <c r="H146" s="37">
        <v>45072</v>
      </c>
      <c r="I146" s="36">
        <v>72</v>
      </c>
      <c r="J146" s="36" t="s">
        <v>860</v>
      </c>
      <c r="K146" s="36" t="s">
        <v>438</v>
      </c>
      <c r="L146" s="36" t="s">
        <v>1263</v>
      </c>
      <c r="M146" s="27"/>
      <c r="O146" s="28" t="str">
        <f>IFERROR(VLOOKUP(A146, '2024 Full View'!$1:$999, 1, FALSE), "")</f>
        <v/>
      </c>
      <c r="P146" s="3" t="str">
        <f ca="1">IFERROR(__xludf.DUMMYFUNCTION("TEXTJOIN("", "",TRUE, FILTER($B$1:$E$1,B146:E146&lt;&gt;""""))"),"Maggie")</f>
        <v>Maggie</v>
      </c>
    </row>
    <row r="147" spans="1:16" ht="14">
      <c r="A147" s="36" t="s">
        <v>2275</v>
      </c>
      <c r="B147" s="33"/>
      <c r="C147" s="33"/>
      <c r="D147" s="33"/>
      <c r="E147" s="36">
        <v>68</v>
      </c>
      <c r="F147" s="33"/>
      <c r="G147" s="36">
        <v>234000</v>
      </c>
      <c r="H147" s="37">
        <v>44036</v>
      </c>
      <c r="I147" s="36">
        <v>72</v>
      </c>
      <c r="J147" s="36" t="s">
        <v>773</v>
      </c>
      <c r="K147" s="36" t="s">
        <v>438</v>
      </c>
      <c r="L147" s="36" t="s">
        <v>1264</v>
      </c>
      <c r="M147" s="27"/>
      <c r="O147" s="28" t="str">
        <f>IFERROR(VLOOKUP(A147, '2024 Full View'!$1:$999, 1, FALSE), "")</f>
        <v/>
      </c>
      <c r="P147" s="3" t="str">
        <f ca="1">IFERROR(__xludf.DUMMYFUNCTION("TEXTJOIN("", "",TRUE, FILTER($B$1:$E$1,B147:E147&lt;&gt;""""))"),"Jamie")</f>
        <v>Jamie</v>
      </c>
    </row>
    <row r="148" spans="1:16" ht="14">
      <c r="A148" s="36" t="s">
        <v>1993</v>
      </c>
      <c r="B148" s="33"/>
      <c r="C148" s="36">
        <v>9</v>
      </c>
      <c r="D148" s="33"/>
      <c r="E148" s="33"/>
      <c r="F148" s="33"/>
      <c r="G148" s="36">
        <v>205158</v>
      </c>
      <c r="H148" s="37">
        <v>44099</v>
      </c>
      <c r="I148" s="36">
        <v>71</v>
      </c>
      <c r="J148" s="36" t="s">
        <v>777</v>
      </c>
      <c r="K148" s="36" t="s">
        <v>435</v>
      </c>
      <c r="L148" s="36" t="s">
        <v>779</v>
      </c>
      <c r="M148" s="27"/>
      <c r="O148" s="28" t="str">
        <f>IFERROR(VLOOKUP(A148, '2024 Full View'!$1:$999, 1, FALSE), "")</f>
        <v>bloody valentinemgk</v>
      </c>
      <c r="P148" s="3" t="str">
        <f ca="1">IFERROR(__xludf.DUMMYFUNCTION("TEXTJOIN("", "",TRUE, FILTER($B$1:$E$1,B148:E148&lt;&gt;""""))"),"Bryce")</f>
        <v>Bryce</v>
      </c>
    </row>
    <row r="149" spans="1:16" ht="14">
      <c r="A149" s="36" t="s">
        <v>2276</v>
      </c>
      <c r="B149" s="33"/>
      <c r="C149" s="36">
        <v>11</v>
      </c>
      <c r="D149" s="33"/>
      <c r="E149" s="33"/>
      <c r="F149" s="33"/>
      <c r="G149" s="36">
        <v>183087</v>
      </c>
      <c r="H149" s="37">
        <v>44778</v>
      </c>
      <c r="I149" s="36">
        <v>71</v>
      </c>
      <c r="J149" s="36" t="s">
        <v>1265</v>
      </c>
      <c r="K149" s="36" t="s">
        <v>1266</v>
      </c>
      <c r="L149" s="36" t="s">
        <v>1267</v>
      </c>
      <c r="M149" s="27"/>
      <c r="O149" s="28" t="str">
        <f>IFERROR(VLOOKUP(A149, '2024 Full View'!$1:$999, 1, FALSE), "")</f>
        <v/>
      </c>
      <c r="P149" s="3" t="str">
        <f ca="1">IFERROR(__xludf.DUMMYFUNCTION("TEXTJOIN("", "",TRUE, FILTER($B$1:$E$1,B149:E149&lt;&gt;""""))"),"Bryce")</f>
        <v>Bryce</v>
      </c>
    </row>
    <row r="150" spans="1:16" ht="14">
      <c r="A150" s="36" t="s">
        <v>2277</v>
      </c>
      <c r="B150" s="33"/>
      <c r="C150" s="36">
        <v>72</v>
      </c>
      <c r="D150" s="33"/>
      <c r="E150" s="33"/>
      <c r="F150" s="36" t="s">
        <v>1268</v>
      </c>
      <c r="G150" s="36">
        <v>171620</v>
      </c>
      <c r="H150" s="37">
        <v>44099</v>
      </c>
      <c r="I150" s="36">
        <v>71</v>
      </c>
      <c r="J150" s="36" t="s">
        <v>777</v>
      </c>
      <c r="K150" s="36" t="s">
        <v>435</v>
      </c>
      <c r="L150" s="36" t="s">
        <v>1269</v>
      </c>
      <c r="M150" s="27"/>
      <c r="O150" s="28" t="str">
        <f>IFERROR(VLOOKUP(A150, '2024 Full View'!$1:$999, 1, FALSE), "")</f>
        <v/>
      </c>
      <c r="P150" s="3" t="str">
        <f ca="1">IFERROR(__xludf.DUMMYFUNCTION("TEXTJOIN("", "",TRUE, FILTER($B$1:$E$1,B150:E150&lt;&gt;""""))"),"Bryce")</f>
        <v>Bryce</v>
      </c>
    </row>
    <row r="151" spans="1:16" ht="14">
      <c r="A151" s="36" t="s">
        <v>2278</v>
      </c>
      <c r="B151" s="33"/>
      <c r="C151" s="36">
        <v>73</v>
      </c>
      <c r="D151" s="33"/>
      <c r="E151" s="33"/>
      <c r="F151" s="33"/>
      <c r="G151" s="36">
        <v>290680</v>
      </c>
      <c r="H151" s="37">
        <v>39448</v>
      </c>
      <c r="I151" s="36">
        <v>71</v>
      </c>
      <c r="J151" s="36" t="s">
        <v>1270</v>
      </c>
      <c r="K151" s="36" t="s">
        <v>1271</v>
      </c>
      <c r="L151" s="36" t="s">
        <v>1272</v>
      </c>
      <c r="M151" s="27"/>
      <c r="O151" s="28" t="str">
        <f>IFERROR(VLOOKUP(A151, '2024 Full View'!$1:$999, 1, FALSE), "")</f>
        <v/>
      </c>
      <c r="P151" s="3" t="str">
        <f ca="1">IFERROR(__xludf.DUMMYFUNCTION("TEXTJOIN("", "",TRUE, FILTER($B$1:$E$1,B151:E151&lt;&gt;""""))"),"Bryce")</f>
        <v>Bryce</v>
      </c>
    </row>
    <row r="152" spans="1:16" ht="14">
      <c r="A152" s="36" t="s">
        <v>2279</v>
      </c>
      <c r="B152" s="33"/>
      <c r="C152" s="36">
        <v>85</v>
      </c>
      <c r="D152" s="33"/>
      <c r="E152" s="33"/>
      <c r="F152" s="33"/>
      <c r="G152" s="36">
        <v>174840</v>
      </c>
      <c r="H152" s="36">
        <v>1967</v>
      </c>
      <c r="I152" s="36">
        <v>71</v>
      </c>
      <c r="J152" s="36" t="s">
        <v>1273</v>
      </c>
      <c r="K152" s="36" t="s">
        <v>1274</v>
      </c>
      <c r="L152" s="36" t="s">
        <v>1275</v>
      </c>
      <c r="M152" s="27"/>
      <c r="O152" s="28" t="str">
        <f>IFERROR(VLOOKUP(A152, '2024 Full View'!$1:$999, 1, FALSE), "")</f>
        <v/>
      </c>
      <c r="P152" s="3" t="str">
        <f ca="1">IFERROR(__xludf.DUMMYFUNCTION("TEXTJOIN("", "",TRUE, FILTER($B$1:$E$1,B152:E152&lt;&gt;""""))"),"Bryce")</f>
        <v>Bryce</v>
      </c>
    </row>
    <row r="153" spans="1:16" ht="14">
      <c r="A153" s="36" t="s">
        <v>1853</v>
      </c>
      <c r="B153" s="33"/>
      <c r="C153" s="36">
        <v>86</v>
      </c>
      <c r="D153" s="33"/>
      <c r="E153" s="33"/>
      <c r="F153" s="33"/>
      <c r="G153" s="36">
        <v>183786</v>
      </c>
      <c r="H153" s="37">
        <v>45044</v>
      </c>
      <c r="I153" s="36">
        <v>71</v>
      </c>
      <c r="J153" s="36" t="s">
        <v>857</v>
      </c>
      <c r="K153" s="36" t="s">
        <v>473</v>
      </c>
      <c r="L153" s="36" t="s">
        <v>859</v>
      </c>
      <c r="M153" s="27"/>
      <c r="O153" s="28" t="str">
        <f>IFERROR(VLOOKUP(A153, '2024 Full View'!$1:$999, 1, FALSE), "")</f>
        <v>Whiskey On YouNate Smith</v>
      </c>
      <c r="P153" s="3" t="str">
        <f ca="1">IFERROR(__xludf.DUMMYFUNCTION("TEXTJOIN("", "",TRUE, FILTER($B$1:$E$1,B153:E153&lt;&gt;""""))"),"Bryce")</f>
        <v>Bryce</v>
      </c>
    </row>
    <row r="154" spans="1:16" ht="14">
      <c r="A154" s="36" t="s">
        <v>2280</v>
      </c>
      <c r="B154" s="33"/>
      <c r="C154" s="33"/>
      <c r="D154" s="33"/>
      <c r="E154" s="36">
        <v>83</v>
      </c>
      <c r="F154" s="33"/>
      <c r="G154" s="36">
        <v>188877</v>
      </c>
      <c r="H154" s="37">
        <v>38377</v>
      </c>
      <c r="I154" s="36">
        <v>71</v>
      </c>
      <c r="J154" s="36" t="s">
        <v>1276</v>
      </c>
      <c r="K154" s="36" t="s">
        <v>1277</v>
      </c>
      <c r="L154" s="36" t="s">
        <v>1278</v>
      </c>
      <c r="M154" s="27"/>
      <c r="O154" s="28" t="str">
        <f>IFERROR(VLOOKUP(A154, '2024 Full View'!$1:$999, 1, FALSE), "")</f>
        <v/>
      </c>
      <c r="P154" s="3" t="str">
        <f ca="1">IFERROR(__xludf.DUMMYFUNCTION("TEXTJOIN("", "",TRUE, FILTER($B$1:$E$1,B154:E154&lt;&gt;""""))"),"Jamie")</f>
        <v>Jamie</v>
      </c>
    </row>
    <row r="155" spans="1:16" ht="14">
      <c r="A155" s="36" t="s">
        <v>2281</v>
      </c>
      <c r="B155" s="33"/>
      <c r="C155" s="33"/>
      <c r="D155" s="36">
        <v>19</v>
      </c>
      <c r="E155" s="33"/>
      <c r="F155" s="33"/>
      <c r="G155" s="36">
        <v>248360</v>
      </c>
      <c r="H155" s="36">
        <v>1976</v>
      </c>
      <c r="I155" s="36">
        <v>71</v>
      </c>
      <c r="J155" s="36" t="s">
        <v>1279</v>
      </c>
      <c r="K155" s="36" t="s">
        <v>1280</v>
      </c>
      <c r="L155" s="36" t="s">
        <v>1281</v>
      </c>
      <c r="M155" s="27"/>
      <c r="O155" s="28" t="str">
        <f>IFERROR(VLOOKUP(A155, '2024 Full View'!$1:$999, 1, FALSE), "")</f>
        <v/>
      </c>
      <c r="P155" s="3" t="str">
        <f ca="1">IFERROR(__xludf.DUMMYFUNCTION("TEXTJOIN("", "",TRUE, FILTER($B$1:$E$1,B155:E155&lt;&gt;""""))"),"Maggie")</f>
        <v>Maggie</v>
      </c>
    </row>
    <row r="156" spans="1:16" ht="14">
      <c r="A156" s="36" t="s">
        <v>2282</v>
      </c>
      <c r="B156" s="33"/>
      <c r="C156" s="33"/>
      <c r="D156" s="36">
        <v>63</v>
      </c>
      <c r="E156" s="33"/>
      <c r="F156" s="33"/>
      <c r="G156" s="36">
        <v>170000</v>
      </c>
      <c r="H156" s="37">
        <v>33400</v>
      </c>
      <c r="I156" s="36">
        <v>71</v>
      </c>
      <c r="J156" s="36" t="s">
        <v>1282</v>
      </c>
      <c r="K156" s="36" t="s">
        <v>1211</v>
      </c>
      <c r="L156" s="36" t="s">
        <v>1283</v>
      </c>
      <c r="M156" s="27"/>
      <c r="O156" s="28" t="str">
        <f>IFERROR(VLOOKUP(A156, '2024 Full View'!$1:$999, 1, FALSE), "")</f>
        <v/>
      </c>
      <c r="P156" s="3" t="str">
        <f ca="1">IFERROR(__xludf.DUMMYFUNCTION("TEXTJOIN("", "",TRUE, FILTER($B$1:$E$1,B156:E156&lt;&gt;""""))"),"Maggie")</f>
        <v>Maggie</v>
      </c>
    </row>
    <row r="157" spans="1:16" ht="14">
      <c r="A157" s="36" t="s">
        <v>2283</v>
      </c>
      <c r="B157" s="33"/>
      <c r="C157" s="33"/>
      <c r="D157" s="33"/>
      <c r="E157" s="36">
        <v>94</v>
      </c>
      <c r="F157" s="33"/>
      <c r="G157" s="36">
        <v>213626</v>
      </c>
      <c r="H157" s="37">
        <v>41786</v>
      </c>
      <c r="I157" s="36">
        <v>71</v>
      </c>
      <c r="J157" s="36" t="s">
        <v>1284</v>
      </c>
      <c r="K157" s="36" t="s">
        <v>488</v>
      </c>
      <c r="L157" s="36" t="s">
        <v>1284</v>
      </c>
      <c r="M157" s="27"/>
      <c r="O157" s="28" t="str">
        <f>IFERROR(VLOOKUP(A157, '2024 Full View'!$1:$999, 1, FALSE), "")</f>
        <v/>
      </c>
      <c r="P157" s="3" t="str">
        <f ca="1">IFERROR(__xludf.DUMMYFUNCTION("TEXTJOIN("", "",TRUE, FILTER($B$1:$E$1,B157:E157&lt;&gt;""""))"),"Jamie")</f>
        <v>Jamie</v>
      </c>
    </row>
    <row r="158" spans="1:16" ht="14">
      <c r="A158" s="36" t="s">
        <v>2284</v>
      </c>
      <c r="B158" s="36">
        <v>15</v>
      </c>
      <c r="C158" s="33"/>
      <c r="D158" s="33"/>
      <c r="E158" s="33"/>
      <c r="F158" s="33"/>
      <c r="G158" s="36">
        <v>153037</v>
      </c>
      <c r="H158" s="37">
        <v>45086</v>
      </c>
      <c r="I158" s="36">
        <v>71</v>
      </c>
      <c r="J158" s="36" t="s">
        <v>862</v>
      </c>
      <c r="K158" s="36" t="s">
        <v>494</v>
      </c>
      <c r="L158" s="36" t="s">
        <v>1285</v>
      </c>
      <c r="M158" s="27"/>
      <c r="O158" s="28" t="str">
        <f>IFERROR(VLOOKUP(A158, '2024 Full View'!$1:$999, 1, FALSE), "")</f>
        <v/>
      </c>
      <c r="P158" s="3" t="str">
        <f ca="1">IFERROR(__xludf.DUMMYFUNCTION("TEXTJOIN("", "",TRUE, FILTER($B$1:$E$1,B158:E158&lt;&gt;""""))"),"Zach")</f>
        <v>Zach</v>
      </c>
    </row>
    <row r="159" spans="1:16" ht="14">
      <c r="A159" s="36" t="s">
        <v>2285</v>
      </c>
      <c r="B159" s="33"/>
      <c r="C159" s="33"/>
      <c r="D159" s="33"/>
      <c r="E159" s="36">
        <v>95</v>
      </c>
      <c r="F159" s="36" t="s">
        <v>1113</v>
      </c>
      <c r="G159" s="36">
        <v>304106</v>
      </c>
      <c r="H159" s="37">
        <v>44203</v>
      </c>
      <c r="I159" s="36">
        <v>71</v>
      </c>
      <c r="J159" s="36" t="s">
        <v>1286</v>
      </c>
      <c r="K159" s="36" t="s">
        <v>438</v>
      </c>
      <c r="L159" s="36" t="s">
        <v>1287</v>
      </c>
      <c r="M159" s="27"/>
      <c r="O159" s="28" t="str">
        <f>IFERROR(VLOOKUP(A159, '2024 Full View'!$1:$999, 1, FALSE), "")</f>
        <v/>
      </c>
      <c r="P159" s="3" t="str">
        <f ca="1">IFERROR(__xludf.DUMMYFUNCTION("TEXTJOIN("", "",TRUE, FILTER($B$1:$E$1,B159:E159&lt;&gt;""""))"),"Jamie")</f>
        <v>Jamie</v>
      </c>
    </row>
    <row r="160" spans="1:16" ht="14">
      <c r="A160" s="36" t="s">
        <v>2286</v>
      </c>
      <c r="B160" s="33"/>
      <c r="C160" s="33"/>
      <c r="D160" s="33"/>
      <c r="E160" s="36">
        <v>64</v>
      </c>
      <c r="F160" s="33"/>
      <c r="G160" s="36">
        <v>295413</v>
      </c>
      <c r="H160" s="37">
        <v>44512</v>
      </c>
      <c r="I160" s="36">
        <v>71</v>
      </c>
      <c r="J160" s="36" t="s">
        <v>796</v>
      </c>
      <c r="K160" s="36" t="s">
        <v>438</v>
      </c>
      <c r="L160" s="36" t="s">
        <v>1288</v>
      </c>
      <c r="M160" s="27"/>
      <c r="O160" s="28" t="str">
        <f>IFERROR(VLOOKUP(A160, '2024 Full View'!$1:$999, 1, FALSE), "")</f>
        <v/>
      </c>
      <c r="P160" s="3" t="str">
        <f ca="1">IFERROR(__xludf.DUMMYFUNCTION("TEXTJOIN("", "",TRUE, FILTER($B$1:$E$1,B160:E160&lt;&gt;""""))"),"Jamie")</f>
        <v>Jamie</v>
      </c>
    </row>
    <row r="161" spans="1:16" ht="14">
      <c r="A161" s="36" t="s">
        <v>2287</v>
      </c>
      <c r="B161" s="33"/>
      <c r="C161" s="33"/>
      <c r="D161" s="33"/>
      <c r="E161" s="36">
        <v>86</v>
      </c>
      <c r="F161" s="33"/>
      <c r="G161" s="36">
        <v>284000</v>
      </c>
      <c r="H161" s="37">
        <v>40554</v>
      </c>
      <c r="I161" s="36">
        <v>71</v>
      </c>
      <c r="J161" s="36" t="s">
        <v>1289</v>
      </c>
      <c r="K161" s="36" t="s">
        <v>1289</v>
      </c>
      <c r="L161" s="36" t="s">
        <v>1290</v>
      </c>
      <c r="M161" s="27"/>
      <c r="O161" s="28" t="str">
        <f>IFERROR(VLOOKUP(A161, '2024 Full View'!$1:$999, 1, FALSE), "")</f>
        <v/>
      </c>
      <c r="P161" s="3" t="str">
        <f ca="1">IFERROR(__xludf.DUMMYFUNCTION("TEXTJOIN("", "",TRUE, FILTER($B$1:$E$1,B161:E161&lt;&gt;""""))"),"Jamie")</f>
        <v>Jamie</v>
      </c>
    </row>
    <row r="162" spans="1:16" ht="14">
      <c r="A162" s="36" t="s">
        <v>2288</v>
      </c>
      <c r="B162" s="33"/>
      <c r="C162" s="36">
        <v>12</v>
      </c>
      <c r="D162" s="33"/>
      <c r="E162" s="33"/>
      <c r="F162" s="33"/>
      <c r="G162" s="36">
        <v>247946</v>
      </c>
      <c r="H162" s="37">
        <v>41016</v>
      </c>
      <c r="I162" s="36">
        <v>70</v>
      </c>
      <c r="J162" s="36" t="s">
        <v>1291</v>
      </c>
      <c r="K162" s="36" t="s">
        <v>1107</v>
      </c>
      <c r="L162" s="36" t="s">
        <v>1292</v>
      </c>
      <c r="M162" s="27"/>
      <c r="O162" s="28" t="str">
        <f>IFERROR(VLOOKUP(A162, '2024 Full View'!$1:$999, 1, FALSE), "")</f>
        <v/>
      </c>
      <c r="P162" s="3" t="str">
        <f ca="1">IFERROR(__xludf.DUMMYFUNCTION("TEXTJOIN("", "",TRUE, FILTER($B$1:$E$1,B162:E162&lt;&gt;""""))"),"Bryce")</f>
        <v>Bryce</v>
      </c>
    </row>
    <row r="163" spans="1:16" ht="14">
      <c r="A163" s="36" t="s">
        <v>2289</v>
      </c>
      <c r="B163" s="36">
        <v>6</v>
      </c>
      <c r="C163" s="33"/>
      <c r="D163" s="33"/>
      <c r="E163" s="33"/>
      <c r="F163" s="36" t="s">
        <v>1293</v>
      </c>
      <c r="G163" s="36">
        <v>165619</v>
      </c>
      <c r="H163" s="37">
        <v>45016</v>
      </c>
      <c r="I163" s="36">
        <v>70</v>
      </c>
      <c r="J163" s="36" t="s">
        <v>1294</v>
      </c>
      <c r="K163" s="36" t="s">
        <v>458</v>
      </c>
      <c r="L163" s="36" t="s">
        <v>1294</v>
      </c>
      <c r="M163" s="27"/>
      <c r="O163" s="28" t="str">
        <f>IFERROR(VLOOKUP(A163, '2024 Full View'!$1:$999, 1, FALSE), "")</f>
        <v/>
      </c>
      <c r="P163" s="3" t="str">
        <f ca="1">IFERROR(__xludf.DUMMYFUNCTION("TEXTJOIN("", "",TRUE, FILTER($B$1:$E$1,B163:E163&lt;&gt;""""))"),"Zach")</f>
        <v>Zach</v>
      </c>
    </row>
    <row r="164" spans="1:16" ht="14">
      <c r="A164" s="36" t="s">
        <v>2290</v>
      </c>
      <c r="B164" s="36">
        <v>13</v>
      </c>
      <c r="C164" s="33"/>
      <c r="D164" s="33"/>
      <c r="E164" s="33"/>
      <c r="F164" s="33"/>
      <c r="G164" s="36">
        <v>221520</v>
      </c>
      <c r="H164" s="37">
        <v>44477</v>
      </c>
      <c r="I164" s="36">
        <v>70</v>
      </c>
      <c r="J164" s="36" t="s">
        <v>1295</v>
      </c>
      <c r="K164" s="36" t="s">
        <v>456</v>
      </c>
      <c r="L164" s="36" t="s">
        <v>1296</v>
      </c>
      <c r="M164" s="27"/>
      <c r="O164" s="28" t="str">
        <f>IFERROR(VLOOKUP(A164, '2024 Full View'!$1:$999, 1, FALSE), "")</f>
        <v/>
      </c>
      <c r="P164" s="3" t="str">
        <f ca="1">IFERROR(__xludf.DUMMYFUNCTION("TEXTJOIN("", "",TRUE, FILTER($B$1:$E$1,B164:E164&lt;&gt;""""))"),"Zach")</f>
        <v>Zach</v>
      </c>
    </row>
    <row r="165" spans="1:16" ht="14">
      <c r="A165" s="36" t="s">
        <v>2291</v>
      </c>
      <c r="B165" s="33"/>
      <c r="C165" s="33"/>
      <c r="D165" s="36">
        <v>48</v>
      </c>
      <c r="E165" s="33"/>
      <c r="F165" s="33"/>
      <c r="G165" s="36">
        <v>173182</v>
      </c>
      <c r="H165" s="37">
        <v>44463</v>
      </c>
      <c r="I165" s="36">
        <v>70</v>
      </c>
      <c r="J165" s="36" t="s">
        <v>1297</v>
      </c>
      <c r="K165" s="36" t="s">
        <v>1298</v>
      </c>
      <c r="L165" s="36" t="s">
        <v>1297</v>
      </c>
      <c r="M165" s="27"/>
      <c r="O165" s="28" t="str">
        <f>IFERROR(VLOOKUP(A165, '2024 Full View'!$1:$999, 1, FALSE), "")</f>
        <v/>
      </c>
      <c r="P165" s="3" t="str">
        <f ca="1">IFERROR(__xludf.DUMMYFUNCTION("TEXTJOIN("", "",TRUE, FILTER($B$1:$E$1,B165:E165&lt;&gt;""""))"),"Maggie")</f>
        <v>Maggie</v>
      </c>
    </row>
    <row r="166" spans="1:16" ht="14">
      <c r="A166" s="36" t="s">
        <v>2292</v>
      </c>
      <c r="B166" s="33"/>
      <c r="C166" s="33"/>
      <c r="D166" s="36">
        <v>86</v>
      </c>
      <c r="E166" s="33"/>
      <c r="F166" s="33"/>
      <c r="G166" s="36">
        <v>193573</v>
      </c>
      <c r="H166" s="37">
        <v>26074</v>
      </c>
      <c r="I166" s="36">
        <v>70</v>
      </c>
      <c r="J166" s="36" t="s">
        <v>1299</v>
      </c>
      <c r="K166" s="36" t="s">
        <v>1300</v>
      </c>
      <c r="L166" s="36" t="s">
        <v>1301</v>
      </c>
      <c r="M166" s="27"/>
      <c r="O166" s="28" t="str">
        <f>IFERROR(VLOOKUP(A166, '2024 Full View'!$1:$999, 1, FALSE), "")</f>
        <v/>
      </c>
      <c r="P166" s="3" t="str">
        <f ca="1">IFERROR(__xludf.DUMMYFUNCTION("TEXTJOIN("", "",TRUE, FILTER($B$1:$E$1,B166:E166&lt;&gt;""""))"),"Maggie")</f>
        <v>Maggie</v>
      </c>
    </row>
    <row r="167" spans="1:16" ht="14">
      <c r="A167" s="36" t="s">
        <v>2293</v>
      </c>
      <c r="B167" s="36">
        <v>24</v>
      </c>
      <c r="C167" s="33"/>
      <c r="D167" s="33"/>
      <c r="E167" s="33"/>
      <c r="F167" s="33"/>
      <c r="G167" s="36">
        <v>206137</v>
      </c>
      <c r="H167" s="37">
        <v>44988</v>
      </c>
      <c r="I167" s="36">
        <v>70</v>
      </c>
      <c r="J167" s="36" t="s">
        <v>843</v>
      </c>
      <c r="K167" s="36" t="s">
        <v>429</v>
      </c>
      <c r="L167" s="36" t="s">
        <v>1302</v>
      </c>
      <c r="M167" s="27"/>
      <c r="O167" s="28" t="str">
        <f>IFERROR(VLOOKUP(A167, '2024 Full View'!$1:$999, 1, FALSE), "")</f>
        <v/>
      </c>
      <c r="P167" s="3" t="str">
        <f ca="1">IFERROR(__xludf.DUMMYFUNCTION("TEXTJOIN("", "",TRUE, FILTER($B$1:$E$1,B167:E167&lt;&gt;""""))"),"Zach")</f>
        <v>Zach</v>
      </c>
    </row>
    <row r="168" spans="1:16" ht="14">
      <c r="A168" s="36" t="s">
        <v>2294</v>
      </c>
      <c r="B168" s="33"/>
      <c r="C168" s="36">
        <v>39</v>
      </c>
      <c r="D168" s="33"/>
      <c r="E168" s="33"/>
      <c r="F168" s="33"/>
      <c r="G168" s="36">
        <v>295746</v>
      </c>
      <c r="H168" s="37">
        <v>44624</v>
      </c>
      <c r="I168" s="36">
        <v>69</v>
      </c>
      <c r="J168" s="36" t="s">
        <v>1303</v>
      </c>
      <c r="K168" s="36" t="s">
        <v>1170</v>
      </c>
      <c r="L168" s="36" t="s">
        <v>1304</v>
      </c>
      <c r="M168" s="27"/>
      <c r="O168" s="28" t="str">
        <f>IFERROR(VLOOKUP(A168, '2024 Full View'!$1:$999, 1, FALSE), "")</f>
        <v/>
      </c>
      <c r="P168" s="3" t="str">
        <f ca="1">IFERROR(__xludf.DUMMYFUNCTION("TEXTJOIN("", "",TRUE, FILTER($B$1:$E$1,B168:E168&lt;&gt;""""))"),"Bryce")</f>
        <v>Bryce</v>
      </c>
    </row>
    <row r="169" spans="1:16" ht="14">
      <c r="A169" s="36" t="s">
        <v>2295</v>
      </c>
      <c r="B169" s="33"/>
      <c r="C169" s="36">
        <v>82</v>
      </c>
      <c r="D169" s="33"/>
      <c r="E169" s="33"/>
      <c r="F169" s="33"/>
      <c r="G169" s="36">
        <v>204200</v>
      </c>
      <c r="H169" s="37">
        <v>39910</v>
      </c>
      <c r="I169" s="36">
        <v>69</v>
      </c>
      <c r="J169" s="36" t="s">
        <v>1305</v>
      </c>
      <c r="K169" s="36" t="s">
        <v>1247</v>
      </c>
      <c r="L169" s="36" t="s">
        <v>1306</v>
      </c>
      <c r="M169" s="27"/>
      <c r="O169" s="28" t="str">
        <f>IFERROR(VLOOKUP(A169, '2024 Full View'!$1:$999, 1, FALSE), "")</f>
        <v/>
      </c>
      <c r="P169" s="3" t="str">
        <f ca="1">IFERROR(__xludf.DUMMYFUNCTION("TEXTJOIN("", "",TRUE, FILTER($B$1:$E$1,B169:E169&lt;&gt;""""))"),"Bryce")</f>
        <v>Bryce</v>
      </c>
    </row>
    <row r="170" spans="1:16" ht="14">
      <c r="A170" s="36" t="s">
        <v>2296</v>
      </c>
      <c r="B170" s="33"/>
      <c r="C170" s="36">
        <v>93</v>
      </c>
      <c r="D170" s="33"/>
      <c r="E170" s="33"/>
      <c r="F170" s="33"/>
      <c r="G170" s="36">
        <v>186293</v>
      </c>
      <c r="H170" s="37">
        <v>44204</v>
      </c>
      <c r="I170" s="36">
        <v>69</v>
      </c>
      <c r="J170" s="36" t="s">
        <v>1075</v>
      </c>
      <c r="K170" s="36" t="s">
        <v>429</v>
      </c>
      <c r="L170" s="36" t="s">
        <v>1307</v>
      </c>
      <c r="M170" s="27"/>
      <c r="O170" s="28" t="str">
        <f>IFERROR(VLOOKUP(A170, '2024 Full View'!$1:$999, 1, FALSE), "")</f>
        <v/>
      </c>
      <c r="P170" s="3" t="str">
        <f ca="1">IFERROR(__xludf.DUMMYFUNCTION("TEXTJOIN("", "",TRUE, FILTER($B$1:$E$1,B170:E170&lt;&gt;""""))"),"Bryce")</f>
        <v>Bryce</v>
      </c>
    </row>
    <row r="171" spans="1:16" ht="14">
      <c r="A171" s="36" t="s">
        <v>1951</v>
      </c>
      <c r="B171" s="33"/>
      <c r="C171" s="36">
        <v>98</v>
      </c>
      <c r="D171" s="33"/>
      <c r="E171" s="33"/>
      <c r="F171" s="33"/>
      <c r="G171" s="36">
        <v>234771</v>
      </c>
      <c r="H171" s="37">
        <v>44701</v>
      </c>
      <c r="I171" s="36">
        <v>69</v>
      </c>
      <c r="J171" s="36" t="s">
        <v>807</v>
      </c>
      <c r="K171" s="36" t="s">
        <v>437</v>
      </c>
      <c r="L171" s="36" t="s">
        <v>809</v>
      </c>
      <c r="M171" s="27"/>
      <c r="O171" s="28" t="str">
        <f>IFERROR(VLOOKUP(A171, '2024 Full View'!$1:$999, 1, FALSE), "")</f>
        <v>Open the GateZach Bryan</v>
      </c>
      <c r="P171" s="3" t="str">
        <f ca="1">IFERROR(__xludf.DUMMYFUNCTION("TEXTJOIN("", "",TRUE, FILTER($B$1:$E$1,B171:E171&lt;&gt;""""))"),"Bryce")</f>
        <v>Bryce</v>
      </c>
    </row>
    <row r="172" spans="1:16" ht="14">
      <c r="A172" s="36" t="s">
        <v>2297</v>
      </c>
      <c r="B172" s="33"/>
      <c r="C172" s="33"/>
      <c r="D172" s="36">
        <v>95</v>
      </c>
      <c r="E172" s="33"/>
      <c r="F172" s="33"/>
      <c r="G172" s="36">
        <v>171026</v>
      </c>
      <c r="H172" s="37">
        <v>24108</v>
      </c>
      <c r="I172" s="36">
        <v>69</v>
      </c>
      <c r="J172" s="36" t="s">
        <v>1308</v>
      </c>
      <c r="K172" s="36" t="s">
        <v>1309</v>
      </c>
      <c r="L172" s="36" t="s">
        <v>1310</v>
      </c>
      <c r="M172" s="27"/>
      <c r="O172" s="28" t="str">
        <f>IFERROR(VLOOKUP(A172, '2024 Full View'!$1:$999, 1, FALSE), "")</f>
        <v/>
      </c>
      <c r="P172" s="3" t="str">
        <f ca="1">IFERROR(__xludf.DUMMYFUNCTION("TEXTJOIN("", "",TRUE, FILTER($B$1:$E$1,B172:E172&lt;&gt;""""))"),"Maggie")</f>
        <v>Maggie</v>
      </c>
    </row>
    <row r="173" spans="1:16" ht="14">
      <c r="A173" s="36" t="s">
        <v>2298</v>
      </c>
      <c r="B173" s="36">
        <v>44</v>
      </c>
      <c r="C173" s="33"/>
      <c r="D173" s="33"/>
      <c r="E173" s="33"/>
      <c r="F173" s="33"/>
      <c r="G173" s="36">
        <v>205579</v>
      </c>
      <c r="H173" s="37">
        <v>44988</v>
      </c>
      <c r="I173" s="36">
        <v>69</v>
      </c>
      <c r="J173" s="36" t="s">
        <v>843</v>
      </c>
      <c r="K173" s="36" t="s">
        <v>429</v>
      </c>
      <c r="L173" s="36" t="s">
        <v>1311</v>
      </c>
      <c r="M173" s="27"/>
      <c r="O173" s="28" t="str">
        <f>IFERROR(VLOOKUP(A173, '2024 Full View'!$1:$999, 1, FALSE), "")</f>
        <v/>
      </c>
      <c r="P173" s="3" t="str">
        <f ca="1">IFERROR(__xludf.DUMMYFUNCTION("TEXTJOIN("", "",TRUE, FILTER($B$1:$E$1,B173:E173&lt;&gt;""""))"),"Zach")</f>
        <v>Zach</v>
      </c>
    </row>
    <row r="174" spans="1:16" ht="14">
      <c r="A174" s="36" t="s">
        <v>1946</v>
      </c>
      <c r="B174" s="36">
        <v>7</v>
      </c>
      <c r="C174" s="33"/>
      <c r="D174" s="33"/>
      <c r="E174" s="33"/>
      <c r="F174" s="33"/>
      <c r="G174" s="36">
        <v>172480</v>
      </c>
      <c r="H174" s="37">
        <v>45205</v>
      </c>
      <c r="I174" s="36">
        <v>69</v>
      </c>
      <c r="J174" s="36" t="s">
        <v>898</v>
      </c>
      <c r="K174" s="36" t="s">
        <v>475</v>
      </c>
      <c r="L174" s="36" t="s">
        <v>898</v>
      </c>
      <c r="M174" s="27"/>
      <c r="O174" s="28" t="str">
        <f>IFERROR(VLOOKUP(A174, '2024 Full View'!$1:$999, 1, FALSE), "")</f>
        <v>Memory LaneOld Dominion</v>
      </c>
      <c r="P174" s="3" t="str">
        <f ca="1">IFERROR(__xludf.DUMMYFUNCTION("TEXTJOIN("", "",TRUE, FILTER($B$1:$E$1,B174:E174&lt;&gt;""""))"),"Zach")</f>
        <v>Zach</v>
      </c>
    </row>
    <row r="175" spans="1:16" ht="14">
      <c r="A175" s="36" t="s">
        <v>2299</v>
      </c>
      <c r="B175" s="33"/>
      <c r="C175" s="33"/>
      <c r="D175" s="33"/>
      <c r="E175" s="36">
        <v>19</v>
      </c>
      <c r="F175" s="33"/>
      <c r="G175" s="36">
        <v>223640</v>
      </c>
      <c r="H175" s="37">
        <v>41891</v>
      </c>
      <c r="I175" s="36">
        <v>69</v>
      </c>
      <c r="J175" s="36" t="s">
        <v>1312</v>
      </c>
      <c r="K175" s="36" t="s">
        <v>1313</v>
      </c>
      <c r="L175" s="36" t="s">
        <v>1314</v>
      </c>
      <c r="M175" s="27"/>
      <c r="O175" s="28" t="str">
        <f>IFERROR(VLOOKUP(A175, '2024 Full View'!$1:$999, 1, FALSE), "")</f>
        <v/>
      </c>
      <c r="P175" s="3" t="str">
        <f ca="1">IFERROR(__xludf.DUMMYFUNCTION("TEXTJOIN("", "",TRUE, FILTER($B$1:$E$1,B175:E175&lt;&gt;""""))"),"Jamie")</f>
        <v>Jamie</v>
      </c>
    </row>
    <row r="176" spans="1:16" ht="14">
      <c r="A176" s="36" t="s">
        <v>2300</v>
      </c>
      <c r="B176" s="33"/>
      <c r="C176" s="36">
        <v>30</v>
      </c>
      <c r="D176" s="33"/>
      <c r="E176" s="33"/>
      <c r="F176" s="33"/>
      <c r="G176" s="36">
        <v>186458</v>
      </c>
      <c r="H176" s="37">
        <v>44834</v>
      </c>
      <c r="I176" s="36">
        <v>68</v>
      </c>
      <c r="J176" s="36" t="s">
        <v>1315</v>
      </c>
      <c r="K176" s="36" t="s">
        <v>474</v>
      </c>
      <c r="L176" s="36" t="s">
        <v>1316</v>
      </c>
      <c r="M176" s="27"/>
      <c r="O176" s="28" t="str">
        <f>IFERROR(VLOOKUP(A176, '2024 Full View'!$1:$999, 1, FALSE), "")</f>
        <v/>
      </c>
      <c r="P176" s="3" t="str">
        <f ca="1">IFERROR(__xludf.DUMMYFUNCTION("TEXTJOIN("", "",TRUE, FILTER($B$1:$E$1,B176:E176&lt;&gt;""""))"),"Bryce")</f>
        <v>Bryce</v>
      </c>
    </row>
    <row r="177" spans="1:16" ht="14">
      <c r="A177" s="36" t="s">
        <v>2301</v>
      </c>
      <c r="B177" s="33"/>
      <c r="C177" s="36">
        <v>32</v>
      </c>
      <c r="D177" s="33"/>
      <c r="E177" s="33"/>
      <c r="F177" s="33"/>
      <c r="G177" s="36">
        <v>223800</v>
      </c>
      <c r="H177" s="37">
        <v>41082</v>
      </c>
      <c r="I177" s="36">
        <v>68</v>
      </c>
      <c r="J177" s="36" t="s">
        <v>1317</v>
      </c>
      <c r="K177" s="36" t="s">
        <v>395</v>
      </c>
      <c r="L177" s="36" t="s">
        <v>1318</v>
      </c>
      <c r="M177" s="27"/>
      <c r="O177" s="28" t="str">
        <f>IFERROR(VLOOKUP(A177, '2024 Full View'!$1:$999, 1, FALSE), "")</f>
        <v/>
      </c>
      <c r="P177" s="3" t="str">
        <f ca="1">IFERROR(__xludf.DUMMYFUNCTION("TEXTJOIN("", "",TRUE, FILTER($B$1:$E$1,B177:E177&lt;&gt;""""))"),"Bryce")</f>
        <v>Bryce</v>
      </c>
    </row>
    <row r="178" spans="1:16" ht="14">
      <c r="A178" s="36" t="s">
        <v>2302</v>
      </c>
      <c r="B178" s="33"/>
      <c r="C178" s="36">
        <v>40</v>
      </c>
      <c r="D178" s="33"/>
      <c r="E178" s="33"/>
      <c r="F178" s="33"/>
      <c r="G178" s="36">
        <v>188523</v>
      </c>
      <c r="H178" s="37">
        <v>44988</v>
      </c>
      <c r="I178" s="36">
        <v>68</v>
      </c>
      <c r="J178" s="36" t="s">
        <v>843</v>
      </c>
      <c r="K178" s="36" t="s">
        <v>429</v>
      </c>
      <c r="L178" s="36" t="s">
        <v>1319</v>
      </c>
      <c r="M178" s="27"/>
      <c r="O178" s="28" t="str">
        <f>IFERROR(VLOOKUP(A178, '2024 Full View'!$1:$999, 1, FALSE), "")</f>
        <v/>
      </c>
      <c r="P178" s="3" t="str">
        <f ca="1">IFERROR(__xludf.DUMMYFUNCTION("TEXTJOIN("", "",TRUE, FILTER($B$1:$E$1,B178:E178&lt;&gt;""""))"),"Bryce")</f>
        <v>Bryce</v>
      </c>
    </row>
    <row r="179" spans="1:16" ht="14">
      <c r="A179" s="36" t="s">
        <v>1871</v>
      </c>
      <c r="B179" s="33"/>
      <c r="C179" s="36">
        <v>56</v>
      </c>
      <c r="D179" s="33"/>
      <c r="E179" s="33"/>
      <c r="F179" s="36" t="s">
        <v>427</v>
      </c>
      <c r="G179" s="36">
        <v>159096</v>
      </c>
      <c r="H179" s="37">
        <v>44645</v>
      </c>
      <c r="I179" s="36">
        <v>68</v>
      </c>
      <c r="J179" s="36" t="s">
        <v>803</v>
      </c>
      <c r="K179" s="36" t="s">
        <v>435</v>
      </c>
      <c r="L179" s="36" t="s">
        <v>805</v>
      </c>
      <c r="M179" s="27"/>
      <c r="O179" s="28" t="str">
        <f>IFERROR(VLOOKUP(A179, '2024 Full View'!$1:$999, 1, FALSE), "")</f>
        <v>emo girl (feat. WILLOW)mgk</v>
      </c>
      <c r="P179" s="3" t="str">
        <f ca="1">IFERROR(__xludf.DUMMYFUNCTION("TEXTJOIN("", "",TRUE, FILTER($B$1:$E$1,B179:E179&lt;&gt;""""))"),"Bryce")</f>
        <v>Bryce</v>
      </c>
    </row>
    <row r="180" spans="1:16" ht="14">
      <c r="A180" s="36" t="s">
        <v>2303</v>
      </c>
      <c r="B180" s="33"/>
      <c r="C180" s="36">
        <v>70</v>
      </c>
      <c r="D180" s="33"/>
      <c r="E180" s="33"/>
      <c r="F180" s="33"/>
      <c r="G180" s="36">
        <v>191173</v>
      </c>
      <c r="H180" s="37">
        <v>44904</v>
      </c>
      <c r="I180" s="36">
        <v>68</v>
      </c>
      <c r="J180" s="36" t="s">
        <v>1320</v>
      </c>
      <c r="K180" s="36" t="s">
        <v>1321</v>
      </c>
      <c r="L180" s="36" t="s">
        <v>1322</v>
      </c>
      <c r="M180" s="27"/>
      <c r="O180" s="28" t="str">
        <f>IFERROR(VLOOKUP(A180, '2024 Full View'!$1:$999, 1, FALSE), "")</f>
        <v/>
      </c>
      <c r="P180" s="3" t="str">
        <f ca="1">IFERROR(__xludf.DUMMYFUNCTION("TEXTJOIN("", "",TRUE, FILTER($B$1:$E$1,B180:E180&lt;&gt;""""))"),"Bryce")</f>
        <v>Bryce</v>
      </c>
    </row>
    <row r="181" spans="1:16" ht="14">
      <c r="A181" s="36" t="s">
        <v>1952</v>
      </c>
      <c r="B181" s="33"/>
      <c r="C181" s="33"/>
      <c r="D181" s="36">
        <v>52</v>
      </c>
      <c r="E181" s="33"/>
      <c r="F181" s="33"/>
      <c r="G181" s="36">
        <v>239881</v>
      </c>
      <c r="H181" s="37">
        <v>42080</v>
      </c>
      <c r="I181" s="36">
        <v>68</v>
      </c>
      <c r="J181" s="36" t="s">
        <v>716</v>
      </c>
      <c r="K181" s="36" t="s">
        <v>522</v>
      </c>
      <c r="L181" s="36" t="s">
        <v>717</v>
      </c>
      <c r="M181" s="27"/>
      <c r="O181" s="28" t="str">
        <f>IFERROR(VLOOKUP(A181, '2024 Full View'!$1:$999, 1, FALSE), "")</f>
        <v>SedonaHoundmouth</v>
      </c>
      <c r="P181" s="3" t="str">
        <f ca="1">IFERROR(__xludf.DUMMYFUNCTION("TEXTJOIN("", "",TRUE, FILTER($B$1:$E$1,B181:E181&lt;&gt;""""))"),"Maggie")</f>
        <v>Maggie</v>
      </c>
    </row>
    <row r="182" spans="1:16" ht="14">
      <c r="A182" s="36" t="s">
        <v>2304</v>
      </c>
      <c r="B182" s="33"/>
      <c r="C182" s="33"/>
      <c r="D182" s="36">
        <v>8</v>
      </c>
      <c r="E182" s="33"/>
      <c r="F182" s="36" t="s">
        <v>1323</v>
      </c>
      <c r="G182" s="36">
        <v>186761</v>
      </c>
      <c r="H182" s="37">
        <v>44974</v>
      </c>
      <c r="I182" s="36">
        <v>68</v>
      </c>
      <c r="J182" s="36" t="s">
        <v>1324</v>
      </c>
      <c r="K182" s="36" t="s">
        <v>1298</v>
      </c>
      <c r="L182" s="36" t="s">
        <v>1324</v>
      </c>
      <c r="M182" s="27"/>
      <c r="O182" s="28" t="str">
        <f>IFERROR(VLOOKUP(A182, '2024 Full View'!$1:$999, 1, FALSE), "")</f>
        <v/>
      </c>
      <c r="P182" s="3" t="str">
        <f ca="1">IFERROR(__xludf.DUMMYFUNCTION("TEXTJOIN("", "",TRUE, FILTER($B$1:$E$1,B182:E182&lt;&gt;""""))"),"Maggie")</f>
        <v>Maggie</v>
      </c>
    </row>
    <row r="183" spans="1:16" ht="14">
      <c r="A183" s="36" t="s">
        <v>2305</v>
      </c>
      <c r="B183" s="36">
        <v>56</v>
      </c>
      <c r="C183" s="33"/>
      <c r="D183" s="33"/>
      <c r="E183" s="33"/>
      <c r="F183" s="33"/>
      <c r="G183" s="36">
        <v>174741</v>
      </c>
      <c r="H183" s="37">
        <v>44988</v>
      </c>
      <c r="I183" s="36">
        <v>68</v>
      </c>
      <c r="J183" s="36" t="s">
        <v>843</v>
      </c>
      <c r="K183" s="36" t="s">
        <v>429</v>
      </c>
      <c r="L183" s="36" t="s">
        <v>1325</v>
      </c>
      <c r="M183" s="27"/>
      <c r="O183" s="28" t="str">
        <f>IFERROR(VLOOKUP(A183, '2024 Full View'!$1:$999, 1, FALSE), "")</f>
        <v/>
      </c>
      <c r="P183" s="3" t="str">
        <f ca="1">IFERROR(__xludf.DUMMYFUNCTION("TEXTJOIN("", "",TRUE, FILTER($B$1:$E$1,B183:E183&lt;&gt;""""))"),"Zach")</f>
        <v>Zach</v>
      </c>
    </row>
    <row r="184" spans="1:16" ht="14">
      <c r="A184" s="36" t="s">
        <v>1818</v>
      </c>
      <c r="B184" s="36">
        <v>8</v>
      </c>
      <c r="C184" s="33"/>
      <c r="D184" s="33"/>
      <c r="E184" s="33"/>
      <c r="F184" s="33"/>
      <c r="G184" s="36">
        <v>138958</v>
      </c>
      <c r="H184" s="37">
        <v>44988</v>
      </c>
      <c r="I184" s="36">
        <v>68</v>
      </c>
      <c r="J184" s="36" t="s">
        <v>843</v>
      </c>
      <c r="K184" s="36" t="s">
        <v>429</v>
      </c>
      <c r="L184" s="36" t="s">
        <v>844</v>
      </c>
      <c r="M184" s="27"/>
      <c r="O184" s="28" t="str">
        <f>IFERROR(VLOOKUP(A184, '2024 Full View'!$1:$999, 1, FALSE), "")</f>
        <v>Me To MeMorgan Wallen</v>
      </c>
      <c r="P184" s="3" t="str">
        <f ca="1">IFERROR(__xludf.DUMMYFUNCTION("TEXTJOIN("", "",TRUE, FILTER($B$1:$E$1,B184:E184&lt;&gt;""""))"),"Zach")</f>
        <v>Zach</v>
      </c>
    </row>
    <row r="185" spans="1:16" ht="14">
      <c r="A185" s="36" t="s">
        <v>2306</v>
      </c>
      <c r="B185" s="36">
        <v>32</v>
      </c>
      <c r="C185" s="33"/>
      <c r="D185" s="33"/>
      <c r="E185" s="33"/>
      <c r="F185" s="33"/>
      <c r="G185" s="36">
        <v>171495</v>
      </c>
      <c r="H185" s="37">
        <v>44988</v>
      </c>
      <c r="I185" s="36">
        <v>68</v>
      </c>
      <c r="J185" s="36" t="s">
        <v>843</v>
      </c>
      <c r="K185" s="36" t="s">
        <v>429</v>
      </c>
      <c r="L185" s="36" t="s">
        <v>1326</v>
      </c>
      <c r="M185" s="27"/>
      <c r="O185" s="28" t="str">
        <f>IFERROR(VLOOKUP(A185, '2024 Full View'!$1:$999, 1, FALSE), "")</f>
        <v/>
      </c>
      <c r="P185" s="3" t="str">
        <f ca="1">IFERROR(__xludf.DUMMYFUNCTION("TEXTJOIN("", "",TRUE, FILTER($B$1:$E$1,B185:E185&lt;&gt;""""))"),"Zach")</f>
        <v>Zach</v>
      </c>
    </row>
    <row r="186" spans="1:16" ht="14">
      <c r="A186" s="36" t="s">
        <v>2307</v>
      </c>
      <c r="B186" s="33"/>
      <c r="C186" s="33"/>
      <c r="D186" s="36">
        <v>99</v>
      </c>
      <c r="E186" s="33"/>
      <c r="F186" s="36" t="s">
        <v>1178</v>
      </c>
      <c r="G186" s="36">
        <v>206586</v>
      </c>
      <c r="H186" s="37">
        <v>44736</v>
      </c>
      <c r="I186" s="36">
        <v>68</v>
      </c>
      <c r="J186" s="36" t="s">
        <v>1327</v>
      </c>
      <c r="K186" s="36" t="s">
        <v>1327</v>
      </c>
      <c r="L186" s="36" t="s">
        <v>1328</v>
      </c>
      <c r="M186" s="27"/>
      <c r="O186" s="28" t="str">
        <f>IFERROR(VLOOKUP(A186, '2024 Full View'!$1:$999, 1, FALSE), "")</f>
        <v/>
      </c>
      <c r="P186" s="3" t="str">
        <f ca="1">IFERROR(__xludf.DUMMYFUNCTION("TEXTJOIN("", "",TRUE, FILTER($B$1:$E$1,B186:E186&lt;&gt;""""))"),"Maggie")</f>
        <v>Maggie</v>
      </c>
    </row>
    <row r="187" spans="1:16" ht="14">
      <c r="A187" s="36" t="s">
        <v>2308</v>
      </c>
      <c r="B187" s="33"/>
      <c r="C187" s="33"/>
      <c r="D187" s="33"/>
      <c r="E187" s="36">
        <v>58</v>
      </c>
      <c r="F187" s="33"/>
      <c r="G187" s="36">
        <v>200575</v>
      </c>
      <c r="H187" s="37">
        <v>44295</v>
      </c>
      <c r="I187" s="36">
        <v>68</v>
      </c>
      <c r="J187" s="36" t="s">
        <v>1126</v>
      </c>
      <c r="K187" s="36" t="s">
        <v>438</v>
      </c>
      <c r="L187" s="36" t="s">
        <v>1329</v>
      </c>
      <c r="M187" s="27"/>
      <c r="O187" s="28" t="str">
        <f>IFERROR(VLOOKUP(A187, '2024 Full View'!$1:$999, 1, FALSE), "")</f>
        <v/>
      </c>
      <c r="P187" s="3" t="str">
        <f ca="1">IFERROR(__xludf.DUMMYFUNCTION("TEXTJOIN("", "",TRUE, FILTER($B$1:$E$1,B187:E187&lt;&gt;""""))"),"Jamie")</f>
        <v>Jamie</v>
      </c>
    </row>
    <row r="188" spans="1:16" ht="14">
      <c r="A188" s="36" t="s">
        <v>1795</v>
      </c>
      <c r="B188" s="33"/>
      <c r="C188" s="36">
        <v>75</v>
      </c>
      <c r="D188" s="33"/>
      <c r="E188" s="33"/>
      <c r="F188" s="33"/>
      <c r="G188" s="36">
        <v>249866</v>
      </c>
      <c r="H188" s="37">
        <v>41610</v>
      </c>
      <c r="I188" s="36">
        <v>67</v>
      </c>
      <c r="J188" s="36" t="s">
        <v>1330</v>
      </c>
      <c r="K188" s="36" t="s">
        <v>433</v>
      </c>
      <c r="L188" s="36" t="s">
        <v>709</v>
      </c>
      <c r="M188" s="27"/>
      <c r="O188" s="28" t="str">
        <f>IFERROR(VLOOKUP(A188, '2024 Full View'!$1:$999, 1, FALSE), "")</f>
        <v>J'me tireGIMS</v>
      </c>
      <c r="P188" s="3" t="str">
        <f ca="1">IFERROR(__xludf.DUMMYFUNCTION("TEXTJOIN("", "",TRUE, FILTER($B$1:$E$1,B188:E188&lt;&gt;""""))"),"Bryce")</f>
        <v>Bryce</v>
      </c>
    </row>
    <row r="189" spans="1:16" ht="14">
      <c r="A189" s="36" t="s">
        <v>2309</v>
      </c>
      <c r="B189" s="33"/>
      <c r="C189" s="36">
        <v>87</v>
      </c>
      <c r="D189" s="33"/>
      <c r="E189" s="33"/>
      <c r="F189" s="33"/>
      <c r="G189" s="36">
        <v>143900</v>
      </c>
      <c r="H189" s="37">
        <v>44099</v>
      </c>
      <c r="I189" s="36">
        <v>67</v>
      </c>
      <c r="J189" s="36" t="s">
        <v>777</v>
      </c>
      <c r="K189" s="36" t="s">
        <v>435</v>
      </c>
      <c r="L189" s="36" t="s">
        <v>1331</v>
      </c>
      <c r="M189" s="27"/>
      <c r="O189" s="28" t="str">
        <f>IFERROR(VLOOKUP(A189, '2024 Full View'!$1:$999, 1, FALSE), "")</f>
        <v/>
      </c>
      <c r="P189" s="3" t="str">
        <f ca="1">IFERROR(__xludf.DUMMYFUNCTION("TEXTJOIN("", "",TRUE, FILTER($B$1:$E$1,B189:E189&lt;&gt;""""))"),"Bryce")</f>
        <v>Bryce</v>
      </c>
    </row>
    <row r="190" spans="1:16" ht="14">
      <c r="A190" s="36" t="s">
        <v>1912</v>
      </c>
      <c r="B190" s="33"/>
      <c r="C190" s="36">
        <v>99</v>
      </c>
      <c r="D190" s="33"/>
      <c r="E190" s="33"/>
      <c r="F190" s="36" t="s">
        <v>416</v>
      </c>
      <c r="G190" s="36">
        <v>124188</v>
      </c>
      <c r="H190" s="37">
        <v>44645</v>
      </c>
      <c r="I190" s="36">
        <v>67</v>
      </c>
      <c r="J190" s="36" t="s">
        <v>803</v>
      </c>
      <c r="K190" s="36" t="s">
        <v>435</v>
      </c>
      <c r="L190" s="36" t="s">
        <v>804</v>
      </c>
      <c r="M190" s="27"/>
      <c r="O190" s="28" t="str">
        <f>IFERROR(VLOOKUP(A190, '2024 Full View'!$1:$999, 1, FALSE), "")</f>
        <v>ay! (feat. Lil Wayne)mgk</v>
      </c>
      <c r="P190" s="3" t="str">
        <f ca="1">IFERROR(__xludf.DUMMYFUNCTION("TEXTJOIN("", "",TRUE, FILTER($B$1:$E$1,B190:E190&lt;&gt;""""))"),"Bryce")</f>
        <v>Bryce</v>
      </c>
    </row>
    <row r="191" spans="1:16" ht="14">
      <c r="A191" s="36" t="s">
        <v>2310</v>
      </c>
      <c r="B191" s="36">
        <v>73</v>
      </c>
      <c r="C191" s="33"/>
      <c r="D191" s="33"/>
      <c r="E191" s="33"/>
      <c r="F191" s="33"/>
      <c r="G191" s="36">
        <v>185675</v>
      </c>
      <c r="H191" s="37">
        <v>45051</v>
      </c>
      <c r="I191" s="36">
        <v>67</v>
      </c>
      <c r="J191" s="33" t="s">
        <v>1098</v>
      </c>
      <c r="K191" s="36" t="s">
        <v>1067</v>
      </c>
      <c r="L191" s="36" t="s">
        <v>1332</v>
      </c>
      <c r="M191" s="27"/>
      <c r="O191" s="28" t="str">
        <f>IFERROR(VLOOKUP(A191, '2024 Full View'!$1:$999, 1, FALSE), "")</f>
        <v/>
      </c>
      <c r="P191" s="3" t="str">
        <f ca="1">IFERROR(__xludf.DUMMYFUNCTION("TEXTJOIN("", "",TRUE, FILTER($B$1:$E$1,B191:E191&lt;&gt;""""))"),"Zach")</f>
        <v>Zach</v>
      </c>
    </row>
    <row r="192" spans="1:16" ht="14">
      <c r="A192" s="36" t="s">
        <v>2311</v>
      </c>
      <c r="B192" s="33"/>
      <c r="C192" s="33"/>
      <c r="D192" s="33"/>
      <c r="E192" s="36">
        <v>84</v>
      </c>
      <c r="F192" s="33"/>
      <c r="G192" s="36">
        <v>141200</v>
      </c>
      <c r="H192" s="37">
        <v>35486</v>
      </c>
      <c r="I192" s="36">
        <v>67</v>
      </c>
      <c r="J192" s="36" t="s">
        <v>1333</v>
      </c>
      <c r="K192" s="36" t="s">
        <v>1334</v>
      </c>
      <c r="L192" s="36" t="s">
        <v>1335</v>
      </c>
      <c r="M192" s="27"/>
      <c r="O192" s="28" t="str">
        <f>IFERROR(VLOOKUP(A192, '2024 Full View'!$1:$999, 1, FALSE), "")</f>
        <v/>
      </c>
      <c r="P192" s="3" t="str">
        <f ca="1">IFERROR(__xludf.DUMMYFUNCTION("TEXTJOIN("", "",TRUE, FILTER($B$1:$E$1,B192:E192&lt;&gt;""""))"),"Jamie")</f>
        <v>Jamie</v>
      </c>
    </row>
    <row r="193" spans="1:16" ht="14">
      <c r="A193" s="36" t="s">
        <v>1964</v>
      </c>
      <c r="B193" s="33"/>
      <c r="C193" s="33"/>
      <c r="D193" s="36">
        <v>31</v>
      </c>
      <c r="E193" s="33"/>
      <c r="F193" s="33"/>
      <c r="G193" s="36">
        <v>194453</v>
      </c>
      <c r="H193" s="36">
        <v>1975</v>
      </c>
      <c r="I193" s="36">
        <v>67</v>
      </c>
      <c r="J193" s="36" t="s">
        <v>592</v>
      </c>
      <c r="K193" s="36" t="s">
        <v>528</v>
      </c>
      <c r="L193" s="36" t="s">
        <v>593</v>
      </c>
      <c r="M193" s="27"/>
      <c r="O193" s="28" t="str">
        <f>IFERROR(VLOOKUP(A193, '2024 Full View'!$1:$999, 1, FALSE), "")</f>
        <v>Rhinestone CowboyGlen Campbell</v>
      </c>
      <c r="P193" s="3" t="str">
        <f ca="1">IFERROR(__xludf.DUMMYFUNCTION("TEXTJOIN("", "",TRUE, FILTER($B$1:$E$1,B193:E193&lt;&gt;""""))"),"Maggie")</f>
        <v>Maggie</v>
      </c>
    </row>
    <row r="194" spans="1:16" ht="14">
      <c r="A194" s="36" t="s">
        <v>2312</v>
      </c>
      <c r="B194" s="33"/>
      <c r="C194" s="33"/>
      <c r="D194" s="33"/>
      <c r="E194" s="36">
        <v>44</v>
      </c>
      <c r="F194" s="33"/>
      <c r="G194" s="36">
        <v>198200</v>
      </c>
      <c r="H194" s="37">
        <v>38971</v>
      </c>
      <c r="I194" s="36">
        <v>67</v>
      </c>
      <c r="J194" s="36" t="s">
        <v>1336</v>
      </c>
      <c r="K194" s="36" t="s">
        <v>488</v>
      </c>
      <c r="L194" s="36" t="s">
        <v>1337</v>
      </c>
      <c r="M194" s="27"/>
      <c r="O194" s="28" t="str">
        <f>IFERROR(VLOOKUP(A194, '2024 Full View'!$1:$999, 1, FALSE), "")</f>
        <v/>
      </c>
      <c r="P194" s="3" t="str">
        <f ca="1">IFERROR(__xludf.DUMMYFUNCTION("TEXTJOIN("", "",TRUE, FILTER($B$1:$E$1,B194:E194&lt;&gt;""""))"),"Jamie")</f>
        <v>Jamie</v>
      </c>
    </row>
    <row r="195" spans="1:16" ht="14">
      <c r="A195" s="36" t="s">
        <v>2313</v>
      </c>
      <c r="B195" s="36">
        <v>35</v>
      </c>
      <c r="C195" s="33"/>
      <c r="D195" s="33"/>
      <c r="E195" s="33"/>
      <c r="F195" s="33"/>
      <c r="G195" s="36">
        <v>161811</v>
      </c>
      <c r="H195" s="37">
        <v>45058</v>
      </c>
      <c r="I195" s="36">
        <v>67</v>
      </c>
      <c r="J195" s="36" t="s">
        <v>1226</v>
      </c>
      <c r="K195" s="36" t="s">
        <v>1227</v>
      </c>
      <c r="L195" s="36" t="s">
        <v>1338</v>
      </c>
      <c r="M195" s="27"/>
      <c r="O195" s="28" t="str">
        <f>IFERROR(VLOOKUP(A195, '2024 Full View'!$1:$999, 1, FALSE), "")</f>
        <v/>
      </c>
      <c r="P195" s="3" t="str">
        <f ca="1">IFERROR(__xludf.DUMMYFUNCTION("TEXTJOIN("", "",TRUE, FILTER($B$1:$E$1,B195:E195&lt;&gt;""""))"),"Zach")</f>
        <v>Zach</v>
      </c>
    </row>
    <row r="196" spans="1:16" ht="14">
      <c r="A196" s="36" t="s">
        <v>2314</v>
      </c>
      <c r="B196" s="36">
        <v>18</v>
      </c>
      <c r="C196" s="33"/>
      <c r="D196" s="33"/>
      <c r="E196" s="33"/>
      <c r="F196" s="33"/>
      <c r="G196" s="36">
        <v>183080</v>
      </c>
      <c r="H196" s="37">
        <v>44971</v>
      </c>
      <c r="I196" s="36">
        <v>67</v>
      </c>
      <c r="J196" s="36" t="s">
        <v>1339</v>
      </c>
      <c r="K196" s="36" t="s">
        <v>1340</v>
      </c>
      <c r="L196" s="36" t="s">
        <v>1341</v>
      </c>
      <c r="M196" s="27"/>
      <c r="O196" s="28" t="str">
        <f>IFERROR(VLOOKUP(A196, '2024 Full View'!$1:$999, 1, FALSE), "")</f>
        <v/>
      </c>
      <c r="P196" s="3" t="str">
        <f ca="1">IFERROR(__xludf.DUMMYFUNCTION("TEXTJOIN("", "",TRUE, FILTER($B$1:$E$1,B196:E196&lt;&gt;""""))"),"Zach")</f>
        <v>Zach</v>
      </c>
    </row>
    <row r="197" spans="1:16" ht="14">
      <c r="A197" s="36" t="s">
        <v>2315</v>
      </c>
      <c r="B197" s="33"/>
      <c r="C197" s="33"/>
      <c r="D197" s="33"/>
      <c r="E197" s="36">
        <v>66</v>
      </c>
      <c r="F197" s="33"/>
      <c r="G197" s="36">
        <v>201785</v>
      </c>
      <c r="H197" s="37">
        <v>42468</v>
      </c>
      <c r="I197" s="36">
        <v>67</v>
      </c>
      <c r="J197" s="36" t="s">
        <v>1151</v>
      </c>
      <c r="K197" s="36" t="s">
        <v>372</v>
      </c>
      <c r="L197" s="36" t="s">
        <v>1342</v>
      </c>
      <c r="M197" s="27"/>
      <c r="O197" s="28" t="str">
        <f>IFERROR(VLOOKUP(A197, '2024 Full View'!$1:$999, 1, FALSE), "")</f>
        <v/>
      </c>
      <c r="P197" s="3" t="str">
        <f ca="1">IFERROR(__xludf.DUMMYFUNCTION("TEXTJOIN("", "",TRUE, FILTER($B$1:$E$1,B197:E197&lt;&gt;""""))"),"Jamie")</f>
        <v>Jamie</v>
      </c>
    </row>
    <row r="198" spans="1:16" ht="14">
      <c r="A198" s="36" t="s">
        <v>2316</v>
      </c>
      <c r="B198" s="36">
        <v>60</v>
      </c>
      <c r="C198" s="33"/>
      <c r="D198" s="33"/>
      <c r="E198" s="33"/>
      <c r="F198" s="33"/>
      <c r="G198" s="36">
        <v>160347</v>
      </c>
      <c r="H198" s="37">
        <v>44988</v>
      </c>
      <c r="I198" s="36">
        <v>67</v>
      </c>
      <c r="J198" s="36" t="s">
        <v>843</v>
      </c>
      <c r="K198" s="36" t="s">
        <v>429</v>
      </c>
      <c r="L198" s="36" t="s">
        <v>1343</v>
      </c>
      <c r="M198" s="27"/>
      <c r="O198" s="28" t="str">
        <f>IFERROR(VLOOKUP(A198, '2024 Full View'!$1:$999, 1, FALSE), "")</f>
        <v/>
      </c>
      <c r="P198" s="3" t="str">
        <f ca="1">IFERROR(__xludf.DUMMYFUNCTION("TEXTJOIN("", "",TRUE, FILTER($B$1:$E$1,B198:E198&lt;&gt;""""))"),"Zach")</f>
        <v>Zach</v>
      </c>
    </row>
    <row r="199" spans="1:16" ht="14">
      <c r="A199" s="36" t="s">
        <v>2317</v>
      </c>
      <c r="B199" s="36">
        <v>40</v>
      </c>
      <c r="C199" s="36">
        <v>29</v>
      </c>
      <c r="D199" s="33"/>
      <c r="E199" s="33"/>
      <c r="F199" s="33"/>
      <c r="G199" s="36">
        <v>193163</v>
      </c>
      <c r="H199" s="37">
        <v>44988</v>
      </c>
      <c r="I199" s="36">
        <v>66</v>
      </c>
      <c r="J199" s="36" t="s">
        <v>843</v>
      </c>
      <c r="K199" s="36" t="s">
        <v>429</v>
      </c>
      <c r="L199" s="36" t="s">
        <v>1344</v>
      </c>
      <c r="M199" s="27"/>
      <c r="O199" s="28" t="str">
        <f>IFERROR(VLOOKUP(A199, '2024 Full View'!$1:$999, 1, FALSE), "")</f>
        <v/>
      </c>
      <c r="P199" s="3" t="str">
        <f ca="1">IFERROR(__xludf.DUMMYFUNCTION("TEXTJOIN("", "",TRUE, FILTER($B$1:$E$1,B199:E199&lt;&gt;""""))"),"Zach, Bryce")</f>
        <v>Zach, Bryce</v>
      </c>
    </row>
    <row r="200" spans="1:16" ht="14">
      <c r="A200" s="36" t="s">
        <v>2318</v>
      </c>
      <c r="B200" s="36">
        <v>28</v>
      </c>
      <c r="C200" s="36">
        <v>61</v>
      </c>
      <c r="D200" s="33"/>
      <c r="E200" s="33"/>
      <c r="F200" s="33"/>
      <c r="G200" s="36">
        <v>191634</v>
      </c>
      <c r="H200" s="37">
        <v>44988</v>
      </c>
      <c r="I200" s="36">
        <v>66</v>
      </c>
      <c r="J200" s="36" t="s">
        <v>843</v>
      </c>
      <c r="K200" s="36" t="s">
        <v>429</v>
      </c>
      <c r="L200" s="36" t="s">
        <v>1345</v>
      </c>
      <c r="M200" s="27"/>
      <c r="O200" s="28" t="str">
        <f>IFERROR(VLOOKUP(A200, '2024 Full View'!$1:$999, 1, FALSE), "")</f>
        <v/>
      </c>
      <c r="P200" s="3" t="str">
        <f ca="1">IFERROR(__xludf.DUMMYFUNCTION("TEXTJOIN("", "",TRUE, FILTER($B$1:$E$1,B200:E200&lt;&gt;""""))"),"Zach, Bryce")</f>
        <v>Zach, Bryce</v>
      </c>
    </row>
    <row r="201" spans="1:16" ht="14">
      <c r="A201" s="36" t="s">
        <v>2319</v>
      </c>
      <c r="B201" s="36">
        <v>52</v>
      </c>
      <c r="C201" s="36">
        <v>69</v>
      </c>
      <c r="D201" s="33"/>
      <c r="E201" s="33"/>
      <c r="F201" s="33"/>
      <c r="G201" s="36">
        <v>198255</v>
      </c>
      <c r="H201" s="37">
        <v>44988</v>
      </c>
      <c r="I201" s="36">
        <v>66</v>
      </c>
      <c r="J201" s="36" t="s">
        <v>843</v>
      </c>
      <c r="K201" s="36" t="s">
        <v>429</v>
      </c>
      <c r="L201" s="36" t="s">
        <v>1346</v>
      </c>
      <c r="M201" s="27"/>
      <c r="O201" s="28" t="str">
        <f>IFERROR(VLOOKUP(A201, '2024 Full View'!$1:$999, 1, FALSE), "")</f>
        <v/>
      </c>
      <c r="P201" s="3" t="str">
        <f ca="1">IFERROR(__xludf.DUMMYFUNCTION("TEXTJOIN("", "",TRUE, FILTER($B$1:$E$1,B201:E201&lt;&gt;""""))"),"Zach, Bryce")</f>
        <v>Zach, Bryce</v>
      </c>
    </row>
    <row r="202" spans="1:16" ht="14">
      <c r="A202" s="36" t="s">
        <v>2320</v>
      </c>
      <c r="B202" s="33"/>
      <c r="C202" s="33"/>
      <c r="D202" s="36">
        <v>50</v>
      </c>
      <c r="E202" s="33"/>
      <c r="F202" s="33"/>
      <c r="G202" s="36">
        <v>119813</v>
      </c>
      <c r="H202" s="37">
        <v>24324</v>
      </c>
      <c r="I202" s="36">
        <v>66</v>
      </c>
      <c r="J202" s="36" t="s">
        <v>1347</v>
      </c>
      <c r="K202" s="36" t="s">
        <v>1348</v>
      </c>
      <c r="L202" s="36" t="s">
        <v>1349</v>
      </c>
      <c r="M202" s="27"/>
      <c r="O202" s="28" t="str">
        <f>IFERROR(VLOOKUP(A202, '2024 Full View'!$1:$999, 1, FALSE), "")</f>
        <v/>
      </c>
      <c r="P202" s="3" t="str">
        <f ca="1">IFERROR(__xludf.DUMMYFUNCTION("TEXTJOIN("", "",TRUE, FILTER($B$1:$E$1,B202:E202&lt;&gt;""""))"),"Maggie")</f>
        <v>Maggie</v>
      </c>
    </row>
    <row r="203" spans="1:16" ht="14">
      <c r="A203" s="36" t="s">
        <v>2321</v>
      </c>
      <c r="B203" s="33"/>
      <c r="C203" s="33"/>
      <c r="D203" s="36">
        <v>65</v>
      </c>
      <c r="E203" s="33"/>
      <c r="F203" s="33"/>
      <c r="G203" s="36">
        <v>197160</v>
      </c>
      <c r="H203" s="37">
        <v>37201</v>
      </c>
      <c r="I203" s="36">
        <v>66</v>
      </c>
      <c r="J203" s="36" t="s">
        <v>1350</v>
      </c>
      <c r="K203" s="36" t="s">
        <v>1351</v>
      </c>
      <c r="L203" s="36" t="s">
        <v>1352</v>
      </c>
      <c r="M203" s="27"/>
      <c r="O203" s="28" t="str">
        <f>IFERROR(VLOOKUP(A203, '2024 Full View'!$1:$999, 1, FALSE), "")</f>
        <v/>
      </c>
      <c r="P203" s="3" t="str">
        <f ca="1">IFERROR(__xludf.DUMMYFUNCTION("TEXTJOIN("", "",TRUE, FILTER($B$1:$E$1,B203:E203&lt;&gt;""""))"),"Maggie")</f>
        <v>Maggie</v>
      </c>
    </row>
    <row r="204" spans="1:16" ht="14">
      <c r="A204" s="36" t="s">
        <v>2322</v>
      </c>
      <c r="B204" s="33"/>
      <c r="C204" s="33"/>
      <c r="D204" s="33"/>
      <c r="E204" s="36">
        <v>40</v>
      </c>
      <c r="F204" s="33"/>
      <c r="G204" s="36">
        <v>238573</v>
      </c>
      <c r="H204" s="36">
        <v>1976</v>
      </c>
      <c r="I204" s="36">
        <v>66</v>
      </c>
      <c r="J204" s="36" t="s">
        <v>1186</v>
      </c>
      <c r="K204" s="36" t="s">
        <v>1353</v>
      </c>
      <c r="L204" s="36" t="s">
        <v>1354</v>
      </c>
      <c r="M204" s="27"/>
      <c r="O204" s="28" t="str">
        <f>IFERROR(VLOOKUP(A204, '2024 Full View'!$1:$999, 1, FALSE), "")</f>
        <v/>
      </c>
      <c r="P204" s="3" t="str">
        <f ca="1">IFERROR(__xludf.DUMMYFUNCTION("TEXTJOIN("", "",TRUE, FILTER($B$1:$E$1,B204:E204&lt;&gt;""""))"),"Jamie")</f>
        <v>Jamie</v>
      </c>
    </row>
    <row r="205" spans="1:16" ht="14">
      <c r="A205" s="36" t="s">
        <v>1983</v>
      </c>
      <c r="B205" s="33"/>
      <c r="C205" s="33"/>
      <c r="D205" s="36">
        <v>49</v>
      </c>
      <c r="E205" s="33"/>
      <c r="F205" s="33"/>
      <c r="G205" s="36">
        <v>250373</v>
      </c>
      <c r="H205" s="37">
        <v>40130</v>
      </c>
      <c r="I205" s="36">
        <v>66</v>
      </c>
      <c r="J205" s="36" t="s">
        <v>683</v>
      </c>
      <c r="K205" s="36" t="s">
        <v>488</v>
      </c>
      <c r="L205" s="36" t="s">
        <v>684</v>
      </c>
      <c r="M205" s="27"/>
      <c r="O205" s="28" t="str">
        <f>IFERROR(VLOOKUP(A205, '2024 Full View'!$1:$999, 1, FALSE), "")</f>
        <v>Half of My HeartJohn Mayer</v>
      </c>
      <c r="P205" s="3" t="str">
        <f ca="1">IFERROR(__xludf.DUMMYFUNCTION("TEXTJOIN("", "",TRUE, FILTER($B$1:$E$1,B205:E205&lt;&gt;""""))"),"Maggie")</f>
        <v>Maggie</v>
      </c>
    </row>
    <row r="206" spans="1:16" ht="14">
      <c r="A206" s="36" t="s">
        <v>2323</v>
      </c>
      <c r="B206" s="33"/>
      <c r="C206" s="33"/>
      <c r="D206" s="33"/>
      <c r="E206" s="36">
        <v>34</v>
      </c>
      <c r="F206" s="33"/>
      <c r="G206" s="36">
        <v>193800</v>
      </c>
      <c r="H206" s="37">
        <v>44056</v>
      </c>
      <c r="I206" s="36">
        <v>66</v>
      </c>
      <c r="J206" s="36" t="s">
        <v>1355</v>
      </c>
      <c r="K206" s="36" t="s">
        <v>487</v>
      </c>
      <c r="L206" s="36" t="s">
        <v>1356</v>
      </c>
      <c r="M206" s="27"/>
      <c r="O206" s="28" t="str">
        <f>IFERROR(VLOOKUP(A206, '2024 Full View'!$1:$999, 1, FALSE), "")</f>
        <v/>
      </c>
      <c r="P206" s="3" t="str">
        <f ca="1">IFERROR(__xludf.DUMMYFUNCTION("TEXTJOIN("", "",TRUE, FILTER($B$1:$E$1,B206:E206&lt;&gt;""""))"),"Jamie")</f>
        <v>Jamie</v>
      </c>
    </row>
    <row r="207" spans="1:16" ht="14">
      <c r="A207" s="36" t="s">
        <v>2324</v>
      </c>
      <c r="B207" s="33"/>
      <c r="C207" s="33"/>
      <c r="D207" s="33"/>
      <c r="E207" s="36">
        <v>24</v>
      </c>
      <c r="F207" s="33"/>
      <c r="G207" s="36">
        <v>192621</v>
      </c>
      <c r="H207" s="37">
        <v>44428</v>
      </c>
      <c r="I207" s="36">
        <v>66</v>
      </c>
      <c r="J207" s="36" t="s">
        <v>1357</v>
      </c>
      <c r="K207" s="36" t="s">
        <v>1358</v>
      </c>
      <c r="L207" s="36" t="s">
        <v>1357</v>
      </c>
      <c r="M207" s="27"/>
      <c r="O207" s="28" t="str">
        <f>IFERROR(VLOOKUP(A207, '2024 Full View'!$1:$999, 1, FALSE), "")</f>
        <v/>
      </c>
      <c r="P207" s="3" t="str">
        <f ca="1">IFERROR(__xludf.DUMMYFUNCTION("TEXTJOIN("", "",TRUE, FILTER($B$1:$E$1,B207:E207&lt;&gt;""""))"),"Jamie")</f>
        <v>Jamie</v>
      </c>
    </row>
    <row r="208" spans="1:16" ht="14">
      <c r="A208" s="36" t="s">
        <v>2325</v>
      </c>
      <c r="B208" s="36">
        <v>34</v>
      </c>
      <c r="C208" s="33"/>
      <c r="D208" s="33"/>
      <c r="E208" s="33"/>
      <c r="F208" s="33"/>
      <c r="G208" s="36">
        <v>191986</v>
      </c>
      <c r="H208" s="37">
        <v>45009</v>
      </c>
      <c r="I208" s="36">
        <v>66</v>
      </c>
      <c r="J208" s="36" t="s">
        <v>850</v>
      </c>
      <c r="K208" s="36" t="s">
        <v>482</v>
      </c>
      <c r="L208" s="36" t="s">
        <v>1359</v>
      </c>
      <c r="M208" s="27"/>
      <c r="O208" s="28" t="str">
        <f>IFERROR(VLOOKUP(A208, '2024 Full View'!$1:$999, 1, FALSE), "")</f>
        <v/>
      </c>
      <c r="P208" s="3" t="str">
        <f ca="1">IFERROR(__xludf.DUMMYFUNCTION("TEXTJOIN("", "",TRUE, FILTER($B$1:$E$1,B208:E208&lt;&gt;""""))"),"Zach")</f>
        <v>Zach</v>
      </c>
    </row>
    <row r="209" spans="1:16" ht="14">
      <c r="A209" s="36" t="s">
        <v>2326</v>
      </c>
      <c r="B209" s="36">
        <v>58</v>
      </c>
      <c r="C209" s="33"/>
      <c r="D209" s="33"/>
      <c r="E209" s="33"/>
      <c r="F209" s="33"/>
      <c r="G209" s="36">
        <v>209280</v>
      </c>
      <c r="H209" s="37">
        <v>41640</v>
      </c>
      <c r="I209" s="36">
        <v>66</v>
      </c>
      <c r="J209" s="36" t="s">
        <v>1360</v>
      </c>
      <c r="K209" s="36" t="s">
        <v>1361</v>
      </c>
      <c r="L209" s="36" t="s">
        <v>1362</v>
      </c>
      <c r="M209" s="27"/>
      <c r="O209" s="28" t="str">
        <f>IFERROR(VLOOKUP(A209, '2024 Full View'!$1:$999, 1, FALSE), "")</f>
        <v/>
      </c>
      <c r="P209" s="3" t="str">
        <f ca="1">IFERROR(__xludf.DUMMYFUNCTION("TEXTJOIN("", "",TRUE, FILTER($B$1:$E$1,B209:E209&lt;&gt;""""))"),"Zach")</f>
        <v>Zach</v>
      </c>
    </row>
    <row r="210" spans="1:16" ht="14">
      <c r="A210" s="36" t="s">
        <v>1804</v>
      </c>
      <c r="B210" s="33"/>
      <c r="C210" s="33"/>
      <c r="D210" s="36">
        <v>74</v>
      </c>
      <c r="E210" s="33"/>
      <c r="F210" s="33"/>
      <c r="G210" s="36">
        <v>323400</v>
      </c>
      <c r="H210" s="37">
        <v>35065</v>
      </c>
      <c r="I210" s="36">
        <v>66</v>
      </c>
      <c r="J210" s="36" t="s">
        <v>490</v>
      </c>
      <c r="K210" s="36" t="s">
        <v>490</v>
      </c>
      <c r="L210" s="36" t="s">
        <v>652</v>
      </c>
      <c r="M210" s="27"/>
      <c r="O210" s="28" t="str">
        <f>IFERROR(VLOOKUP(A210, '2024 Full View'!$1:$999, 1, FALSE), "")</f>
        <v>If It Makes You HappySheryl Crow</v>
      </c>
      <c r="P210" s="3" t="str">
        <f ca="1">IFERROR(__xludf.DUMMYFUNCTION("TEXTJOIN("", "",TRUE, FILTER($B$1:$E$1,B210:E210&lt;&gt;""""))"),"Maggie")</f>
        <v>Maggie</v>
      </c>
    </row>
    <row r="211" spans="1:16" ht="14">
      <c r="A211" s="36" t="s">
        <v>2327</v>
      </c>
      <c r="B211" s="33"/>
      <c r="C211" s="36">
        <v>8</v>
      </c>
      <c r="D211" s="33"/>
      <c r="E211" s="33"/>
      <c r="F211" s="36" t="s">
        <v>1363</v>
      </c>
      <c r="G211" s="36">
        <v>248666</v>
      </c>
      <c r="H211" s="36">
        <v>2009</v>
      </c>
      <c r="I211" s="36">
        <v>65</v>
      </c>
      <c r="J211" s="36" t="s">
        <v>1364</v>
      </c>
      <c r="K211" s="36" t="s">
        <v>1365</v>
      </c>
      <c r="L211" s="36" t="s">
        <v>1366</v>
      </c>
      <c r="M211" s="27"/>
      <c r="O211" s="28" t="str">
        <f>IFERROR(VLOOKUP(A211, '2024 Full View'!$1:$999, 1, FALSE), "")</f>
        <v/>
      </c>
      <c r="P211" s="3" t="str">
        <f ca="1">IFERROR(__xludf.DUMMYFUNCTION("TEXTJOIN("", "",TRUE, FILTER($B$1:$E$1,B211:E211&lt;&gt;""""))"),"Bryce")</f>
        <v>Bryce</v>
      </c>
    </row>
    <row r="212" spans="1:16" ht="14">
      <c r="A212" s="36" t="s">
        <v>2328</v>
      </c>
      <c r="B212" s="33"/>
      <c r="C212" s="36">
        <v>66</v>
      </c>
      <c r="D212" s="33"/>
      <c r="E212" s="33"/>
      <c r="F212" s="33"/>
      <c r="G212" s="36">
        <v>244573</v>
      </c>
      <c r="H212" s="37">
        <v>41811</v>
      </c>
      <c r="I212" s="36">
        <v>65</v>
      </c>
      <c r="J212" s="36" t="s">
        <v>1220</v>
      </c>
      <c r="K212" s="36" t="s">
        <v>1067</v>
      </c>
      <c r="L212" s="36" t="s">
        <v>1367</v>
      </c>
      <c r="M212" s="27"/>
      <c r="O212" s="28" t="str">
        <f>IFERROR(VLOOKUP(A212, '2024 Full View'!$1:$999, 1, FALSE), "")</f>
        <v/>
      </c>
      <c r="P212" s="3" t="str">
        <f ca="1">IFERROR(__xludf.DUMMYFUNCTION("TEXTJOIN("", "",TRUE, FILTER($B$1:$E$1,B212:E212&lt;&gt;""""))"),"Bryce")</f>
        <v>Bryce</v>
      </c>
    </row>
    <row r="213" spans="1:16" ht="14">
      <c r="A213" s="36" t="s">
        <v>2329</v>
      </c>
      <c r="B213" s="33"/>
      <c r="C213" s="36">
        <v>84</v>
      </c>
      <c r="D213" s="33"/>
      <c r="E213" s="33"/>
      <c r="F213" s="33"/>
      <c r="G213" s="36">
        <v>225127</v>
      </c>
      <c r="H213" s="37">
        <v>44988</v>
      </c>
      <c r="I213" s="36">
        <v>65</v>
      </c>
      <c r="J213" s="36" t="s">
        <v>843</v>
      </c>
      <c r="K213" s="36" t="s">
        <v>429</v>
      </c>
      <c r="L213" s="36" t="s">
        <v>1368</v>
      </c>
      <c r="M213" s="27"/>
      <c r="O213" s="28" t="str">
        <f>IFERROR(VLOOKUP(A213, '2024 Full View'!$1:$999, 1, FALSE), "")</f>
        <v/>
      </c>
      <c r="P213" s="3" t="str">
        <f ca="1">IFERROR(__xludf.DUMMYFUNCTION("TEXTJOIN("", "",TRUE, FILTER($B$1:$E$1,B213:E213&lt;&gt;""""))"),"Bryce")</f>
        <v>Bryce</v>
      </c>
    </row>
    <row r="214" spans="1:16" ht="14">
      <c r="A214" s="36" t="s">
        <v>2330</v>
      </c>
      <c r="B214" s="36">
        <v>76</v>
      </c>
      <c r="C214" s="33"/>
      <c r="D214" s="33"/>
      <c r="E214" s="36">
        <v>98</v>
      </c>
      <c r="F214" s="33"/>
      <c r="G214" s="36">
        <v>285053</v>
      </c>
      <c r="H214" s="37">
        <v>38971</v>
      </c>
      <c r="I214" s="36">
        <v>65</v>
      </c>
      <c r="J214" s="36" t="s">
        <v>1336</v>
      </c>
      <c r="K214" s="36" t="s">
        <v>488</v>
      </c>
      <c r="L214" s="36" t="s">
        <v>1369</v>
      </c>
      <c r="M214" s="27"/>
      <c r="O214" s="28" t="str">
        <f>IFERROR(VLOOKUP(A214, '2024 Full View'!$1:$999, 1, FALSE), "")</f>
        <v/>
      </c>
      <c r="P214" s="3" t="str">
        <f ca="1">IFERROR(__xludf.DUMMYFUNCTION("TEXTJOIN("", "",TRUE, FILTER($B$1:$E$1,B214:E214&lt;&gt;""""))"),"Zach, Jamie")</f>
        <v>Zach, Jamie</v>
      </c>
    </row>
    <row r="215" spans="1:16" ht="14">
      <c r="A215" s="36" t="s">
        <v>2331</v>
      </c>
      <c r="B215" s="36">
        <v>2</v>
      </c>
      <c r="C215" s="33"/>
      <c r="D215" s="33"/>
      <c r="E215" s="36">
        <v>89</v>
      </c>
      <c r="F215" s="33"/>
      <c r="G215" s="36">
        <v>118993</v>
      </c>
      <c r="H215" s="37">
        <v>45058</v>
      </c>
      <c r="I215" s="36">
        <v>65</v>
      </c>
      <c r="J215" s="36" t="s">
        <v>1226</v>
      </c>
      <c r="K215" s="36" t="s">
        <v>1227</v>
      </c>
      <c r="L215" s="36" t="s">
        <v>1370</v>
      </c>
      <c r="M215" s="27"/>
      <c r="O215" s="28" t="str">
        <f>IFERROR(VLOOKUP(A215, '2024 Full View'!$1:$999, 1, FALSE), "")</f>
        <v/>
      </c>
      <c r="P215" s="3" t="str">
        <f ca="1">IFERROR(__xludf.DUMMYFUNCTION("TEXTJOIN("", "",TRUE, FILTER($B$1:$E$1,B215:E215&lt;&gt;""""))"),"Zach, Jamie")</f>
        <v>Zach, Jamie</v>
      </c>
    </row>
    <row r="216" spans="1:16" ht="14">
      <c r="A216" s="36" t="s">
        <v>1918</v>
      </c>
      <c r="B216" s="36">
        <v>50</v>
      </c>
      <c r="C216" s="33"/>
      <c r="D216" s="33"/>
      <c r="E216" s="33"/>
      <c r="F216" s="33"/>
      <c r="G216" s="36">
        <v>173706</v>
      </c>
      <c r="H216" s="37">
        <v>44799</v>
      </c>
      <c r="I216" s="36">
        <v>65</v>
      </c>
      <c r="J216" s="36" t="s">
        <v>818</v>
      </c>
      <c r="K216" s="36" t="s">
        <v>362</v>
      </c>
      <c r="L216" s="36" t="s">
        <v>819</v>
      </c>
      <c r="M216" s="27"/>
      <c r="O216" s="28" t="str">
        <f>IFERROR(VLOOKUP(A216, '2024 Full View'!$1:$999, 1, FALSE), "")</f>
        <v>Girl On FireKameron Marlowe</v>
      </c>
      <c r="P216" s="3" t="str">
        <f ca="1">IFERROR(__xludf.DUMMYFUNCTION("TEXTJOIN("", "",TRUE, FILTER($B$1:$E$1,B216:E216&lt;&gt;""""))"),"Zach")</f>
        <v>Zach</v>
      </c>
    </row>
    <row r="217" spans="1:16" ht="14">
      <c r="A217" s="36" t="s">
        <v>2332</v>
      </c>
      <c r="B217" s="33"/>
      <c r="C217" s="33"/>
      <c r="D217" s="33"/>
      <c r="E217" s="36">
        <v>15</v>
      </c>
      <c r="F217" s="33"/>
      <c r="G217" s="36">
        <v>254653</v>
      </c>
      <c r="H217" s="36">
        <v>1971</v>
      </c>
      <c r="I217" s="36">
        <v>65</v>
      </c>
      <c r="J217" s="36" t="s">
        <v>1371</v>
      </c>
      <c r="K217" s="36" t="s">
        <v>1372</v>
      </c>
      <c r="L217" s="36" t="s">
        <v>1373</v>
      </c>
      <c r="M217" s="27"/>
      <c r="O217" s="28" t="str">
        <f>IFERROR(VLOOKUP(A217, '2024 Full View'!$1:$999, 1, FALSE), "")</f>
        <v/>
      </c>
      <c r="P217" s="3" t="str">
        <f ca="1">IFERROR(__xludf.DUMMYFUNCTION("TEXTJOIN("", "",TRUE, FILTER($B$1:$E$1,B217:E217&lt;&gt;""""))"),"Jamie")</f>
        <v>Jamie</v>
      </c>
    </row>
    <row r="218" spans="1:16" ht="14">
      <c r="A218" s="36" t="s">
        <v>2333</v>
      </c>
      <c r="B218" s="36">
        <v>47</v>
      </c>
      <c r="C218" s="33"/>
      <c r="D218" s="33"/>
      <c r="E218" s="33"/>
      <c r="F218" s="36" t="s">
        <v>1374</v>
      </c>
      <c r="G218" s="36">
        <v>254746</v>
      </c>
      <c r="H218" s="37">
        <v>44736</v>
      </c>
      <c r="I218" s="36">
        <v>65</v>
      </c>
      <c r="J218" s="36" t="s">
        <v>1135</v>
      </c>
      <c r="K218" s="36" t="s">
        <v>482</v>
      </c>
      <c r="L218" s="36" t="s">
        <v>1375</v>
      </c>
      <c r="M218" s="27"/>
      <c r="O218" s="28" t="str">
        <f>IFERROR(VLOOKUP(A218, '2024 Full View'!$1:$999, 1, FALSE), "")</f>
        <v/>
      </c>
      <c r="P218" s="3" t="str">
        <f ca="1">IFERROR(__xludf.DUMMYFUNCTION("TEXTJOIN("", "",TRUE, FILTER($B$1:$E$1,B218:E218&lt;&gt;""""))"),"Zach")</f>
        <v>Zach</v>
      </c>
    </row>
    <row r="219" spans="1:16" ht="14">
      <c r="A219" s="36" t="s">
        <v>2334</v>
      </c>
      <c r="B219" s="36">
        <v>19</v>
      </c>
      <c r="C219" s="33"/>
      <c r="D219" s="33"/>
      <c r="E219" s="33"/>
      <c r="F219" s="33"/>
      <c r="G219" s="36">
        <v>189413</v>
      </c>
      <c r="H219" s="37">
        <v>45100</v>
      </c>
      <c r="I219" s="36">
        <v>65</v>
      </c>
      <c r="J219" s="36" t="s">
        <v>1376</v>
      </c>
      <c r="K219" s="36" t="s">
        <v>1377</v>
      </c>
      <c r="L219" s="36" t="s">
        <v>1378</v>
      </c>
      <c r="M219" s="27"/>
      <c r="O219" s="28" t="str">
        <f>IFERROR(VLOOKUP(A219, '2024 Full View'!$1:$999, 1, FALSE), "")</f>
        <v/>
      </c>
      <c r="P219" s="3" t="str">
        <f ca="1">IFERROR(__xludf.DUMMYFUNCTION("TEXTJOIN("", "",TRUE, FILTER($B$1:$E$1,B219:E219&lt;&gt;""""))"),"Zach")</f>
        <v>Zach</v>
      </c>
    </row>
    <row r="220" spans="1:16" ht="14">
      <c r="A220" s="36" t="s">
        <v>2335</v>
      </c>
      <c r="B220" s="33"/>
      <c r="C220" s="33"/>
      <c r="D220" s="36">
        <v>90</v>
      </c>
      <c r="E220" s="33"/>
      <c r="F220" s="33"/>
      <c r="G220" s="36">
        <v>239573</v>
      </c>
      <c r="H220" s="37">
        <v>45156</v>
      </c>
      <c r="I220" s="36">
        <v>65</v>
      </c>
      <c r="J220" s="36" t="s">
        <v>1043</v>
      </c>
      <c r="K220" s="36" t="s">
        <v>465</v>
      </c>
      <c r="L220" s="36" t="s">
        <v>1379</v>
      </c>
      <c r="M220" s="27"/>
      <c r="O220" s="28" t="str">
        <f>IFERROR(VLOOKUP(A220, '2024 Full View'!$1:$999, 1, FALSE), "")</f>
        <v/>
      </c>
      <c r="P220" s="3" t="str">
        <f ca="1">IFERROR(__xludf.DUMMYFUNCTION("TEXTJOIN("", "",TRUE, FILTER($B$1:$E$1,B220:E220&lt;&gt;""""))"),"Maggie")</f>
        <v>Maggie</v>
      </c>
    </row>
    <row r="221" spans="1:16" ht="14">
      <c r="A221" s="36" t="s">
        <v>2336</v>
      </c>
      <c r="B221" s="36">
        <v>12</v>
      </c>
      <c r="C221" s="33"/>
      <c r="D221" s="33"/>
      <c r="E221" s="33"/>
      <c r="F221" s="33"/>
      <c r="G221" s="36">
        <v>187518</v>
      </c>
      <c r="H221" s="37">
        <v>44988</v>
      </c>
      <c r="I221" s="36">
        <v>65</v>
      </c>
      <c r="J221" s="36" t="s">
        <v>843</v>
      </c>
      <c r="K221" s="36" t="s">
        <v>429</v>
      </c>
      <c r="L221" s="36" t="s">
        <v>1380</v>
      </c>
      <c r="M221" s="27"/>
      <c r="O221" s="28" t="str">
        <f>IFERROR(VLOOKUP(A221, '2024 Full View'!$1:$999, 1, FALSE), "")</f>
        <v/>
      </c>
      <c r="P221" s="3" t="str">
        <f ca="1">IFERROR(__xludf.DUMMYFUNCTION("TEXTJOIN("", "",TRUE, FILTER($B$1:$E$1,B221:E221&lt;&gt;""""))"),"Zach")</f>
        <v>Zach</v>
      </c>
    </row>
    <row r="222" spans="1:16" ht="14">
      <c r="A222" s="36" t="s">
        <v>2337</v>
      </c>
      <c r="B222" s="33"/>
      <c r="C222" s="33"/>
      <c r="D222" s="33"/>
      <c r="E222" s="36">
        <v>79</v>
      </c>
      <c r="F222" s="33"/>
      <c r="G222" s="36">
        <v>296386</v>
      </c>
      <c r="H222" s="37">
        <v>43238</v>
      </c>
      <c r="I222" s="36">
        <v>65</v>
      </c>
      <c r="J222" s="36" t="s">
        <v>1381</v>
      </c>
      <c r="K222" s="36" t="s">
        <v>546</v>
      </c>
      <c r="L222" s="36" t="s">
        <v>1382</v>
      </c>
      <c r="M222" s="27"/>
      <c r="O222" s="28" t="str">
        <f>IFERROR(VLOOKUP(A222, '2024 Full View'!$1:$999, 1, FALSE), "")</f>
        <v/>
      </c>
      <c r="P222" s="3" t="str">
        <f ca="1">IFERROR(__xludf.DUMMYFUNCTION("TEXTJOIN("", "",TRUE, FILTER($B$1:$E$1,B222:E222&lt;&gt;""""))"),"Jamie")</f>
        <v>Jamie</v>
      </c>
    </row>
    <row r="223" spans="1:16" ht="14">
      <c r="A223" s="36" t="s">
        <v>2338</v>
      </c>
      <c r="B223" s="33"/>
      <c r="C223" s="33"/>
      <c r="D223" s="33"/>
      <c r="E223" s="36">
        <v>23</v>
      </c>
      <c r="F223" s="33"/>
      <c r="G223" s="36">
        <v>237338</v>
      </c>
      <c r="H223" s="37">
        <v>44295</v>
      </c>
      <c r="I223" s="36">
        <v>65</v>
      </c>
      <c r="J223" s="36" t="s">
        <v>1126</v>
      </c>
      <c r="K223" s="36" t="s">
        <v>438</v>
      </c>
      <c r="L223" s="36" t="s">
        <v>1383</v>
      </c>
      <c r="M223" s="27"/>
      <c r="O223" s="28" t="str">
        <f>IFERROR(VLOOKUP(A223, '2024 Full View'!$1:$999, 1, FALSE), "")</f>
        <v/>
      </c>
      <c r="P223" s="3" t="str">
        <f ca="1">IFERROR(__xludf.DUMMYFUNCTION("TEXTJOIN("", "",TRUE, FILTER($B$1:$E$1,B223:E223&lt;&gt;""""))"),"Jamie")</f>
        <v>Jamie</v>
      </c>
    </row>
    <row r="224" spans="1:16" ht="14">
      <c r="A224" s="36" t="s">
        <v>2339</v>
      </c>
      <c r="B224" s="33"/>
      <c r="C224" s="36">
        <v>94</v>
      </c>
      <c r="D224" s="33"/>
      <c r="E224" s="33"/>
      <c r="F224" s="33"/>
      <c r="G224" s="36">
        <v>199680</v>
      </c>
      <c r="H224" s="37">
        <v>44407</v>
      </c>
      <c r="I224" s="36">
        <v>64</v>
      </c>
      <c r="J224" s="36" t="s">
        <v>1384</v>
      </c>
      <c r="K224" s="36" t="s">
        <v>455</v>
      </c>
      <c r="L224" s="36" t="s">
        <v>1385</v>
      </c>
      <c r="M224" s="27"/>
      <c r="O224" s="28" t="str">
        <f>IFERROR(VLOOKUP(A224, '2024 Full View'!$1:$999, 1, FALSE), "")</f>
        <v/>
      </c>
      <c r="P224" s="3" t="str">
        <f ca="1">IFERROR(__xludf.DUMMYFUNCTION("TEXTJOIN("", "",TRUE, FILTER($B$1:$E$1,B224:E224&lt;&gt;""""))"),"Bryce")</f>
        <v>Bryce</v>
      </c>
    </row>
    <row r="225" spans="1:16" ht="14">
      <c r="A225" s="36" t="s">
        <v>2340</v>
      </c>
      <c r="B225" s="33"/>
      <c r="C225" s="36">
        <v>95</v>
      </c>
      <c r="D225" s="33"/>
      <c r="E225" s="33"/>
      <c r="F225" s="33"/>
      <c r="G225" s="36">
        <v>138097</v>
      </c>
      <c r="H225" s="37">
        <v>44099</v>
      </c>
      <c r="I225" s="36">
        <v>64</v>
      </c>
      <c r="J225" s="36" t="s">
        <v>777</v>
      </c>
      <c r="K225" s="36" t="s">
        <v>435</v>
      </c>
      <c r="L225" s="36" t="s">
        <v>1386</v>
      </c>
      <c r="M225" s="27"/>
      <c r="O225" s="28" t="str">
        <f>IFERROR(VLOOKUP(A225, '2024 Full View'!$1:$999, 1, FALSE), "")</f>
        <v/>
      </c>
      <c r="P225" s="3" t="str">
        <f ca="1">IFERROR(__xludf.DUMMYFUNCTION("TEXTJOIN("", "",TRUE, FILTER($B$1:$E$1,B225:E225&lt;&gt;""""))"),"Bryce")</f>
        <v>Bryce</v>
      </c>
    </row>
    <row r="226" spans="1:16" ht="14">
      <c r="A226" s="36" t="s">
        <v>2341</v>
      </c>
      <c r="B226" s="33"/>
      <c r="C226" s="33"/>
      <c r="D226" s="33"/>
      <c r="E226" s="36">
        <v>61</v>
      </c>
      <c r="F226" s="33"/>
      <c r="G226" s="36">
        <v>234282</v>
      </c>
      <c r="H226" s="37">
        <v>43441</v>
      </c>
      <c r="I226" s="36">
        <v>64</v>
      </c>
      <c r="J226" s="36" t="s">
        <v>1387</v>
      </c>
      <c r="K226" s="36" t="s">
        <v>1388</v>
      </c>
      <c r="L226" s="36" t="s">
        <v>1389</v>
      </c>
      <c r="M226" s="27"/>
      <c r="O226" s="28" t="str">
        <f>IFERROR(VLOOKUP(A226, '2024 Full View'!$1:$999, 1, FALSE), "")</f>
        <v/>
      </c>
      <c r="P226" s="3" t="str">
        <f ca="1">IFERROR(__xludf.DUMMYFUNCTION("TEXTJOIN("", "",TRUE, FILTER($B$1:$E$1,B226:E226&lt;&gt;""""))"),"Jamie")</f>
        <v>Jamie</v>
      </c>
    </row>
    <row r="227" spans="1:16" ht="14">
      <c r="A227" s="36" t="s">
        <v>2342</v>
      </c>
      <c r="B227" s="36">
        <v>70</v>
      </c>
      <c r="C227" s="33"/>
      <c r="D227" s="33"/>
      <c r="E227" s="33"/>
      <c r="F227" s="36" t="s">
        <v>480</v>
      </c>
      <c r="G227" s="36">
        <v>278200</v>
      </c>
      <c r="H227" s="37">
        <v>43560</v>
      </c>
      <c r="I227" s="36">
        <v>64</v>
      </c>
      <c r="J227" s="36" t="s">
        <v>1390</v>
      </c>
      <c r="K227" s="36" t="s">
        <v>1391</v>
      </c>
      <c r="L227" s="36" t="s">
        <v>1392</v>
      </c>
      <c r="M227" s="27"/>
      <c r="O227" s="28" t="str">
        <f>IFERROR(VLOOKUP(A227, '2024 Full View'!$1:$999, 1, FALSE), "")</f>
        <v/>
      </c>
      <c r="P227" s="3" t="str">
        <f ca="1">IFERROR(__xludf.DUMMYFUNCTION("TEXTJOIN("", "",TRUE, FILTER($B$1:$E$1,B227:E227&lt;&gt;""""))"),"Zach")</f>
        <v>Zach</v>
      </c>
    </row>
    <row r="228" spans="1:16" ht="14">
      <c r="A228" s="36" t="s">
        <v>2343</v>
      </c>
      <c r="B228" s="36">
        <v>75</v>
      </c>
      <c r="C228" s="33"/>
      <c r="D228" s="33"/>
      <c r="E228" s="33"/>
      <c r="F228" s="33"/>
      <c r="G228" s="36">
        <v>200346</v>
      </c>
      <c r="H228" s="37">
        <v>45121</v>
      </c>
      <c r="I228" s="36">
        <v>64</v>
      </c>
      <c r="J228" s="36" t="s">
        <v>1393</v>
      </c>
      <c r="K228" s="36" t="s">
        <v>1293</v>
      </c>
      <c r="L228" s="36" t="s">
        <v>1394</v>
      </c>
      <c r="M228" s="27"/>
      <c r="O228" s="28" t="str">
        <f>IFERROR(VLOOKUP(A228, '2024 Full View'!$1:$999, 1, FALSE), "")</f>
        <v/>
      </c>
      <c r="P228" s="3" t="str">
        <f ca="1">IFERROR(__xludf.DUMMYFUNCTION("TEXTJOIN("", "",TRUE, FILTER($B$1:$E$1,B228:E228&lt;&gt;""""))"),"Zach")</f>
        <v>Zach</v>
      </c>
    </row>
    <row r="229" spans="1:16" ht="14">
      <c r="A229" s="36" t="s">
        <v>2344</v>
      </c>
      <c r="B229" s="33"/>
      <c r="C229" s="33"/>
      <c r="D229" s="33"/>
      <c r="E229" s="36">
        <v>7</v>
      </c>
      <c r="F229" s="33"/>
      <c r="G229" s="36">
        <v>250547</v>
      </c>
      <c r="H229" s="37">
        <v>43146</v>
      </c>
      <c r="I229" s="36">
        <v>64</v>
      </c>
      <c r="J229" s="36" t="s">
        <v>1395</v>
      </c>
      <c r="K229" s="36" t="s">
        <v>1396</v>
      </c>
      <c r="L229" s="36" t="s">
        <v>1397</v>
      </c>
      <c r="M229" s="27"/>
      <c r="O229" s="28" t="str">
        <f>IFERROR(VLOOKUP(A229, '2024 Full View'!$1:$999, 1, FALSE), "")</f>
        <v/>
      </c>
      <c r="P229" s="3" t="str">
        <f ca="1">IFERROR(__xludf.DUMMYFUNCTION("TEXTJOIN("", "",TRUE, FILTER($B$1:$E$1,B229:E229&lt;&gt;""""))"),"Jamie")</f>
        <v>Jamie</v>
      </c>
    </row>
    <row r="230" spans="1:16" ht="14">
      <c r="A230" s="36" t="s">
        <v>2345</v>
      </c>
      <c r="B230" s="33"/>
      <c r="C230" s="33"/>
      <c r="D230" s="33"/>
      <c r="E230" s="36">
        <v>25</v>
      </c>
      <c r="F230" s="33"/>
      <c r="G230" s="36">
        <v>212853</v>
      </c>
      <c r="H230" s="37">
        <v>43196</v>
      </c>
      <c r="I230" s="36">
        <v>64</v>
      </c>
      <c r="J230" s="36" t="s">
        <v>1398</v>
      </c>
      <c r="K230" s="36" t="s">
        <v>1399</v>
      </c>
      <c r="L230" s="36" t="s">
        <v>1400</v>
      </c>
      <c r="M230" s="27"/>
      <c r="O230" s="28" t="str">
        <f>IFERROR(VLOOKUP(A230, '2024 Full View'!$1:$999, 1, FALSE), "")</f>
        <v/>
      </c>
      <c r="P230" s="3" t="str">
        <f ca="1">IFERROR(__xludf.DUMMYFUNCTION("TEXTJOIN("", "",TRUE, FILTER($B$1:$E$1,B230:E230&lt;&gt;""""))"),"Jamie")</f>
        <v>Jamie</v>
      </c>
    </row>
    <row r="231" spans="1:16" ht="14">
      <c r="A231" s="36" t="s">
        <v>1812</v>
      </c>
      <c r="B231" s="33"/>
      <c r="C231" s="33"/>
      <c r="D231" s="36">
        <v>6</v>
      </c>
      <c r="E231" s="33"/>
      <c r="F231" s="33"/>
      <c r="G231" s="36">
        <v>178746</v>
      </c>
      <c r="H231" s="36">
        <v>1973</v>
      </c>
      <c r="I231" s="36">
        <v>64</v>
      </c>
      <c r="J231" s="36" t="s">
        <v>541</v>
      </c>
      <c r="K231" s="36" t="s">
        <v>541</v>
      </c>
      <c r="L231" s="36" t="s">
        <v>591</v>
      </c>
      <c r="M231" s="27"/>
      <c r="O231" s="28" t="str">
        <f>IFERROR(VLOOKUP(A231, '2024 Full View'!$1:$999, 1, FALSE), "")</f>
        <v>When Will I See You AgainThe Three Degrees</v>
      </c>
      <c r="P231" s="3" t="str">
        <f ca="1">IFERROR(__xludf.DUMMYFUNCTION("TEXTJOIN("", "",TRUE, FILTER($B$1:$E$1,B231:E231&lt;&gt;""""))"),"Maggie")</f>
        <v>Maggie</v>
      </c>
    </row>
    <row r="232" spans="1:16" ht="14">
      <c r="A232" s="36" t="s">
        <v>2346</v>
      </c>
      <c r="B232" s="36">
        <v>9</v>
      </c>
      <c r="C232" s="36">
        <v>36</v>
      </c>
      <c r="D232" s="33"/>
      <c r="E232" s="33"/>
      <c r="F232" s="33"/>
      <c r="G232" s="36">
        <v>195760</v>
      </c>
      <c r="H232" s="37">
        <v>44498</v>
      </c>
      <c r="I232" s="36">
        <v>63</v>
      </c>
      <c r="J232" s="33" t="s">
        <v>1066</v>
      </c>
      <c r="K232" s="36" t="s">
        <v>1067</v>
      </c>
      <c r="L232" s="36" t="s">
        <v>1401</v>
      </c>
      <c r="M232" s="27"/>
      <c r="O232" s="28" t="str">
        <f>IFERROR(VLOOKUP(A232, '2024 Full View'!$1:$999, 1, FALSE), "")</f>
        <v/>
      </c>
      <c r="P232" s="3" t="str">
        <f ca="1">IFERROR(__xludf.DUMMYFUNCTION("TEXTJOIN("", "",TRUE, FILTER($B$1:$E$1,B232:E232&lt;&gt;""""))"),"Zach, Bryce")</f>
        <v>Zach, Bryce</v>
      </c>
    </row>
    <row r="233" spans="1:16" ht="14">
      <c r="A233" s="36" t="s">
        <v>1987</v>
      </c>
      <c r="B233" s="33"/>
      <c r="C233" s="33"/>
      <c r="D233" s="36">
        <v>15</v>
      </c>
      <c r="E233" s="33"/>
      <c r="F233" s="33"/>
      <c r="G233" s="36">
        <v>156200</v>
      </c>
      <c r="H233" s="37">
        <v>27030</v>
      </c>
      <c r="I233" s="36">
        <v>63</v>
      </c>
      <c r="J233" s="36" t="s">
        <v>634</v>
      </c>
      <c r="K233" s="36" t="s">
        <v>556</v>
      </c>
      <c r="L233" s="36" t="s">
        <v>635</v>
      </c>
      <c r="M233" s="27"/>
      <c r="O233" s="28" t="str">
        <f>IFERROR(VLOOKUP(A233, '2024 Full View'!$1:$999, 1, FALSE), "")</f>
        <v>Nothing From NothingBilly Preston</v>
      </c>
      <c r="P233" s="3" t="str">
        <f ca="1">IFERROR(__xludf.DUMMYFUNCTION("TEXTJOIN("", "",TRUE, FILTER($B$1:$E$1,B233:E233&lt;&gt;""""))"),"Maggie")</f>
        <v>Maggie</v>
      </c>
    </row>
    <row r="234" spans="1:16" ht="14">
      <c r="A234" s="36" t="s">
        <v>2347</v>
      </c>
      <c r="B234" s="33"/>
      <c r="C234" s="33"/>
      <c r="D234" s="36">
        <v>91</v>
      </c>
      <c r="E234" s="33"/>
      <c r="F234" s="33"/>
      <c r="G234" s="36">
        <v>294740</v>
      </c>
      <c r="H234" s="37">
        <v>44987</v>
      </c>
      <c r="I234" s="36">
        <v>63</v>
      </c>
      <c r="J234" s="36" t="s">
        <v>1402</v>
      </c>
      <c r="K234" s="36" t="s">
        <v>1403</v>
      </c>
      <c r="L234" s="36" t="s">
        <v>1404</v>
      </c>
      <c r="M234" s="27"/>
      <c r="O234" s="28" t="str">
        <f>IFERROR(VLOOKUP(A234, '2024 Full View'!$1:$999, 1, FALSE), "")</f>
        <v/>
      </c>
      <c r="P234" s="3" t="str">
        <f ca="1">IFERROR(__xludf.DUMMYFUNCTION("TEXTJOIN("", "",TRUE, FILTER($B$1:$E$1,B234:E234&lt;&gt;""""))"),"Maggie")</f>
        <v>Maggie</v>
      </c>
    </row>
    <row r="235" spans="1:16" ht="14">
      <c r="A235" s="36" t="s">
        <v>1881</v>
      </c>
      <c r="B235" s="36">
        <v>59</v>
      </c>
      <c r="C235" s="33"/>
      <c r="D235" s="33"/>
      <c r="E235" s="33"/>
      <c r="F235" s="33"/>
      <c r="G235" s="36">
        <v>200497</v>
      </c>
      <c r="H235" s="37">
        <v>45086</v>
      </c>
      <c r="I235" s="36">
        <v>63</v>
      </c>
      <c r="J235" s="36" t="s">
        <v>862</v>
      </c>
      <c r="K235" s="36" t="s">
        <v>494</v>
      </c>
      <c r="L235" s="36" t="s">
        <v>1405</v>
      </c>
      <c r="M235" s="27"/>
      <c r="O235" s="28" t="str">
        <f>IFERROR(VLOOKUP(A235, '2024 Full View'!$1:$999, 1, FALSE), "")</f>
        <v>You Could Start A CultNiall Horan</v>
      </c>
      <c r="P235" s="3" t="str">
        <f ca="1">IFERROR(__xludf.DUMMYFUNCTION("TEXTJOIN("", "",TRUE, FILTER($B$1:$E$1,B235:E235&lt;&gt;""""))"),"Zach")</f>
        <v>Zach</v>
      </c>
    </row>
    <row r="236" spans="1:16" ht="14">
      <c r="A236" s="36" t="s">
        <v>2348</v>
      </c>
      <c r="B236" s="33"/>
      <c r="C236" s="33"/>
      <c r="D236" s="33"/>
      <c r="E236" s="36">
        <v>35</v>
      </c>
      <c r="F236" s="33"/>
      <c r="G236" s="36">
        <v>259120</v>
      </c>
      <c r="H236" s="37">
        <v>40554</v>
      </c>
      <c r="I236" s="36">
        <v>63</v>
      </c>
      <c r="J236" s="36" t="s">
        <v>1289</v>
      </c>
      <c r="K236" s="36" t="s">
        <v>1289</v>
      </c>
      <c r="L236" s="36" t="s">
        <v>1406</v>
      </c>
      <c r="M236" s="27"/>
      <c r="O236" s="28" t="str">
        <f>IFERROR(VLOOKUP(A236, '2024 Full View'!$1:$999, 1, FALSE), "")</f>
        <v/>
      </c>
      <c r="P236" s="3" t="str">
        <f ca="1">IFERROR(__xludf.DUMMYFUNCTION("TEXTJOIN("", "",TRUE, FILTER($B$1:$E$1,B236:E236&lt;&gt;""""))"),"Jamie")</f>
        <v>Jamie</v>
      </c>
    </row>
    <row r="237" spans="1:16" ht="14">
      <c r="A237" s="36" t="s">
        <v>2349</v>
      </c>
      <c r="B237" s="36">
        <v>31</v>
      </c>
      <c r="C237" s="33"/>
      <c r="D237" s="33"/>
      <c r="E237" s="33"/>
      <c r="F237" s="33"/>
      <c r="G237" s="36">
        <v>171240</v>
      </c>
      <c r="H237" s="37">
        <v>45149</v>
      </c>
      <c r="I237" s="36">
        <v>62</v>
      </c>
      <c r="J237" s="36" t="s">
        <v>1407</v>
      </c>
      <c r="K237" s="36" t="s">
        <v>1340</v>
      </c>
      <c r="L237" s="36" t="s">
        <v>1408</v>
      </c>
      <c r="M237" s="27"/>
      <c r="O237" s="28" t="str">
        <f>IFERROR(VLOOKUP(A237, '2024 Full View'!$1:$999, 1, FALSE), "")</f>
        <v/>
      </c>
      <c r="P237" s="3" t="str">
        <f ca="1">IFERROR(__xludf.DUMMYFUNCTION("TEXTJOIN("", "",TRUE, FILTER($B$1:$E$1,B237:E237&lt;&gt;""""))"),"Zach")</f>
        <v>Zach</v>
      </c>
    </row>
    <row r="238" spans="1:16" ht="14">
      <c r="A238" s="36" t="s">
        <v>2350</v>
      </c>
      <c r="B238" s="36">
        <v>43</v>
      </c>
      <c r="C238" s="33"/>
      <c r="D238" s="33"/>
      <c r="E238" s="33"/>
      <c r="F238" s="33"/>
      <c r="G238" s="36">
        <v>245706</v>
      </c>
      <c r="H238" s="37">
        <v>45009</v>
      </c>
      <c r="I238" s="36">
        <v>62</v>
      </c>
      <c r="J238" s="36" t="s">
        <v>850</v>
      </c>
      <c r="K238" s="36" t="s">
        <v>482</v>
      </c>
      <c r="L238" s="36" t="s">
        <v>1409</v>
      </c>
      <c r="M238" s="27"/>
      <c r="O238" s="28" t="str">
        <f>IFERROR(VLOOKUP(A238, '2024 Full View'!$1:$999, 1, FALSE), "")</f>
        <v/>
      </c>
      <c r="P238" s="3" t="str">
        <f ca="1">IFERROR(__xludf.DUMMYFUNCTION("TEXTJOIN("", "",TRUE, FILTER($B$1:$E$1,B238:E238&lt;&gt;""""))"),"Zach")</f>
        <v>Zach</v>
      </c>
    </row>
    <row r="239" spans="1:16" ht="14">
      <c r="A239" s="36" t="s">
        <v>1845</v>
      </c>
      <c r="B239" s="36">
        <v>42</v>
      </c>
      <c r="C239" s="33"/>
      <c r="D239" s="33"/>
      <c r="E239" s="33"/>
      <c r="F239" s="33"/>
      <c r="G239" s="36">
        <v>198000</v>
      </c>
      <c r="H239" s="37">
        <v>44827</v>
      </c>
      <c r="I239" s="36">
        <v>62</v>
      </c>
      <c r="J239" s="36" t="s">
        <v>821</v>
      </c>
      <c r="K239" s="36" t="s">
        <v>460</v>
      </c>
      <c r="L239" s="36" t="s">
        <v>822</v>
      </c>
      <c r="M239" s="27"/>
      <c r="O239" s="28" t="str">
        <f>IFERROR(VLOOKUP(A239, '2024 Full View'!$1:$999, 1, FALSE), "")</f>
        <v>Every Night Every MorningMaddie &amp; Tae</v>
      </c>
      <c r="P239" s="3" t="str">
        <f ca="1">IFERROR(__xludf.DUMMYFUNCTION("TEXTJOIN("", "",TRUE, FILTER($B$1:$E$1,B239:E239&lt;&gt;""""))"),"Zach")</f>
        <v>Zach</v>
      </c>
    </row>
    <row r="240" spans="1:16" ht="14">
      <c r="A240" s="36" t="s">
        <v>2351</v>
      </c>
      <c r="B240" s="33"/>
      <c r="C240" s="33"/>
      <c r="D240" s="33"/>
      <c r="E240" s="36">
        <v>37</v>
      </c>
      <c r="F240" s="33"/>
      <c r="G240" s="36">
        <v>267256</v>
      </c>
      <c r="H240" s="37">
        <v>44820</v>
      </c>
      <c r="I240" s="36">
        <v>62</v>
      </c>
      <c r="J240" s="36" t="s">
        <v>1410</v>
      </c>
      <c r="K240" s="36" t="s">
        <v>471</v>
      </c>
      <c r="L240" s="36" t="s">
        <v>1410</v>
      </c>
      <c r="M240" s="27"/>
      <c r="O240" s="28" t="str">
        <f>IFERROR(VLOOKUP(A240, '2024 Full View'!$1:$999, 1, FALSE), "")</f>
        <v/>
      </c>
      <c r="P240" s="3" t="str">
        <f ca="1">IFERROR(__xludf.DUMMYFUNCTION("TEXTJOIN("", "",TRUE, FILTER($B$1:$E$1,B240:E240&lt;&gt;""""))"),"Jamie")</f>
        <v>Jamie</v>
      </c>
    </row>
    <row r="241" spans="1:16" ht="14">
      <c r="A241" s="36" t="s">
        <v>2352</v>
      </c>
      <c r="B241" s="36">
        <v>62</v>
      </c>
      <c r="C241" s="33"/>
      <c r="D241" s="33"/>
      <c r="E241" s="33"/>
      <c r="F241" s="36" t="s">
        <v>1411</v>
      </c>
      <c r="G241" s="36">
        <v>200133</v>
      </c>
      <c r="H241" s="37">
        <v>45156</v>
      </c>
      <c r="I241" s="36">
        <v>62</v>
      </c>
      <c r="J241" s="36" t="s">
        <v>1412</v>
      </c>
      <c r="K241" s="36" t="s">
        <v>475</v>
      </c>
      <c r="L241" s="36" t="s">
        <v>1412</v>
      </c>
      <c r="M241" s="27"/>
      <c r="O241" s="28" t="str">
        <f>IFERROR(VLOOKUP(A241, '2024 Full View'!$1:$999, 1, FALSE), "")</f>
        <v/>
      </c>
      <c r="P241" s="3" t="str">
        <f ca="1">IFERROR(__xludf.DUMMYFUNCTION("TEXTJOIN("", "",TRUE, FILTER($B$1:$E$1,B241:E241&lt;&gt;""""))"),"Zach")</f>
        <v>Zach</v>
      </c>
    </row>
    <row r="242" spans="1:16" ht="14">
      <c r="A242" s="36" t="s">
        <v>2353</v>
      </c>
      <c r="B242" s="33"/>
      <c r="C242" s="33"/>
      <c r="D242" s="33"/>
      <c r="E242" s="36">
        <v>45</v>
      </c>
      <c r="F242" s="33"/>
      <c r="G242" s="36">
        <v>215493</v>
      </c>
      <c r="H242" s="37">
        <v>43154</v>
      </c>
      <c r="I242" s="36">
        <v>62</v>
      </c>
      <c r="J242" s="36" t="s">
        <v>1413</v>
      </c>
      <c r="K242" s="36" t="s">
        <v>1313</v>
      </c>
      <c r="L242" s="36" t="s">
        <v>1414</v>
      </c>
      <c r="M242" s="27"/>
      <c r="O242" s="28" t="str">
        <f>IFERROR(VLOOKUP(A242, '2024 Full View'!$1:$999, 1, FALSE), "")</f>
        <v/>
      </c>
      <c r="P242" s="3" t="str">
        <f ca="1">IFERROR(__xludf.DUMMYFUNCTION("TEXTJOIN("", "",TRUE, FILTER($B$1:$E$1,B242:E242&lt;&gt;""""))"),"Jamie")</f>
        <v>Jamie</v>
      </c>
    </row>
    <row r="243" spans="1:16" ht="14">
      <c r="A243" s="36" t="s">
        <v>2354</v>
      </c>
      <c r="B243" s="33"/>
      <c r="C243" s="36">
        <v>27</v>
      </c>
      <c r="D243" s="33"/>
      <c r="E243" s="33"/>
      <c r="F243" s="36" t="s">
        <v>1415</v>
      </c>
      <c r="G243" s="36">
        <v>172234</v>
      </c>
      <c r="H243" s="37">
        <v>44099</v>
      </c>
      <c r="I243" s="36">
        <v>61</v>
      </c>
      <c r="J243" s="36" t="s">
        <v>777</v>
      </c>
      <c r="K243" s="36" t="s">
        <v>435</v>
      </c>
      <c r="L243" s="36" t="s">
        <v>1416</v>
      </c>
      <c r="M243" s="27"/>
      <c r="O243" s="28" t="str">
        <f>IFERROR(VLOOKUP(A243, '2024 Full View'!$1:$999, 1, FALSE), "")</f>
        <v/>
      </c>
      <c r="P243" s="3" t="str">
        <f ca="1">IFERROR(__xludf.DUMMYFUNCTION("TEXTJOIN("", "",TRUE, FILTER($B$1:$E$1,B243:E243&lt;&gt;""""))"),"Bryce")</f>
        <v>Bryce</v>
      </c>
    </row>
    <row r="244" spans="1:16" ht="14">
      <c r="A244" s="36" t="s">
        <v>2355</v>
      </c>
      <c r="B244" s="33"/>
      <c r="C244" s="33"/>
      <c r="D244" s="36">
        <v>20</v>
      </c>
      <c r="E244" s="33"/>
      <c r="F244" s="36" t="s">
        <v>438</v>
      </c>
      <c r="G244" s="36">
        <v>193373</v>
      </c>
      <c r="H244" s="37">
        <v>44246</v>
      </c>
      <c r="I244" s="36">
        <v>61</v>
      </c>
      <c r="J244" s="36" t="s">
        <v>1417</v>
      </c>
      <c r="K244" s="36" t="s">
        <v>1418</v>
      </c>
      <c r="L244" s="36" t="s">
        <v>1419</v>
      </c>
      <c r="M244" s="27"/>
      <c r="O244" s="28" t="str">
        <f>IFERROR(VLOOKUP(A244, '2024 Full View'!$1:$999, 1, FALSE), "")</f>
        <v/>
      </c>
      <c r="P244" s="3" t="str">
        <f ca="1">IFERROR(__xludf.DUMMYFUNCTION("TEXTJOIN("", "",TRUE, FILTER($B$1:$E$1,B244:E244&lt;&gt;""""))"),"Maggie")</f>
        <v>Maggie</v>
      </c>
    </row>
    <row r="245" spans="1:16" ht="14">
      <c r="A245" s="36" t="s">
        <v>2356</v>
      </c>
      <c r="B245" s="36">
        <v>80</v>
      </c>
      <c r="C245" s="33"/>
      <c r="D245" s="33"/>
      <c r="E245" s="33"/>
      <c r="F245" s="33"/>
      <c r="G245" s="36">
        <v>168562</v>
      </c>
      <c r="H245" s="37">
        <v>44813</v>
      </c>
      <c r="I245" s="36">
        <v>61</v>
      </c>
      <c r="J245" s="36" t="s">
        <v>1420</v>
      </c>
      <c r="K245" s="36" t="s">
        <v>1421</v>
      </c>
      <c r="L245" s="36" t="s">
        <v>1422</v>
      </c>
      <c r="M245" s="27"/>
      <c r="O245" s="28" t="str">
        <f>IFERROR(VLOOKUP(A245, '2024 Full View'!$1:$999, 1, FALSE), "")</f>
        <v/>
      </c>
      <c r="P245" s="3" t="str">
        <f ca="1">IFERROR(__xludf.DUMMYFUNCTION("TEXTJOIN("", "",TRUE, FILTER($B$1:$E$1,B245:E245&lt;&gt;""""))"),"Zach")</f>
        <v>Zach</v>
      </c>
    </row>
    <row r="246" spans="1:16" ht="14">
      <c r="A246" s="36" t="s">
        <v>2357</v>
      </c>
      <c r="B246" s="36">
        <v>38</v>
      </c>
      <c r="C246" s="33"/>
      <c r="D246" s="33"/>
      <c r="E246" s="33"/>
      <c r="F246" s="33"/>
      <c r="G246" s="36">
        <v>228386</v>
      </c>
      <c r="H246" s="37">
        <v>44372</v>
      </c>
      <c r="I246" s="36">
        <v>61</v>
      </c>
      <c r="J246" s="36" t="s">
        <v>1423</v>
      </c>
      <c r="K246" s="36" t="s">
        <v>1424</v>
      </c>
      <c r="L246" s="36" t="s">
        <v>1425</v>
      </c>
      <c r="M246" s="27"/>
      <c r="O246" s="28" t="str">
        <f>IFERROR(VLOOKUP(A246, '2024 Full View'!$1:$999, 1, FALSE), "")</f>
        <v/>
      </c>
      <c r="P246" s="3" t="str">
        <f ca="1">IFERROR(__xludf.DUMMYFUNCTION("TEXTJOIN("", "",TRUE, FILTER($B$1:$E$1,B246:E246&lt;&gt;""""))"),"Zach")</f>
        <v>Zach</v>
      </c>
    </row>
    <row r="247" spans="1:16" ht="14">
      <c r="A247" s="36" t="s">
        <v>2358</v>
      </c>
      <c r="B247" s="36">
        <v>39</v>
      </c>
      <c r="C247" s="33"/>
      <c r="D247" s="33"/>
      <c r="E247" s="33"/>
      <c r="F247" s="33"/>
      <c r="G247" s="36">
        <v>167013</v>
      </c>
      <c r="H247" s="37">
        <v>45149</v>
      </c>
      <c r="I247" s="36">
        <v>61</v>
      </c>
      <c r="J247" s="36" t="s">
        <v>1407</v>
      </c>
      <c r="K247" s="36" t="s">
        <v>1340</v>
      </c>
      <c r="L247" s="36" t="s">
        <v>1426</v>
      </c>
      <c r="M247" s="27"/>
      <c r="O247" s="28" t="str">
        <f>IFERROR(VLOOKUP(A247, '2024 Full View'!$1:$999, 1, FALSE), "")</f>
        <v/>
      </c>
      <c r="P247" s="3" t="str">
        <f ca="1">IFERROR(__xludf.DUMMYFUNCTION("TEXTJOIN("", "",TRUE, FILTER($B$1:$E$1,B247:E247&lt;&gt;""""))"),"Zach")</f>
        <v>Zach</v>
      </c>
    </row>
    <row r="248" spans="1:16" ht="14">
      <c r="A248" s="36" t="s">
        <v>2359</v>
      </c>
      <c r="B248" s="36">
        <v>46</v>
      </c>
      <c r="C248" s="33"/>
      <c r="D248" s="33"/>
      <c r="E248" s="33"/>
      <c r="F248" s="33"/>
      <c r="G248" s="36">
        <v>177920</v>
      </c>
      <c r="H248" s="37">
        <v>45149</v>
      </c>
      <c r="I248" s="36">
        <v>61</v>
      </c>
      <c r="J248" s="36" t="s">
        <v>1407</v>
      </c>
      <c r="K248" s="36" t="s">
        <v>1340</v>
      </c>
      <c r="L248" s="36" t="s">
        <v>1427</v>
      </c>
      <c r="M248" s="27"/>
      <c r="O248" s="28" t="str">
        <f>IFERROR(VLOOKUP(A248, '2024 Full View'!$1:$999, 1, FALSE), "")</f>
        <v/>
      </c>
      <c r="P248" s="3" t="str">
        <f ca="1">IFERROR(__xludf.DUMMYFUNCTION("TEXTJOIN("", "",TRUE, FILTER($B$1:$E$1,B248:E248&lt;&gt;""""))"),"Zach")</f>
        <v>Zach</v>
      </c>
    </row>
    <row r="249" spans="1:16" ht="14">
      <c r="A249" s="36" t="s">
        <v>2360</v>
      </c>
      <c r="B249" s="36">
        <v>26</v>
      </c>
      <c r="C249" s="33"/>
      <c r="D249" s="33"/>
      <c r="E249" s="33"/>
      <c r="F249" s="33"/>
      <c r="G249" s="36">
        <v>207080</v>
      </c>
      <c r="H249" s="37">
        <v>45009</v>
      </c>
      <c r="I249" s="36">
        <v>61</v>
      </c>
      <c r="J249" s="36" t="s">
        <v>850</v>
      </c>
      <c r="K249" s="36" t="s">
        <v>482</v>
      </c>
      <c r="L249" s="36" t="s">
        <v>1428</v>
      </c>
      <c r="M249" s="27"/>
      <c r="O249" s="28" t="str">
        <f>IFERROR(VLOOKUP(A249, '2024 Full View'!$1:$999, 1, FALSE), "")</f>
        <v/>
      </c>
      <c r="P249" s="3" t="str">
        <f ca="1">IFERROR(__xludf.DUMMYFUNCTION("TEXTJOIN("", "",TRUE, FILTER($B$1:$E$1,B249:E249&lt;&gt;""""))"),"Zach")</f>
        <v>Zach</v>
      </c>
    </row>
    <row r="250" spans="1:16" ht="14">
      <c r="A250" s="36" t="s">
        <v>2361</v>
      </c>
      <c r="B250" s="33"/>
      <c r="C250" s="36">
        <v>62</v>
      </c>
      <c r="D250" s="33"/>
      <c r="E250" s="33"/>
      <c r="F250" s="33"/>
      <c r="G250" s="36">
        <v>226090</v>
      </c>
      <c r="H250" s="37">
        <v>44995</v>
      </c>
      <c r="I250" s="36">
        <v>60</v>
      </c>
      <c r="J250" s="36" t="s">
        <v>1429</v>
      </c>
      <c r="K250" s="36" t="s">
        <v>1430</v>
      </c>
      <c r="L250" s="36" t="s">
        <v>1429</v>
      </c>
      <c r="M250" s="27"/>
      <c r="O250" s="28" t="str">
        <f>IFERROR(VLOOKUP(A250, '2024 Full View'!$1:$999, 1, FALSE), "")</f>
        <v/>
      </c>
      <c r="P250" s="3" t="str">
        <f ca="1">IFERROR(__xludf.DUMMYFUNCTION("TEXTJOIN("", "",TRUE, FILTER($B$1:$E$1,B250:E250&lt;&gt;""""))"),"Bryce")</f>
        <v>Bryce</v>
      </c>
    </row>
    <row r="251" spans="1:16" ht="14">
      <c r="A251" s="36" t="s">
        <v>2362</v>
      </c>
      <c r="B251" s="36">
        <v>93</v>
      </c>
      <c r="C251" s="33"/>
      <c r="D251" s="33"/>
      <c r="E251" s="33"/>
      <c r="F251" s="33"/>
      <c r="G251" s="36">
        <v>204376</v>
      </c>
      <c r="H251" s="37">
        <v>44840</v>
      </c>
      <c r="I251" s="36">
        <v>60</v>
      </c>
      <c r="J251" s="36" t="s">
        <v>1431</v>
      </c>
      <c r="K251" s="36" t="s">
        <v>458</v>
      </c>
      <c r="L251" s="36" t="s">
        <v>1432</v>
      </c>
      <c r="M251" s="27"/>
      <c r="O251" s="28" t="str">
        <f>IFERROR(VLOOKUP(A251, '2024 Full View'!$1:$999, 1, FALSE), "")</f>
        <v/>
      </c>
      <c r="P251" s="3" t="str">
        <f ca="1">IFERROR(__xludf.DUMMYFUNCTION("TEXTJOIN("", "",TRUE, FILTER($B$1:$E$1,B251:E251&lt;&gt;""""))"),"Zach")</f>
        <v>Zach</v>
      </c>
    </row>
    <row r="252" spans="1:16" ht="14">
      <c r="A252" s="36" t="s">
        <v>2363</v>
      </c>
      <c r="B252" s="36">
        <v>86</v>
      </c>
      <c r="C252" s="33"/>
      <c r="D252" s="33"/>
      <c r="E252" s="33"/>
      <c r="F252" s="33"/>
      <c r="G252" s="36">
        <v>169061</v>
      </c>
      <c r="H252" s="37">
        <v>45058</v>
      </c>
      <c r="I252" s="36">
        <v>60</v>
      </c>
      <c r="J252" s="36" t="s">
        <v>1226</v>
      </c>
      <c r="K252" s="36" t="s">
        <v>1227</v>
      </c>
      <c r="L252" s="36" t="s">
        <v>1433</v>
      </c>
      <c r="M252" s="27"/>
      <c r="O252" s="28" t="str">
        <f>IFERROR(VLOOKUP(A252, '2024 Full View'!$1:$999, 1, FALSE), "")</f>
        <v/>
      </c>
      <c r="P252" s="3" t="str">
        <f ca="1">IFERROR(__xludf.DUMMYFUNCTION("TEXTJOIN("", "",TRUE, FILTER($B$1:$E$1,B252:E252&lt;&gt;""""))"),"Zach")</f>
        <v>Zach</v>
      </c>
    </row>
    <row r="253" spans="1:16" ht="14">
      <c r="A253" s="36" t="s">
        <v>2093</v>
      </c>
      <c r="B253" s="36">
        <v>5</v>
      </c>
      <c r="C253" s="33"/>
      <c r="D253" s="33"/>
      <c r="E253" s="33"/>
      <c r="F253" s="33"/>
      <c r="G253" s="36">
        <v>225693</v>
      </c>
      <c r="H253" s="37">
        <v>45009</v>
      </c>
      <c r="I253" s="36">
        <v>60</v>
      </c>
      <c r="J253" s="36" t="s">
        <v>850</v>
      </c>
      <c r="K253" s="36" t="s">
        <v>482</v>
      </c>
      <c r="L253" s="36" t="s">
        <v>851</v>
      </c>
      <c r="M253" s="27"/>
      <c r="O253" s="28" t="str">
        <f>IFERROR(VLOOKUP(A253, '2024 Full View'!$1:$999, 1, FALSE), "")</f>
        <v>Tattoo on a SunburnLuke Combs</v>
      </c>
      <c r="P253" s="3" t="str">
        <f ca="1">IFERROR(__xludf.DUMMYFUNCTION("TEXTJOIN("", "",TRUE, FILTER($B$1:$E$1,B253:E253&lt;&gt;""""))"),"Zach")</f>
        <v>Zach</v>
      </c>
    </row>
    <row r="254" spans="1:16" ht="14">
      <c r="A254" s="36" t="s">
        <v>2364</v>
      </c>
      <c r="B254" s="36">
        <v>96</v>
      </c>
      <c r="C254" s="33"/>
      <c r="D254" s="33"/>
      <c r="E254" s="33"/>
      <c r="F254" s="36" t="s">
        <v>452</v>
      </c>
      <c r="G254" s="36">
        <v>243720</v>
      </c>
      <c r="H254" s="37">
        <v>42636</v>
      </c>
      <c r="I254" s="36">
        <v>60</v>
      </c>
      <c r="J254" s="36" t="s">
        <v>1434</v>
      </c>
      <c r="K254" s="36" t="s">
        <v>1435</v>
      </c>
      <c r="L254" s="36" t="s">
        <v>1436</v>
      </c>
      <c r="M254" s="27"/>
      <c r="O254" s="28" t="str">
        <f>IFERROR(VLOOKUP(A254, '2024 Full View'!$1:$999, 1, FALSE), "")</f>
        <v/>
      </c>
      <c r="P254" s="3" t="str">
        <f ca="1">IFERROR(__xludf.DUMMYFUNCTION("TEXTJOIN("", "",TRUE, FILTER($B$1:$E$1,B254:E254&lt;&gt;""""))"),"Zach")</f>
        <v>Zach</v>
      </c>
    </row>
    <row r="255" spans="1:16" ht="14">
      <c r="A255" s="36" t="s">
        <v>2365</v>
      </c>
      <c r="B255" s="33"/>
      <c r="C255" s="33"/>
      <c r="D255" s="36">
        <v>27</v>
      </c>
      <c r="E255" s="33"/>
      <c r="F255" s="33"/>
      <c r="G255" s="36">
        <v>118626</v>
      </c>
      <c r="H255" s="37">
        <v>25472</v>
      </c>
      <c r="I255" s="36">
        <v>59</v>
      </c>
      <c r="J255" s="36" t="s">
        <v>1437</v>
      </c>
      <c r="K255" s="36" t="s">
        <v>1348</v>
      </c>
      <c r="L255" s="36" t="s">
        <v>1438</v>
      </c>
      <c r="M255" s="27"/>
      <c r="O255" s="28" t="str">
        <f>IFERROR(VLOOKUP(A255, '2024 Full View'!$1:$999, 1, FALSE), "")</f>
        <v/>
      </c>
      <c r="P255" s="3" t="str">
        <f ca="1">IFERROR(__xludf.DUMMYFUNCTION("TEXTJOIN("", "",TRUE, FILTER($B$1:$E$1,B255:E255&lt;&gt;""""))"),"Maggie")</f>
        <v>Maggie</v>
      </c>
    </row>
    <row r="256" spans="1:16" ht="14">
      <c r="A256" s="36" t="s">
        <v>2366</v>
      </c>
      <c r="B256" s="33"/>
      <c r="C256" s="33"/>
      <c r="D256" s="36">
        <v>44</v>
      </c>
      <c r="E256" s="33"/>
      <c r="F256" s="33"/>
      <c r="G256" s="36">
        <v>242973</v>
      </c>
      <c r="H256" s="37">
        <v>25472</v>
      </c>
      <c r="I256" s="36">
        <v>59</v>
      </c>
      <c r="J256" s="36" t="s">
        <v>1437</v>
      </c>
      <c r="K256" s="36" t="s">
        <v>1348</v>
      </c>
      <c r="L256" s="36" t="s">
        <v>1439</v>
      </c>
      <c r="M256" s="27"/>
      <c r="O256" s="28" t="str">
        <f>IFERROR(VLOOKUP(A256, '2024 Full View'!$1:$999, 1, FALSE), "")</f>
        <v/>
      </c>
      <c r="P256" s="3" t="str">
        <f ca="1">IFERROR(__xludf.DUMMYFUNCTION("TEXTJOIN("", "",TRUE, FILTER($B$1:$E$1,B256:E256&lt;&gt;""""))"),"Maggie")</f>
        <v>Maggie</v>
      </c>
    </row>
    <row r="257" spans="1:16" ht="14">
      <c r="A257" s="36" t="s">
        <v>2367</v>
      </c>
      <c r="B257" s="33"/>
      <c r="C257" s="33"/>
      <c r="D257" s="36">
        <v>75</v>
      </c>
      <c r="E257" s="33"/>
      <c r="F257" s="33"/>
      <c r="G257" s="36">
        <v>217996</v>
      </c>
      <c r="H257" s="37">
        <v>44078</v>
      </c>
      <c r="I257" s="36">
        <v>59</v>
      </c>
      <c r="J257" s="36" t="s">
        <v>1440</v>
      </c>
      <c r="K257" s="36" t="s">
        <v>1441</v>
      </c>
      <c r="L257" s="36" t="s">
        <v>1442</v>
      </c>
      <c r="M257" s="27"/>
      <c r="O257" s="28" t="str">
        <f>IFERROR(VLOOKUP(A257, '2024 Full View'!$1:$999, 1, FALSE), "")</f>
        <v/>
      </c>
      <c r="P257" s="3" t="str">
        <f ca="1">IFERROR(__xludf.DUMMYFUNCTION("TEXTJOIN("", "",TRUE, FILTER($B$1:$E$1,B257:E257&lt;&gt;""""))"),"Maggie")</f>
        <v>Maggie</v>
      </c>
    </row>
    <row r="258" spans="1:16" ht="14">
      <c r="A258" s="36" t="s">
        <v>2368</v>
      </c>
      <c r="B258" s="33"/>
      <c r="C258" s="33"/>
      <c r="D258" s="36">
        <v>83</v>
      </c>
      <c r="E258" s="33"/>
      <c r="F258" s="33"/>
      <c r="G258" s="36">
        <v>196085</v>
      </c>
      <c r="H258" s="37">
        <v>44987</v>
      </c>
      <c r="I258" s="36">
        <v>59</v>
      </c>
      <c r="J258" s="36" t="s">
        <v>1402</v>
      </c>
      <c r="K258" s="36" t="s">
        <v>1403</v>
      </c>
      <c r="L258" s="36" t="s">
        <v>1443</v>
      </c>
      <c r="M258" s="27"/>
      <c r="O258" s="28" t="str">
        <f>IFERROR(VLOOKUP(A258, '2024 Full View'!$1:$999, 1, FALSE), "")</f>
        <v/>
      </c>
      <c r="P258" s="3" t="str">
        <f ca="1">IFERROR(__xludf.DUMMYFUNCTION("TEXTJOIN("", "",TRUE, FILTER($B$1:$E$1,B258:E258&lt;&gt;""""))"),"Maggie")</f>
        <v>Maggie</v>
      </c>
    </row>
    <row r="259" spans="1:16" ht="14">
      <c r="A259" s="36" t="s">
        <v>2369</v>
      </c>
      <c r="B259" s="36">
        <v>54</v>
      </c>
      <c r="C259" s="33"/>
      <c r="D259" s="33"/>
      <c r="E259" s="33"/>
      <c r="F259" s="33"/>
      <c r="G259" s="36">
        <v>211533</v>
      </c>
      <c r="H259" s="37">
        <v>44974</v>
      </c>
      <c r="I259" s="36">
        <v>59</v>
      </c>
      <c r="J259" s="36" t="s">
        <v>1444</v>
      </c>
      <c r="K259" s="36" t="s">
        <v>1445</v>
      </c>
      <c r="L259" s="36" t="s">
        <v>1444</v>
      </c>
      <c r="M259" s="27"/>
      <c r="O259" s="28" t="str">
        <f>IFERROR(VLOOKUP(A259, '2024 Full View'!$1:$999, 1, FALSE), "")</f>
        <v/>
      </c>
      <c r="P259" s="3" t="str">
        <f ca="1">IFERROR(__xludf.DUMMYFUNCTION("TEXTJOIN("", "",TRUE, FILTER($B$1:$E$1,B259:E259&lt;&gt;""""))"),"Zach")</f>
        <v>Zach</v>
      </c>
    </row>
    <row r="260" spans="1:16" ht="14">
      <c r="A260" s="36" t="s">
        <v>2370</v>
      </c>
      <c r="B260" s="33"/>
      <c r="C260" s="33"/>
      <c r="D260" s="36">
        <v>54</v>
      </c>
      <c r="E260" s="33"/>
      <c r="F260" s="33"/>
      <c r="G260" s="36">
        <v>230106</v>
      </c>
      <c r="H260" s="36">
        <v>1981</v>
      </c>
      <c r="I260" s="36">
        <v>59</v>
      </c>
      <c r="J260" s="36" t="s">
        <v>1446</v>
      </c>
      <c r="K260" s="36" t="s">
        <v>1447</v>
      </c>
      <c r="L260" s="36" t="s">
        <v>1448</v>
      </c>
      <c r="M260" s="27"/>
      <c r="O260" s="28" t="str">
        <f>IFERROR(VLOOKUP(A260, '2024 Full View'!$1:$999, 1, FALSE), "")</f>
        <v/>
      </c>
      <c r="P260" s="3" t="str">
        <f ca="1">IFERROR(__xludf.DUMMYFUNCTION("TEXTJOIN("", "",TRUE, FILTER($B$1:$E$1,B260:E260&lt;&gt;""""))"),"Maggie")</f>
        <v>Maggie</v>
      </c>
    </row>
    <row r="261" spans="1:16" ht="14">
      <c r="A261" s="36" t="s">
        <v>2371</v>
      </c>
      <c r="B261" s="36">
        <v>78</v>
      </c>
      <c r="C261" s="33"/>
      <c r="D261" s="33"/>
      <c r="E261" s="33"/>
      <c r="F261" s="33"/>
      <c r="G261" s="36">
        <v>185681</v>
      </c>
      <c r="H261" s="37">
        <v>45037</v>
      </c>
      <c r="I261" s="36">
        <v>59</v>
      </c>
      <c r="J261" s="36" t="s">
        <v>1449</v>
      </c>
      <c r="K261" s="36" t="s">
        <v>1450</v>
      </c>
      <c r="L261" s="36" t="s">
        <v>1451</v>
      </c>
      <c r="M261" s="27"/>
      <c r="O261" s="28" t="str">
        <f>IFERROR(VLOOKUP(A261, '2024 Full View'!$1:$999, 1, FALSE), "")</f>
        <v/>
      </c>
      <c r="P261" s="3" t="str">
        <f ca="1">IFERROR(__xludf.DUMMYFUNCTION("TEXTJOIN("", "",TRUE, FILTER($B$1:$E$1,B261:E261&lt;&gt;""""))"),"Zach")</f>
        <v>Zach</v>
      </c>
    </row>
    <row r="262" spans="1:16" ht="14">
      <c r="A262" s="36" t="s">
        <v>2372</v>
      </c>
      <c r="B262" s="33"/>
      <c r="C262" s="33"/>
      <c r="D262" s="33"/>
      <c r="E262" s="36">
        <v>48</v>
      </c>
      <c r="F262" s="33"/>
      <c r="G262" s="36">
        <v>183000</v>
      </c>
      <c r="H262" s="37">
        <v>44631</v>
      </c>
      <c r="I262" s="36">
        <v>59</v>
      </c>
      <c r="J262" s="36" t="s">
        <v>1452</v>
      </c>
      <c r="K262" s="36" t="s">
        <v>1453</v>
      </c>
      <c r="L262" s="36" t="s">
        <v>1454</v>
      </c>
      <c r="M262" s="27"/>
      <c r="O262" s="28" t="str">
        <f>IFERROR(VLOOKUP(A262, '2024 Full View'!$1:$999, 1, FALSE), "")</f>
        <v/>
      </c>
      <c r="P262" s="3" t="str">
        <f ca="1">IFERROR(__xludf.DUMMYFUNCTION("TEXTJOIN("", "",TRUE, FILTER($B$1:$E$1,B262:E262&lt;&gt;""""))"),"Jamie")</f>
        <v>Jamie</v>
      </c>
    </row>
    <row r="263" spans="1:16" ht="14">
      <c r="A263" s="36" t="s">
        <v>2373</v>
      </c>
      <c r="B263" s="33"/>
      <c r="C263" s="33"/>
      <c r="D263" s="33"/>
      <c r="E263" s="36">
        <v>96</v>
      </c>
      <c r="F263" s="33"/>
      <c r="G263" s="36">
        <v>219080</v>
      </c>
      <c r="H263" s="37">
        <v>41547</v>
      </c>
      <c r="I263" s="36">
        <v>59</v>
      </c>
      <c r="J263" s="36" t="s">
        <v>1455</v>
      </c>
      <c r="K263" s="36" t="s">
        <v>1139</v>
      </c>
      <c r="L263" s="36" t="s">
        <v>1456</v>
      </c>
      <c r="M263" s="27"/>
      <c r="O263" s="28" t="str">
        <f>IFERROR(VLOOKUP(A263, '2024 Full View'!$1:$999, 1, FALSE), "")</f>
        <v/>
      </c>
      <c r="P263" s="3" t="str">
        <f ca="1">IFERROR(__xludf.DUMMYFUNCTION("TEXTJOIN("", "",TRUE, FILTER($B$1:$E$1,B263:E263&lt;&gt;""""))"),"Jamie")</f>
        <v>Jamie</v>
      </c>
    </row>
    <row r="264" spans="1:16" ht="14">
      <c r="A264" s="36" t="s">
        <v>2374</v>
      </c>
      <c r="B264" s="33"/>
      <c r="C264" s="36">
        <v>17</v>
      </c>
      <c r="D264" s="33"/>
      <c r="E264" s="33"/>
      <c r="F264" s="33"/>
      <c r="G264" s="36">
        <v>160222</v>
      </c>
      <c r="H264" s="37">
        <v>44099</v>
      </c>
      <c r="I264" s="36">
        <v>58</v>
      </c>
      <c r="J264" s="36" t="s">
        <v>777</v>
      </c>
      <c r="K264" s="36" t="s">
        <v>435</v>
      </c>
      <c r="L264" s="36" t="s">
        <v>1457</v>
      </c>
      <c r="M264" s="27"/>
      <c r="O264" s="28" t="str">
        <f>IFERROR(VLOOKUP(A264, '2024 Full View'!$1:$999, 1, FALSE), "")</f>
        <v/>
      </c>
      <c r="P264" s="3" t="str">
        <f ca="1">IFERROR(__xludf.DUMMYFUNCTION("TEXTJOIN("", "",TRUE, FILTER($B$1:$E$1,B264:E264&lt;&gt;""""))"),"Bryce")</f>
        <v>Bryce</v>
      </c>
    </row>
    <row r="265" spans="1:16" ht="14">
      <c r="A265" s="36" t="s">
        <v>2375</v>
      </c>
      <c r="B265" s="33"/>
      <c r="C265" s="36">
        <v>26</v>
      </c>
      <c r="D265" s="33"/>
      <c r="E265" s="33"/>
      <c r="F265" s="33"/>
      <c r="G265" s="36">
        <v>328093</v>
      </c>
      <c r="H265" s="37">
        <v>32435</v>
      </c>
      <c r="I265" s="36">
        <v>58</v>
      </c>
      <c r="J265" s="36" t="s">
        <v>1458</v>
      </c>
      <c r="K265" s="36" t="s">
        <v>1459</v>
      </c>
      <c r="L265" s="36" t="s">
        <v>1460</v>
      </c>
      <c r="M265" s="27"/>
      <c r="O265" s="28" t="str">
        <f>IFERROR(VLOOKUP(A265, '2024 Full View'!$1:$999, 1, FALSE), "")</f>
        <v/>
      </c>
      <c r="P265" s="3" t="str">
        <f ca="1">IFERROR(__xludf.DUMMYFUNCTION("TEXTJOIN("", "",TRUE, FILTER($B$1:$E$1,B265:E265&lt;&gt;""""))"),"Bryce")</f>
        <v>Bryce</v>
      </c>
    </row>
    <row r="266" spans="1:16" ht="14">
      <c r="A266" s="36" t="s">
        <v>2376</v>
      </c>
      <c r="B266" s="33"/>
      <c r="C266" s="36">
        <v>74</v>
      </c>
      <c r="D266" s="33"/>
      <c r="E266" s="33"/>
      <c r="F266" s="33"/>
      <c r="G266" s="36">
        <v>205586</v>
      </c>
      <c r="H266" s="37">
        <v>43049</v>
      </c>
      <c r="I266" s="36">
        <v>58</v>
      </c>
      <c r="J266" s="36" t="s">
        <v>1321</v>
      </c>
      <c r="K266" s="36" t="s">
        <v>1321</v>
      </c>
      <c r="L266" s="36" t="s">
        <v>1461</v>
      </c>
      <c r="M266" s="27"/>
      <c r="O266" s="28" t="str">
        <f>IFERROR(VLOOKUP(A266, '2024 Full View'!$1:$999, 1, FALSE), "")</f>
        <v/>
      </c>
      <c r="P266" s="3" t="str">
        <f ca="1">IFERROR(__xludf.DUMMYFUNCTION("TEXTJOIN("", "",TRUE, FILTER($B$1:$E$1,B266:E266&lt;&gt;""""))"),"Bryce")</f>
        <v>Bryce</v>
      </c>
    </row>
    <row r="267" spans="1:16" ht="14">
      <c r="A267" s="36" t="s">
        <v>2377</v>
      </c>
      <c r="B267" s="33"/>
      <c r="C267" s="33"/>
      <c r="D267" s="33"/>
      <c r="E267" s="36">
        <v>9</v>
      </c>
      <c r="F267" s="33"/>
      <c r="G267" s="36">
        <v>190469</v>
      </c>
      <c r="H267" s="37">
        <v>44076</v>
      </c>
      <c r="I267" s="36">
        <v>58</v>
      </c>
      <c r="J267" s="36" t="s">
        <v>1462</v>
      </c>
      <c r="K267" s="36" t="s">
        <v>1463</v>
      </c>
      <c r="L267" s="36" t="s">
        <v>1462</v>
      </c>
      <c r="M267" s="27"/>
      <c r="O267" s="28" t="str">
        <f>IFERROR(VLOOKUP(A267, '2024 Full View'!$1:$999, 1, FALSE), "")</f>
        <v/>
      </c>
      <c r="P267" s="3" t="str">
        <f ca="1">IFERROR(__xludf.DUMMYFUNCTION("TEXTJOIN("", "",TRUE, FILTER($B$1:$E$1,B267:E267&lt;&gt;""""))"),"Jamie")</f>
        <v>Jamie</v>
      </c>
    </row>
    <row r="268" spans="1:16" ht="14">
      <c r="A268" s="36" t="s">
        <v>2378</v>
      </c>
      <c r="B268" s="33"/>
      <c r="C268" s="33"/>
      <c r="D268" s="36">
        <v>82</v>
      </c>
      <c r="E268" s="33"/>
      <c r="F268" s="33"/>
      <c r="G268" s="36">
        <v>216333</v>
      </c>
      <c r="H268" s="37">
        <v>42426</v>
      </c>
      <c r="I268" s="36">
        <v>58</v>
      </c>
      <c r="J268" s="36" t="s">
        <v>728</v>
      </c>
      <c r="K268" s="36" t="s">
        <v>453</v>
      </c>
      <c r="L268" s="36" t="s">
        <v>1464</v>
      </c>
      <c r="M268" s="27"/>
      <c r="O268" s="28" t="str">
        <f>IFERROR(VLOOKUP(A268, '2024 Full View'!$1:$999, 1, FALSE), "")</f>
        <v/>
      </c>
      <c r="P268" s="3" t="str">
        <f ca="1">IFERROR(__xludf.DUMMYFUNCTION("TEXTJOIN("", "",TRUE, FILTER($B$1:$E$1,B268:E268&lt;&gt;""""))"),"Maggie")</f>
        <v>Maggie</v>
      </c>
    </row>
    <row r="269" spans="1:16" ht="14">
      <c r="A269" s="36" t="s">
        <v>2379</v>
      </c>
      <c r="B269" s="36">
        <v>23</v>
      </c>
      <c r="C269" s="33"/>
      <c r="D269" s="33"/>
      <c r="E269" s="33"/>
      <c r="F269" s="33"/>
      <c r="G269" s="36">
        <v>147641</v>
      </c>
      <c r="H269" s="37">
        <v>45093</v>
      </c>
      <c r="I269" s="36">
        <v>58</v>
      </c>
      <c r="J269" s="36" t="s">
        <v>1465</v>
      </c>
      <c r="K269" s="36" t="s">
        <v>1091</v>
      </c>
      <c r="L269" s="36" t="s">
        <v>1465</v>
      </c>
      <c r="M269" s="27"/>
      <c r="O269" s="28" t="str">
        <f>IFERROR(VLOOKUP(A269, '2024 Full View'!$1:$999, 1, FALSE), "")</f>
        <v/>
      </c>
      <c r="P269" s="3" t="str">
        <f ca="1">IFERROR(__xludf.DUMMYFUNCTION("TEXTJOIN("", "",TRUE, FILTER($B$1:$E$1,B269:E269&lt;&gt;""""))"),"Zach")</f>
        <v>Zach</v>
      </c>
    </row>
    <row r="270" spans="1:16" ht="14">
      <c r="A270" s="36" t="s">
        <v>2380</v>
      </c>
      <c r="B270" s="36">
        <v>82</v>
      </c>
      <c r="C270" s="33"/>
      <c r="D270" s="33"/>
      <c r="E270" s="33"/>
      <c r="F270" s="33"/>
      <c r="G270" s="36">
        <v>178579</v>
      </c>
      <c r="H270" s="37">
        <v>44988</v>
      </c>
      <c r="I270" s="36">
        <v>58</v>
      </c>
      <c r="J270" s="36" t="s">
        <v>1466</v>
      </c>
      <c r="K270" s="36" t="s">
        <v>1467</v>
      </c>
      <c r="L270" s="36" t="s">
        <v>1468</v>
      </c>
      <c r="M270" s="27"/>
      <c r="O270" s="28" t="str">
        <f>IFERROR(VLOOKUP(A270, '2024 Full View'!$1:$999, 1, FALSE), "")</f>
        <v/>
      </c>
      <c r="P270" s="3" t="str">
        <f ca="1">IFERROR(__xludf.DUMMYFUNCTION("TEXTJOIN("", "",TRUE, FILTER($B$1:$E$1,B270:E270&lt;&gt;""""))"),"Zach")</f>
        <v>Zach</v>
      </c>
    </row>
    <row r="271" spans="1:16" ht="14">
      <c r="A271" s="36" t="s">
        <v>2381</v>
      </c>
      <c r="B271" s="33"/>
      <c r="C271" s="33"/>
      <c r="D271" s="36">
        <v>77</v>
      </c>
      <c r="E271" s="33"/>
      <c r="F271" s="33"/>
      <c r="G271" s="36">
        <v>264093</v>
      </c>
      <c r="H271" s="36">
        <v>1972</v>
      </c>
      <c r="I271" s="36">
        <v>58</v>
      </c>
      <c r="J271" s="36" t="s">
        <v>1469</v>
      </c>
      <c r="K271" s="36" t="s">
        <v>1470</v>
      </c>
      <c r="L271" s="36" t="s">
        <v>1471</v>
      </c>
      <c r="M271" s="27"/>
      <c r="O271" s="28" t="str">
        <f>IFERROR(VLOOKUP(A271, '2024 Full View'!$1:$999, 1, FALSE), "")</f>
        <v/>
      </c>
      <c r="P271" s="3" t="str">
        <f ca="1">IFERROR(__xludf.DUMMYFUNCTION("TEXTJOIN("", "",TRUE, FILTER($B$1:$E$1,B271:E271&lt;&gt;""""))"),"Maggie")</f>
        <v>Maggie</v>
      </c>
    </row>
    <row r="272" spans="1:16" ht="14">
      <c r="A272" s="36" t="s">
        <v>2382</v>
      </c>
      <c r="B272" s="33"/>
      <c r="C272" s="36">
        <v>45</v>
      </c>
      <c r="D272" s="33"/>
      <c r="E272" s="33"/>
      <c r="F272" s="33"/>
      <c r="G272" s="36">
        <v>330506</v>
      </c>
      <c r="H272" s="36">
        <v>1982</v>
      </c>
      <c r="I272" s="36">
        <v>57</v>
      </c>
      <c r="J272" s="36" t="s">
        <v>1472</v>
      </c>
      <c r="K272" s="36" t="s">
        <v>1473</v>
      </c>
      <c r="L272" s="36" t="s">
        <v>1474</v>
      </c>
      <c r="M272" s="27"/>
      <c r="O272" s="28" t="str">
        <f>IFERROR(VLOOKUP(A272, '2024 Full View'!$1:$999, 1, FALSE), "")</f>
        <v/>
      </c>
      <c r="P272" s="3" t="str">
        <f ca="1">IFERROR(__xludf.DUMMYFUNCTION("TEXTJOIN("", "",TRUE, FILTER($B$1:$E$1,B272:E272&lt;&gt;""""))"),"Bryce")</f>
        <v>Bryce</v>
      </c>
    </row>
    <row r="273" spans="1:16" ht="14">
      <c r="A273" s="36" t="s">
        <v>2383</v>
      </c>
      <c r="B273" s="33"/>
      <c r="C273" s="36">
        <v>91</v>
      </c>
      <c r="D273" s="33"/>
      <c r="E273" s="33"/>
      <c r="F273" s="36" t="s">
        <v>1475</v>
      </c>
      <c r="G273" s="36">
        <v>207007</v>
      </c>
      <c r="H273" s="37">
        <v>44645</v>
      </c>
      <c r="I273" s="36">
        <v>57</v>
      </c>
      <c r="J273" s="36" t="s">
        <v>803</v>
      </c>
      <c r="K273" s="36" t="s">
        <v>435</v>
      </c>
      <c r="L273" s="36" t="s">
        <v>1476</v>
      </c>
      <c r="M273" s="27"/>
      <c r="O273" s="28" t="str">
        <f>IFERROR(VLOOKUP(A273, '2024 Full View'!$1:$999, 1, FALSE), "")</f>
        <v/>
      </c>
      <c r="P273" s="3" t="str">
        <f ca="1">IFERROR(__xludf.DUMMYFUNCTION("TEXTJOIN("", "",TRUE, FILTER($B$1:$E$1,B273:E273&lt;&gt;""""))"),"Bryce")</f>
        <v>Bryce</v>
      </c>
    </row>
    <row r="274" spans="1:16" ht="14">
      <c r="A274" s="36" t="s">
        <v>2384</v>
      </c>
      <c r="B274" s="33"/>
      <c r="C274" s="33"/>
      <c r="D274" s="33"/>
      <c r="E274" s="36">
        <v>70</v>
      </c>
      <c r="F274" s="33"/>
      <c r="G274" s="36">
        <v>154666</v>
      </c>
      <c r="H274" s="36">
        <v>1972</v>
      </c>
      <c r="I274" s="36">
        <v>57</v>
      </c>
      <c r="J274" s="36" t="s">
        <v>1477</v>
      </c>
      <c r="K274" s="36" t="s">
        <v>1478</v>
      </c>
      <c r="L274" s="36" t="s">
        <v>1479</v>
      </c>
      <c r="M274" s="27"/>
      <c r="O274" s="28" t="str">
        <f>IFERROR(VLOOKUP(A274, '2024 Full View'!$1:$999, 1, FALSE), "")</f>
        <v/>
      </c>
      <c r="P274" s="3" t="str">
        <f ca="1">IFERROR(__xludf.DUMMYFUNCTION("TEXTJOIN("", "",TRUE, FILTER($B$1:$E$1,B274:E274&lt;&gt;""""))"),"Jamie")</f>
        <v>Jamie</v>
      </c>
    </row>
    <row r="275" spans="1:16" ht="14">
      <c r="A275" s="36" t="s">
        <v>2385</v>
      </c>
      <c r="B275" s="36">
        <v>99</v>
      </c>
      <c r="C275" s="33"/>
      <c r="D275" s="33"/>
      <c r="E275" s="33"/>
      <c r="F275" s="33"/>
      <c r="G275" s="36">
        <v>192396</v>
      </c>
      <c r="H275" s="37">
        <v>45058</v>
      </c>
      <c r="I275" s="36">
        <v>57</v>
      </c>
      <c r="J275" s="36" t="s">
        <v>1226</v>
      </c>
      <c r="K275" s="36" t="s">
        <v>1227</v>
      </c>
      <c r="L275" s="36" t="s">
        <v>1480</v>
      </c>
      <c r="M275" s="27"/>
      <c r="O275" s="28" t="str">
        <f>IFERROR(VLOOKUP(A275, '2024 Full View'!$1:$999, 1, FALSE), "")</f>
        <v/>
      </c>
      <c r="P275" s="3" t="str">
        <f ca="1">IFERROR(__xludf.DUMMYFUNCTION("TEXTJOIN("", "",TRUE, FILTER($B$1:$E$1,B275:E275&lt;&gt;""""))"),"Zach")</f>
        <v>Zach</v>
      </c>
    </row>
    <row r="276" spans="1:16" ht="14">
      <c r="A276" s="36" t="s">
        <v>2386</v>
      </c>
      <c r="B276" s="33"/>
      <c r="C276" s="33"/>
      <c r="D276" s="33"/>
      <c r="E276" s="36">
        <v>36</v>
      </c>
      <c r="F276" s="33"/>
      <c r="G276" s="36">
        <v>232120</v>
      </c>
      <c r="H276" s="37">
        <v>43014</v>
      </c>
      <c r="I276" s="36">
        <v>57</v>
      </c>
      <c r="J276" s="36" t="s">
        <v>1481</v>
      </c>
      <c r="K276" s="36" t="s">
        <v>1482</v>
      </c>
      <c r="L276" s="36" t="s">
        <v>1483</v>
      </c>
      <c r="M276" s="27"/>
      <c r="O276" s="28" t="str">
        <f>IFERROR(VLOOKUP(A276, '2024 Full View'!$1:$999, 1, FALSE), "")</f>
        <v/>
      </c>
      <c r="P276" s="3" t="str">
        <f ca="1">IFERROR(__xludf.DUMMYFUNCTION("TEXTJOIN("", "",TRUE, FILTER($B$1:$E$1,B276:E276&lt;&gt;""""))"),"Jamie")</f>
        <v>Jamie</v>
      </c>
    </row>
    <row r="277" spans="1:16" ht="14">
      <c r="A277" s="36" t="s">
        <v>2024</v>
      </c>
      <c r="B277" s="33"/>
      <c r="C277" s="33"/>
      <c r="D277" s="33"/>
      <c r="E277" s="36">
        <v>16</v>
      </c>
      <c r="F277" s="33"/>
      <c r="G277" s="36">
        <v>219533</v>
      </c>
      <c r="H277" s="37">
        <v>44211</v>
      </c>
      <c r="I277" s="36">
        <v>57</v>
      </c>
      <c r="J277" s="36" t="s">
        <v>782</v>
      </c>
      <c r="K277" s="36" t="s">
        <v>439</v>
      </c>
      <c r="L277" s="36" t="s">
        <v>782</v>
      </c>
      <c r="M277" s="27"/>
      <c r="O277" s="28" t="str">
        <f>IFERROR(VLOOKUP(A277, '2024 Full View'!$1:$999, 1, FALSE), "")</f>
        <v>Wouldn't Come BackTrousdale</v>
      </c>
      <c r="P277" s="3" t="str">
        <f ca="1">IFERROR(__xludf.DUMMYFUNCTION("TEXTJOIN("", "",TRUE, FILTER($B$1:$E$1,B277:E277&lt;&gt;""""))"),"Jamie")</f>
        <v>Jamie</v>
      </c>
    </row>
    <row r="278" spans="1:16" ht="14">
      <c r="A278" s="36" t="s">
        <v>1847</v>
      </c>
      <c r="B278" s="33"/>
      <c r="C278" s="33"/>
      <c r="D278" s="36">
        <v>21</v>
      </c>
      <c r="E278" s="33"/>
      <c r="F278" s="33"/>
      <c r="G278" s="36">
        <v>190466</v>
      </c>
      <c r="H278" s="37">
        <v>27631</v>
      </c>
      <c r="I278" s="36">
        <v>56</v>
      </c>
      <c r="J278" s="36" t="s">
        <v>638</v>
      </c>
      <c r="K278" s="36" t="s">
        <v>558</v>
      </c>
      <c r="L278" s="36" t="s">
        <v>639</v>
      </c>
      <c r="M278" s="27"/>
      <c r="O278" s="28" t="str">
        <f>IFERROR(VLOOKUP(A278, '2024 Full View'!$1:$999, 1, FALSE), "")</f>
        <v>Tenth Avenue Freeze-OutBruce Springsteen</v>
      </c>
      <c r="P278" s="3" t="str">
        <f ca="1">IFERROR(__xludf.DUMMYFUNCTION("TEXTJOIN("", "",TRUE, FILTER($B$1:$E$1,B278:E278&lt;&gt;""""))"),"Maggie")</f>
        <v>Maggie</v>
      </c>
    </row>
    <row r="279" spans="1:16" ht="14">
      <c r="A279" s="36" t="s">
        <v>2387</v>
      </c>
      <c r="B279" s="33"/>
      <c r="C279" s="33"/>
      <c r="D279" s="33"/>
      <c r="E279" s="36">
        <v>76</v>
      </c>
      <c r="F279" s="33"/>
      <c r="G279" s="36">
        <v>242733</v>
      </c>
      <c r="H279" s="37">
        <v>44533</v>
      </c>
      <c r="I279" s="36">
        <v>56</v>
      </c>
      <c r="J279" s="36" t="s">
        <v>1484</v>
      </c>
      <c r="K279" s="36" t="s">
        <v>1485</v>
      </c>
      <c r="L279" s="36" t="s">
        <v>1486</v>
      </c>
      <c r="M279" s="27"/>
      <c r="O279" s="28" t="str">
        <f>IFERROR(VLOOKUP(A279, '2024 Full View'!$1:$999, 1, FALSE), "")</f>
        <v/>
      </c>
      <c r="P279" s="3" t="str">
        <f ca="1">IFERROR(__xludf.DUMMYFUNCTION("TEXTJOIN("", "",TRUE, FILTER($B$1:$E$1,B279:E279&lt;&gt;""""))"),"Jamie")</f>
        <v>Jamie</v>
      </c>
    </row>
    <row r="280" spans="1:16" ht="14">
      <c r="A280" s="36" t="s">
        <v>2388</v>
      </c>
      <c r="B280" s="33"/>
      <c r="C280" s="33"/>
      <c r="D280" s="36">
        <v>71</v>
      </c>
      <c r="E280" s="33"/>
      <c r="F280" s="33"/>
      <c r="G280" s="36">
        <v>184333</v>
      </c>
      <c r="H280" s="37">
        <v>26665</v>
      </c>
      <c r="I280" s="36">
        <v>56</v>
      </c>
      <c r="J280" s="36" t="s">
        <v>631</v>
      </c>
      <c r="K280" s="36" t="s">
        <v>540</v>
      </c>
      <c r="L280" s="36" t="s">
        <v>1487</v>
      </c>
      <c r="M280" s="27"/>
      <c r="O280" s="28" t="str">
        <f>IFERROR(VLOOKUP(A280, '2024 Full View'!$1:$999, 1, FALSE), "")</f>
        <v/>
      </c>
      <c r="P280" s="3" t="str">
        <f ca="1">IFERROR(__xludf.DUMMYFUNCTION("TEXTJOIN("", "",TRUE, FILTER($B$1:$E$1,B280:E280&lt;&gt;""""))"),"Maggie")</f>
        <v>Maggie</v>
      </c>
    </row>
    <row r="281" spans="1:16" ht="14">
      <c r="A281" s="36" t="s">
        <v>2389</v>
      </c>
      <c r="B281" s="36">
        <v>95</v>
      </c>
      <c r="C281" s="33"/>
      <c r="D281" s="33"/>
      <c r="E281" s="33"/>
      <c r="F281" s="33"/>
      <c r="G281" s="36">
        <v>188853</v>
      </c>
      <c r="H281" s="37">
        <v>43840</v>
      </c>
      <c r="I281" s="36">
        <v>56</v>
      </c>
      <c r="J281" s="36" t="s">
        <v>1488</v>
      </c>
      <c r="K281" s="36" t="s">
        <v>1489</v>
      </c>
      <c r="L281" s="36" t="s">
        <v>1490</v>
      </c>
      <c r="M281" s="27"/>
      <c r="O281" s="28" t="str">
        <f>IFERROR(VLOOKUP(A281, '2024 Full View'!$1:$999, 1, FALSE), "")</f>
        <v/>
      </c>
      <c r="P281" s="3" t="str">
        <f ca="1">IFERROR(__xludf.DUMMYFUNCTION("TEXTJOIN("", "",TRUE, FILTER($B$1:$E$1,B281:E281&lt;&gt;""""))"),"Zach")</f>
        <v>Zach</v>
      </c>
    </row>
    <row r="282" spans="1:16" ht="14">
      <c r="A282" s="36" t="s">
        <v>2390</v>
      </c>
      <c r="B282" s="33"/>
      <c r="C282" s="36">
        <v>50</v>
      </c>
      <c r="D282" s="33"/>
      <c r="E282" s="33"/>
      <c r="F282" s="33"/>
      <c r="G282" s="36">
        <v>204164</v>
      </c>
      <c r="H282" s="37">
        <v>44946</v>
      </c>
      <c r="I282" s="36">
        <v>55</v>
      </c>
      <c r="J282" s="36" t="s">
        <v>835</v>
      </c>
      <c r="K282" s="36" t="s">
        <v>428</v>
      </c>
      <c r="L282" s="36" t="s">
        <v>1491</v>
      </c>
      <c r="M282" s="27"/>
      <c r="O282" s="28" t="str">
        <f>IFERROR(VLOOKUP(A282, '2024 Full View'!$1:$999, 1, FALSE), "")</f>
        <v/>
      </c>
      <c r="P282" s="3" t="str">
        <f ca="1">IFERROR(__xludf.DUMMYFUNCTION("TEXTJOIN("", "",TRUE, FILTER($B$1:$E$1,B282:E282&lt;&gt;""""))"),"Bryce")</f>
        <v>Bryce</v>
      </c>
    </row>
    <row r="283" spans="1:16" ht="14">
      <c r="A283" s="36" t="s">
        <v>2391</v>
      </c>
      <c r="B283" s="33"/>
      <c r="C283" s="33"/>
      <c r="D283" s="33"/>
      <c r="E283" s="36">
        <v>20</v>
      </c>
      <c r="F283" s="36" t="s">
        <v>471</v>
      </c>
      <c r="G283" s="36">
        <v>179202</v>
      </c>
      <c r="H283" s="37">
        <v>45002</v>
      </c>
      <c r="I283" s="36">
        <v>55</v>
      </c>
      <c r="J283" s="36" t="s">
        <v>1492</v>
      </c>
      <c r="K283" s="36" t="s">
        <v>1493</v>
      </c>
      <c r="L283" s="36" t="s">
        <v>1494</v>
      </c>
      <c r="M283" s="27"/>
      <c r="O283" s="28" t="str">
        <f>IFERROR(VLOOKUP(A283, '2024 Full View'!$1:$999, 1, FALSE), "")</f>
        <v/>
      </c>
      <c r="P283" s="3" t="str">
        <f ca="1">IFERROR(__xludf.DUMMYFUNCTION("TEXTJOIN("", "",TRUE, FILTER($B$1:$E$1,B283:E283&lt;&gt;""""))"),"Jamie")</f>
        <v>Jamie</v>
      </c>
    </row>
    <row r="284" spans="1:16" ht="14">
      <c r="A284" s="36" t="s">
        <v>2392</v>
      </c>
      <c r="B284" s="33"/>
      <c r="C284" s="33"/>
      <c r="D284" s="33"/>
      <c r="E284" s="36">
        <v>21</v>
      </c>
      <c r="F284" s="33"/>
      <c r="G284" s="36">
        <v>231360</v>
      </c>
      <c r="H284" s="37">
        <v>43721</v>
      </c>
      <c r="I284" s="36">
        <v>55</v>
      </c>
      <c r="J284" s="36" t="s">
        <v>1495</v>
      </c>
      <c r="K284" s="36" t="s">
        <v>372</v>
      </c>
      <c r="L284" s="36" t="s">
        <v>1496</v>
      </c>
      <c r="M284" s="27"/>
      <c r="O284" s="28" t="str">
        <f>IFERROR(VLOOKUP(A284, '2024 Full View'!$1:$999, 1, FALSE), "")</f>
        <v/>
      </c>
      <c r="P284" s="3" t="str">
        <f ca="1">IFERROR(__xludf.DUMMYFUNCTION("TEXTJOIN("", "",TRUE, FILTER($B$1:$E$1,B284:E284&lt;&gt;""""))"),"Jamie")</f>
        <v>Jamie</v>
      </c>
    </row>
    <row r="285" spans="1:16" ht="14">
      <c r="A285" s="36" t="s">
        <v>2393</v>
      </c>
      <c r="B285" s="33"/>
      <c r="C285" s="33"/>
      <c r="D285" s="36">
        <v>73</v>
      </c>
      <c r="E285" s="33"/>
      <c r="F285" s="33"/>
      <c r="G285" s="36">
        <v>173933</v>
      </c>
      <c r="H285" s="37">
        <v>43917</v>
      </c>
      <c r="I285" s="36">
        <v>55</v>
      </c>
      <c r="J285" s="36" t="s">
        <v>1497</v>
      </c>
      <c r="K285" s="36" t="s">
        <v>1498</v>
      </c>
      <c r="L285" s="36" t="s">
        <v>1499</v>
      </c>
      <c r="M285" s="27"/>
      <c r="O285" s="28" t="str">
        <f>IFERROR(VLOOKUP(A285, '2024 Full View'!$1:$999, 1, FALSE), "")</f>
        <v/>
      </c>
      <c r="P285" s="3" t="str">
        <f ca="1">IFERROR(__xludf.DUMMYFUNCTION("TEXTJOIN("", "",TRUE, FILTER($B$1:$E$1,B285:E285&lt;&gt;""""))"),"Maggie")</f>
        <v>Maggie</v>
      </c>
    </row>
    <row r="286" spans="1:16" ht="14">
      <c r="A286" s="36" t="s">
        <v>2394</v>
      </c>
      <c r="B286" s="33"/>
      <c r="C286" s="33"/>
      <c r="D286" s="36">
        <v>46</v>
      </c>
      <c r="E286" s="33"/>
      <c r="F286" s="33"/>
      <c r="G286" s="36">
        <v>180533</v>
      </c>
      <c r="H286" s="37">
        <v>26024</v>
      </c>
      <c r="I286" s="36">
        <v>55</v>
      </c>
      <c r="J286" s="36" t="s">
        <v>1500</v>
      </c>
      <c r="K286" s="36" t="s">
        <v>1501</v>
      </c>
      <c r="L286" s="36" t="s">
        <v>1502</v>
      </c>
      <c r="M286" s="27"/>
      <c r="O286" s="28" t="str">
        <f>IFERROR(VLOOKUP(A286, '2024 Full View'!$1:$999, 1, FALSE), "")</f>
        <v/>
      </c>
      <c r="P286" s="3" t="str">
        <f ca="1">IFERROR(__xludf.DUMMYFUNCTION("TEXTJOIN("", "",TRUE, FILTER($B$1:$E$1,B286:E286&lt;&gt;""""))"),"Maggie")</f>
        <v>Maggie</v>
      </c>
    </row>
    <row r="287" spans="1:16" ht="14">
      <c r="A287" s="36" t="s">
        <v>2395</v>
      </c>
      <c r="B287" s="36">
        <v>97</v>
      </c>
      <c r="C287" s="33"/>
      <c r="D287" s="33"/>
      <c r="E287" s="33"/>
      <c r="F287" s="33"/>
      <c r="G287" s="36">
        <v>140041</v>
      </c>
      <c r="H287" s="37">
        <v>44841</v>
      </c>
      <c r="I287" s="36">
        <v>54</v>
      </c>
      <c r="J287" s="36" t="s">
        <v>1431</v>
      </c>
      <c r="K287" s="36" t="s">
        <v>458</v>
      </c>
      <c r="L287" s="36" t="s">
        <v>1503</v>
      </c>
      <c r="M287" s="27"/>
      <c r="O287" s="28" t="str">
        <f>IFERROR(VLOOKUP(A287, '2024 Full View'!$1:$999, 1, FALSE), "")</f>
        <v/>
      </c>
      <c r="P287" s="3" t="str">
        <f ca="1">IFERROR(__xludf.DUMMYFUNCTION("TEXTJOIN("", "",TRUE, FILTER($B$1:$E$1,B287:E287&lt;&gt;""""))"),"Zach")</f>
        <v>Zach</v>
      </c>
    </row>
    <row r="288" spans="1:16" ht="14">
      <c r="A288" s="36" t="s">
        <v>2138</v>
      </c>
      <c r="B288" s="33"/>
      <c r="C288" s="33"/>
      <c r="D288" s="33"/>
      <c r="E288" s="36">
        <v>92</v>
      </c>
      <c r="F288" s="33"/>
      <c r="G288" s="36">
        <v>186841</v>
      </c>
      <c r="H288" s="37">
        <v>43796</v>
      </c>
      <c r="I288" s="36">
        <v>54</v>
      </c>
      <c r="J288" s="36" t="s">
        <v>1504</v>
      </c>
      <c r="K288" s="36" t="s">
        <v>499</v>
      </c>
      <c r="L288" s="36" t="s">
        <v>1504</v>
      </c>
      <c r="M288" s="27"/>
      <c r="O288" s="28" t="str">
        <f>IFERROR(VLOOKUP(A288, '2024 Full View'!$1:$999, 1, FALSE), "")</f>
        <v>Easy to LoveCouch</v>
      </c>
      <c r="P288" s="3" t="str">
        <f ca="1">IFERROR(__xludf.DUMMYFUNCTION("TEXTJOIN("", "",TRUE, FILTER($B$1:$E$1,B288:E288&lt;&gt;""""))"),"Jamie")</f>
        <v>Jamie</v>
      </c>
    </row>
    <row r="289" spans="1:16" ht="14">
      <c r="A289" s="36" t="s">
        <v>2396</v>
      </c>
      <c r="B289" s="33"/>
      <c r="C289" s="33"/>
      <c r="D289" s="36">
        <v>18</v>
      </c>
      <c r="E289" s="33"/>
      <c r="F289" s="33"/>
      <c r="G289" s="36">
        <v>318929</v>
      </c>
      <c r="H289" s="37">
        <v>25720</v>
      </c>
      <c r="I289" s="36">
        <v>54</v>
      </c>
      <c r="J289" s="36" t="s">
        <v>1505</v>
      </c>
      <c r="K289" s="36" t="s">
        <v>1506</v>
      </c>
      <c r="L289" s="36" t="s">
        <v>1507</v>
      </c>
      <c r="M289" s="27"/>
      <c r="O289" s="28" t="str">
        <f>IFERROR(VLOOKUP(A289, '2024 Full View'!$1:$999, 1, FALSE), "")</f>
        <v/>
      </c>
      <c r="P289" s="3" t="str">
        <f ca="1">IFERROR(__xludf.DUMMYFUNCTION("TEXTJOIN("", "",TRUE, FILTER($B$1:$E$1,B289:E289&lt;&gt;""""))"),"Maggie")</f>
        <v>Maggie</v>
      </c>
    </row>
    <row r="290" spans="1:16" ht="14">
      <c r="A290" s="36" t="s">
        <v>2397</v>
      </c>
      <c r="B290" s="33"/>
      <c r="C290" s="33"/>
      <c r="D290" s="36">
        <v>78</v>
      </c>
      <c r="E290" s="33"/>
      <c r="F290" s="33"/>
      <c r="G290" s="36">
        <v>156373</v>
      </c>
      <c r="H290" s="37">
        <v>25508</v>
      </c>
      <c r="I290" s="36">
        <v>54</v>
      </c>
      <c r="J290" s="36" t="s">
        <v>1508</v>
      </c>
      <c r="K290" s="36" t="s">
        <v>1509</v>
      </c>
      <c r="L290" s="36" t="s">
        <v>1510</v>
      </c>
      <c r="M290" s="27"/>
      <c r="O290" s="28" t="str">
        <f>IFERROR(VLOOKUP(A290, '2024 Full View'!$1:$999, 1, FALSE), "")</f>
        <v/>
      </c>
      <c r="P290" s="3" t="str">
        <f ca="1">IFERROR(__xludf.DUMMYFUNCTION("TEXTJOIN("", "",TRUE, FILTER($B$1:$E$1,B290:E290&lt;&gt;""""))"),"Maggie")</f>
        <v>Maggie</v>
      </c>
    </row>
    <row r="291" spans="1:16" ht="14">
      <c r="A291" s="36" t="s">
        <v>2398</v>
      </c>
      <c r="B291" s="33"/>
      <c r="C291" s="36">
        <v>49</v>
      </c>
      <c r="D291" s="33"/>
      <c r="E291" s="33"/>
      <c r="F291" s="33"/>
      <c r="G291" s="36">
        <v>214986</v>
      </c>
      <c r="H291" s="37">
        <v>41926</v>
      </c>
      <c r="I291" s="36">
        <v>53</v>
      </c>
      <c r="J291" s="36" t="s">
        <v>1511</v>
      </c>
      <c r="K291" s="36" t="s">
        <v>1512</v>
      </c>
      <c r="L291" s="36" t="s">
        <v>1513</v>
      </c>
      <c r="M291" s="27"/>
      <c r="O291" s="28" t="str">
        <f>IFERROR(VLOOKUP(A291, '2024 Full View'!$1:$999, 1, FALSE), "")</f>
        <v/>
      </c>
      <c r="P291" s="3" t="str">
        <f ca="1">IFERROR(__xludf.DUMMYFUNCTION("TEXTJOIN("", "",TRUE, FILTER($B$1:$E$1,B291:E291&lt;&gt;""""))"),"Bryce")</f>
        <v>Bryce</v>
      </c>
    </row>
    <row r="292" spans="1:16" ht="14">
      <c r="A292" s="36" t="s">
        <v>2399</v>
      </c>
      <c r="B292" s="33"/>
      <c r="C292" s="36">
        <v>81</v>
      </c>
      <c r="D292" s="33"/>
      <c r="E292" s="33"/>
      <c r="F292" s="36" t="s">
        <v>1514</v>
      </c>
      <c r="G292" s="36">
        <v>183578</v>
      </c>
      <c r="H292" s="37">
        <v>45100</v>
      </c>
      <c r="I292" s="36">
        <v>53</v>
      </c>
      <c r="J292" s="36" t="s">
        <v>1515</v>
      </c>
      <c r="K292" s="36" t="s">
        <v>1107</v>
      </c>
      <c r="L292" s="36" t="s">
        <v>1515</v>
      </c>
      <c r="M292" s="27"/>
      <c r="O292" s="28" t="str">
        <f>IFERROR(VLOOKUP(A292, '2024 Full View'!$1:$999, 1, FALSE), "")</f>
        <v/>
      </c>
      <c r="P292" s="3" t="str">
        <f ca="1">IFERROR(__xludf.DUMMYFUNCTION("TEXTJOIN("", "",TRUE, FILTER($B$1:$E$1,B292:E292&lt;&gt;""""))"),"Bryce")</f>
        <v>Bryce</v>
      </c>
    </row>
    <row r="293" spans="1:16" ht="14">
      <c r="A293" s="36" t="s">
        <v>2400</v>
      </c>
      <c r="B293" s="33"/>
      <c r="C293" s="36">
        <v>83</v>
      </c>
      <c r="D293" s="33"/>
      <c r="E293" s="33"/>
      <c r="F293" s="33"/>
      <c r="G293" s="36">
        <v>211866</v>
      </c>
      <c r="H293" s="37">
        <v>43252</v>
      </c>
      <c r="I293" s="36">
        <v>53</v>
      </c>
      <c r="J293" s="36" t="s">
        <v>748</v>
      </c>
      <c r="K293" s="36" t="s">
        <v>482</v>
      </c>
      <c r="L293" s="36" t="s">
        <v>1516</v>
      </c>
      <c r="M293" s="27"/>
      <c r="O293" s="28" t="str">
        <f>IFERROR(VLOOKUP(A293, '2024 Full View'!$1:$999, 1, FALSE), "")</f>
        <v/>
      </c>
      <c r="P293" s="3" t="str">
        <f ca="1">IFERROR(__xludf.DUMMYFUNCTION("TEXTJOIN("", "",TRUE, FILTER($B$1:$E$1,B293:E293&lt;&gt;""""))"),"Bryce")</f>
        <v>Bryce</v>
      </c>
    </row>
    <row r="294" spans="1:16" ht="14">
      <c r="A294" s="36" t="s">
        <v>2401</v>
      </c>
      <c r="B294" s="33"/>
      <c r="C294" s="36">
        <v>92</v>
      </c>
      <c r="D294" s="33"/>
      <c r="E294" s="33"/>
      <c r="F294" s="33"/>
      <c r="G294" s="36">
        <v>175284</v>
      </c>
      <c r="H294" s="37">
        <v>41870</v>
      </c>
      <c r="I294" s="36">
        <v>53</v>
      </c>
      <c r="J294" s="36" t="s">
        <v>1517</v>
      </c>
      <c r="K294" s="36" t="s">
        <v>1518</v>
      </c>
      <c r="L294" s="36" t="s">
        <v>1519</v>
      </c>
      <c r="M294" s="27"/>
      <c r="O294" s="28" t="str">
        <f>IFERROR(VLOOKUP(A294, '2024 Full View'!$1:$999, 1, FALSE), "")</f>
        <v/>
      </c>
      <c r="P294" s="3" t="str">
        <f ca="1">IFERROR(__xludf.DUMMYFUNCTION("TEXTJOIN("", "",TRUE, FILTER($B$1:$E$1,B294:E294&lt;&gt;""""))"),"Bryce")</f>
        <v>Bryce</v>
      </c>
    </row>
    <row r="295" spans="1:16" ht="14">
      <c r="A295" s="36" t="s">
        <v>2402</v>
      </c>
      <c r="B295" s="33"/>
      <c r="C295" s="33"/>
      <c r="D295" s="36">
        <v>23</v>
      </c>
      <c r="E295" s="33"/>
      <c r="F295" s="33"/>
      <c r="G295" s="36">
        <v>167880</v>
      </c>
      <c r="H295" s="37">
        <v>26846</v>
      </c>
      <c r="I295" s="36">
        <v>53</v>
      </c>
      <c r="J295" s="36" t="s">
        <v>1520</v>
      </c>
      <c r="K295" s="36" t="s">
        <v>1236</v>
      </c>
      <c r="L295" s="36" t="s">
        <v>1521</v>
      </c>
      <c r="M295" s="27"/>
      <c r="O295" s="28" t="str">
        <f>IFERROR(VLOOKUP(A295, '2024 Full View'!$1:$999, 1, FALSE), "")</f>
        <v/>
      </c>
      <c r="P295" s="3" t="str">
        <f ca="1">IFERROR(__xludf.DUMMYFUNCTION("TEXTJOIN("", "",TRUE, FILTER($B$1:$E$1,B295:E295&lt;&gt;""""))"),"Maggie")</f>
        <v>Maggie</v>
      </c>
    </row>
    <row r="296" spans="1:16" ht="14">
      <c r="A296" s="36" t="s">
        <v>2403</v>
      </c>
      <c r="B296" s="36">
        <v>79</v>
      </c>
      <c r="C296" s="33"/>
      <c r="D296" s="33"/>
      <c r="E296" s="33"/>
      <c r="F296" s="33"/>
      <c r="G296" s="36">
        <v>198053</v>
      </c>
      <c r="H296" s="37">
        <v>45149</v>
      </c>
      <c r="I296" s="36">
        <v>53</v>
      </c>
      <c r="J296" s="36" t="s">
        <v>1407</v>
      </c>
      <c r="K296" s="36" t="s">
        <v>1340</v>
      </c>
      <c r="L296" s="36" t="s">
        <v>1522</v>
      </c>
      <c r="M296" s="27"/>
      <c r="O296" s="28" t="str">
        <f>IFERROR(VLOOKUP(A296, '2024 Full View'!$1:$999, 1, FALSE), "")</f>
        <v/>
      </c>
      <c r="P296" s="3" t="str">
        <f ca="1">IFERROR(__xludf.DUMMYFUNCTION("TEXTJOIN("", "",TRUE, FILTER($B$1:$E$1,B296:E296&lt;&gt;""""))"),"Zach")</f>
        <v>Zach</v>
      </c>
    </row>
    <row r="297" spans="1:16" ht="14">
      <c r="A297" s="36" t="s">
        <v>2404</v>
      </c>
      <c r="B297" s="33"/>
      <c r="C297" s="33"/>
      <c r="D297" s="33"/>
      <c r="E297" s="36">
        <v>63</v>
      </c>
      <c r="F297" s="33"/>
      <c r="G297" s="36">
        <v>267053</v>
      </c>
      <c r="H297" s="37">
        <v>44056</v>
      </c>
      <c r="I297" s="36">
        <v>53</v>
      </c>
      <c r="J297" s="36" t="s">
        <v>1355</v>
      </c>
      <c r="K297" s="36" t="s">
        <v>487</v>
      </c>
      <c r="L297" s="36" t="s">
        <v>1523</v>
      </c>
      <c r="M297" s="27"/>
      <c r="O297" s="28" t="str">
        <f>IFERROR(VLOOKUP(A297, '2024 Full View'!$1:$999, 1, FALSE), "")</f>
        <v/>
      </c>
      <c r="P297" s="3" t="str">
        <f ca="1">IFERROR(__xludf.DUMMYFUNCTION("TEXTJOIN("", "",TRUE, FILTER($B$1:$E$1,B297:E297&lt;&gt;""""))"),"Jamie")</f>
        <v>Jamie</v>
      </c>
    </row>
    <row r="298" spans="1:16" ht="14">
      <c r="A298" s="36" t="s">
        <v>2405</v>
      </c>
      <c r="B298" s="36">
        <v>21</v>
      </c>
      <c r="C298" s="33"/>
      <c r="D298" s="33"/>
      <c r="E298" s="33"/>
      <c r="F298" s="33"/>
      <c r="G298" s="36">
        <v>181178</v>
      </c>
      <c r="H298" s="37">
        <v>44484</v>
      </c>
      <c r="I298" s="36">
        <v>53</v>
      </c>
      <c r="J298" s="36" t="s">
        <v>1524</v>
      </c>
      <c r="K298" s="36" t="s">
        <v>1525</v>
      </c>
      <c r="L298" s="36" t="s">
        <v>1524</v>
      </c>
      <c r="M298" s="27"/>
      <c r="O298" s="28" t="str">
        <f>IFERROR(VLOOKUP(A298, '2024 Full View'!$1:$999, 1, FALSE), "")</f>
        <v/>
      </c>
      <c r="P298" s="3" t="str">
        <f ca="1">IFERROR(__xludf.DUMMYFUNCTION("TEXTJOIN("", "",TRUE, FILTER($B$1:$E$1,B298:E298&lt;&gt;""""))"),"Zach")</f>
        <v>Zach</v>
      </c>
    </row>
    <row r="299" spans="1:16" ht="14">
      <c r="A299" s="36" t="s">
        <v>2406</v>
      </c>
      <c r="B299" s="33"/>
      <c r="C299" s="36">
        <v>34</v>
      </c>
      <c r="D299" s="33"/>
      <c r="E299" s="33"/>
      <c r="F299" s="33"/>
      <c r="G299" s="36">
        <v>172106</v>
      </c>
      <c r="H299" s="37">
        <v>44623</v>
      </c>
      <c r="I299" s="36">
        <v>52</v>
      </c>
      <c r="J299" s="36" t="s">
        <v>1526</v>
      </c>
      <c r="K299" s="36" t="s">
        <v>1527</v>
      </c>
      <c r="L299" s="36" t="s">
        <v>1528</v>
      </c>
      <c r="M299" s="27"/>
      <c r="O299" s="28" t="str">
        <f>IFERROR(VLOOKUP(A299, '2024 Full View'!$1:$999, 1, FALSE), "")</f>
        <v/>
      </c>
      <c r="P299" s="3" t="str">
        <f ca="1">IFERROR(__xludf.DUMMYFUNCTION("TEXTJOIN("", "",TRUE, FILTER($B$1:$E$1,B299:E299&lt;&gt;""""))"),"Bryce")</f>
        <v>Bryce</v>
      </c>
    </row>
    <row r="300" spans="1:16" ht="14">
      <c r="A300" s="36" t="s">
        <v>1875</v>
      </c>
      <c r="B300" s="33"/>
      <c r="C300" s="36">
        <v>79</v>
      </c>
      <c r="D300" s="33"/>
      <c r="E300" s="33"/>
      <c r="F300" s="33"/>
      <c r="G300" s="36">
        <v>242586</v>
      </c>
      <c r="H300" s="37">
        <v>42244</v>
      </c>
      <c r="I300" s="36">
        <v>52</v>
      </c>
      <c r="J300" s="36" t="s">
        <v>722</v>
      </c>
      <c r="K300" s="36" t="s">
        <v>433</v>
      </c>
      <c r="L300" s="36" t="s">
        <v>723</v>
      </c>
      <c r="M300" s="27"/>
      <c r="O300" s="28" t="str">
        <f>IFERROR(VLOOKUP(A300, '2024 Full View'!$1:$999, 1, FALSE), "")</f>
        <v>Mon coeur avait raison - Pilule bleueGIMS</v>
      </c>
      <c r="P300" s="3" t="str">
        <f ca="1">IFERROR(__xludf.DUMMYFUNCTION("TEXTJOIN("", "",TRUE, FILTER($B$1:$E$1,B300:E300&lt;&gt;""""))"),"Bryce")</f>
        <v>Bryce</v>
      </c>
    </row>
    <row r="301" spans="1:16" ht="14">
      <c r="A301" s="36" t="s">
        <v>2407</v>
      </c>
      <c r="B301" s="33"/>
      <c r="C301" s="33"/>
      <c r="D301" s="33"/>
      <c r="E301" s="36">
        <v>49</v>
      </c>
      <c r="F301" s="33"/>
      <c r="G301" s="36">
        <v>208893</v>
      </c>
      <c r="H301" s="37">
        <v>40795</v>
      </c>
      <c r="I301" s="36">
        <v>52</v>
      </c>
      <c r="J301" s="36" t="s">
        <v>1529</v>
      </c>
      <c r="K301" s="36" t="s">
        <v>1530</v>
      </c>
      <c r="L301" s="36" t="s">
        <v>1531</v>
      </c>
      <c r="M301" s="27"/>
      <c r="O301" s="28" t="str">
        <f>IFERROR(VLOOKUP(A301, '2024 Full View'!$1:$999, 1, FALSE), "")</f>
        <v/>
      </c>
      <c r="P301" s="3" t="str">
        <f ca="1">IFERROR(__xludf.DUMMYFUNCTION("TEXTJOIN("", "",TRUE, FILTER($B$1:$E$1,B301:E301&lt;&gt;""""))"),"Jamie")</f>
        <v>Jamie</v>
      </c>
    </row>
    <row r="302" spans="1:16" ht="14">
      <c r="A302" s="36" t="s">
        <v>2408</v>
      </c>
      <c r="B302" s="36">
        <v>37</v>
      </c>
      <c r="C302" s="33"/>
      <c r="D302" s="33"/>
      <c r="E302" s="33"/>
      <c r="F302" s="36" t="s">
        <v>1532</v>
      </c>
      <c r="G302" s="36">
        <v>176617</v>
      </c>
      <c r="H302" s="37">
        <v>44974</v>
      </c>
      <c r="I302" s="36">
        <v>52</v>
      </c>
      <c r="J302" s="36" t="s">
        <v>1533</v>
      </c>
      <c r="K302" s="36" t="s">
        <v>478</v>
      </c>
      <c r="L302" s="36" t="s">
        <v>1533</v>
      </c>
      <c r="M302" s="27"/>
      <c r="O302" s="28" t="str">
        <f>IFERROR(VLOOKUP(A302, '2024 Full View'!$1:$999, 1, FALSE), "")</f>
        <v/>
      </c>
      <c r="P302" s="3" t="str">
        <f ca="1">IFERROR(__xludf.DUMMYFUNCTION("TEXTJOIN("", "",TRUE, FILTER($B$1:$E$1,B302:E302&lt;&gt;""""))"),"Zach")</f>
        <v>Zach</v>
      </c>
    </row>
    <row r="303" spans="1:16" ht="14">
      <c r="A303" s="36" t="s">
        <v>2409</v>
      </c>
      <c r="B303" s="36">
        <v>66</v>
      </c>
      <c r="C303" s="33"/>
      <c r="D303" s="33"/>
      <c r="E303" s="33"/>
      <c r="F303" s="36" t="s">
        <v>478</v>
      </c>
      <c r="G303" s="36">
        <v>152781</v>
      </c>
      <c r="H303" s="37">
        <v>44435</v>
      </c>
      <c r="I303" s="36">
        <v>52</v>
      </c>
      <c r="J303" s="36" t="s">
        <v>1534</v>
      </c>
      <c r="K303" s="36" t="s">
        <v>1535</v>
      </c>
      <c r="L303" s="36" t="s">
        <v>1536</v>
      </c>
      <c r="M303" s="27"/>
      <c r="O303" s="28" t="str">
        <f>IFERROR(VLOOKUP(A303, '2024 Full View'!$1:$999, 1, FALSE), "")</f>
        <v/>
      </c>
      <c r="P303" s="3" t="str">
        <f ca="1">IFERROR(__xludf.DUMMYFUNCTION("TEXTJOIN("", "",TRUE, FILTER($B$1:$E$1,B303:E303&lt;&gt;""""))"),"Zach")</f>
        <v>Zach</v>
      </c>
    </row>
    <row r="304" spans="1:16" ht="14">
      <c r="A304" s="36" t="s">
        <v>2001</v>
      </c>
      <c r="B304" s="33"/>
      <c r="C304" s="36">
        <v>14</v>
      </c>
      <c r="D304" s="33"/>
      <c r="E304" s="33"/>
      <c r="F304" s="33"/>
      <c r="G304" s="36">
        <v>195982</v>
      </c>
      <c r="H304" s="37">
        <v>44491</v>
      </c>
      <c r="I304" s="36">
        <v>51</v>
      </c>
      <c r="J304" s="36" t="s">
        <v>792</v>
      </c>
      <c r="K304" s="36" t="s">
        <v>377</v>
      </c>
      <c r="L304" s="36" t="s">
        <v>792</v>
      </c>
      <c r="M304" s="27"/>
      <c r="O304" s="28" t="str">
        <f>IFERROR(VLOOKUP(A304, '2024 Full View'!$1:$999, 1, FALSE), "")</f>
        <v>On pourraitSARA'H</v>
      </c>
      <c r="P304" s="3" t="str">
        <f ca="1">IFERROR(__xludf.DUMMYFUNCTION("TEXTJOIN("", "",TRUE, FILTER($B$1:$E$1,B304:E304&lt;&gt;""""))"),"Bryce")</f>
        <v>Bryce</v>
      </c>
    </row>
    <row r="305" spans="1:16" ht="14">
      <c r="A305" s="36" t="s">
        <v>2410</v>
      </c>
      <c r="B305" s="33"/>
      <c r="C305" s="36">
        <v>5</v>
      </c>
      <c r="D305" s="33"/>
      <c r="E305" s="33"/>
      <c r="F305" s="33"/>
      <c r="G305" s="36">
        <v>208693</v>
      </c>
      <c r="H305" s="37">
        <v>43049</v>
      </c>
      <c r="I305" s="36">
        <v>50</v>
      </c>
      <c r="J305" s="36" t="s">
        <v>1321</v>
      </c>
      <c r="K305" s="36" t="s">
        <v>1321</v>
      </c>
      <c r="L305" s="36" t="s">
        <v>1537</v>
      </c>
      <c r="M305" s="27"/>
      <c r="O305" s="28" t="str">
        <f>IFERROR(VLOOKUP(A305, '2024 Full View'!$1:$999, 1, FALSE), "")</f>
        <v/>
      </c>
      <c r="P305" s="3" t="str">
        <f ca="1">IFERROR(__xludf.DUMMYFUNCTION("TEXTJOIN("", "",TRUE, FILTER($B$1:$E$1,B305:E305&lt;&gt;""""))"),"Bryce")</f>
        <v>Bryce</v>
      </c>
    </row>
    <row r="306" spans="1:16" ht="14">
      <c r="A306" s="36" t="s">
        <v>2411</v>
      </c>
      <c r="B306" s="33"/>
      <c r="C306" s="36">
        <v>89</v>
      </c>
      <c r="D306" s="33"/>
      <c r="E306" s="33"/>
      <c r="F306" s="33"/>
      <c r="G306" s="36">
        <v>201760</v>
      </c>
      <c r="H306" s="37">
        <v>42951</v>
      </c>
      <c r="I306" s="36">
        <v>50</v>
      </c>
      <c r="J306" s="36" t="s">
        <v>1538</v>
      </c>
      <c r="K306" s="36" t="s">
        <v>1266</v>
      </c>
      <c r="L306" s="36" t="s">
        <v>1539</v>
      </c>
      <c r="M306" s="27"/>
      <c r="O306" s="28" t="str">
        <f>IFERROR(VLOOKUP(A306, '2024 Full View'!$1:$999, 1, FALSE), "")</f>
        <v/>
      </c>
      <c r="P306" s="3" t="str">
        <f ca="1">IFERROR(__xludf.DUMMYFUNCTION("TEXTJOIN("", "",TRUE, FILTER($B$1:$E$1,B306:E306&lt;&gt;""""))"),"Bryce")</f>
        <v>Bryce</v>
      </c>
    </row>
    <row r="307" spans="1:16" ht="14">
      <c r="A307" s="36" t="s">
        <v>1816</v>
      </c>
      <c r="B307" s="33"/>
      <c r="C307" s="33"/>
      <c r="D307" s="36">
        <v>39</v>
      </c>
      <c r="E307" s="33"/>
      <c r="F307" s="33"/>
      <c r="G307" s="36">
        <v>175360</v>
      </c>
      <c r="H307" s="37">
        <v>27364</v>
      </c>
      <c r="I307" s="36">
        <v>50</v>
      </c>
      <c r="J307" s="36" t="s">
        <v>636</v>
      </c>
      <c r="K307" s="36" t="s">
        <v>516</v>
      </c>
      <c r="L307" s="36" t="s">
        <v>637</v>
      </c>
      <c r="M307" s="27"/>
      <c r="O307" s="28" t="str">
        <f>IFERROR(VLOOKUP(A307, '2024 Full View'!$1:$999, 1, FALSE), "")</f>
        <v>Bad Time - Remastered 2002Grand Funk Railroad</v>
      </c>
      <c r="P307" s="3" t="str">
        <f ca="1">IFERROR(__xludf.DUMMYFUNCTION("TEXTJOIN("", "",TRUE, FILTER($B$1:$E$1,B307:E307&lt;&gt;""""))"),"Maggie")</f>
        <v>Maggie</v>
      </c>
    </row>
    <row r="308" spans="1:16" ht="14">
      <c r="A308" s="36" t="s">
        <v>1886</v>
      </c>
      <c r="B308" s="33"/>
      <c r="C308" s="36">
        <v>18</v>
      </c>
      <c r="D308" s="33"/>
      <c r="E308" s="33"/>
      <c r="F308" s="33"/>
      <c r="G308" s="36">
        <v>233800</v>
      </c>
      <c r="H308" s="37">
        <v>43567</v>
      </c>
      <c r="I308" s="36">
        <v>49</v>
      </c>
      <c r="J308" s="36" t="s">
        <v>756</v>
      </c>
      <c r="K308" s="36" t="s">
        <v>389</v>
      </c>
      <c r="L308" s="33" t="s">
        <v>757</v>
      </c>
      <c r="M308" s="27"/>
      <c r="O308" s="28" t="str">
        <f>IFERROR(VLOOKUP(A308, '2024 Full View'!$1:$999, 1, FALSE), "")</f>
        <v>TombéM. Pokora</v>
      </c>
      <c r="P308" s="3" t="str">
        <f ca="1">IFERROR(__xludf.DUMMYFUNCTION("TEXTJOIN("", "",TRUE, FILTER($B$1:$E$1,B308:E308&lt;&gt;""""))"),"Bryce")</f>
        <v>Bryce</v>
      </c>
    </row>
    <row r="309" spans="1:16" ht="14">
      <c r="A309" s="36" t="s">
        <v>2412</v>
      </c>
      <c r="B309" s="36">
        <v>51</v>
      </c>
      <c r="C309" s="33"/>
      <c r="D309" s="33"/>
      <c r="E309" s="33"/>
      <c r="F309" s="33"/>
      <c r="G309" s="36">
        <v>196506</v>
      </c>
      <c r="H309" s="37">
        <v>45184</v>
      </c>
      <c r="I309" s="36">
        <v>49</v>
      </c>
      <c r="J309" s="36" t="s">
        <v>1540</v>
      </c>
      <c r="K309" s="36" t="s">
        <v>1293</v>
      </c>
      <c r="L309" s="36" t="s">
        <v>1541</v>
      </c>
      <c r="M309" s="27"/>
      <c r="O309" s="28" t="str">
        <f>IFERROR(VLOOKUP(A309, '2024 Full View'!$1:$999, 1, FALSE), "")</f>
        <v/>
      </c>
      <c r="P309" s="3" t="str">
        <f ca="1">IFERROR(__xludf.DUMMYFUNCTION("TEXTJOIN("", "",TRUE, FILTER($B$1:$E$1,B309:E309&lt;&gt;""""))"),"Zach")</f>
        <v>Zach</v>
      </c>
    </row>
    <row r="310" spans="1:16" ht="14">
      <c r="A310" s="36" t="s">
        <v>2413</v>
      </c>
      <c r="B310" s="33"/>
      <c r="C310" s="33"/>
      <c r="D310" s="33"/>
      <c r="E310" s="36">
        <v>10</v>
      </c>
      <c r="F310" s="33"/>
      <c r="G310" s="36">
        <v>150369</v>
      </c>
      <c r="H310" s="37">
        <v>44855</v>
      </c>
      <c r="I310" s="36">
        <v>49</v>
      </c>
      <c r="J310" s="36" t="s">
        <v>1542</v>
      </c>
      <c r="K310" s="36" t="s">
        <v>517</v>
      </c>
      <c r="L310" s="36" t="s">
        <v>1543</v>
      </c>
      <c r="M310" s="27"/>
      <c r="O310" s="28" t="str">
        <f>IFERROR(VLOOKUP(A310, '2024 Full View'!$1:$999, 1, FALSE), "")</f>
        <v/>
      </c>
      <c r="P310" s="3" t="str">
        <f ca="1">IFERROR(__xludf.DUMMYFUNCTION("TEXTJOIN("", "",TRUE, FILTER($B$1:$E$1,B310:E310&lt;&gt;""""))"),"Jamie")</f>
        <v>Jamie</v>
      </c>
    </row>
    <row r="311" spans="1:16" ht="14">
      <c r="A311" s="36" t="s">
        <v>1899</v>
      </c>
      <c r="B311" s="36">
        <v>84</v>
      </c>
      <c r="C311" s="33"/>
      <c r="D311" s="33"/>
      <c r="E311" s="33"/>
      <c r="F311" s="33"/>
      <c r="G311" s="36">
        <v>162701</v>
      </c>
      <c r="H311" s="37">
        <v>45184</v>
      </c>
      <c r="I311" s="36">
        <v>49</v>
      </c>
      <c r="J311" s="36" t="s">
        <v>884</v>
      </c>
      <c r="K311" s="36" t="s">
        <v>439</v>
      </c>
      <c r="L311" s="36" t="s">
        <v>889</v>
      </c>
      <c r="M311" s="27"/>
      <c r="O311" s="28" t="str">
        <f>IFERROR(VLOOKUP(A311, '2024 Full View'!$1:$999, 1, FALSE), "")</f>
        <v>If I'm HonestTrousdale</v>
      </c>
      <c r="P311" s="3" t="str">
        <f ca="1">IFERROR(__xludf.DUMMYFUNCTION("TEXTJOIN("", "",TRUE, FILTER($B$1:$E$1,B311:E311&lt;&gt;""""))"),"Zach")</f>
        <v>Zach</v>
      </c>
    </row>
    <row r="312" spans="1:16" ht="14">
      <c r="A312" s="36" t="s">
        <v>2414</v>
      </c>
      <c r="B312" s="33"/>
      <c r="C312" s="33"/>
      <c r="D312" s="36">
        <v>53</v>
      </c>
      <c r="E312" s="33"/>
      <c r="F312" s="33"/>
      <c r="G312" s="36">
        <v>184293</v>
      </c>
      <c r="H312" s="36">
        <v>2009</v>
      </c>
      <c r="I312" s="36">
        <v>49</v>
      </c>
      <c r="J312" s="36" t="s">
        <v>1544</v>
      </c>
      <c r="K312" s="36" t="s">
        <v>1545</v>
      </c>
      <c r="L312" s="36" t="s">
        <v>1546</v>
      </c>
      <c r="M312" s="27"/>
      <c r="O312" s="28" t="str">
        <f>IFERROR(VLOOKUP(A312, '2024 Full View'!$1:$999, 1, FALSE), "")</f>
        <v/>
      </c>
      <c r="P312" s="3" t="str">
        <f ca="1">IFERROR(__xludf.DUMMYFUNCTION("TEXTJOIN("", "",TRUE, FILTER($B$1:$E$1,B312:E312&lt;&gt;""""))"),"Maggie")</f>
        <v>Maggie</v>
      </c>
    </row>
    <row r="313" spans="1:16" ht="14">
      <c r="A313" s="36" t="s">
        <v>2415</v>
      </c>
      <c r="B313" s="33"/>
      <c r="C313" s="33"/>
      <c r="D313" s="33"/>
      <c r="E313" s="36">
        <v>14</v>
      </c>
      <c r="F313" s="33"/>
      <c r="G313" s="36">
        <v>136345</v>
      </c>
      <c r="H313" s="37">
        <v>44323</v>
      </c>
      <c r="I313" s="36">
        <v>48</v>
      </c>
      <c r="J313" s="36" t="s">
        <v>784</v>
      </c>
      <c r="K313" s="36" t="s">
        <v>486</v>
      </c>
      <c r="L313" s="36" t="s">
        <v>1547</v>
      </c>
      <c r="M313" s="27"/>
      <c r="O313" s="28" t="str">
        <f>IFERROR(VLOOKUP(A313, '2024 Full View'!$1:$999, 1, FALSE), "")</f>
        <v/>
      </c>
      <c r="P313" s="3" t="str">
        <f ca="1">IFERROR(__xludf.DUMMYFUNCTION("TEXTJOIN("", "",TRUE, FILTER($B$1:$E$1,B313:E313&lt;&gt;""""))"),"Jamie")</f>
        <v>Jamie</v>
      </c>
    </row>
    <row r="314" spans="1:16" ht="14">
      <c r="A314" s="36" t="s">
        <v>2416</v>
      </c>
      <c r="B314" s="33"/>
      <c r="C314" s="33"/>
      <c r="D314" s="33"/>
      <c r="E314" s="36">
        <v>11</v>
      </c>
      <c r="F314" s="33"/>
      <c r="G314" s="36">
        <v>225240</v>
      </c>
      <c r="H314" s="37">
        <v>43861</v>
      </c>
      <c r="I314" s="36">
        <v>47</v>
      </c>
      <c r="J314" s="36" t="s">
        <v>1548</v>
      </c>
      <c r="K314" s="36" t="s">
        <v>1549</v>
      </c>
      <c r="L314" s="36" t="s">
        <v>1550</v>
      </c>
      <c r="M314" s="27"/>
      <c r="O314" s="28" t="str">
        <f>IFERROR(VLOOKUP(A314, '2024 Full View'!$1:$999, 1, FALSE), "")</f>
        <v/>
      </c>
      <c r="P314" s="3" t="str">
        <f ca="1">IFERROR(__xludf.DUMMYFUNCTION("TEXTJOIN("", "",TRUE, FILTER($B$1:$E$1,B314:E314&lt;&gt;""""))"),"Jamie")</f>
        <v>Jamie</v>
      </c>
    </row>
    <row r="315" spans="1:16" ht="14">
      <c r="A315" s="36" t="s">
        <v>2417</v>
      </c>
      <c r="B315" s="36">
        <v>27</v>
      </c>
      <c r="C315" s="33"/>
      <c r="D315" s="33"/>
      <c r="E315" s="33"/>
      <c r="F315" s="36" t="s">
        <v>1551</v>
      </c>
      <c r="G315" s="36">
        <v>209946</v>
      </c>
      <c r="H315" s="37">
        <v>43560</v>
      </c>
      <c r="I315" s="36">
        <v>47</v>
      </c>
      <c r="J315" s="36" t="s">
        <v>1390</v>
      </c>
      <c r="K315" s="36" t="s">
        <v>1391</v>
      </c>
      <c r="L315" s="36" t="s">
        <v>1552</v>
      </c>
      <c r="M315" s="27"/>
      <c r="O315" s="28" t="str">
        <f>IFERROR(VLOOKUP(A315, '2024 Full View'!$1:$999, 1, FALSE), "")</f>
        <v/>
      </c>
      <c r="P315" s="3" t="str">
        <f ca="1">IFERROR(__xludf.DUMMYFUNCTION("TEXTJOIN("", "",TRUE, FILTER($B$1:$E$1,B315:E315&lt;&gt;""""))"),"Zach")</f>
        <v>Zach</v>
      </c>
    </row>
    <row r="316" spans="1:16" ht="14">
      <c r="A316" s="36" t="s">
        <v>2418</v>
      </c>
      <c r="B316" s="33"/>
      <c r="C316" s="33"/>
      <c r="D316" s="36">
        <v>37</v>
      </c>
      <c r="E316" s="33"/>
      <c r="F316" s="33"/>
      <c r="G316" s="36">
        <v>201440</v>
      </c>
      <c r="H316" s="37">
        <v>44246</v>
      </c>
      <c r="I316" s="36">
        <v>47</v>
      </c>
      <c r="J316" s="36" t="s">
        <v>1417</v>
      </c>
      <c r="K316" s="36" t="s">
        <v>1418</v>
      </c>
      <c r="L316" s="36" t="s">
        <v>1553</v>
      </c>
      <c r="M316" s="27"/>
      <c r="O316" s="28" t="str">
        <f>IFERROR(VLOOKUP(A316, '2024 Full View'!$1:$999, 1, FALSE), "")</f>
        <v/>
      </c>
      <c r="P316" s="3" t="str">
        <f ca="1">IFERROR(__xludf.DUMMYFUNCTION("TEXTJOIN("", "",TRUE, FILTER($B$1:$E$1,B316:E316&lt;&gt;""""))"),"Maggie")</f>
        <v>Maggie</v>
      </c>
    </row>
    <row r="317" spans="1:16" ht="14">
      <c r="A317" s="36" t="s">
        <v>2419</v>
      </c>
      <c r="B317" s="33"/>
      <c r="C317" s="33"/>
      <c r="D317" s="33"/>
      <c r="E317" s="36">
        <v>30</v>
      </c>
      <c r="F317" s="33"/>
      <c r="G317" s="36">
        <v>327907</v>
      </c>
      <c r="H317" s="37">
        <v>42702</v>
      </c>
      <c r="I317" s="36">
        <v>47</v>
      </c>
      <c r="J317" s="36" t="s">
        <v>1554</v>
      </c>
      <c r="K317" s="36" t="s">
        <v>1555</v>
      </c>
      <c r="L317" s="36" t="s">
        <v>1556</v>
      </c>
      <c r="M317" s="27"/>
      <c r="O317" s="28" t="str">
        <f>IFERROR(VLOOKUP(A317, '2024 Full View'!$1:$999, 1, FALSE), "")</f>
        <v/>
      </c>
      <c r="P317" s="3" t="str">
        <f ca="1">IFERROR(__xludf.DUMMYFUNCTION("TEXTJOIN("", "",TRUE, FILTER($B$1:$E$1,B317:E317&lt;&gt;""""))"),"Jamie")</f>
        <v>Jamie</v>
      </c>
    </row>
    <row r="318" spans="1:16" ht="14">
      <c r="A318" s="36" t="s">
        <v>2420</v>
      </c>
      <c r="B318" s="33"/>
      <c r="C318" s="33"/>
      <c r="D318" s="33"/>
      <c r="E318" s="36">
        <v>12</v>
      </c>
      <c r="F318" s="33"/>
      <c r="G318" s="36">
        <v>201253</v>
      </c>
      <c r="H318" s="37">
        <v>44484</v>
      </c>
      <c r="I318" s="36">
        <v>47</v>
      </c>
      <c r="J318" s="36" t="s">
        <v>1557</v>
      </c>
      <c r="K318" s="36" t="s">
        <v>439</v>
      </c>
      <c r="L318" s="36" t="s">
        <v>1557</v>
      </c>
      <c r="M318" s="27"/>
      <c r="O318" s="28" t="str">
        <f>IFERROR(VLOOKUP(A318, '2024 Full View'!$1:$999, 1, FALSE), "")</f>
        <v/>
      </c>
      <c r="P318" s="3" t="str">
        <f ca="1">IFERROR(__xludf.DUMMYFUNCTION("TEXTJOIN("", "",TRUE, FILTER($B$1:$E$1,B318:E318&lt;&gt;""""))"),"Jamie")</f>
        <v>Jamie</v>
      </c>
    </row>
    <row r="319" spans="1:16" ht="14">
      <c r="A319" s="36" t="s">
        <v>2421</v>
      </c>
      <c r="B319" s="33"/>
      <c r="C319" s="36">
        <v>22</v>
      </c>
      <c r="D319" s="33"/>
      <c r="E319" s="33"/>
      <c r="F319" s="33"/>
      <c r="G319" s="36">
        <v>146017</v>
      </c>
      <c r="H319" s="37">
        <v>44302</v>
      </c>
      <c r="I319" s="36">
        <v>46</v>
      </c>
      <c r="J319" s="36" t="s">
        <v>1558</v>
      </c>
      <c r="K319" s="36" t="s">
        <v>1559</v>
      </c>
      <c r="L319" s="36" t="s">
        <v>1558</v>
      </c>
      <c r="M319" s="27"/>
      <c r="O319" s="28" t="str">
        <f>IFERROR(VLOOKUP(A319, '2024 Full View'!$1:$999, 1, FALSE), "")</f>
        <v/>
      </c>
      <c r="P319" s="3" t="str">
        <f ca="1">IFERROR(__xludf.DUMMYFUNCTION("TEXTJOIN("", "",TRUE, FILTER($B$1:$E$1,B319:E319&lt;&gt;""""))"),"Bryce")</f>
        <v>Bryce</v>
      </c>
    </row>
    <row r="320" spans="1:16" ht="14">
      <c r="A320" s="36" t="s">
        <v>2422</v>
      </c>
      <c r="B320" s="36">
        <v>81</v>
      </c>
      <c r="C320" s="33"/>
      <c r="D320" s="33"/>
      <c r="E320" s="33"/>
      <c r="F320" s="33"/>
      <c r="G320" s="36">
        <v>156826</v>
      </c>
      <c r="H320" s="37">
        <v>44722</v>
      </c>
      <c r="I320" s="36">
        <v>46</v>
      </c>
      <c r="J320" s="36" t="s">
        <v>1560</v>
      </c>
      <c r="K320" s="36" t="s">
        <v>1561</v>
      </c>
      <c r="L320" s="36" t="s">
        <v>1562</v>
      </c>
      <c r="M320" s="27"/>
      <c r="O320" s="28" t="str">
        <f>IFERROR(VLOOKUP(A320, '2024 Full View'!$1:$999, 1, FALSE), "")</f>
        <v/>
      </c>
      <c r="P320" s="3" t="str">
        <f ca="1">IFERROR(__xludf.DUMMYFUNCTION("TEXTJOIN("", "",TRUE, FILTER($B$1:$E$1,B320:E320&lt;&gt;""""))"),"Zach")</f>
        <v>Zach</v>
      </c>
    </row>
    <row r="321" spans="1:16" ht="14">
      <c r="A321" s="36" t="s">
        <v>2423</v>
      </c>
      <c r="B321" s="33"/>
      <c r="C321" s="33"/>
      <c r="D321" s="36">
        <v>93</v>
      </c>
      <c r="E321" s="33"/>
      <c r="F321" s="33"/>
      <c r="G321" s="36">
        <v>190133</v>
      </c>
      <c r="H321" s="37">
        <v>44246</v>
      </c>
      <c r="I321" s="36">
        <v>46</v>
      </c>
      <c r="J321" s="36" t="s">
        <v>1417</v>
      </c>
      <c r="K321" s="36" t="s">
        <v>1418</v>
      </c>
      <c r="L321" s="38">
        <v>0.125</v>
      </c>
      <c r="M321" s="27"/>
      <c r="O321" s="28" t="str">
        <f>IFERROR(VLOOKUP(A321, '2024 Full View'!$1:$999, 1, FALSE), "")</f>
        <v/>
      </c>
      <c r="P321" s="3" t="str">
        <f ca="1">IFERROR(__xludf.DUMMYFUNCTION("TEXTJOIN("", "",TRUE, FILTER($B$1:$E$1,B321:E321&lt;&gt;""""))"),"Maggie")</f>
        <v>Maggie</v>
      </c>
    </row>
    <row r="322" spans="1:16" ht="14">
      <c r="A322" s="36" t="s">
        <v>2424</v>
      </c>
      <c r="B322" s="33"/>
      <c r="C322" s="33"/>
      <c r="D322" s="33"/>
      <c r="E322" s="36">
        <v>67</v>
      </c>
      <c r="F322" s="33"/>
      <c r="G322" s="36">
        <v>145501</v>
      </c>
      <c r="H322" s="37">
        <v>44855</v>
      </c>
      <c r="I322" s="36">
        <v>46</v>
      </c>
      <c r="J322" s="36" t="s">
        <v>1542</v>
      </c>
      <c r="K322" s="36" t="s">
        <v>517</v>
      </c>
      <c r="L322" s="36" t="s">
        <v>1563</v>
      </c>
      <c r="M322" s="27"/>
      <c r="O322" s="28" t="str">
        <f>IFERROR(VLOOKUP(A322, '2024 Full View'!$1:$999, 1, FALSE), "")</f>
        <v/>
      </c>
      <c r="P322" s="3" t="str">
        <f ca="1">IFERROR(__xludf.DUMMYFUNCTION("TEXTJOIN("", "",TRUE, FILTER($B$1:$E$1,B322:E322&lt;&gt;""""))"),"Jamie")</f>
        <v>Jamie</v>
      </c>
    </row>
    <row r="323" spans="1:16" ht="14">
      <c r="A323" s="36" t="s">
        <v>2425</v>
      </c>
      <c r="B323" s="33"/>
      <c r="C323" s="33"/>
      <c r="D323" s="33"/>
      <c r="E323" s="36">
        <v>62</v>
      </c>
      <c r="F323" s="33"/>
      <c r="G323" s="36">
        <v>141647</v>
      </c>
      <c r="H323" s="37">
        <v>44855</v>
      </c>
      <c r="I323" s="36">
        <v>46</v>
      </c>
      <c r="J323" s="36" t="s">
        <v>1542</v>
      </c>
      <c r="K323" s="36" t="s">
        <v>517</v>
      </c>
      <c r="L323" s="36" t="s">
        <v>1542</v>
      </c>
      <c r="M323" s="27"/>
      <c r="O323" s="28" t="str">
        <f>IFERROR(VLOOKUP(A323, '2024 Full View'!$1:$999, 1, FALSE), "")</f>
        <v/>
      </c>
      <c r="P323" s="3" t="str">
        <f ca="1">IFERROR(__xludf.DUMMYFUNCTION("TEXTJOIN("", "",TRUE, FILTER($B$1:$E$1,B323:E323&lt;&gt;""""))"),"Jamie")</f>
        <v>Jamie</v>
      </c>
    </row>
    <row r="324" spans="1:16" ht="14">
      <c r="A324" s="36" t="s">
        <v>2426</v>
      </c>
      <c r="B324" s="33"/>
      <c r="C324" s="33"/>
      <c r="D324" s="33"/>
      <c r="E324" s="36">
        <v>13</v>
      </c>
      <c r="F324" s="33"/>
      <c r="G324" s="36">
        <v>243960</v>
      </c>
      <c r="H324" s="37">
        <v>41695</v>
      </c>
      <c r="I324" s="36">
        <v>46</v>
      </c>
      <c r="J324" s="36" t="s">
        <v>1564</v>
      </c>
      <c r="K324" s="36" t="s">
        <v>1564</v>
      </c>
      <c r="L324" s="36" t="s">
        <v>1565</v>
      </c>
      <c r="M324" s="27"/>
      <c r="O324" s="28" t="str">
        <f>IFERROR(VLOOKUP(A324, '2024 Full View'!$1:$999, 1, FALSE), "")</f>
        <v/>
      </c>
      <c r="P324" s="3" t="str">
        <f ca="1">IFERROR(__xludf.DUMMYFUNCTION("TEXTJOIN("", "",TRUE, FILTER($B$1:$E$1,B324:E324&lt;&gt;""""))"),"Jamie")</f>
        <v>Jamie</v>
      </c>
    </row>
    <row r="325" spans="1:16" ht="14">
      <c r="A325" s="36" t="s">
        <v>2427</v>
      </c>
      <c r="B325" s="33"/>
      <c r="C325" s="36">
        <v>35</v>
      </c>
      <c r="D325" s="33"/>
      <c r="E325" s="33"/>
      <c r="F325" s="33"/>
      <c r="G325" s="36">
        <v>157267</v>
      </c>
      <c r="H325" s="37">
        <v>40858</v>
      </c>
      <c r="I325" s="36">
        <v>45</v>
      </c>
      <c r="J325" s="36" t="s">
        <v>1566</v>
      </c>
      <c r="K325" s="36" t="s">
        <v>1567</v>
      </c>
      <c r="L325" s="36" t="s">
        <v>1568</v>
      </c>
      <c r="M325" s="27"/>
      <c r="O325" s="28" t="str">
        <f>IFERROR(VLOOKUP(A325, '2024 Full View'!$1:$999, 1, FALSE), "")</f>
        <v/>
      </c>
      <c r="P325" s="3" t="str">
        <f ca="1">IFERROR(__xludf.DUMMYFUNCTION("TEXTJOIN("", "",TRUE, FILTER($B$1:$E$1,B325:E325&lt;&gt;""""))"),"Bryce")</f>
        <v>Bryce</v>
      </c>
    </row>
    <row r="326" spans="1:16" ht="14">
      <c r="A326" s="36" t="s">
        <v>2428</v>
      </c>
      <c r="B326" s="33"/>
      <c r="C326" s="33"/>
      <c r="D326" s="33"/>
      <c r="E326" s="36">
        <v>5</v>
      </c>
      <c r="F326" s="33"/>
      <c r="G326" s="36">
        <v>189975</v>
      </c>
      <c r="H326" s="37">
        <v>43686</v>
      </c>
      <c r="I326" s="36">
        <v>45</v>
      </c>
      <c r="J326" s="36" t="s">
        <v>656</v>
      </c>
      <c r="K326" s="36" t="s">
        <v>1569</v>
      </c>
      <c r="L326" s="36" t="s">
        <v>656</v>
      </c>
      <c r="M326" s="27"/>
      <c r="O326" s="28" t="str">
        <f>IFERROR(VLOOKUP(A326, '2024 Full View'!$1:$999, 1, FALSE), "")</f>
        <v/>
      </c>
      <c r="P326" s="3" t="str">
        <f ca="1">IFERROR(__xludf.DUMMYFUNCTION("TEXTJOIN("", "",TRUE, FILTER($B$1:$E$1,B326:E326&lt;&gt;""""))"),"Jamie")</f>
        <v>Jamie</v>
      </c>
    </row>
    <row r="327" spans="1:16" ht="14">
      <c r="A327" s="36" t="s">
        <v>2429</v>
      </c>
      <c r="B327" s="33"/>
      <c r="C327" s="36">
        <v>2</v>
      </c>
      <c r="D327" s="33"/>
      <c r="E327" s="33"/>
      <c r="F327" s="36" t="s">
        <v>1321</v>
      </c>
      <c r="G327" s="36">
        <v>215163</v>
      </c>
      <c r="H327" s="37">
        <v>44883</v>
      </c>
      <c r="I327" s="36">
        <v>44</v>
      </c>
      <c r="J327" s="36" t="s">
        <v>1570</v>
      </c>
      <c r="K327" s="36" t="s">
        <v>421</v>
      </c>
      <c r="L327" s="36" t="s">
        <v>1571</v>
      </c>
      <c r="M327" s="27"/>
      <c r="O327" s="28" t="str">
        <f>IFERROR(VLOOKUP(A327, '2024 Full View'!$1:$999, 1, FALSE), "")</f>
        <v/>
      </c>
      <c r="P327" s="3" t="str">
        <f ca="1">IFERROR(__xludf.DUMMYFUNCTION("TEXTJOIN("", "",TRUE, FILTER($B$1:$E$1,B327:E327&lt;&gt;""""))"),"Bryce")</f>
        <v>Bryce</v>
      </c>
    </row>
    <row r="328" spans="1:16" ht="14">
      <c r="A328" s="36" t="s">
        <v>2430</v>
      </c>
      <c r="B328" s="33"/>
      <c r="C328" s="36">
        <v>28</v>
      </c>
      <c r="D328" s="33"/>
      <c r="E328" s="33"/>
      <c r="F328" s="33"/>
      <c r="G328" s="36">
        <v>178040</v>
      </c>
      <c r="H328" s="36">
        <v>2012</v>
      </c>
      <c r="I328" s="36">
        <v>44</v>
      </c>
      <c r="J328" s="36" t="s">
        <v>1572</v>
      </c>
      <c r="K328" s="36" t="s">
        <v>1573</v>
      </c>
      <c r="L328" s="36" t="s">
        <v>1574</v>
      </c>
      <c r="M328" s="27"/>
      <c r="O328" s="28" t="str">
        <f>IFERROR(VLOOKUP(A328, '2024 Full View'!$1:$999, 1, FALSE), "")</f>
        <v/>
      </c>
      <c r="P328" s="3" t="str">
        <f ca="1">IFERROR(__xludf.DUMMYFUNCTION("TEXTJOIN("", "",TRUE, FILTER($B$1:$E$1,B328:E328&lt;&gt;""""))"),"Bryce")</f>
        <v>Bryce</v>
      </c>
    </row>
    <row r="329" spans="1:16" ht="14">
      <c r="A329" s="36" t="s">
        <v>2431</v>
      </c>
      <c r="B329" s="33"/>
      <c r="C329" s="33"/>
      <c r="D329" s="33"/>
      <c r="E329" s="36">
        <v>26</v>
      </c>
      <c r="F329" s="33"/>
      <c r="G329" s="36">
        <v>189563</v>
      </c>
      <c r="H329" s="37">
        <v>44428</v>
      </c>
      <c r="I329" s="36">
        <v>44</v>
      </c>
      <c r="J329" s="36" t="s">
        <v>1575</v>
      </c>
      <c r="K329" s="36" t="s">
        <v>439</v>
      </c>
      <c r="L329" s="36" t="s">
        <v>1575</v>
      </c>
      <c r="M329" s="27"/>
      <c r="O329" s="28" t="str">
        <f>IFERROR(VLOOKUP(A329, '2024 Full View'!$1:$999, 1, FALSE), "")</f>
        <v/>
      </c>
      <c r="P329" s="3" t="str">
        <f ca="1">IFERROR(__xludf.DUMMYFUNCTION("TEXTJOIN("", "",TRUE, FILTER($B$1:$E$1,B329:E329&lt;&gt;""""))"),"Jamie")</f>
        <v>Jamie</v>
      </c>
    </row>
    <row r="330" spans="1:16" ht="14">
      <c r="A330" s="36" t="s">
        <v>2432</v>
      </c>
      <c r="B330" s="33"/>
      <c r="C330" s="33"/>
      <c r="D330" s="33"/>
      <c r="E330" s="36">
        <v>42</v>
      </c>
      <c r="F330" s="33"/>
      <c r="G330" s="36">
        <v>194000</v>
      </c>
      <c r="H330" s="37">
        <v>44155</v>
      </c>
      <c r="I330" s="36">
        <v>44</v>
      </c>
      <c r="J330" s="36" t="s">
        <v>1576</v>
      </c>
      <c r="K330" s="36" t="s">
        <v>439</v>
      </c>
      <c r="L330" s="36" t="s">
        <v>1576</v>
      </c>
      <c r="M330" s="27"/>
      <c r="O330" s="28" t="str">
        <f>IFERROR(VLOOKUP(A330, '2024 Full View'!$1:$999, 1, FALSE), "")</f>
        <v/>
      </c>
      <c r="P330" s="3" t="str">
        <f ca="1">IFERROR(__xludf.DUMMYFUNCTION("TEXTJOIN("", "",TRUE, FILTER($B$1:$E$1,B330:E330&lt;&gt;""""))"),"Jamie")</f>
        <v>Jamie</v>
      </c>
    </row>
    <row r="331" spans="1:16" ht="14">
      <c r="A331" s="36" t="s">
        <v>2014</v>
      </c>
      <c r="B331" s="33"/>
      <c r="C331" s="36">
        <v>6</v>
      </c>
      <c r="D331" s="33"/>
      <c r="E331" s="33"/>
      <c r="F331" s="33"/>
      <c r="G331" s="36">
        <v>195897</v>
      </c>
      <c r="H331" s="37">
        <v>42538</v>
      </c>
      <c r="I331" s="36">
        <v>43</v>
      </c>
      <c r="J331" s="36" t="s">
        <v>1577</v>
      </c>
      <c r="K331" s="36" t="s">
        <v>392</v>
      </c>
      <c r="L331" s="36" t="s">
        <v>730</v>
      </c>
      <c r="M331" s="27"/>
      <c r="O331" s="28" t="str">
        <f>IFERROR(VLOOKUP(A331, '2024 Full View'!$1:$999, 1, FALSE), "")</f>
        <v>Rien qu'une foisKeen' V</v>
      </c>
      <c r="P331" s="3" t="str">
        <f ca="1">IFERROR(__xludf.DUMMYFUNCTION("TEXTJOIN("", "",TRUE, FILTER($B$1:$E$1,B331:E331&lt;&gt;""""))"),"Bryce")</f>
        <v>Bryce</v>
      </c>
    </row>
    <row r="332" spans="1:16" ht="14">
      <c r="A332" s="36" t="s">
        <v>2433</v>
      </c>
      <c r="B332" s="33"/>
      <c r="C332" s="36">
        <v>23</v>
      </c>
      <c r="D332" s="33"/>
      <c r="E332" s="33"/>
      <c r="F332" s="36" t="s">
        <v>1578</v>
      </c>
      <c r="G332" s="36">
        <v>156613</v>
      </c>
      <c r="H332" s="37">
        <v>44323</v>
      </c>
      <c r="I332" s="36">
        <v>43</v>
      </c>
      <c r="J332" s="36" t="s">
        <v>1579</v>
      </c>
      <c r="K332" s="36" t="s">
        <v>1580</v>
      </c>
      <c r="L332" s="36" t="s">
        <v>1581</v>
      </c>
      <c r="M332" s="27"/>
      <c r="O332" s="28" t="str">
        <f>IFERROR(VLOOKUP(A332, '2024 Full View'!$1:$999, 1, FALSE), "")</f>
        <v/>
      </c>
      <c r="P332" s="3" t="str">
        <f ca="1">IFERROR(__xludf.DUMMYFUNCTION("TEXTJOIN("", "",TRUE, FILTER($B$1:$E$1,B332:E332&lt;&gt;""""))"),"Bryce")</f>
        <v>Bryce</v>
      </c>
    </row>
    <row r="333" spans="1:16" ht="14">
      <c r="A333" s="36" t="s">
        <v>2434</v>
      </c>
      <c r="B333" s="33"/>
      <c r="C333" s="33"/>
      <c r="D333" s="33"/>
      <c r="E333" s="36">
        <v>38</v>
      </c>
      <c r="F333" s="33"/>
      <c r="G333" s="36">
        <v>284000</v>
      </c>
      <c r="H333" s="37">
        <v>44855</v>
      </c>
      <c r="I333" s="36">
        <v>43</v>
      </c>
      <c r="J333" s="36" t="s">
        <v>1582</v>
      </c>
      <c r="K333" s="36" t="s">
        <v>1583</v>
      </c>
      <c r="L333" s="36" t="s">
        <v>1584</v>
      </c>
      <c r="M333" s="27"/>
      <c r="O333" s="28" t="str">
        <f>IFERROR(VLOOKUP(A333, '2024 Full View'!$1:$999, 1, FALSE), "")</f>
        <v/>
      </c>
      <c r="P333" s="3" t="str">
        <f ca="1">IFERROR(__xludf.DUMMYFUNCTION("TEXTJOIN("", "",TRUE, FILTER($B$1:$E$1,B333:E333&lt;&gt;""""))"),"Jamie")</f>
        <v>Jamie</v>
      </c>
    </row>
    <row r="334" spans="1:16" ht="14">
      <c r="A334" s="36" t="s">
        <v>2435</v>
      </c>
      <c r="B334" s="33"/>
      <c r="C334" s="33"/>
      <c r="D334" s="36">
        <v>62</v>
      </c>
      <c r="E334" s="33"/>
      <c r="F334" s="33"/>
      <c r="G334" s="36">
        <v>165226</v>
      </c>
      <c r="H334" s="36">
        <v>1975</v>
      </c>
      <c r="I334" s="36">
        <v>43</v>
      </c>
      <c r="J334" s="36" t="s">
        <v>1585</v>
      </c>
      <c r="K334" s="36" t="s">
        <v>1586</v>
      </c>
      <c r="L334" s="36" t="s">
        <v>1587</v>
      </c>
      <c r="M334" s="27"/>
      <c r="O334" s="28" t="str">
        <f>IFERROR(VLOOKUP(A334, '2024 Full View'!$1:$999, 1, FALSE), "")</f>
        <v/>
      </c>
      <c r="P334" s="3" t="str">
        <f ca="1">IFERROR(__xludf.DUMMYFUNCTION("TEXTJOIN("", "",TRUE, FILTER($B$1:$E$1,B334:E334&lt;&gt;""""))"),"Maggie")</f>
        <v>Maggie</v>
      </c>
    </row>
    <row r="335" spans="1:16" ht="14">
      <c r="A335" s="36" t="s">
        <v>2436</v>
      </c>
      <c r="B335" s="33"/>
      <c r="C335" s="33"/>
      <c r="D335" s="36">
        <v>79</v>
      </c>
      <c r="E335" s="33"/>
      <c r="F335" s="33"/>
      <c r="G335" s="36">
        <v>206346</v>
      </c>
      <c r="H335" s="36">
        <v>1971</v>
      </c>
      <c r="I335" s="36">
        <v>43</v>
      </c>
      <c r="J335" s="36" t="s">
        <v>1371</v>
      </c>
      <c r="K335" s="36" t="s">
        <v>1372</v>
      </c>
      <c r="L335" s="36" t="s">
        <v>1588</v>
      </c>
      <c r="M335" s="27"/>
      <c r="O335" s="28" t="str">
        <f>IFERROR(VLOOKUP(A335, '2024 Full View'!$1:$999, 1, FALSE), "")</f>
        <v/>
      </c>
      <c r="P335" s="3" t="str">
        <f ca="1">IFERROR(__xludf.DUMMYFUNCTION("TEXTJOIN("", "",TRUE, FILTER($B$1:$E$1,B335:E335&lt;&gt;""""))"),"Maggie")</f>
        <v>Maggie</v>
      </c>
    </row>
    <row r="336" spans="1:16" ht="14">
      <c r="A336" s="36" t="s">
        <v>2437</v>
      </c>
      <c r="B336" s="36">
        <v>55</v>
      </c>
      <c r="C336" s="33"/>
      <c r="D336" s="33"/>
      <c r="E336" s="33"/>
      <c r="F336" s="33"/>
      <c r="G336" s="36">
        <v>187029</v>
      </c>
      <c r="H336" s="37">
        <v>45184</v>
      </c>
      <c r="I336" s="36">
        <v>43</v>
      </c>
      <c r="J336" s="36" t="s">
        <v>1589</v>
      </c>
      <c r="K336" s="36" t="s">
        <v>1590</v>
      </c>
      <c r="L336" s="36" t="s">
        <v>1591</v>
      </c>
      <c r="M336" s="27"/>
      <c r="O336" s="28" t="str">
        <f>IFERROR(VLOOKUP(A336, '2024 Full View'!$1:$999, 1, FALSE), "")</f>
        <v/>
      </c>
      <c r="P336" s="3" t="str">
        <f ca="1">IFERROR(__xludf.DUMMYFUNCTION("TEXTJOIN("", "",TRUE, FILTER($B$1:$E$1,B336:E336&lt;&gt;""""))"),"Zach")</f>
        <v>Zach</v>
      </c>
    </row>
    <row r="337" spans="1:16" ht="14">
      <c r="A337" s="36" t="s">
        <v>2438</v>
      </c>
      <c r="B337" s="33"/>
      <c r="C337" s="36">
        <v>64</v>
      </c>
      <c r="D337" s="33"/>
      <c r="E337" s="33"/>
      <c r="F337" s="33"/>
      <c r="G337" s="36">
        <v>161659</v>
      </c>
      <c r="H337" s="37">
        <v>44813</v>
      </c>
      <c r="I337" s="36">
        <v>42</v>
      </c>
      <c r="J337" s="36" t="s">
        <v>1592</v>
      </c>
      <c r="K337" s="36" t="s">
        <v>478</v>
      </c>
      <c r="L337" s="36" t="s">
        <v>1593</v>
      </c>
      <c r="M337" s="27"/>
      <c r="O337" s="28" t="str">
        <f>IFERROR(VLOOKUP(A337, '2024 Full View'!$1:$999, 1, FALSE), "")</f>
        <v/>
      </c>
      <c r="P337" s="3" t="str">
        <f ca="1">IFERROR(__xludf.DUMMYFUNCTION("TEXTJOIN("", "",TRUE, FILTER($B$1:$E$1,B337:E337&lt;&gt;""""))"),"Bryce")</f>
        <v>Bryce</v>
      </c>
    </row>
    <row r="338" spans="1:16" ht="14">
      <c r="A338" s="36" t="s">
        <v>2439</v>
      </c>
      <c r="B338" s="33"/>
      <c r="C338" s="33"/>
      <c r="D338" s="36">
        <v>98</v>
      </c>
      <c r="E338" s="33"/>
      <c r="F338" s="33"/>
      <c r="G338" s="36">
        <v>259306</v>
      </c>
      <c r="H338" s="37">
        <v>42328</v>
      </c>
      <c r="I338" s="36">
        <v>41</v>
      </c>
      <c r="J338" s="36" t="s">
        <v>1594</v>
      </c>
      <c r="K338" s="36" t="s">
        <v>1595</v>
      </c>
      <c r="L338" s="36" t="s">
        <v>1596</v>
      </c>
      <c r="M338" s="27"/>
      <c r="O338" s="28" t="str">
        <f>IFERROR(VLOOKUP(A338, '2024 Full View'!$1:$999, 1, FALSE), "")</f>
        <v/>
      </c>
      <c r="P338" s="3" t="str">
        <f ca="1">IFERROR(__xludf.DUMMYFUNCTION("TEXTJOIN("", "",TRUE, FILTER($B$1:$E$1,B338:E338&lt;&gt;""""))"),"Maggie")</f>
        <v>Maggie</v>
      </c>
    </row>
    <row r="339" spans="1:16" ht="14">
      <c r="A339" s="36" t="s">
        <v>2440</v>
      </c>
      <c r="B339" s="33"/>
      <c r="C339" s="33"/>
      <c r="D339" s="33"/>
      <c r="E339" s="36">
        <v>50</v>
      </c>
      <c r="F339" s="33"/>
      <c r="G339" s="36">
        <v>199829</v>
      </c>
      <c r="H339" s="37">
        <v>44327</v>
      </c>
      <c r="I339" s="36">
        <v>41</v>
      </c>
      <c r="J339" s="36" t="s">
        <v>1597</v>
      </c>
      <c r="K339" s="36" t="s">
        <v>1598</v>
      </c>
      <c r="L339" s="36" t="s">
        <v>1597</v>
      </c>
      <c r="M339" s="27"/>
      <c r="O339" s="28" t="str">
        <f>IFERROR(VLOOKUP(A339, '2024 Full View'!$1:$999, 1, FALSE), "")</f>
        <v/>
      </c>
      <c r="P339" s="3" t="str">
        <f ca="1">IFERROR(__xludf.DUMMYFUNCTION("TEXTJOIN("", "",TRUE, FILTER($B$1:$E$1,B339:E339&lt;&gt;""""))"),"Jamie")</f>
        <v>Jamie</v>
      </c>
    </row>
    <row r="340" spans="1:16" ht="14">
      <c r="A340" s="36" t="s">
        <v>1793</v>
      </c>
      <c r="B340" s="33"/>
      <c r="C340" s="33"/>
      <c r="D340" s="33"/>
      <c r="E340" s="36">
        <v>65</v>
      </c>
      <c r="F340" s="33"/>
      <c r="G340" s="36">
        <v>165764</v>
      </c>
      <c r="H340" s="37">
        <v>45184</v>
      </c>
      <c r="I340" s="36">
        <v>41</v>
      </c>
      <c r="J340" s="36" t="s">
        <v>884</v>
      </c>
      <c r="K340" s="36" t="s">
        <v>439</v>
      </c>
      <c r="L340" s="36" t="s">
        <v>890</v>
      </c>
      <c r="M340" s="27"/>
      <c r="O340" s="28" t="str">
        <f>IFERROR(VLOOKUP(A340, '2024 Full View'!$1:$999, 1, FALSE), "")</f>
        <v>Bad BloodTrousdale</v>
      </c>
      <c r="P340" s="3" t="str">
        <f ca="1">IFERROR(__xludf.DUMMYFUNCTION("TEXTJOIN("", "",TRUE, FILTER($B$1:$E$1,B340:E340&lt;&gt;""""))"),"Jamie")</f>
        <v>Jamie</v>
      </c>
    </row>
    <row r="341" spans="1:16" ht="14">
      <c r="A341" s="36" t="s">
        <v>2008</v>
      </c>
      <c r="B341" s="33"/>
      <c r="C341" s="36">
        <v>1</v>
      </c>
      <c r="D341" s="33"/>
      <c r="E341" s="33"/>
      <c r="F341" s="33"/>
      <c r="G341" s="36">
        <v>209503</v>
      </c>
      <c r="H341" s="37">
        <v>44519</v>
      </c>
      <c r="I341" s="36">
        <v>40</v>
      </c>
      <c r="J341" s="36" t="s">
        <v>798</v>
      </c>
      <c r="K341" s="36" t="s">
        <v>399</v>
      </c>
      <c r="L341" s="36" t="s">
        <v>799</v>
      </c>
      <c r="M341" s="27"/>
      <c r="O341" s="28" t="str">
        <f>IFERROR(VLOOKUP(A341, '2024 Full View'!$1:$999, 1, FALSE), "")</f>
        <v>EmmaVianney</v>
      </c>
      <c r="P341" s="3" t="str">
        <f ca="1">IFERROR(__xludf.DUMMYFUNCTION("TEXTJOIN("", "",TRUE, FILTER($B$1:$E$1,B341:E341&lt;&gt;""""))"),"Bryce")</f>
        <v>Bryce</v>
      </c>
    </row>
    <row r="342" spans="1:16" ht="14">
      <c r="A342" s="36" t="s">
        <v>2441</v>
      </c>
      <c r="B342" s="33"/>
      <c r="C342" s="33"/>
      <c r="D342" s="33"/>
      <c r="E342" s="36">
        <v>57</v>
      </c>
      <c r="F342" s="33"/>
      <c r="G342" s="36">
        <v>230200</v>
      </c>
      <c r="H342" s="37">
        <v>39399</v>
      </c>
      <c r="I342" s="36">
        <v>40</v>
      </c>
      <c r="J342" s="36" t="s">
        <v>1599</v>
      </c>
      <c r="K342" s="36" t="s">
        <v>1600</v>
      </c>
      <c r="L342" s="36" t="s">
        <v>1601</v>
      </c>
      <c r="M342" s="27"/>
      <c r="O342" s="28" t="str">
        <f>IFERROR(VLOOKUP(A342, '2024 Full View'!$1:$999, 1, FALSE), "")</f>
        <v/>
      </c>
      <c r="P342" s="3" t="str">
        <f ca="1">IFERROR(__xludf.DUMMYFUNCTION("TEXTJOIN("", "",TRUE, FILTER($B$1:$E$1,B342:E342&lt;&gt;""""))"),"Jamie")</f>
        <v>Jamie</v>
      </c>
    </row>
    <row r="343" spans="1:16" ht="14">
      <c r="A343" s="36" t="s">
        <v>2041</v>
      </c>
      <c r="B343" s="33"/>
      <c r="C343" s="33"/>
      <c r="D343" s="36">
        <v>1</v>
      </c>
      <c r="E343" s="33"/>
      <c r="F343" s="33"/>
      <c r="G343" s="36">
        <v>191666</v>
      </c>
      <c r="H343" s="37">
        <v>25684</v>
      </c>
      <c r="I343" s="36">
        <v>40</v>
      </c>
      <c r="J343" s="36" t="s">
        <v>622</v>
      </c>
      <c r="K343" s="36" t="s">
        <v>521</v>
      </c>
      <c r="L343" s="36" t="s">
        <v>623</v>
      </c>
      <c r="M343" s="27"/>
      <c r="O343" s="28" t="str">
        <f>IFERROR(VLOOKUP(A343, '2024 Full View'!$1:$999, 1, FALSE), "")</f>
        <v>Up The Ladder To The RoofThe Supremes</v>
      </c>
      <c r="P343" s="3" t="str">
        <f ca="1">IFERROR(__xludf.DUMMYFUNCTION("TEXTJOIN("", "",TRUE, FILTER($B$1:$E$1,B343:E343&lt;&gt;""""))"),"Maggie")</f>
        <v>Maggie</v>
      </c>
    </row>
    <row r="344" spans="1:16" ht="14">
      <c r="A344" s="36" t="s">
        <v>1852</v>
      </c>
      <c r="B344" s="33"/>
      <c r="C344" s="33"/>
      <c r="D344" s="33"/>
      <c r="E344" s="36">
        <v>69</v>
      </c>
      <c r="F344" s="33"/>
      <c r="G344" s="36">
        <v>220212</v>
      </c>
      <c r="H344" s="37">
        <v>45043</v>
      </c>
      <c r="I344" s="36">
        <v>40</v>
      </c>
      <c r="J344" s="36" t="s">
        <v>886</v>
      </c>
      <c r="K344" s="36" t="s">
        <v>439</v>
      </c>
      <c r="L344" s="36" t="s">
        <v>886</v>
      </c>
      <c r="M344" s="27"/>
      <c r="O344" s="28" t="str">
        <f>IFERROR(VLOOKUP(A344, '2024 Full View'!$1:$999, 1, FALSE), "")</f>
        <v>Movie StarTrousdale</v>
      </c>
      <c r="P344" s="3" t="str">
        <f ca="1">IFERROR(__xludf.DUMMYFUNCTION("TEXTJOIN("", "",TRUE, FILTER($B$1:$E$1,B344:E344&lt;&gt;""""))"),"Jamie")</f>
        <v>Jamie</v>
      </c>
    </row>
    <row r="345" spans="1:16" ht="14">
      <c r="A345" s="36" t="s">
        <v>2442</v>
      </c>
      <c r="B345" s="33"/>
      <c r="C345" s="36">
        <v>68</v>
      </c>
      <c r="D345" s="33"/>
      <c r="E345" s="33"/>
      <c r="F345" s="36" t="s">
        <v>1602</v>
      </c>
      <c r="G345" s="36">
        <v>196226</v>
      </c>
      <c r="H345" s="37">
        <v>44533</v>
      </c>
      <c r="I345" s="36">
        <v>39</v>
      </c>
      <c r="J345" s="36" t="s">
        <v>1603</v>
      </c>
      <c r="K345" s="36" t="s">
        <v>433</v>
      </c>
      <c r="L345" s="36" t="s">
        <v>1604</v>
      </c>
      <c r="M345" s="27"/>
      <c r="O345" s="28" t="str">
        <f>IFERROR(VLOOKUP(A345, '2024 Full View'!$1:$999, 1, FALSE), "")</f>
        <v/>
      </c>
      <c r="P345" s="3" t="str">
        <f ca="1">IFERROR(__xludf.DUMMYFUNCTION("TEXTJOIN("", "",TRUE, FILTER($B$1:$E$1,B345:E345&lt;&gt;""""))"),"Bryce")</f>
        <v>Bryce</v>
      </c>
    </row>
    <row r="346" spans="1:16" ht="14">
      <c r="A346" s="36" t="s">
        <v>2443</v>
      </c>
      <c r="B346" s="33"/>
      <c r="C346" s="33"/>
      <c r="D346" s="36">
        <v>59</v>
      </c>
      <c r="E346" s="33"/>
      <c r="F346" s="33"/>
      <c r="G346" s="36">
        <v>177373</v>
      </c>
      <c r="H346" s="36" t="s">
        <v>2444</v>
      </c>
      <c r="I346" s="36">
        <v>38</v>
      </c>
      <c r="J346" s="36" t="s">
        <v>1605</v>
      </c>
      <c r="K346" s="36" t="s">
        <v>1606</v>
      </c>
      <c r="L346" s="36" t="s">
        <v>1605</v>
      </c>
      <c r="M346" s="27"/>
      <c r="O346" s="28" t="str">
        <f>IFERROR(VLOOKUP(A346, '2024 Full View'!$1:$999, 1, FALSE), "")</f>
        <v/>
      </c>
      <c r="P346" s="3" t="str">
        <f ca="1">IFERROR(__xludf.DUMMYFUNCTION("TEXTJOIN("", "",TRUE, FILTER($B$1:$E$1,B346:E346&lt;&gt;""""))"),"Maggie")</f>
        <v>Maggie</v>
      </c>
    </row>
    <row r="347" spans="1:16" ht="14">
      <c r="A347" s="36" t="s">
        <v>2445</v>
      </c>
      <c r="B347" s="33"/>
      <c r="C347" s="33"/>
      <c r="D347" s="36">
        <v>55</v>
      </c>
      <c r="E347" s="33"/>
      <c r="F347" s="33"/>
      <c r="G347" s="36">
        <v>234093</v>
      </c>
      <c r="H347" s="36">
        <v>1974</v>
      </c>
      <c r="I347" s="36">
        <v>38</v>
      </c>
      <c r="J347" s="36" t="s">
        <v>1607</v>
      </c>
      <c r="K347" s="36" t="s">
        <v>1595</v>
      </c>
      <c r="L347" s="36" t="s">
        <v>1608</v>
      </c>
      <c r="M347" s="27"/>
      <c r="O347" s="28" t="str">
        <f>IFERROR(VLOOKUP(A347, '2024 Full View'!$1:$999, 1, FALSE), "")</f>
        <v/>
      </c>
      <c r="P347" s="3" t="str">
        <f ca="1">IFERROR(__xludf.DUMMYFUNCTION("TEXTJOIN("", "",TRUE, FILTER($B$1:$E$1,B347:E347&lt;&gt;""""))"),"Maggie")</f>
        <v>Maggie</v>
      </c>
    </row>
    <row r="348" spans="1:16" ht="14">
      <c r="A348" s="36" t="s">
        <v>2446</v>
      </c>
      <c r="B348" s="33"/>
      <c r="C348" s="33"/>
      <c r="D348" s="33"/>
      <c r="E348" s="36">
        <v>80</v>
      </c>
      <c r="F348" s="33"/>
      <c r="G348" s="36">
        <v>318022</v>
      </c>
      <c r="H348" s="37">
        <v>41953</v>
      </c>
      <c r="I348" s="36">
        <v>38</v>
      </c>
      <c r="J348" s="36" t="s">
        <v>1609</v>
      </c>
      <c r="K348" s="36" t="s">
        <v>1610</v>
      </c>
      <c r="L348" s="36" t="s">
        <v>1611</v>
      </c>
      <c r="M348" s="27"/>
      <c r="O348" s="28" t="str">
        <f>IFERROR(VLOOKUP(A348, '2024 Full View'!$1:$999, 1, FALSE), "")</f>
        <v/>
      </c>
      <c r="P348" s="3" t="str">
        <f ca="1">IFERROR(__xludf.DUMMYFUNCTION("TEXTJOIN("", "",TRUE, FILTER($B$1:$E$1,B348:E348&lt;&gt;""""))"),"Jamie")</f>
        <v>Jamie</v>
      </c>
    </row>
    <row r="349" spans="1:16" ht="14">
      <c r="A349" s="36" t="s">
        <v>2447</v>
      </c>
      <c r="B349" s="33"/>
      <c r="C349" s="33"/>
      <c r="D349" s="36">
        <v>58</v>
      </c>
      <c r="E349" s="33"/>
      <c r="F349" s="33"/>
      <c r="G349" s="36">
        <v>251293</v>
      </c>
      <c r="H349" s="37">
        <v>25871</v>
      </c>
      <c r="I349" s="36">
        <v>38</v>
      </c>
      <c r="J349" s="36" t="s">
        <v>1612</v>
      </c>
      <c r="K349" s="36" t="s">
        <v>1613</v>
      </c>
      <c r="L349" s="36" t="s">
        <v>1614</v>
      </c>
      <c r="M349" s="27"/>
      <c r="O349" s="28" t="str">
        <f>IFERROR(VLOOKUP(A349, '2024 Full View'!$1:$999, 1, FALSE), "")</f>
        <v/>
      </c>
      <c r="P349" s="3" t="str">
        <f ca="1">IFERROR(__xludf.DUMMYFUNCTION("TEXTJOIN("", "",TRUE, FILTER($B$1:$E$1,B349:E349&lt;&gt;""""))"),"Maggie")</f>
        <v>Maggie</v>
      </c>
    </row>
    <row r="350" spans="1:16" ht="14">
      <c r="A350" s="36" t="s">
        <v>1864</v>
      </c>
      <c r="B350" s="33"/>
      <c r="C350" s="33"/>
      <c r="D350" s="33"/>
      <c r="E350" s="36">
        <v>2</v>
      </c>
      <c r="F350" s="33"/>
      <c r="G350" s="36">
        <v>195157</v>
      </c>
      <c r="H350" s="37">
        <v>44393</v>
      </c>
      <c r="I350" s="36">
        <v>38</v>
      </c>
      <c r="J350" s="36" t="s">
        <v>789</v>
      </c>
      <c r="K350" s="36" t="s">
        <v>439</v>
      </c>
      <c r="L350" s="36" t="s">
        <v>789</v>
      </c>
      <c r="M350" s="27"/>
      <c r="O350" s="28" t="str">
        <f>IFERROR(VLOOKUP(A350, '2024 Full View'!$1:$999, 1, FALSE), "")</f>
        <v>This Is ItTrousdale</v>
      </c>
      <c r="P350" s="3" t="str">
        <f ca="1">IFERROR(__xludf.DUMMYFUNCTION("TEXTJOIN("", "",TRUE, FILTER($B$1:$E$1,B350:E350&lt;&gt;""""))"),"Jamie")</f>
        <v>Jamie</v>
      </c>
    </row>
    <row r="351" spans="1:16" ht="14">
      <c r="A351" s="36" t="s">
        <v>2448</v>
      </c>
      <c r="B351" s="33"/>
      <c r="C351" s="33"/>
      <c r="D351" s="33"/>
      <c r="E351" s="36">
        <v>46</v>
      </c>
      <c r="F351" s="33"/>
      <c r="G351" s="36">
        <v>171976</v>
      </c>
      <c r="H351" s="37">
        <v>44456</v>
      </c>
      <c r="I351" s="36">
        <v>38</v>
      </c>
      <c r="J351" s="36" t="s">
        <v>1615</v>
      </c>
      <c r="K351" s="36" t="s">
        <v>439</v>
      </c>
      <c r="L351" s="36" t="s">
        <v>1615</v>
      </c>
      <c r="M351" s="27"/>
      <c r="O351" s="28" t="str">
        <f>IFERROR(VLOOKUP(A351, '2024 Full View'!$1:$999, 1, FALSE), "")</f>
        <v/>
      </c>
      <c r="P351" s="3" t="str">
        <f ca="1">IFERROR(__xludf.DUMMYFUNCTION("TEXTJOIN("", "",TRUE, FILTER($B$1:$E$1,B351:E351&lt;&gt;""""))"),"Jamie")</f>
        <v>Jamie</v>
      </c>
    </row>
    <row r="352" spans="1:16" ht="14">
      <c r="A352" s="36" t="s">
        <v>2449</v>
      </c>
      <c r="B352" s="36">
        <v>91</v>
      </c>
      <c r="C352" s="33"/>
      <c r="D352" s="33"/>
      <c r="E352" s="33"/>
      <c r="F352" s="33"/>
      <c r="G352" s="36">
        <v>190413</v>
      </c>
      <c r="H352" s="37">
        <v>44722</v>
      </c>
      <c r="I352" s="36">
        <v>37</v>
      </c>
      <c r="J352" s="36" t="s">
        <v>1560</v>
      </c>
      <c r="K352" s="36" t="s">
        <v>1561</v>
      </c>
      <c r="L352" s="36" t="s">
        <v>1616</v>
      </c>
      <c r="M352" s="27"/>
      <c r="O352" s="28" t="str">
        <f>IFERROR(VLOOKUP(A352, '2024 Full View'!$1:$999, 1, FALSE), "")</f>
        <v/>
      </c>
      <c r="P352" s="3" t="str">
        <f ca="1">IFERROR(__xludf.DUMMYFUNCTION("TEXTJOIN("", "",TRUE, FILTER($B$1:$E$1,B352:E352&lt;&gt;""""))"),"Zach")</f>
        <v>Zach</v>
      </c>
    </row>
    <row r="353" spans="1:16" ht="14">
      <c r="A353" s="36" t="s">
        <v>2450</v>
      </c>
      <c r="B353" s="33"/>
      <c r="C353" s="33"/>
      <c r="D353" s="33"/>
      <c r="E353" s="36">
        <v>77</v>
      </c>
      <c r="F353" s="36" t="s">
        <v>1617</v>
      </c>
      <c r="G353" s="36">
        <v>234565</v>
      </c>
      <c r="H353" s="37">
        <v>43196</v>
      </c>
      <c r="I353" s="36">
        <v>37</v>
      </c>
      <c r="J353" s="36" t="s">
        <v>826</v>
      </c>
      <c r="K353" s="36" t="s">
        <v>1618</v>
      </c>
      <c r="L353" s="36" t="s">
        <v>1619</v>
      </c>
      <c r="M353" s="27"/>
      <c r="O353" s="28" t="str">
        <f>IFERROR(VLOOKUP(A353, '2024 Full View'!$1:$999, 1, FALSE), "")</f>
        <v/>
      </c>
      <c r="P353" s="3" t="str">
        <f ca="1">IFERROR(__xludf.DUMMYFUNCTION("TEXTJOIN("", "",TRUE, FILTER($B$1:$E$1,B353:E353&lt;&gt;""""))"),"Jamie")</f>
        <v>Jamie</v>
      </c>
    </row>
    <row r="354" spans="1:16" ht="14">
      <c r="A354" s="36" t="s">
        <v>2451</v>
      </c>
      <c r="B354" s="33"/>
      <c r="C354" s="33"/>
      <c r="D354" s="33"/>
      <c r="E354" s="36">
        <v>52</v>
      </c>
      <c r="F354" s="33"/>
      <c r="G354" s="36">
        <v>173866</v>
      </c>
      <c r="H354" s="37">
        <v>45184</v>
      </c>
      <c r="I354" s="36">
        <v>37</v>
      </c>
      <c r="J354" s="36" t="s">
        <v>884</v>
      </c>
      <c r="K354" s="36" t="s">
        <v>439</v>
      </c>
      <c r="L354" s="36" t="s">
        <v>1620</v>
      </c>
      <c r="M354" s="27"/>
      <c r="O354" s="28" t="str">
        <f>IFERROR(VLOOKUP(A354, '2024 Full View'!$1:$999, 1, FALSE), "")</f>
        <v/>
      </c>
      <c r="P354" s="3" t="str">
        <f ca="1">IFERROR(__xludf.DUMMYFUNCTION("TEXTJOIN("", "",TRUE, FILTER($B$1:$E$1,B354:E354&lt;&gt;""""))"),"Jamie")</f>
        <v>Jamie</v>
      </c>
    </row>
    <row r="355" spans="1:16" ht="14">
      <c r="A355" s="36" t="s">
        <v>2452</v>
      </c>
      <c r="B355" s="36">
        <v>77</v>
      </c>
      <c r="C355" s="33"/>
      <c r="D355" s="33"/>
      <c r="E355" s="33"/>
      <c r="F355" s="33"/>
      <c r="G355" s="36">
        <v>183080</v>
      </c>
      <c r="H355" s="37">
        <v>44722</v>
      </c>
      <c r="I355" s="36">
        <v>36</v>
      </c>
      <c r="J355" s="36" t="s">
        <v>1560</v>
      </c>
      <c r="K355" s="36" t="s">
        <v>1561</v>
      </c>
      <c r="L355" s="36" t="s">
        <v>1621</v>
      </c>
      <c r="M355" s="27"/>
      <c r="O355" s="28" t="str">
        <f>IFERROR(VLOOKUP(A355, '2024 Full View'!$1:$999, 1, FALSE), "")</f>
        <v/>
      </c>
      <c r="P355" s="3" t="str">
        <f ca="1">IFERROR(__xludf.DUMMYFUNCTION("TEXTJOIN("", "",TRUE, FILTER($B$1:$E$1,B355:E355&lt;&gt;""""))"),"Zach")</f>
        <v>Zach</v>
      </c>
    </row>
    <row r="356" spans="1:16" ht="14">
      <c r="A356" s="36" t="s">
        <v>2453</v>
      </c>
      <c r="B356" s="33"/>
      <c r="C356" s="33"/>
      <c r="D356" s="33"/>
      <c r="E356" s="36">
        <v>90</v>
      </c>
      <c r="F356" s="33"/>
      <c r="G356" s="36">
        <v>180906</v>
      </c>
      <c r="H356" s="37">
        <v>41177</v>
      </c>
      <c r="I356" s="36">
        <v>36</v>
      </c>
      <c r="J356" s="36" t="s">
        <v>1622</v>
      </c>
      <c r="K356" s="36" t="s">
        <v>1623</v>
      </c>
      <c r="L356" s="36" t="s">
        <v>1624</v>
      </c>
      <c r="M356" s="27"/>
      <c r="O356" s="28" t="str">
        <f>IFERROR(VLOOKUP(A356, '2024 Full View'!$1:$999, 1, FALSE), "")</f>
        <v/>
      </c>
      <c r="P356" s="3" t="str">
        <f ca="1">IFERROR(__xludf.DUMMYFUNCTION("TEXTJOIN("", "",TRUE, FILTER($B$1:$E$1,B356:E356&lt;&gt;""""))"),"Jamie")</f>
        <v>Jamie</v>
      </c>
    </row>
    <row r="357" spans="1:16" ht="14">
      <c r="A357" s="36" t="s">
        <v>2454</v>
      </c>
      <c r="B357" s="33"/>
      <c r="C357" s="33"/>
      <c r="D357" s="33"/>
      <c r="E357" s="36">
        <v>82</v>
      </c>
      <c r="F357" s="33"/>
      <c r="G357" s="36">
        <v>239843</v>
      </c>
      <c r="H357" s="37">
        <v>45184</v>
      </c>
      <c r="I357" s="36">
        <v>36</v>
      </c>
      <c r="J357" s="36" t="s">
        <v>884</v>
      </c>
      <c r="K357" s="36" t="s">
        <v>439</v>
      </c>
      <c r="L357" s="36" t="s">
        <v>1625</v>
      </c>
      <c r="M357" s="27"/>
      <c r="O357" s="28" t="str">
        <f>IFERROR(VLOOKUP(A357, '2024 Full View'!$1:$999, 1, FALSE), "")</f>
        <v/>
      </c>
      <c r="P357" s="3" t="str">
        <f ca="1">IFERROR(__xludf.DUMMYFUNCTION("TEXTJOIN("", "",TRUE, FILTER($B$1:$E$1,B357:E357&lt;&gt;""""))"),"Jamie")</f>
        <v>Jamie</v>
      </c>
    </row>
    <row r="358" spans="1:16" ht="14">
      <c r="A358" s="36" t="s">
        <v>2455</v>
      </c>
      <c r="B358" s="33"/>
      <c r="C358" s="33"/>
      <c r="D358" s="33"/>
      <c r="E358" s="36">
        <v>87</v>
      </c>
      <c r="F358" s="33"/>
      <c r="G358" s="36">
        <v>212506</v>
      </c>
      <c r="H358" s="37">
        <v>44512</v>
      </c>
      <c r="I358" s="36">
        <v>36</v>
      </c>
      <c r="J358" s="36" t="s">
        <v>1626</v>
      </c>
      <c r="K358" s="36" t="s">
        <v>439</v>
      </c>
      <c r="L358" s="36" t="s">
        <v>1627</v>
      </c>
      <c r="M358" s="27"/>
      <c r="O358" s="28" t="str">
        <f>IFERROR(VLOOKUP(A358, '2024 Full View'!$1:$999, 1, FALSE), "")</f>
        <v/>
      </c>
      <c r="P358" s="3" t="str">
        <f ca="1">IFERROR(__xludf.DUMMYFUNCTION("TEXTJOIN("", "",TRUE, FILTER($B$1:$E$1,B358:E358&lt;&gt;""""))"),"Jamie")</f>
        <v>Jamie</v>
      </c>
    </row>
    <row r="359" spans="1:16" ht="14">
      <c r="A359" s="36" t="s">
        <v>2456</v>
      </c>
      <c r="B359" s="33"/>
      <c r="C359" s="33"/>
      <c r="D359" s="33"/>
      <c r="E359" s="36">
        <v>91</v>
      </c>
      <c r="F359" s="33"/>
      <c r="G359" s="36">
        <v>214989</v>
      </c>
      <c r="H359" s="37">
        <v>45184</v>
      </c>
      <c r="I359" s="36">
        <v>36</v>
      </c>
      <c r="J359" s="36" t="s">
        <v>884</v>
      </c>
      <c r="K359" s="36" t="s">
        <v>439</v>
      </c>
      <c r="L359" s="36" t="s">
        <v>1628</v>
      </c>
      <c r="M359" s="27"/>
      <c r="O359" s="28" t="str">
        <f>IFERROR(VLOOKUP(A359, '2024 Full View'!$1:$999, 1, FALSE), "")</f>
        <v/>
      </c>
      <c r="P359" s="3" t="str">
        <f ca="1">IFERROR(__xludf.DUMMYFUNCTION("TEXTJOIN("", "",TRUE, FILTER($B$1:$E$1,B359:E359&lt;&gt;""""))"),"Jamie")</f>
        <v>Jamie</v>
      </c>
    </row>
    <row r="360" spans="1:16" ht="14">
      <c r="A360" s="36" t="s">
        <v>2457</v>
      </c>
      <c r="B360" s="36">
        <v>71</v>
      </c>
      <c r="C360" s="33"/>
      <c r="D360" s="33"/>
      <c r="E360" s="33"/>
      <c r="F360" s="33"/>
      <c r="G360" s="36">
        <v>209106</v>
      </c>
      <c r="H360" s="37">
        <v>44701</v>
      </c>
      <c r="I360" s="36">
        <v>35</v>
      </c>
      <c r="J360" s="36" t="s">
        <v>1629</v>
      </c>
      <c r="K360" s="36" t="s">
        <v>1561</v>
      </c>
      <c r="L360" s="33" t="s">
        <v>1629</v>
      </c>
      <c r="M360" s="27"/>
      <c r="O360" s="28" t="str">
        <f>IFERROR(VLOOKUP(A360, '2024 Full View'!$1:$999, 1, FALSE), "")</f>
        <v/>
      </c>
      <c r="P360" s="3" t="str">
        <f ca="1">IFERROR(__xludf.DUMMYFUNCTION("TEXTJOIN("", "",TRUE, FILTER($B$1:$E$1,B360:E360&lt;&gt;""""))"),"Zach")</f>
        <v>Zach</v>
      </c>
    </row>
    <row r="361" spans="1:16" ht="14">
      <c r="A361" s="36" t="s">
        <v>2458</v>
      </c>
      <c r="B361" s="33"/>
      <c r="C361" s="36">
        <v>7</v>
      </c>
      <c r="D361" s="33"/>
      <c r="E361" s="33"/>
      <c r="F361" s="33"/>
      <c r="G361" s="36">
        <v>219557</v>
      </c>
      <c r="H361" s="37">
        <v>40781</v>
      </c>
      <c r="I361" s="36">
        <v>34</v>
      </c>
      <c r="J361" s="36" t="s">
        <v>1630</v>
      </c>
      <c r="K361" s="36" t="s">
        <v>1631</v>
      </c>
      <c r="L361" s="36" t="s">
        <v>1632</v>
      </c>
      <c r="M361" s="27"/>
      <c r="O361" s="28" t="str">
        <f>IFERROR(VLOOKUP(A361, '2024 Full View'!$1:$999, 1, FALSE), "")</f>
        <v/>
      </c>
      <c r="P361" s="3" t="str">
        <f ca="1">IFERROR(__xludf.DUMMYFUNCTION("TEXTJOIN("", "",TRUE, FILTER($B$1:$E$1,B361:E361&lt;&gt;""""))"),"Bryce")</f>
        <v>Bryce</v>
      </c>
    </row>
    <row r="362" spans="1:16" ht="14">
      <c r="A362" s="36" t="s">
        <v>2459</v>
      </c>
      <c r="B362" s="33"/>
      <c r="C362" s="36">
        <v>54</v>
      </c>
      <c r="D362" s="33"/>
      <c r="E362" s="33"/>
      <c r="F362" s="33"/>
      <c r="G362" s="36">
        <v>197922</v>
      </c>
      <c r="H362" s="37">
        <v>44643</v>
      </c>
      <c r="I362" s="36">
        <v>31</v>
      </c>
      <c r="J362" s="36" t="s">
        <v>1633</v>
      </c>
      <c r="K362" s="36" t="s">
        <v>1634</v>
      </c>
      <c r="L362" s="36" t="s">
        <v>1633</v>
      </c>
      <c r="M362" s="27"/>
      <c r="O362" s="28" t="str">
        <f>IFERROR(VLOOKUP(A362, '2024 Full View'!$1:$999, 1, FALSE), "")</f>
        <v/>
      </c>
      <c r="P362" s="3" t="str">
        <f ca="1">IFERROR(__xludf.DUMMYFUNCTION("TEXTJOIN("", "",TRUE, FILTER($B$1:$E$1,B362:E362&lt;&gt;""""))"),"Bryce")</f>
        <v>Bryce</v>
      </c>
    </row>
    <row r="363" spans="1:16" ht="14">
      <c r="A363" s="36" t="s">
        <v>2460</v>
      </c>
      <c r="B363" s="33"/>
      <c r="C363" s="36">
        <v>100</v>
      </c>
      <c r="D363" s="33"/>
      <c r="E363" s="33"/>
      <c r="F363" s="33"/>
      <c r="G363" s="36">
        <v>186000</v>
      </c>
      <c r="H363" s="37">
        <v>40743</v>
      </c>
      <c r="I363" s="36">
        <v>31</v>
      </c>
      <c r="J363" s="36">
        <v>123</v>
      </c>
      <c r="K363" s="36" t="s">
        <v>388</v>
      </c>
      <c r="L363" s="36" t="s">
        <v>1635</v>
      </c>
      <c r="M363" s="27"/>
      <c r="O363" s="28" t="str">
        <f>IFERROR(VLOOKUP(A363, '2024 Full View'!$1:$999, 1, FALSE), "")</f>
        <v/>
      </c>
      <c r="P363" s="3" t="str">
        <f ca="1">IFERROR(__xludf.DUMMYFUNCTION("TEXTJOIN("", "",TRUE, FILTER($B$1:$E$1,B363:E363&lt;&gt;""""))"),"Bryce")</f>
        <v>Bryce</v>
      </c>
    </row>
    <row r="364" spans="1:16" ht="14">
      <c r="A364" s="36" t="s">
        <v>2461</v>
      </c>
      <c r="B364" s="33"/>
      <c r="C364" s="33"/>
      <c r="D364" s="36">
        <v>25</v>
      </c>
      <c r="E364" s="33"/>
      <c r="F364" s="33"/>
      <c r="G364" s="36">
        <v>201786</v>
      </c>
      <c r="H364" s="37">
        <v>43972</v>
      </c>
      <c r="I364" s="36">
        <v>28</v>
      </c>
      <c r="J364" s="36" t="s">
        <v>1636</v>
      </c>
      <c r="K364" s="36" t="s">
        <v>1418</v>
      </c>
      <c r="L364" s="36" t="s">
        <v>1636</v>
      </c>
      <c r="M364" s="27"/>
      <c r="O364" s="28" t="str">
        <f>IFERROR(VLOOKUP(A364, '2024 Full View'!$1:$999, 1, FALSE), "")</f>
        <v/>
      </c>
      <c r="P364" s="3" t="str">
        <f ca="1">IFERROR(__xludf.DUMMYFUNCTION("TEXTJOIN("", "",TRUE, FILTER($B$1:$E$1,B364:E364&lt;&gt;""""))"),"Maggie")</f>
        <v>Maggie</v>
      </c>
    </row>
    <row r="365" spans="1:16" ht="14">
      <c r="A365" s="36" t="s">
        <v>2462</v>
      </c>
      <c r="B365" s="36">
        <v>100</v>
      </c>
      <c r="C365" s="33"/>
      <c r="D365" s="33"/>
      <c r="E365" s="33"/>
      <c r="F365" s="33"/>
      <c r="G365" s="36">
        <v>148454</v>
      </c>
      <c r="H365" s="37">
        <v>44673</v>
      </c>
      <c r="I365" s="36">
        <v>24</v>
      </c>
      <c r="J365" s="36" t="s">
        <v>1637</v>
      </c>
      <c r="K365" s="36" t="s">
        <v>1638</v>
      </c>
      <c r="L365" s="36" t="s">
        <v>1639</v>
      </c>
      <c r="M365" s="27"/>
      <c r="O365" s="28" t="str">
        <f>IFERROR(VLOOKUP(A365, '2024 Full View'!$1:$999, 1, FALSE), "")</f>
        <v/>
      </c>
      <c r="P365" s="3" t="str">
        <f ca="1">IFERROR(__xludf.DUMMYFUNCTION("TEXTJOIN("", "",TRUE, FILTER($B$1:$E$1,B365:E365&lt;&gt;""""))"),"Zach")</f>
        <v>Zach</v>
      </c>
    </row>
    <row r="366" spans="1:16" ht="14">
      <c r="A366" s="36" t="s">
        <v>1908</v>
      </c>
      <c r="B366" s="33"/>
      <c r="C366" s="36">
        <v>37</v>
      </c>
      <c r="D366" s="33"/>
      <c r="E366" s="33"/>
      <c r="F366" s="33"/>
      <c r="G366" s="36">
        <v>178573</v>
      </c>
      <c r="H366" s="37">
        <v>43763</v>
      </c>
      <c r="I366" s="36">
        <v>22</v>
      </c>
      <c r="J366" s="36" t="s">
        <v>766</v>
      </c>
      <c r="K366" s="36" t="s">
        <v>400</v>
      </c>
      <c r="L366" s="36" t="s">
        <v>766</v>
      </c>
      <c r="M366" s="27"/>
      <c r="O366" s="28" t="str">
        <f>IFERROR(VLOOKUP(A366, '2024 Full View'!$1:$999, 1, FALSE), "")</f>
        <v>Tout au bout du mondeTibz</v>
      </c>
      <c r="P366" s="3" t="str">
        <f ca="1">IFERROR(__xludf.DUMMYFUNCTION("TEXTJOIN("", "",TRUE, FILTER($B$1:$E$1,B366:E366&lt;&gt;""""))"),"Bryce")</f>
        <v>Bryce</v>
      </c>
    </row>
    <row r="367" spans="1:16" ht="13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</row>
    <row r="368" spans="1:16" ht="13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</row>
    <row r="369" spans="1:12" ht="13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</row>
    <row r="370" spans="1:12" ht="13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</row>
    <row r="371" spans="1:12" ht="13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</row>
    <row r="372" spans="1:12" ht="13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</row>
    <row r="373" spans="1:12" ht="1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</row>
    <row r="374" spans="1:12" ht="13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</row>
    <row r="375" spans="1:12" ht="13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</row>
    <row r="376" spans="1:12" ht="13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</row>
    <row r="377" spans="1:12" ht="13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</row>
    <row r="378" spans="1:12" ht="13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</row>
    <row r="379" spans="1:12" ht="13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</row>
    <row r="380" spans="1:12" ht="13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</row>
    <row r="381" spans="1:12" ht="13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</row>
    <row r="382" spans="1:12" ht="13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</row>
    <row r="383" spans="1:12" ht="1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</row>
    <row r="384" spans="1:12" ht="13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</row>
    <row r="385" spans="1:12" ht="13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</row>
    <row r="386" spans="1:12" ht="13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</row>
    <row r="387" spans="1:12" ht="13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</row>
    <row r="388" spans="1:12" ht="13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</row>
    <row r="389" spans="1:12" ht="13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</row>
    <row r="390" spans="1:12" ht="13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</row>
    <row r="391" spans="1:12" ht="13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</row>
    <row r="392" spans="1:12" ht="13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</row>
    <row r="393" spans="1:12" ht="1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</row>
    <row r="394" spans="1:12" ht="13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</row>
    <row r="395" spans="1:12" ht="13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</row>
    <row r="396" spans="1:12" ht="13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</row>
    <row r="397" spans="1:12" ht="13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</row>
    <row r="398" spans="1:12" ht="13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</row>
    <row r="399" spans="1:12" ht="13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</row>
    <row r="400" spans="1:12" ht="13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</row>
    <row r="401" spans="1:12" ht="13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</row>
    <row r="402" spans="1:12" ht="13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</row>
    <row r="403" spans="1:12" ht="1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</row>
    <row r="404" spans="1:12" ht="13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</row>
    <row r="405" spans="1:12" ht="13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</row>
    <row r="406" spans="1:12" ht="13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</row>
    <row r="407" spans="1:12" ht="13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</row>
    <row r="408" spans="1:12" ht="13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</row>
    <row r="409" spans="1:12" ht="13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</row>
    <row r="410" spans="1:12" ht="13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</row>
    <row r="411" spans="1:12" ht="13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</row>
    <row r="412" spans="1:12" ht="13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</row>
    <row r="413" spans="1:12" ht="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</row>
    <row r="414" spans="1:12" ht="13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</row>
    <row r="415" spans="1:12" ht="13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</row>
    <row r="416" spans="1:12" ht="13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</row>
    <row r="417" spans="1:12" ht="13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</row>
    <row r="418" spans="1:12" ht="13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</row>
    <row r="419" spans="1:12" ht="13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</row>
    <row r="420" spans="1:12" ht="13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</row>
    <row r="421" spans="1:12" ht="13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</row>
    <row r="422" spans="1:12" ht="13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</row>
    <row r="423" spans="1:12" ht="1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</row>
    <row r="424" spans="1:12" ht="13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</row>
    <row r="425" spans="1:12" ht="13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</row>
    <row r="426" spans="1:12" ht="13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</row>
    <row r="427" spans="1:12" ht="13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</row>
    <row r="428" spans="1:12" ht="13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</row>
    <row r="429" spans="1:12" ht="13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</row>
    <row r="430" spans="1:12" ht="13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</row>
    <row r="431" spans="1:12" ht="13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</row>
    <row r="432" spans="1:12" ht="13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</row>
    <row r="433" spans="1:12" ht="1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</row>
    <row r="434" spans="1:12" ht="13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</row>
    <row r="435" spans="1:12" ht="13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</row>
    <row r="436" spans="1:12" ht="13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</row>
    <row r="437" spans="1:12" ht="13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</row>
    <row r="438" spans="1:12" ht="13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</row>
    <row r="439" spans="1:12" ht="13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</row>
    <row r="440" spans="1:12" ht="13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</row>
    <row r="441" spans="1:12" ht="13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</row>
    <row r="442" spans="1:12" ht="13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</row>
    <row r="443" spans="1:12" ht="1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</row>
    <row r="444" spans="1:12" ht="13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</row>
    <row r="445" spans="1:12" ht="13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</row>
    <row r="446" spans="1:12" ht="13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</row>
    <row r="447" spans="1:12" ht="13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</row>
    <row r="448" spans="1:12" ht="13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</row>
    <row r="449" spans="1:12" ht="13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</row>
    <row r="450" spans="1:12" ht="13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</row>
    <row r="451" spans="1:12" ht="13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</row>
    <row r="452" spans="1:12" ht="13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</row>
    <row r="453" spans="1:12" ht="1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</row>
    <row r="454" spans="1:12" ht="13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</row>
    <row r="455" spans="1:12" ht="13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</row>
    <row r="456" spans="1:12" ht="13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</row>
    <row r="457" spans="1:12" ht="13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</row>
    <row r="458" spans="1:12" ht="13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</row>
    <row r="459" spans="1:12" ht="13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</row>
    <row r="460" spans="1:12" ht="13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</row>
    <row r="461" spans="1:12" ht="13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</row>
    <row r="462" spans="1:12" ht="13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</row>
    <row r="463" spans="1:12" ht="1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</row>
    <row r="464" spans="1:12" ht="13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</row>
    <row r="465" spans="1:12" ht="13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</row>
    <row r="466" spans="1:12" ht="13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</row>
    <row r="467" spans="1:12" ht="13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</row>
    <row r="468" spans="1:12" ht="13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</row>
    <row r="469" spans="1:12" ht="13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</row>
    <row r="470" spans="1:12" ht="13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</row>
    <row r="471" spans="1:12" ht="13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</row>
    <row r="472" spans="1:12" ht="13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</row>
    <row r="473" spans="1:12" ht="1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</row>
    <row r="474" spans="1:12" ht="13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</row>
    <row r="475" spans="1:12" ht="13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</row>
    <row r="476" spans="1:12" ht="13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</row>
    <row r="477" spans="1:12" ht="13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</row>
    <row r="478" spans="1:12" ht="13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</row>
    <row r="479" spans="1:12" ht="13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</row>
    <row r="480" spans="1:12" ht="13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</row>
    <row r="481" spans="1:12" ht="13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</row>
    <row r="482" spans="1:12" ht="13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</row>
    <row r="483" spans="1:12" ht="1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</row>
    <row r="484" spans="1:12" ht="13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</row>
    <row r="485" spans="1:12" ht="13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</row>
    <row r="486" spans="1:12" ht="13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</row>
    <row r="487" spans="1:12" ht="13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</row>
    <row r="488" spans="1:12" ht="13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</row>
    <row r="489" spans="1:12" ht="13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</row>
    <row r="490" spans="1:12" ht="13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</row>
    <row r="491" spans="1:12" ht="13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</row>
    <row r="492" spans="1:12" ht="13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</row>
    <row r="493" spans="1:12" ht="1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</row>
    <row r="494" spans="1:12" ht="13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</row>
    <row r="495" spans="1:12" ht="13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</row>
    <row r="496" spans="1:12" ht="13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</row>
    <row r="497" spans="1:12" ht="13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</row>
    <row r="498" spans="1:12" ht="13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</row>
    <row r="499" spans="1:12" ht="13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</row>
    <row r="500" spans="1:12" ht="13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</row>
    <row r="501" spans="1:12" ht="13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</row>
    <row r="502" spans="1:12" ht="13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</row>
    <row r="503" spans="1:12" ht="1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</row>
    <row r="504" spans="1:12" ht="13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</row>
    <row r="505" spans="1:12" ht="13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</row>
    <row r="506" spans="1:12" ht="13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</row>
    <row r="507" spans="1:12" ht="13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</row>
    <row r="508" spans="1:12" ht="13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</row>
    <row r="509" spans="1:12" ht="13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</row>
    <row r="510" spans="1:12" ht="13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</row>
    <row r="511" spans="1:12" ht="13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</row>
    <row r="512" spans="1:12" ht="13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</row>
    <row r="513" spans="1:12" ht="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</row>
    <row r="514" spans="1:12" ht="13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</row>
    <row r="515" spans="1:12" ht="13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</row>
    <row r="516" spans="1:12" ht="13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</row>
    <row r="517" spans="1:12" ht="13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</row>
    <row r="518" spans="1:12" ht="13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</row>
    <row r="519" spans="1:12" ht="13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</row>
    <row r="520" spans="1:12" ht="13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</row>
    <row r="521" spans="1:12" ht="13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</row>
    <row r="522" spans="1:12" ht="13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</row>
    <row r="523" spans="1:12" ht="1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</row>
    <row r="524" spans="1:12" ht="13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</row>
    <row r="525" spans="1:12" ht="13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</row>
    <row r="526" spans="1:12" ht="13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</row>
    <row r="527" spans="1:12" ht="13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</row>
    <row r="528" spans="1:12" ht="13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</row>
    <row r="529" spans="1:12" ht="13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</row>
    <row r="530" spans="1:12" ht="13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</row>
    <row r="531" spans="1:12" ht="13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</row>
    <row r="532" spans="1:12" ht="13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</row>
    <row r="533" spans="1:12" ht="1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</row>
    <row r="534" spans="1:12" ht="13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</row>
    <row r="535" spans="1:12" ht="13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</row>
    <row r="536" spans="1:12" ht="13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</row>
    <row r="537" spans="1:12" ht="13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</row>
    <row r="538" spans="1:12" ht="13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</row>
    <row r="539" spans="1:12" ht="13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</row>
    <row r="540" spans="1:12" ht="13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</row>
    <row r="541" spans="1:12" ht="13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</row>
    <row r="542" spans="1:12" ht="13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</row>
    <row r="543" spans="1:12" ht="1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</row>
    <row r="544" spans="1:12" ht="13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</row>
    <row r="545" spans="1:12" ht="13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</row>
    <row r="546" spans="1:12" ht="13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</row>
    <row r="547" spans="1:12" ht="13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</row>
    <row r="548" spans="1:12" ht="13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</row>
    <row r="549" spans="1:12" ht="13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</row>
    <row r="550" spans="1:12" ht="13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</row>
    <row r="551" spans="1:12" ht="13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</row>
    <row r="552" spans="1:12" ht="13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</row>
    <row r="553" spans="1:12" ht="1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</row>
    <row r="554" spans="1:12" ht="13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</row>
    <row r="555" spans="1:12" ht="13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</row>
    <row r="556" spans="1:12" ht="13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</row>
    <row r="557" spans="1:12" ht="13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</row>
    <row r="558" spans="1:12" ht="13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</row>
    <row r="559" spans="1:12" ht="13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</row>
    <row r="560" spans="1:12" ht="13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</row>
    <row r="561" spans="1:12" ht="13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</row>
    <row r="562" spans="1:12" ht="13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</row>
    <row r="563" spans="1:12" ht="1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</row>
    <row r="564" spans="1:12" ht="13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</row>
    <row r="565" spans="1:12" ht="13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</row>
    <row r="566" spans="1:12" ht="13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</row>
    <row r="567" spans="1:12" ht="13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</row>
    <row r="568" spans="1:12" ht="13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</row>
    <row r="569" spans="1:12" ht="13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</row>
    <row r="570" spans="1:12" ht="13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</row>
    <row r="571" spans="1:12" ht="13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</row>
    <row r="572" spans="1:12" ht="13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</row>
    <row r="573" spans="1:12" ht="1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</row>
    <row r="574" spans="1:12" ht="13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</row>
    <row r="575" spans="1:12" ht="13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</row>
    <row r="576" spans="1:12" ht="13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</row>
    <row r="577" spans="1:12" ht="13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</row>
    <row r="578" spans="1:12" ht="13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</row>
    <row r="579" spans="1:12" ht="13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</row>
    <row r="580" spans="1:12" ht="13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</row>
    <row r="581" spans="1:12" ht="13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</row>
    <row r="582" spans="1:12" ht="13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</row>
    <row r="583" spans="1:12" ht="1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</row>
    <row r="584" spans="1:12" ht="13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</row>
    <row r="585" spans="1:12" ht="13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</row>
    <row r="586" spans="1:12" ht="13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</row>
    <row r="587" spans="1:12" ht="13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</row>
    <row r="588" spans="1:12" ht="13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</row>
    <row r="589" spans="1:12" ht="13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</row>
    <row r="590" spans="1:12" ht="13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</row>
    <row r="591" spans="1:12" ht="13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</row>
    <row r="592" spans="1:12" ht="13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</row>
    <row r="593" spans="1:12" ht="1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</row>
    <row r="594" spans="1:12" ht="13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</row>
    <row r="595" spans="1:12" ht="13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</row>
    <row r="596" spans="1:12" ht="13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</row>
    <row r="597" spans="1:12" ht="13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</row>
    <row r="598" spans="1:12" ht="13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</row>
    <row r="599" spans="1:12" ht="13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</row>
    <row r="600" spans="1:12" ht="13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</row>
    <row r="601" spans="1:12" ht="13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</row>
    <row r="602" spans="1:12" ht="13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</row>
    <row r="603" spans="1:12" ht="1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</row>
    <row r="604" spans="1:12" ht="13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</row>
    <row r="605" spans="1:12" ht="13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</row>
    <row r="606" spans="1:12" ht="13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</row>
    <row r="607" spans="1:12" ht="13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</row>
    <row r="608" spans="1:12" ht="13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</row>
    <row r="609" spans="1:12" ht="13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</row>
    <row r="610" spans="1:12" ht="13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</row>
    <row r="611" spans="1:12" ht="13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</row>
    <row r="612" spans="1:12" ht="13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</row>
    <row r="613" spans="1:12" ht="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</row>
    <row r="614" spans="1:12" ht="13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</row>
    <row r="615" spans="1:12" ht="13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</row>
    <row r="616" spans="1:12" ht="13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</row>
    <row r="617" spans="1:12" ht="13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</row>
    <row r="618" spans="1:12" ht="13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</row>
    <row r="619" spans="1:12" ht="13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</row>
    <row r="620" spans="1:12" ht="13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</row>
    <row r="621" spans="1:12" ht="13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</row>
    <row r="622" spans="1:12" ht="13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</row>
    <row r="623" spans="1:12" ht="1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</row>
    <row r="624" spans="1:12" ht="13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</row>
    <row r="625" spans="1:12" ht="13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</row>
    <row r="626" spans="1:12" ht="13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</row>
    <row r="627" spans="1:12" ht="13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</row>
    <row r="628" spans="1:12" ht="13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</row>
    <row r="629" spans="1:12" ht="13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</row>
    <row r="630" spans="1:12" ht="13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</row>
    <row r="631" spans="1:12" ht="13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</row>
    <row r="632" spans="1:12" ht="13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</row>
    <row r="633" spans="1:12" ht="1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</row>
    <row r="634" spans="1:12" ht="13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</row>
    <row r="635" spans="1:12" ht="13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</row>
    <row r="636" spans="1:12" ht="13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</row>
    <row r="637" spans="1:12" ht="13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</row>
    <row r="638" spans="1:12" ht="13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</row>
    <row r="639" spans="1:12" ht="13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</row>
    <row r="640" spans="1:12" ht="13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</row>
    <row r="641" spans="1:12" ht="13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</row>
    <row r="642" spans="1:12" ht="13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</row>
    <row r="643" spans="1:12" ht="1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</row>
    <row r="644" spans="1:12" ht="13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</row>
    <row r="645" spans="1:12" ht="13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</row>
    <row r="646" spans="1:12" ht="13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</row>
    <row r="647" spans="1:12" ht="13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</row>
    <row r="648" spans="1:12" ht="13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</row>
    <row r="649" spans="1:12" ht="13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</row>
    <row r="650" spans="1:12" ht="13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</row>
    <row r="651" spans="1:12" ht="13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</row>
    <row r="652" spans="1:12" ht="13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</row>
    <row r="653" spans="1:12" ht="1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</row>
    <row r="654" spans="1:12" ht="13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</row>
    <row r="655" spans="1:12" ht="13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</row>
    <row r="656" spans="1:12" ht="13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</row>
    <row r="657" spans="1:12" ht="13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</row>
    <row r="658" spans="1:12" ht="13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</row>
    <row r="659" spans="1:12" ht="13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</row>
    <row r="660" spans="1:12" ht="13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</row>
    <row r="661" spans="1:12" ht="13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</row>
    <row r="662" spans="1:12" ht="13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</row>
    <row r="663" spans="1:12" ht="1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</row>
    <row r="664" spans="1:12" ht="13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</row>
    <row r="665" spans="1:12" ht="13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</row>
    <row r="666" spans="1:12" ht="13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</row>
    <row r="667" spans="1:12" ht="13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</row>
    <row r="668" spans="1:12" ht="13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</row>
    <row r="669" spans="1:12" ht="13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</row>
    <row r="670" spans="1:12" ht="13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</row>
    <row r="671" spans="1:12" ht="13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</row>
    <row r="672" spans="1:12" ht="13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</row>
    <row r="673" spans="1:12" ht="1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</row>
    <row r="674" spans="1:12" ht="13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</row>
    <row r="675" spans="1:12" ht="13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</row>
    <row r="676" spans="1:12" ht="13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</row>
    <row r="677" spans="1:12" ht="13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</row>
    <row r="678" spans="1:12" ht="13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</row>
    <row r="679" spans="1:12" ht="13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</row>
    <row r="680" spans="1:12" ht="13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</row>
    <row r="681" spans="1:12" ht="13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</row>
    <row r="682" spans="1:12" ht="13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</row>
    <row r="683" spans="1:12" ht="1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</row>
    <row r="684" spans="1:12" ht="13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</row>
    <row r="685" spans="1:12" ht="13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</row>
    <row r="686" spans="1:12" ht="13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</row>
    <row r="687" spans="1:12" ht="13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</row>
    <row r="688" spans="1:12" ht="13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</row>
    <row r="689" spans="1:12" ht="13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</row>
    <row r="690" spans="1:12" ht="13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</row>
    <row r="691" spans="1:12" ht="13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</row>
    <row r="692" spans="1:12" ht="13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</row>
    <row r="693" spans="1:12" ht="1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</row>
    <row r="694" spans="1:12" ht="13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</row>
    <row r="695" spans="1:12" ht="13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</row>
    <row r="696" spans="1:12" ht="13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</row>
    <row r="697" spans="1:12" ht="13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</row>
    <row r="698" spans="1:12" ht="13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</row>
    <row r="699" spans="1:12" ht="13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</row>
    <row r="700" spans="1:12" ht="13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</row>
    <row r="701" spans="1:12" ht="13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</row>
    <row r="702" spans="1:12" ht="13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</row>
    <row r="703" spans="1:12" ht="1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</row>
    <row r="704" spans="1:12" ht="13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</row>
    <row r="705" spans="1:12" ht="13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</row>
    <row r="706" spans="1:12" ht="13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</row>
    <row r="707" spans="1:12" ht="13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</row>
    <row r="708" spans="1:12" ht="13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</row>
    <row r="709" spans="1:12" ht="13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</row>
    <row r="710" spans="1:12" ht="13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</row>
    <row r="711" spans="1:12" ht="13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</row>
    <row r="712" spans="1:12" ht="13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</row>
    <row r="713" spans="1:12" ht="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</row>
    <row r="714" spans="1:12" ht="13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</row>
    <row r="715" spans="1:12" ht="13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</row>
    <row r="716" spans="1:12" ht="13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</row>
    <row r="717" spans="1:12" ht="13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</row>
    <row r="718" spans="1:12" ht="13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</row>
    <row r="719" spans="1:12" ht="13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</row>
    <row r="720" spans="1:12" ht="13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</row>
    <row r="721" spans="1:12" ht="13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</row>
    <row r="722" spans="1:12" ht="13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</row>
    <row r="723" spans="1:12" ht="1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</row>
    <row r="724" spans="1:12" ht="13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</row>
    <row r="725" spans="1:12" ht="13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</row>
    <row r="726" spans="1:12" ht="13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</row>
    <row r="727" spans="1:12" ht="13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</row>
    <row r="728" spans="1:12" ht="13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</row>
    <row r="729" spans="1:12" ht="13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</row>
    <row r="730" spans="1:12" ht="13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</row>
    <row r="731" spans="1:12" ht="13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</row>
    <row r="732" spans="1:12" ht="13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</row>
    <row r="733" spans="1:12" ht="1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</row>
    <row r="734" spans="1:12" ht="13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</row>
    <row r="735" spans="1:12" ht="13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</row>
    <row r="736" spans="1:12" ht="13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</row>
    <row r="737" spans="1:12" ht="13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</row>
    <row r="738" spans="1:12" ht="13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</row>
    <row r="739" spans="1:12" ht="13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</row>
    <row r="740" spans="1:12" ht="13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</row>
    <row r="741" spans="1:12" ht="13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</row>
    <row r="742" spans="1:12" ht="13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</row>
    <row r="743" spans="1:12" ht="1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</row>
    <row r="744" spans="1:12" ht="13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</row>
    <row r="745" spans="1:12" ht="13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</row>
    <row r="746" spans="1:12" ht="13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</row>
    <row r="747" spans="1:12" ht="13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</row>
    <row r="748" spans="1:12" ht="13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</row>
    <row r="749" spans="1:12" ht="13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</row>
    <row r="750" spans="1:12" ht="13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</row>
    <row r="751" spans="1:12" ht="13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</row>
    <row r="752" spans="1:12" ht="13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</row>
    <row r="753" spans="1:12" ht="1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</row>
    <row r="754" spans="1:12" ht="13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</row>
    <row r="755" spans="1:12" ht="13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</row>
    <row r="756" spans="1:12" ht="13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</row>
    <row r="757" spans="1:12" ht="13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</row>
    <row r="758" spans="1:12" ht="13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</row>
    <row r="759" spans="1:12" ht="13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</row>
    <row r="760" spans="1:12" ht="13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</row>
    <row r="761" spans="1:12" ht="13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</row>
    <row r="762" spans="1:12" ht="13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</row>
    <row r="763" spans="1:12" ht="1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</row>
    <row r="764" spans="1:12" ht="13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</row>
    <row r="765" spans="1:12" ht="13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</row>
    <row r="766" spans="1:12" ht="13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</row>
    <row r="767" spans="1:12" ht="13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</row>
    <row r="768" spans="1:12" ht="13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</row>
    <row r="769" spans="1:12" ht="13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</row>
    <row r="770" spans="1:12" ht="13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</row>
    <row r="771" spans="1:12" ht="13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</row>
    <row r="772" spans="1:12" ht="13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</row>
    <row r="773" spans="1:12" ht="1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</row>
    <row r="774" spans="1:12" ht="13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</row>
    <row r="775" spans="1:12" ht="13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</row>
    <row r="776" spans="1:12" ht="13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</row>
    <row r="777" spans="1:12" ht="13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</row>
    <row r="778" spans="1:12" ht="13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</row>
    <row r="779" spans="1:12" ht="13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</row>
    <row r="780" spans="1:12" ht="13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</row>
    <row r="781" spans="1:12" ht="13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</row>
    <row r="782" spans="1:12" ht="13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</row>
    <row r="783" spans="1:12" ht="1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</row>
    <row r="784" spans="1:12" ht="13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</row>
    <row r="785" spans="1:12" ht="13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</row>
    <row r="786" spans="1:12" ht="13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</row>
    <row r="787" spans="1:12" ht="13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</row>
    <row r="788" spans="1:12" ht="13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</row>
    <row r="789" spans="1:12" ht="13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</row>
    <row r="790" spans="1:12" ht="13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</row>
    <row r="791" spans="1:12" ht="13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</row>
    <row r="792" spans="1:12" ht="13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</row>
    <row r="793" spans="1:12" ht="1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</row>
    <row r="794" spans="1:12" ht="13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</row>
    <row r="795" spans="1:12" ht="13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</row>
    <row r="796" spans="1:12" ht="13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</row>
    <row r="797" spans="1:12" ht="13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</row>
    <row r="798" spans="1:12" ht="13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</row>
    <row r="799" spans="1:12" ht="13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</row>
    <row r="800" spans="1:12" ht="13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</row>
    <row r="801" spans="1:12" ht="13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</row>
    <row r="802" spans="1:12" ht="13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</row>
    <row r="803" spans="1:12" ht="1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</row>
    <row r="804" spans="1:12" ht="13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</row>
    <row r="805" spans="1:12" ht="13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</row>
    <row r="806" spans="1:12" ht="13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</row>
    <row r="807" spans="1:12" ht="13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</row>
    <row r="808" spans="1:12" ht="13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</row>
    <row r="809" spans="1:12" ht="13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</row>
    <row r="810" spans="1:12" ht="13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</row>
    <row r="811" spans="1:12" ht="13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</row>
    <row r="812" spans="1:12" ht="13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</row>
    <row r="813" spans="1:12" ht="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</row>
    <row r="814" spans="1:12" ht="13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</row>
    <row r="815" spans="1:12" ht="13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</row>
    <row r="816" spans="1:12" ht="13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</row>
    <row r="817" spans="1:12" ht="13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</row>
    <row r="818" spans="1:12" ht="13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</row>
    <row r="819" spans="1:12" ht="13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</row>
    <row r="820" spans="1:12" ht="13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</row>
    <row r="821" spans="1:12" ht="13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</row>
    <row r="822" spans="1:12" ht="13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</row>
    <row r="823" spans="1:12" ht="1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</row>
    <row r="824" spans="1:12" ht="13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</row>
    <row r="825" spans="1:12" ht="13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</row>
    <row r="826" spans="1:12" ht="13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</row>
    <row r="827" spans="1:12" ht="13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</row>
    <row r="828" spans="1:12" ht="13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</row>
    <row r="829" spans="1:12" ht="13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</row>
    <row r="830" spans="1:12" ht="13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</row>
    <row r="831" spans="1:12" ht="13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</row>
    <row r="832" spans="1:12" ht="13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</row>
    <row r="833" spans="1:12" ht="1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</row>
    <row r="834" spans="1:12" ht="13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</row>
    <row r="835" spans="1:12" ht="13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</row>
    <row r="836" spans="1:12" ht="13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</row>
    <row r="837" spans="1:12" ht="13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</row>
    <row r="838" spans="1:12" ht="13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</row>
    <row r="839" spans="1:12" ht="13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</row>
    <row r="840" spans="1:12" ht="13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</row>
    <row r="841" spans="1:12" ht="13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</row>
    <row r="842" spans="1:12" ht="13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</row>
    <row r="843" spans="1:12" ht="1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</row>
    <row r="844" spans="1:12" ht="13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</row>
    <row r="845" spans="1:12" ht="13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</row>
    <row r="846" spans="1:12" ht="13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</row>
    <row r="847" spans="1:12" ht="13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</row>
    <row r="848" spans="1:12" ht="13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</row>
    <row r="849" spans="1:12" ht="13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</row>
    <row r="850" spans="1:12" ht="13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</row>
    <row r="851" spans="1:12" ht="13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</row>
    <row r="852" spans="1:12" ht="13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</row>
    <row r="853" spans="1:12" ht="1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</row>
    <row r="854" spans="1:12" ht="13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</row>
    <row r="855" spans="1:12" ht="13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</row>
    <row r="856" spans="1:12" ht="13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</row>
    <row r="857" spans="1:12" ht="13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</row>
    <row r="858" spans="1:12" ht="13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</row>
    <row r="859" spans="1:12" ht="13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</row>
    <row r="860" spans="1:12" ht="13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</row>
    <row r="861" spans="1:12" ht="13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</row>
    <row r="862" spans="1:12" ht="13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</row>
    <row r="863" spans="1:12" ht="1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</row>
    <row r="864" spans="1:12" ht="13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</row>
    <row r="865" spans="1:12" ht="13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</row>
    <row r="866" spans="1:12" ht="13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</row>
    <row r="867" spans="1:12" ht="13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</row>
    <row r="868" spans="1:12" ht="13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</row>
    <row r="869" spans="1:12" ht="13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</row>
    <row r="870" spans="1:12" ht="13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</row>
    <row r="871" spans="1:12" ht="13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</row>
    <row r="872" spans="1:12" ht="13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</row>
    <row r="873" spans="1:12" ht="1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</row>
    <row r="874" spans="1:12" ht="13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</row>
    <row r="875" spans="1:12" ht="13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</row>
    <row r="876" spans="1:12" ht="13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</row>
    <row r="877" spans="1:12" ht="13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</row>
    <row r="878" spans="1:12" ht="13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</row>
    <row r="879" spans="1:12" ht="13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</row>
    <row r="880" spans="1:12" ht="13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</row>
    <row r="881" spans="1:12" ht="13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</row>
    <row r="882" spans="1:12" ht="13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</row>
    <row r="883" spans="1:12" ht="1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</row>
    <row r="884" spans="1:12" ht="13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</row>
    <row r="885" spans="1:12" ht="13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</row>
    <row r="886" spans="1:12" ht="13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</row>
    <row r="887" spans="1:12" ht="13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</row>
    <row r="888" spans="1:12" ht="13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</row>
    <row r="889" spans="1:12" ht="13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</row>
    <row r="890" spans="1:12" ht="13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</row>
    <row r="891" spans="1:12" ht="13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</row>
    <row r="892" spans="1:12" ht="13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</row>
    <row r="893" spans="1:12" ht="1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</row>
    <row r="894" spans="1:12" ht="13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</row>
    <row r="895" spans="1:12" ht="13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</row>
    <row r="896" spans="1:12" ht="13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</row>
    <row r="897" spans="1:12" ht="13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</row>
    <row r="898" spans="1:12" ht="13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</row>
    <row r="899" spans="1:12" ht="13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</row>
    <row r="900" spans="1:12" ht="13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</row>
    <row r="901" spans="1:12" ht="13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</row>
    <row r="902" spans="1:12" ht="13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</row>
    <row r="903" spans="1:12" ht="1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</row>
    <row r="904" spans="1:12" ht="13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</row>
    <row r="905" spans="1:12" ht="13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</row>
    <row r="906" spans="1:12" ht="13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</row>
    <row r="907" spans="1:12" ht="13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</row>
    <row r="908" spans="1:12" ht="13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</row>
    <row r="909" spans="1:12" ht="13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</row>
    <row r="910" spans="1:12" ht="13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</row>
    <row r="911" spans="1:12" ht="13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</row>
    <row r="912" spans="1:12" ht="13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</row>
    <row r="913" spans="1:12" ht="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</row>
    <row r="914" spans="1:12" ht="13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</row>
    <row r="915" spans="1:12" ht="13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</row>
    <row r="916" spans="1:12" ht="13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</row>
    <row r="917" spans="1:12" ht="13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</row>
    <row r="918" spans="1:12" ht="13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</row>
    <row r="919" spans="1:12" ht="13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</row>
    <row r="920" spans="1:12" ht="13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</row>
    <row r="921" spans="1:12" ht="13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</row>
    <row r="922" spans="1:12" ht="13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</row>
    <row r="923" spans="1:12" ht="1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</row>
    <row r="924" spans="1:12" ht="13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</row>
    <row r="925" spans="1:12" ht="13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</row>
    <row r="926" spans="1:12" ht="13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</row>
    <row r="927" spans="1:12" ht="13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</row>
    <row r="928" spans="1:12" ht="13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</row>
    <row r="929" spans="1:12" ht="13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</row>
    <row r="930" spans="1:12" ht="13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</row>
    <row r="931" spans="1:12" ht="13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</row>
    <row r="932" spans="1:12" ht="13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</row>
    <row r="933" spans="1:12" ht="1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</row>
    <row r="934" spans="1:12" ht="13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</row>
    <row r="935" spans="1:12" ht="13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</row>
    <row r="936" spans="1:12" ht="13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</row>
    <row r="937" spans="1:12" ht="13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</row>
    <row r="938" spans="1:12" ht="13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</row>
    <row r="939" spans="1:12" ht="13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</row>
    <row r="940" spans="1:12" ht="13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</row>
    <row r="941" spans="1:12" ht="13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</row>
    <row r="942" spans="1:12" ht="13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</row>
    <row r="943" spans="1:12" ht="1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</row>
    <row r="944" spans="1:12" ht="13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</row>
    <row r="945" spans="1:12" ht="13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</row>
    <row r="946" spans="1:12" ht="13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</row>
    <row r="947" spans="1:12" ht="13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</row>
    <row r="948" spans="1:12" ht="13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</row>
    <row r="949" spans="1:12" ht="13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</row>
    <row r="950" spans="1:12" ht="13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</row>
    <row r="951" spans="1:12" ht="13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</row>
    <row r="952" spans="1:12" ht="13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</row>
    <row r="953" spans="1:12" ht="1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</row>
    <row r="954" spans="1:12" ht="13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</row>
    <row r="955" spans="1:12" ht="13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</row>
    <row r="956" spans="1:12" ht="13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</row>
    <row r="957" spans="1:12" ht="13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</row>
    <row r="958" spans="1:12" ht="13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</row>
    <row r="959" spans="1:12" ht="13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</row>
    <row r="960" spans="1:12" ht="13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</row>
    <row r="961" spans="1:12" ht="13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</row>
    <row r="962" spans="1:12" ht="13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</row>
    <row r="963" spans="1:12" ht="1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</row>
    <row r="964" spans="1:12" ht="13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</row>
    <row r="965" spans="1:12" ht="13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</row>
    <row r="966" spans="1:12" ht="13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</row>
    <row r="967" spans="1:12" ht="13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</row>
    <row r="968" spans="1:12" ht="13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</row>
    <row r="969" spans="1:12" ht="13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</row>
    <row r="970" spans="1:12" ht="13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</row>
    <row r="971" spans="1:12" ht="13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</row>
    <row r="972" spans="1:12" ht="13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</row>
    <row r="973" spans="1:12" ht="1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</row>
    <row r="974" spans="1:12" ht="13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</row>
    <row r="975" spans="1:12" ht="13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</row>
    <row r="976" spans="1:12" ht="13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</row>
    <row r="977" spans="1:12" ht="13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</row>
    <row r="978" spans="1:12" ht="13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</row>
    <row r="979" spans="1:12" ht="13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</row>
    <row r="980" spans="1:12" ht="13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</row>
    <row r="981" spans="1:12" ht="13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</row>
    <row r="982" spans="1:12" ht="13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</row>
    <row r="983" spans="1:12" ht="1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</row>
    <row r="984" spans="1:12" ht="13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</row>
    <row r="985" spans="1:12" ht="13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</row>
    <row r="986" spans="1:12" ht="13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</row>
    <row r="987" spans="1:12" ht="13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</row>
    <row r="988" spans="1:12" ht="13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</row>
    <row r="989" spans="1:12" ht="13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</row>
    <row r="990" spans="1:12" ht="13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</row>
    <row r="991" spans="1:12" ht="13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</row>
    <row r="992" spans="1:12" ht="13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</row>
    <row r="993" spans="1:12" ht="1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</row>
    <row r="994" spans="1:12" ht="13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</row>
    <row r="995" spans="1:12" ht="13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</row>
    <row r="996" spans="1:12" ht="13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</row>
    <row r="997" spans="1:12" ht="13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</row>
    <row r="998" spans="1:12" ht="13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</row>
    <row r="999" spans="1:12" ht="13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</row>
    <row r="1000" spans="1:12" ht="13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</row>
  </sheetData>
  <autoFilter ref="A1:P36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218"/>
  <sheetViews>
    <sheetView workbookViewId="0"/>
  </sheetViews>
  <sheetFormatPr baseColWidth="10" defaultColWidth="12.6640625" defaultRowHeight="15.75" customHeight="1"/>
  <sheetData>
    <row r="1" spans="1:12" ht="15.75" customHeight="1">
      <c r="A1" s="3" t="str">
        <f ca="1">IFERROR(__xludf.DUMMYFUNCTION("UNIQUE(FILTER(VSTACK('2024 Full View'!$K$2:$K$999, '2024 Full View'!$F$2:$F$999), VSTACK('2024 Full View'!$K$2:$K$999, '2024 Full View'!$F$2:$F$999) &lt;&gt; """"))
"),"Four Tops")</f>
        <v>Four Tops</v>
      </c>
      <c r="E1" s="30" t="s">
        <v>1640</v>
      </c>
      <c r="F1" s="30" t="s">
        <v>0</v>
      </c>
      <c r="G1" s="30" t="s">
        <v>1</v>
      </c>
      <c r="H1" s="30" t="s">
        <v>2</v>
      </c>
      <c r="I1" s="30" t="s">
        <v>3</v>
      </c>
      <c r="J1" s="30" t="s">
        <v>349</v>
      </c>
      <c r="K1" s="30" t="s">
        <v>1641</v>
      </c>
    </row>
    <row r="2" spans="1:12" ht="15.75" customHeight="1">
      <c r="A2" s="3" t="str">
        <f ca="1">IFERROR(__xludf.DUMMYFUNCTION("""COMPUTED_VALUE"""),"Carole King")</f>
        <v>Carole King</v>
      </c>
      <c r="E2" s="3">
        <v>100</v>
      </c>
      <c r="F2" s="3">
        <f>SUMIF('2024 Full View'!B:B,E2,'2024 Full View'!I:I)</f>
        <v>37</v>
      </c>
      <c r="G2" s="3">
        <f>SUMIF('2024 Full View'!C:C,E2,'2024 Full View'!I:I)</f>
        <v>38</v>
      </c>
      <c r="H2" s="3">
        <f>SUMIF('2024 Full View'!D:D,E2,'2024 Full View'!I:I)</f>
        <v>60</v>
      </c>
      <c r="I2" s="3">
        <f>SUMIF('2024 Full View'!E:E,E2,'2024 Full View'!I:I)</f>
        <v>57</v>
      </c>
      <c r="J2" s="3">
        <f t="shared" ref="J2:J75" si="0">AVERAGE(F2:I2)</f>
        <v>48</v>
      </c>
      <c r="K2" s="3">
        <f t="shared" ref="K2:K75" si="1">RANK(J2,$J$2:$J$75,TRUE)</f>
        <v>7</v>
      </c>
      <c r="L2" s="3">
        <f>MAX(K2:K70)</f>
        <v>74</v>
      </c>
    </row>
    <row r="3" spans="1:12" ht="15.75" customHeight="1">
      <c r="A3" s="3" t="str">
        <f ca="1">IFERROR(__xludf.DUMMYFUNCTION("""COMPUTED_VALUE"""),"Looking Glass")</f>
        <v>Looking Glass</v>
      </c>
      <c r="E3" s="3">
        <v>99</v>
      </c>
      <c r="F3" s="3">
        <f>SUMIF('2024 Full View'!B:B,E3,'2024 Full View'!I:I)</f>
        <v>57</v>
      </c>
      <c r="G3" s="3">
        <f>SUMIF('2024 Full View'!C:C,E3,'2024 Full View'!I:I)</f>
        <v>72</v>
      </c>
      <c r="H3" s="3">
        <f>SUMIF('2024 Full View'!D:D,E3,'2024 Full View'!I:I)</f>
        <v>41</v>
      </c>
      <c r="I3" s="3">
        <f>SUMIF('2024 Full View'!E:E,E3,'2024 Full View'!I:I)</f>
        <v>68</v>
      </c>
      <c r="J3" s="3">
        <f t="shared" si="0"/>
        <v>59.5</v>
      </c>
      <c r="K3" s="3">
        <f t="shared" si="1"/>
        <v>38</v>
      </c>
    </row>
    <row r="4" spans="1:12" ht="15.75" customHeight="1">
      <c r="A4" s="3" t="str">
        <f ca="1">IFERROR(__xludf.DUMMYFUNCTION("""COMPUTED_VALUE"""),"The Three Degrees")</f>
        <v>The Three Degrees</v>
      </c>
      <c r="E4" s="3">
        <v>98</v>
      </c>
      <c r="F4" s="3">
        <f>SUMIF('2024 Full View'!B:B,E4,'2024 Full View'!I:I)</f>
        <v>73</v>
      </c>
      <c r="G4" s="3">
        <f>SUMIF('2024 Full View'!C:C,E4,'2024 Full View'!I:I)</f>
        <v>66</v>
      </c>
      <c r="H4" s="3">
        <f>SUMIF('2024 Full View'!D:D,E4,'2024 Full View'!I:I)</f>
        <v>67</v>
      </c>
      <c r="I4" s="3">
        <f>SUMIF('2024 Full View'!E:E,E4,'2024 Full View'!I:I)</f>
        <v>32</v>
      </c>
      <c r="J4" s="3">
        <f t="shared" si="0"/>
        <v>59.5</v>
      </c>
      <c r="K4" s="3">
        <f t="shared" si="1"/>
        <v>38</v>
      </c>
    </row>
    <row r="5" spans="1:12" ht="15.75" customHeight="1">
      <c r="A5" s="3" t="str">
        <f ca="1">IFERROR(__xludf.DUMMYFUNCTION("""COMPUTED_VALUE"""),"Glen Campbell")</f>
        <v>Glen Campbell</v>
      </c>
      <c r="E5" s="3">
        <v>97</v>
      </c>
      <c r="F5" s="3">
        <f>SUMIF('2024 Full View'!B:B,E5,'2024 Full View'!I:I)</f>
        <v>84</v>
      </c>
      <c r="G5" s="3">
        <f>SUMIF('2024 Full View'!C:C,E5,'2024 Full View'!I:I)</f>
        <v>63</v>
      </c>
      <c r="H5" s="3">
        <f>SUMIF('2024 Full View'!D:D,E5,'2024 Full View'!I:I)</f>
        <v>77</v>
      </c>
      <c r="I5" s="3">
        <f>SUMIF('2024 Full View'!E:E,E5,'2024 Full View'!I:I)</f>
        <v>73</v>
      </c>
      <c r="J5" s="3">
        <f t="shared" si="0"/>
        <v>74.25</v>
      </c>
      <c r="K5" s="3">
        <f t="shared" si="1"/>
        <v>73</v>
      </c>
    </row>
    <row r="6" spans="1:12" ht="15.75" customHeight="1">
      <c r="A6" s="3" t="str">
        <f ca="1">IFERROR(__xludf.DUMMYFUNCTION("""COMPUTED_VALUE"""),"Electric Light Orchestra")</f>
        <v>Electric Light Orchestra</v>
      </c>
      <c r="E6" s="3">
        <v>96</v>
      </c>
      <c r="F6" s="3">
        <f>SUMIF('2024 Full View'!B:B,E6,'2024 Full View'!I:I)</f>
        <v>74</v>
      </c>
      <c r="G6" s="3">
        <f>SUMIF('2024 Full View'!C:C,E6,'2024 Full View'!I:I)</f>
        <v>40</v>
      </c>
      <c r="H6" s="3">
        <f>SUMIF('2024 Full View'!D:D,E6,'2024 Full View'!I:I)</f>
        <v>60</v>
      </c>
      <c r="I6" s="3">
        <f>SUMIF('2024 Full View'!E:E,E6,'2024 Full View'!I:I)</f>
        <v>58</v>
      </c>
      <c r="J6" s="3">
        <f t="shared" si="0"/>
        <v>58</v>
      </c>
      <c r="K6" s="3">
        <f t="shared" si="1"/>
        <v>33</v>
      </c>
    </row>
    <row r="7" spans="1:12" ht="15.75" customHeight="1">
      <c r="A7" s="3" t="str">
        <f ca="1">IFERROR(__xludf.DUMMYFUNCTION("""COMPUTED_VALUE"""),"Alicia Bridges")</f>
        <v>Alicia Bridges</v>
      </c>
      <c r="E7" s="3">
        <v>95</v>
      </c>
      <c r="F7" s="3">
        <f>SUMIF('2024 Full View'!B:B,E7,'2024 Full View'!I:I)</f>
        <v>67</v>
      </c>
      <c r="G7" s="3">
        <f>SUMIF('2024 Full View'!C:C,E7,'2024 Full View'!I:I)</f>
        <v>51</v>
      </c>
      <c r="H7" s="3">
        <f>SUMIF('2024 Full View'!D:D,E7,'2024 Full View'!I:I)</f>
        <v>60</v>
      </c>
      <c r="I7" s="3">
        <f>SUMIF('2024 Full View'!E:E,E7,'2024 Full View'!I:I)</f>
        <v>72</v>
      </c>
      <c r="J7" s="3">
        <f t="shared" si="0"/>
        <v>62.5</v>
      </c>
      <c r="K7" s="3">
        <f t="shared" si="1"/>
        <v>50</v>
      </c>
    </row>
    <row r="8" spans="1:12" ht="15.75" customHeight="1">
      <c r="A8" s="3" t="str">
        <f ca="1">IFERROR(__xludf.DUMMYFUNCTION("""COMPUTED_VALUE"""),"Frankie Valli")</f>
        <v>Frankie Valli</v>
      </c>
      <c r="E8" s="3">
        <v>94</v>
      </c>
      <c r="F8" s="3">
        <f>SUMIF('2024 Full View'!B:B,E8,'2024 Full View'!I:I)</f>
        <v>73</v>
      </c>
      <c r="G8" s="3">
        <f>SUMIF('2024 Full View'!C:C,E8,'2024 Full View'!I:I)</f>
        <v>73</v>
      </c>
      <c r="H8" s="3">
        <f>SUMIF('2024 Full View'!D:D,E8,'2024 Full View'!I:I)</f>
        <v>60</v>
      </c>
      <c r="I8" s="3">
        <f>SUMIF('2024 Full View'!E:E,E8,'2024 Full View'!I:I)</f>
        <v>71</v>
      </c>
      <c r="J8" s="3">
        <f t="shared" si="0"/>
        <v>69.25</v>
      </c>
      <c r="K8" s="3">
        <f t="shared" si="1"/>
        <v>66</v>
      </c>
    </row>
    <row r="9" spans="1:12" ht="15.75" customHeight="1">
      <c r="A9" s="3" t="str">
        <f ca="1">IFERROR(__xludf.DUMMYFUNCTION("""COMPUTED_VALUE"""),"Yvonne Elliman")</f>
        <v>Yvonne Elliman</v>
      </c>
      <c r="E9" s="3">
        <v>93</v>
      </c>
      <c r="F9" s="3">
        <f>SUMIF('2024 Full View'!B:B,E9,'2024 Full View'!I:I)</f>
        <v>58</v>
      </c>
      <c r="G9" s="3">
        <f>SUMIF('2024 Full View'!C:C,E9,'2024 Full View'!I:I)</f>
        <v>62</v>
      </c>
      <c r="H9" s="3">
        <f>SUMIF('2024 Full View'!D:D,E9,'2024 Full View'!I:I)</f>
        <v>55</v>
      </c>
      <c r="I9" s="3">
        <f>SUMIF('2024 Full View'!E:E,E9,'2024 Full View'!I:I)</f>
        <v>52</v>
      </c>
      <c r="J9" s="3">
        <f t="shared" si="0"/>
        <v>56.75</v>
      </c>
      <c r="K9" s="3">
        <f t="shared" si="1"/>
        <v>25</v>
      </c>
    </row>
    <row r="10" spans="1:12" ht="15.75" customHeight="1">
      <c r="A10" s="3" t="str">
        <f ca="1">IFERROR(__xludf.DUMMYFUNCTION("""COMPUTED_VALUE"""),"ABBA")</f>
        <v>ABBA</v>
      </c>
      <c r="E10" s="3">
        <v>92</v>
      </c>
      <c r="F10" s="3">
        <f>SUMIF('2024 Full View'!B:B,E10,'2024 Full View'!I:I)</f>
        <v>78</v>
      </c>
      <c r="G10" s="3">
        <f>SUMIF('2024 Full View'!C:C,E10,'2024 Full View'!I:I)</f>
        <v>76</v>
      </c>
      <c r="H10" s="3">
        <f>SUMIF('2024 Full View'!D:D,E10,'2024 Full View'!I:I)</f>
        <v>42</v>
      </c>
      <c r="I10" s="3">
        <f>SUMIF('2024 Full View'!E:E,E10,'2024 Full View'!I:I)</f>
        <v>57</v>
      </c>
      <c r="J10" s="3">
        <f t="shared" si="0"/>
        <v>63.25</v>
      </c>
      <c r="K10" s="3">
        <f t="shared" si="1"/>
        <v>55</v>
      </c>
    </row>
    <row r="11" spans="1:12" ht="15.75" customHeight="1">
      <c r="A11" s="3" t="str">
        <f ca="1">IFERROR(__xludf.DUMMYFUNCTION("""COMPUTED_VALUE"""),"The La's")</f>
        <v>The La's</v>
      </c>
      <c r="E11" s="3">
        <v>91</v>
      </c>
      <c r="F11" s="3">
        <f>SUMIF('2024 Full View'!B:B,E11,'2024 Full View'!I:I)</f>
        <v>58</v>
      </c>
      <c r="G11" s="3">
        <f>SUMIF('2024 Full View'!C:C,E11,'2024 Full View'!I:I)</f>
        <v>69</v>
      </c>
      <c r="H11" s="3">
        <f>SUMIF('2024 Full View'!D:D,E11,'2024 Full View'!I:I)</f>
        <v>70</v>
      </c>
      <c r="I11" s="3">
        <f>SUMIF('2024 Full View'!E:E,E11,'2024 Full View'!I:I)</f>
        <v>25</v>
      </c>
      <c r="J11" s="3">
        <f t="shared" si="0"/>
        <v>55.5</v>
      </c>
      <c r="K11" s="3">
        <f t="shared" si="1"/>
        <v>23</v>
      </c>
    </row>
    <row r="12" spans="1:12" ht="15.75" customHeight="1">
      <c r="A12" s="3" t="str">
        <f ca="1">IFERROR(__xludf.DUMMYFUNCTION("""COMPUTED_VALUE"""),"Oasis")</f>
        <v>Oasis</v>
      </c>
      <c r="E12" s="3">
        <v>90</v>
      </c>
      <c r="F12" s="3">
        <f>SUMIF('2024 Full View'!B:B,E12,'2024 Full View'!I:I)</f>
        <v>56</v>
      </c>
      <c r="G12" s="3">
        <f>SUMIF('2024 Full View'!C:C,E12,'2024 Full View'!I:I)</f>
        <v>59</v>
      </c>
      <c r="H12" s="3">
        <f>SUMIF('2024 Full View'!D:D,E12,'2024 Full View'!I:I)</f>
        <v>76</v>
      </c>
      <c r="I12" s="3">
        <f>SUMIF('2024 Full View'!E:E,E12,'2024 Full View'!I:I)</f>
        <v>73</v>
      </c>
      <c r="J12" s="3">
        <f t="shared" si="0"/>
        <v>66</v>
      </c>
      <c r="K12" s="3">
        <f t="shared" si="1"/>
        <v>64</v>
      </c>
    </row>
    <row r="13" spans="1:12" ht="15.75" customHeight="1">
      <c r="A13" s="3" t="str">
        <f ca="1">IFERROR(__xludf.DUMMYFUNCTION("""COMPUTED_VALUE"""),"Amy Winehouse")</f>
        <v>Amy Winehouse</v>
      </c>
      <c r="E13" s="3">
        <v>89</v>
      </c>
      <c r="F13" s="3">
        <f>SUMIF('2024 Full View'!B:B,E13,'2024 Full View'!I:I)</f>
        <v>61</v>
      </c>
      <c r="G13" s="3">
        <f>SUMIF('2024 Full View'!C:C,E13,'2024 Full View'!I:I)</f>
        <v>80</v>
      </c>
      <c r="H13" s="3">
        <f>SUMIF('2024 Full View'!D:D,E13,'2024 Full View'!I:I)</f>
        <v>74</v>
      </c>
      <c r="I13" s="3">
        <f>SUMIF('2024 Full View'!E:E,E13,'2024 Full View'!I:I)</f>
        <v>75</v>
      </c>
      <c r="J13" s="3">
        <f t="shared" si="0"/>
        <v>72.5</v>
      </c>
      <c r="K13" s="3">
        <f t="shared" si="1"/>
        <v>70</v>
      </c>
    </row>
    <row r="14" spans="1:12" ht="15.75" customHeight="1">
      <c r="A14" s="3" t="str">
        <f ca="1">IFERROR(__xludf.DUMMYFUNCTION("""COMPUTED_VALUE"""),"Jesse McCartney")</f>
        <v>Jesse McCartney</v>
      </c>
      <c r="E14" s="3">
        <v>88</v>
      </c>
      <c r="F14" s="3">
        <f>SUMIF('2024 Full View'!B:B,E14,'2024 Full View'!I:I)</f>
        <v>24</v>
      </c>
      <c r="G14" s="3">
        <f>SUMIF('2024 Full View'!C:C,E14,'2024 Full View'!I:I)</f>
        <v>41</v>
      </c>
      <c r="H14" s="3">
        <f>SUMIF('2024 Full View'!D:D,E14,'2024 Full View'!I:I)</f>
        <v>44</v>
      </c>
      <c r="I14" s="3">
        <f>SUMIF('2024 Full View'!E:E,E14,'2024 Full View'!I:I)</f>
        <v>63</v>
      </c>
      <c r="J14" s="3">
        <f t="shared" si="0"/>
        <v>43</v>
      </c>
      <c r="K14" s="3">
        <f t="shared" si="1"/>
        <v>1</v>
      </c>
    </row>
    <row r="15" spans="1:12" ht="15.75" customHeight="1">
      <c r="A15" s="3" t="str">
        <f ca="1">IFERROR(__xludf.DUMMYFUNCTION("""COMPUTED_VALUE"""),"Florence + The Machine")</f>
        <v>Florence + The Machine</v>
      </c>
      <c r="E15" s="3">
        <v>87</v>
      </c>
      <c r="F15" s="3">
        <f>SUMIF('2024 Full View'!B:B,E15,'2024 Full View'!I:I)</f>
        <v>63</v>
      </c>
      <c r="G15" s="3">
        <f>SUMIF('2024 Full View'!C:C,E15,'2024 Full View'!I:I)</f>
        <v>31</v>
      </c>
      <c r="H15" s="3">
        <f>SUMIF('2024 Full View'!D:D,E15,'2024 Full View'!I:I)</f>
        <v>42</v>
      </c>
      <c r="I15" s="3">
        <f>SUMIF('2024 Full View'!E:E,E15,'2024 Full View'!I:I)</f>
        <v>79</v>
      </c>
      <c r="J15" s="3">
        <f t="shared" si="0"/>
        <v>53.75</v>
      </c>
      <c r="K15" s="3">
        <f t="shared" si="1"/>
        <v>18</v>
      </c>
    </row>
    <row r="16" spans="1:12" ht="15.75" customHeight="1">
      <c r="A16" s="3" t="str">
        <f ca="1">IFERROR(__xludf.DUMMYFUNCTION("""COMPUTED_VALUE"""),"Chubby Checker")</f>
        <v>Chubby Checker</v>
      </c>
      <c r="E16" s="3">
        <v>86</v>
      </c>
      <c r="F16" s="3">
        <f>SUMIF('2024 Full View'!B:B,E16,'2024 Full View'!I:I)</f>
        <v>57</v>
      </c>
      <c r="G16" s="3">
        <f>SUMIF('2024 Full View'!C:C,E16,'2024 Full View'!I:I)</f>
        <v>66</v>
      </c>
      <c r="H16" s="3">
        <f>SUMIF('2024 Full View'!D:D,E16,'2024 Full View'!I:I)</f>
        <v>38</v>
      </c>
      <c r="I16" s="3">
        <f>SUMIF('2024 Full View'!E:E,E16,'2024 Full View'!I:I)</f>
        <v>39</v>
      </c>
      <c r="J16" s="3">
        <f t="shared" si="0"/>
        <v>50</v>
      </c>
      <c r="K16" s="3">
        <f t="shared" si="1"/>
        <v>10</v>
      </c>
    </row>
    <row r="17" spans="1:11" ht="15.75" customHeight="1">
      <c r="A17" s="3" t="str">
        <f ca="1">IFERROR(__xludf.DUMMYFUNCTION("""COMPUTED_VALUE"""),"The Lovin' Spoonful")</f>
        <v>The Lovin' Spoonful</v>
      </c>
      <c r="E17" s="3">
        <v>85</v>
      </c>
      <c r="F17" s="3">
        <f>SUMIF('2024 Full View'!B:B,E17,'2024 Full View'!I:I)</f>
        <v>48</v>
      </c>
      <c r="G17" s="3">
        <f>SUMIF('2024 Full View'!C:C,E17,'2024 Full View'!I:I)</f>
        <v>32</v>
      </c>
      <c r="H17" s="3">
        <f>SUMIF('2024 Full View'!D:D,E17,'2024 Full View'!I:I)</f>
        <v>47</v>
      </c>
      <c r="I17" s="3">
        <f>SUMIF('2024 Full View'!E:E,E17,'2024 Full View'!I:I)</f>
        <v>73</v>
      </c>
      <c r="J17" s="3">
        <f t="shared" si="0"/>
        <v>50</v>
      </c>
      <c r="K17" s="3">
        <f t="shared" si="1"/>
        <v>10</v>
      </c>
    </row>
    <row r="18" spans="1:11" ht="15.75" customHeight="1">
      <c r="A18" s="3" t="str">
        <f ca="1">IFERROR(__xludf.DUMMYFUNCTION("""COMPUTED_VALUE"""),"The Foundations")</f>
        <v>The Foundations</v>
      </c>
      <c r="E18" s="3">
        <v>84</v>
      </c>
      <c r="F18" s="3">
        <f>SUMIF('2024 Full View'!B:B,E18,'2024 Full View'!I:I)</f>
        <v>64</v>
      </c>
      <c r="G18" s="3">
        <f>SUMIF('2024 Full View'!C:C,E18,'2024 Full View'!I:I)</f>
        <v>63</v>
      </c>
      <c r="H18" s="3">
        <f>SUMIF('2024 Full View'!D:D,E18,'2024 Full View'!I:I)</f>
        <v>68</v>
      </c>
      <c r="I18" s="3">
        <f>SUMIF('2024 Full View'!E:E,E18,'2024 Full View'!I:I)</f>
        <v>34</v>
      </c>
      <c r="J18" s="3">
        <f t="shared" si="0"/>
        <v>57.25</v>
      </c>
      <c r="K18" s="3">
        <f t="shared" si="1"/>
        <v>28</v>
      </c>
    </row>
    <row r="19" spans="1:11" ht="15.75" customHeight="1">
      <c r="A19" s="3" t="str">
        <f ca="1">IFERROR(__xludf.DUMMYFUNCTION("""COMPUTED_VALUE"""),"Frank Sinatra")</f>
        <v>Frank Sinatra</v>
      </c>
      <c r="E19" s="3">
        <v>83</v>
      </c>
      <c r="F19" s="3">
        <f>SUMIF('2024 Full View'!B:B,E19,'2024 Full View'!I:I)</f>
        <v>68</v>
      </c>
      <c r="G19" s="3">
        <f>SUMIF('2024 Full View'!C:C,E19,'2024 Full View'!I:I)</f>
        <v>38</v>
      </c>
      <c r="H19" s="3">
        <f>SUMIF('2024 Full View'!D:D,E19,'2024 Full View'!I:I)</f>
        <v>61</v>
      </c>
      <c r="I19" s="3">
        <f>SUMIF('2024 Full View'!E:E,E19,'2024 Full View'!I:I)</f>
        <v>69</v>
      </c>
      <c r="J19" s="3">
        <f t="shared" si="0"/>
        <v>59</v>
      </c>
      <c r="K19" s="3">
        <f t="shared" si="1"/>
        <v>37</v>
      </c>
    </row>
    <row r="20" spans="1:11" ht="15.75" customHeight="1">
      <c r="A20" s="3" t="str">
        <f ca="1">IFERROR(__xludf.DUMMYFUNCTION("""COMPUTED_VALUE"""),"Sly &amp; The Family Stone")</f>
        <v>Sly &amp; The Family Stone</v>
      </c>
      <c r="E20" s="3">
        <v>82</v>
      </c>
      <c r="F20" s="3">
        <f>SUMIF('2024 Full View'!B:B,E20,'2024 Full View'!I:I)</f>
        <v>86</v>
      </c>
      <c r="G20" s="3">
        <f>SUMIF('2024 Full View'!C:C,E20,'2024 Full View'!I:I)</f>
        <v>47</v>
      </c>
      <c r="H20" s="3">
        <f>SUMIF('2024 Full View'!D:D,E20,'2024 Full View'!I:I)</f>
        <v>57</v>
      </c>
      <c r="I20" s="3">
        <f>SUMIF('2024 Full View'!E:E,E20,'2024 Full View'!I:I)</f>
        <v>56</v>
      </c>
      <c r="J20" s="3">
        <f t="shared" si="0"/>
        <v>61.5</v>
      </c>
      <c r="K20" s="3">
        <f t="shared" si="1"/>
        <v>43</v>
      </c>
    </row>
    <row r="21" spans="1:11" ht="15.75" customHeight="1">
      <c r="A21" s="3" t="str">
        <f ca="1">IFERROR(__xludf.DUMMYFUNCTION("""COMPUTED_VALUE"""),"The Rolling Stones")</f>
        <v>The Rolling Stones</v>
      </c>
      <c r="E21" s="3">
        <v>81</v>
      </c>
      <c r="F21" s="3">
        <f>SUMIF('2024 Full View'!B:B,E21,'2024 Full View'!I:I)</f>
        <v>63</v>
      </c>
      <c r="G21" s="3">
        <f>SUMIF('2024 Full View'!C:C,E21,'2024 Full View'!I:I)</f>
        <v>53</v>
      </c>
      <c r="H21" s="3">
        <f>SUMIF('2024 Full View'!D:D,E21,'2024 Full View'!I:I)</f>
        <v>27</v>
      </c>
      <c r="I21" s="3">
        <f>SUMIF('2024 Full View'!E:E,E21,'2024 Full View'!I:I)</f>
        <v>73</v>
      </c>
      <c r="J21" s="3">
        <f t="shared" si="0"/>
        <v>54</v>
      </c>
      <c r="K21" s="3">
        <f t="shared" si="1"/>
        <v>19</v>
      </c>
    </row>
    <row r="22" spans="1:11" ht="15.75" customHeight="1">
      <c r="A22" s="3" t="str">
        <f ca="1">IFERROR(__xludf.DUMMYFUNCTION("""COMPUTED_VALUE"""),"Edison Lighthouse")</f>
        <v>Edison Lighthouse</v>
      </c>
      <c r="E22" s="3">
        <v>80</v>
      </c>
      <c r="F22" s="3">
        <f>SUMIF('2024 Full View'!B:B,E22,'2024 Full View'!I:I)</f>
        <v>82</v>
      </c>
      <c r="G22" s="3">
        <f>SUMIF('2024 Full View'!C:C,E22,'2024 Full View'!I:I)</f>
        <v>44</v>
      </c>
      <c r="H22" s="3">
        <f>SUMIF('2024 Full View'!D:D,E22,'2024 Full View'!I:I)</f>
        <v>74</v>
      </c>
      <c r="I22" s="3">
        <f>SUMIF('2024 Full View'!E:E,E22,'2024 Full View'!I:I)</f>
        <v>47</v>
      </c>
      <c r="J22" s="3">
        <f t="shared" si="0"/>
        <v>61.75</v>
      </c>
      <c r="K22" s="3">
        <f t="shared" si="1"/>
        <v>47</v>
      </c>
    </row>
    <row r="23" spans="1:11" ht="15.75" customHeight="1">
      <c r="A23" s="3" t="str">
        <f ca="1">IFERROR(__xludf.DUMMYFUNCTION("""COMPUTED_VALUE"""),"Simon &amp; Garfunkel")</f>
        <v>Simon &amp; Garfunkel</v>
      </c>
      <c r="E23" s="3">
        <v>79</v>
      </c>
      <c r="F23" s="3">
        <f>SUMIF('2024 Full View'!B:B,E23,'2024 Full View'!I:I)</f>
        <v>64</v>
      </c>
      <c r="G23" s="3">
        <f>SUMIF('2024 Full View'!C:C,E23,'2024 Full View'!I:I)</f>
        <v>58</v>
      </c>
      <c r="H23" s="3">
        <f>SUMIF('2024 Full View'!D:D,E23,'2024 Full View'!I:I)</f>
        <v>70</v>
      </c>
      <c r="I23" s="3">
        <f>SUMIF('2024 Full View'!E:E,E23,'2024 Full View'!I:I)</f>
        <v>60</v>
      </c>
      <c r="J23" s="3">
        <f t="shared" si="0"/>
        <v>63</v>
      </c>
      <c r="K23" s="3">
        <f t="shared" si="1"/>
        <v>53</v>
      </c>
    </row>
    <row r="24" spans="1:11" ht="15.75" customHeight="1">
      <c r="A24" s="3" t="str">
        <f ca="1">IFERROR(__xludf.DUMMYFUNCTION("""COMPUTED_VALUE"""),"The Supremes")</f>
        <v>The Supremes</v>
      </c>
      <c r="E24" s="3">
        <v>78</v>
      </c>
      <c r="F24" s="3">
        <f>SUMIF('2024 Full View'!B:B,E24,'2024 Full View'!I:I)</f>
        <v>53</v>
      </c>
      <c r="G24" s="3">
        <f>SUMIF('2024 Full View'!C:C,E24,'2024 Full View'!I:I)</f>
        <v>47</v>
      </c>
      <c r="H24" s="3">
        <f>SUMIF('2024 Full View'!D:D,E24,'2024 Full View'!I:I)</f>
        <v>80</v>
      </c>
      <c r="I24" s="3">
        <f>SUMIF('2024 Full View'!E:E,E24,'2024 Full View'!I:I)</f>
        <v>48</v>
      </c>
      <c r="J24" s="3">
        <f t="shared" si="0"/>
        <v>57</v>
      </c>
      <c r="K24" s="3">
        <f t="shared" si="1"/>
        <v>27</v>
      </c>
    </row>
    <row r="25" spans="1:11" ht="15.75" customHeight="1">
      <c r="A25" s="3" t="str">
        <f ca="1">IFERROR(__xludf.DUMMYFUNCTION("""COMPUTED_VALUE"""),"Tom Jones")</f>
        <v>Tom Jones</v>
      </c>
      <c r="E25" s="3">
        <v>77</v>
      </c>
      <c r="F25" s="3">
        <f>SUMIF('2024 Full View'!B:B,E25,'2024 Full View'!I:I)</f>
        <v>73</v>
      </c>
      <c r="G25" s="3">
        <f>SUMIF('2024 Full View'!C:C,E25,'2024 Full View'!I:I)</f>
        <v>45</v>
      </c>
      <c r="H25" s="3">
        <f>SUMIF('2024 Full View'!D:D,E25,'2024 Full View'!I:I)</f>
        <v>44</v>
      </c>
      <c r="I25" s="3">
        <f>SUMIF('2024 Full View'!E:E,E25,'2024 Full View'!I:I)</f>
        <v>49</v>
      </c>
      <c r="J25" s="3">
        <f t="shared" si="0"/>
        <v>52.75</v>
      </c>
      <c r="K25" s="3">
        <f t="shared" si="1"/>
        <v>17</v>
      </c>
    </row>
    <row r="26" spans="1:11" ht="15.75" customHeight="1">
      <c r="A26" s="3" t="str">
        <f ca="1">IFERROR(__xludf.DUMMYFUNCTION("""COMPUTED_VALUE"""),"Al Green")</f>
        <v>Al Green</v>
      </c>
      <c r="E26" s="3">
        <v>76</v>
      </c>
      <c r="F26" s="3">
        <f>SUMIF('2024 Full View'!B:B,E26,'2024 Full View'!I:I)</f>
        <v>47</v>
      </c>
      <c r="G26" s="3">
        <f>SUMIF('2024 Full View'!C:C,E26,'2024 Full View'!I:I)</f>
        <v>65</v>
      </c>
      <c r="H26" s="3">
        <f>SUMIF('2024 Full View'!D:D,E26,'2024 Full View'!I:I)</f>
        <v>58</v>
      </c>
      <c r="I26" s="3">
        <f>SUMIF('2024 Full View'!E:E,E26,'2024 Full View'!I:I)</f>
        <v>63</v>
      </c>
      <c r="J26" s="3">
        <f t="shared" si="0"/>
        <v>58.25</v>
      </c>
      <c r="K26" s="3">
        <f t="shared" si="1"/>
        <v>35</v>
      </c>
    </row>
    <row r="27" spans="1:11" ht="15.75" customHeight="1">
      <c r="A27" s="3" t="str">
        <f ca="1">IFERROR(__xludf.DUMMYFUNCTION("""COMPUTED_VALUE"""),"Allman Brothers Band")</f>
        <v>Allman Brothers Band</v>
      </c>
      <c r="E27" s="3">
        <v>75</v>
      </c>
      <c r="F27" s="3">
        <f>SUMIF('2024 Full View'!B:B,E27,'2024 Full View'!I:I)</f>
        <v>71</v>
      </c>
      <c r="G27" s="3">
        <f>SUMIF('2024 Full View'!C:C,E27,'2024 Full View'!I:I)</f>
        <v>40</v>
      </c>
      <c r="H27" s="3">
        <f>SUMIF('2024 Full View'!D:D,E27,'2024 Full View'!I:I)</f>
        <v>64</v>
      </c>
      <c r="I27" s="3">
        <f>SUMIF('2024 Full View'!E:E,E27,'2024 Full View'!I:I)</f>
        <v>83</v>
      </c>
      <c r="J27" s="3">
        <f t="shared" si="0"/>
        <v>64.5</v>
      </c>
      <c r="K27" s="3">
        <f t="shared" si="1"/>
        <v>59</v>
      </c>
    </row>
    <row r="28" spans="1:11" ht="15.75" customHeight="1">
      <c r="A28" s="3" t="str">
        <f ca="1">IFERROR(__xludf.DUMMYFUNCTION("""COMPUTED_VALUE"""),"Steely Dan")</f>
        <v>Steely Dan</v>
      </c>
      <c r="E28" s="3">
        <v>74</v>
      </c>
      <c r="F28" s="3">
        <f>SUMIF('2024 Full View'!B:B,E28,'2024 Full View'!I:I)</f>
        <v>71</v>
      </c>
      <c r="G28" s="3">
        <f>SUMIF('2024 Full View'!C:C,E28,'2024 Full View'!I:I)</f>
        <v>62</v>
      </c>
      <c r="H28" s="3">
        <f>SUMIF('2024 Full View'!D:D,E28,'2024 Full View'!I:I)</f>
        <v>61</v>
      </c>
      <c r="I28" s="3">
        <f>SUMIF('2024 Full View'!E:E,E28,'2024 Full View'!I:I)</f>
        <v>52</v>
      </c>
      <c r="J28" s="3">
        <f t="shared" si="0"/>
        <v>61.5</v>
      </c>
      <c r="K28" s="3">
        <f t="shared" si="1"/>
        <v>43</v>
      </c>
    </row>
    <row r="29" spans="1:11" ht="15.75" customHeight="1">
      <c r="A29" s="3" t="str">
        <f ca="1">IFERROR(__xludf.DUMMYFUNCTION("""COMPUTED_VALUE"""),"Ringo Starr")</f>
        <v>Ringo Starr</v>
      </c>
      <c r="E29" s="3">
        <v>73</v>
      </c>
      <c r="F29" s="3">
        <f>SUMIF('2024 Full View'!B:B,E29,'2024 Full View'!I:I)</f>
        <v>71</v>
      </c>
      <c r="G29" s="3">
        <f>SUMIF('2024 Full View'!C:C,E29,'2024 Full View'!I:I)</f>
        <v>2</v>
      </c>
      <c r="H29" s="3">
        <f>SUMIF('2024 Full View'!D:D,E29,'2024 Full View'!I:I)</f>
        <v>63</v>
      </c>
      <c r="I29" s="3">
        <f>SUMIF('2024 Full View'!E:E,E29,'2024 Full View'!I:I)</f>
        <v>48</v>
      </c>
      <c r="J29" s="3">
        <f t="shared" si="0"/>
        <v>46</v>
      </c>
      <c r="K29" s="3">
        <f t="shared" si="1"/>
        <v>5</v>
      </c>
    </row>
    <row r="30" spans="1:11" ht="15.75" customHeight="1">
      <c r="A30" s="3" t="str">
        <f ca="1">IFERROR(__xludf.DUMMYFUNCTION("""COMPUTED_VALUE"""),"Bee Gees")</f>
        <v>Bee Gees</v>
      </c>
      <c r="E30" s="3">
        <v>72</v>
      </c>
      <c r="F30" s="3">
        <f>SUMIF('2024 Full View'!B:B,E30,'2024 Full View'!I:I)</f>
        <v>44</v>
      </c>
      <c r="G30" s="3">
        <f>SUMIF('2024 Full View'!C:C,E30,'2024 Full View'!I:I)</f>
        <v>77</v>
      </c>
      <c r="H30" s="3">
        <f>SUMIF('2024 Full View'!D:D,E30,'2024 Full View'!I:I)</f>
        <v>56</v>
      </c>
      <c r="I30" s="3">
        <f>SUMIF('2024 Full View'!E:E,E30,'2024 Full View'!I:I)</f>
        <v>40</v>
      </c>
      <c r="J30" s="3">
        <f t="shared" si="0"/>
        <v>54.25</v>
      </c>
      <c r="K30" s="3">
        <f t="shared" si="1"/>
        <v>20</v>
      </c>
    </row>
    <row r="31" spans="1:11" ht="15.75" customHeight="1">
      <c r="A31" s="3" t="str">
        <f ca="1">IFERROR(__xludf.DUMMYFUNCTION("""COMPUTED_VALUE"""),"Billy Preston")</f>
        <v>Billy Preston</v>
      </c>
      <c r="E31" s="3">
        <v>71</v>
      </c>
      <c r="F31" s="3">
        <f>SUMIF('2024 Full View'!B:B,E31,'2024 Full View'!I:I)</f>
        <v>67</v>
      </c>
      <c r="G31" s="3">
        <f>SUMIF('2024 Full View'!C:C,E31,'2024 Full View'!I:I)</f>
        <v>25</v>
      </c>
      <c r="H31" s="3">
        <f>SUMIF('2024 Full View'!D:D,E31,'2024 Full View'!I:I)</f>
        <v>69</v>
      </c>
      <c r="I31" s="3">
        <f>SUMIF('2024 Full View'!E:E,E31,'2024 Full View'!I:I)</f>
        <v>46</v>
      </c>
      <c r="J31" s="3">
        <f t="shared" si="0"/>
        <v>51.75</v>
      </c>
      <c r="K31" s="3">
        <f t="shared" si="1"/>
        <v>14</v>
      </c>
    </row>
    <row r="32" spans="1:11" ht="15.75" customHeight="1">
      <c r="A32" s="3" t="str">
        <f ca="1">IFERROR(__xludf.DUMMYFUNCTION("""COMPUTED_VALUE"""),"Grand Funk Railroad")</f>
        <v>Grand Funk Railroad</v>
      </c>
      <c r="E32" s="3">
        <v>70</v>
      </c>
      <c r="F32" s="3">
        <f>SUMIF('2024 Full View'!B:B,E32,'2024 Full View'!I:I)</f>
        <v>78</v>
      </c>
      <c r="G32" s="3">
        <f>SUMIF('2024 Full View'!C:C,E32,'2024 Full View'!I:I)</f>
        <v>14</v>
      </c>
      <c r="H32" s="3">
        <f>SUMIF('2024 Full View'!D:D,E32,'2024 Full View'!I:I)</f>
        <v>75</v>
      </c>
      <c r="I32" s="3">
        <f>SUMIF('2024 Full View'!E:E,E32,'2024 Full View'!I:I)</f>
        <v>31</v>
      </c>
      <c r="J32" s="3">
        <f t="shared" si="0"/>
        <v>49.5</v>
      </c>
      <c r="K32" s="3">
        <f t="shared" si="1"/>
        <v>9</v>
      </c>
    </row>
    <row r="33" spans="1:11" ht="15.75" customHeight="1">
      <c r="A33" s="3" t="str">
        <f ca="1">IFERROR(__xludf.DUMMYFUNCTION("""COMPUTED_VALUE"""),"Bruce Springsteen")</f>
        <v>Bruce Springsteen</v>
      </c>
      <c r="E33" s="3">
        <v>69</v>
      </c>
      <c r="F33" s="3">
        <f>SUMIF('2024 Full View'!B:B,E33,'2024 Full View'!I:I)</f>
        <v>60</v>
      </c>
      <c r="G33" s="3">
        <f>SUMIF('2024 Full View'!C:C,E33,'2024 Full View'!I:I)</f>
        <v>57</v>
      </c>
      <c r="H33" s="3">
        <f>SUMIF('2024 Full View'!D:D,E33,'2024 Full View'!I:I)</f>
        <v>75</v>
      </c>
      <c r="I33" s="3">
        <f>SUMIF('2024 Full View'!E:E,E33,'2024 Full View'!I:I)</f>
        <v>54</v>
      </c>
      <c r="J33" s="3">
        <f t="shared" si="0"/>
        <v>61.5</v>
      </c>
      <c r="K33" s="3">
        <f t="shared" si="1"/>
        <v>43</v>
      </c>
    </row>
    <row r="34" spans="1:11" ht="15.75" customHeight="1">
      <c r="A34" s="3" t="str">
        <f ca="1">IFERROR(__xludf.DUMMYFUNCTION("""COMPUTED_VALUE"""),"Daryl Hall &amp; John Oates")</f>
        <v>Daryl Hall &amp; John Oates</v>
      </c>
      <c r="E34" s="3">
        <v>68</v>
      </c>
      <c r="F34" s="3">
        <f>SUMIF('2024 Full View'!B:B,E34,'2024 Full View'!I:I)</f>
        <v>55</v>
      </c>
      <c r="G34" s="3">
        <f>SUMIF('2024 Full View'!C:C,E34,'2024 Full View'!I:I)</f>
        <v>81</v>
      </c>
      <c r="H34" s="3">
        <f>SUMIF('2024 Full View'!D:D,E34,'2024 Full View'!I:I)</f>
        <v>47</v>
      </c>
      <c r="I34" s="3">
        <f>SUMIF('2024 Full View'!E:E,E34,'2024 Full View'!I:I)</f>
        <v>71</v>
      </c>
      <c r="J34" s="3">
        <f t="shared" si="0"/>
        <v>63.5</v>
      </c>
      <c r="K34" s="3">
        <f t="shared" si="1"/>
        <v>56</v>
      </c>
    </row>
    <row r="35" spans="1:11" ht="15.75" customHeight="1">
      <c r="A35" s="3" t="str">
        <f ca="1">IFERROR(__xludf.DUMMYFUNCTION("""COMPUTED_VALUE"""),"Squeeze")</f>
        <v>Squeeze</v>
      </c>
      <c r="E35" s="3">
        <v>67</v>
      </c>
      <c r="F35" s="3">
        <f>SUMIF('2024 Full View'!B:B,E35,'2024 Full View'!I:I)</f>
        <v>53</v>
      </c>
      <c r="G35" s="3">
        <f>SUMIF('2024 Full View'!C:C,E35,'2024 Full View'!I:I)</f>
        <v>54</v>
      </c>
      <c r="H35" s="3">
        <f>SUMIF('2024 Full View'!D:D,E35,'2024 Full View'!I:I)</f>
        <v>72</v>
      </c>
      <c r="I35" s="3">
        <f>SUMIF('2024 Full View'!E:E,E35,'2024 Full View'!I:I)</f>
        <v>51</v>
      </c>
      <c r="J35" s="3">
        <f t="shared" si="0"/>
        <v>57.5</v>
      </c>
      <c r="K35" s="3">
        <f t="shared" si="1"/>
        <v>30</v>
      </c>
    </row>
    <row r="36" spans="1:11" ht="15.75" customHeight="1">
      <c r="A36" s="3" t="str">
        <f ca="1">IFERROR(__xludf.DUMMYFUNCTION("""COMPUTED_VALUE"""),"Bob Marley &amp; The Wailers")</f>
        <v>Bob Marley &amp; The Wailers</v>
      </c>
      <c r="E36" s="3">
        <v>66</v>
      </c>
      <c r="F36" s="3">
        <f>SUMIF('2024 Full View'!B:B,E36,'2024 Full View'!I:I)</f>
        <v>20</v>
      </c>
      <c r="G36" s="3">
        <f>SUMIF('2024 Full View'!C:C,E36,'2024 Full View'!I:I)</f>
        <v>50</v>
      </c>
      <c r="H36" s="3">
        <f>SUMIF('2024 Full View'!D:D,E36,'2024 Full View'!I:I)</f>
        <v>59</v>
      </c>
      <c r="I36" s="3">
        <f>SUMIF('2024 Full View'!E:E,E36,'2024 Full View'!I:I)</f>
        <v>72</v>
      </c>
      <c r="J36" s="3">
        <f t="shared" si="0"/>
        <v>50.25</v>
      </c>
      <c r="K36" s="3">
        <f t="shared" si="1"/>
        <v>12</v>
      </c>
    </row>
    <row r="37" spans="1:11" ht="15.75" customHeight="1">
      <c r="A37" s="3" t="str">
        <f ca="1">IFERROR(__xludf.DUMMYFUNCTION("""COMPUTED_VALUE"""),"David Bowie")</f>
        <v>David Bowie</v>
      </c>
      <c r="E37" s="3">
        <v>65</v>
      </c>
      <c r="F37" s="3">
        <f>SUMIF('2024 Full View'!B:B,E37,'2024 Full View'!I:I)</f>
        <v>76</v>
      </c>
      <c r="G37" s="3">
        <f>SUMIF('2024 Full View'!C:C,E37,'2024 Full View'!I:I)</f>
        <v>71</v>
      </c>
      <c r="H37" s="3">
        <f>SUMIF('2024 Full View'!D:D,E37,'2024 Full View'!I:I)</f>
        <v>78</v>
      </c>
      <c r="I37" s="3">
        <f>SUMIF('2024 Full View'!E:E,E37,'2024 Full View'!I:I)</f>
        <v>35</v>
      </c>
      <c r="J37" s="3">
        <f t="shared" si="0"/>
        <v>65</v>
      </c>
      <c r="K37" s="3">
        <f t="shared" si="1"/>
        <v>60</v>
      </c>
    </row>
    <row r="38" spans="1:11" ht="15.75" customHeight="1">
      <c r="A38" s="3" t="str">
        <f ca="1">IFERROR(__xludf.DUMMYFUNCTION("""COMPUTED_VALUE"""),"Crowded House")</f>
        <v>Crowded House</v>
      </c>
      <c r="E38" s="3">
        <v>64</v>
      </c>
      <c r="F38" s="3">
        <f>SUMIF('2024 Full View'!B:B,E38,'2024 Full View'!I:I)</f>
        <v>65</v>
      </c>
      <c r="G38" s="3">
        <f>SUMIF('2024 Full View'!C:C,E38,'2024 Full View'!I:I)</f>
        <v>69</v>
      </c>
      <c r="H38" s="3">
        <f>SUMIF('2024 Full View'!D:D,E38,'2024 Full View'!I:I)</f>
        <v>66</v>
      </c>
      <c r="I38" s="3">
        <f>SUMIF('2024 Full View'!E:E,E38,'2024 Full View'!I:I)</f>
        <v>61</v>
      </c>
      <c r="J38" s="3">
        <f t="shared" si="0"/>
        <v>65.25</v>
      </c>
      <c r="K38" s="3">
        <f t="shared" si="1"/>
        <v>62</v>
      </c>
    </row>
    <row r="39" spans="1:11" ht="15.75" customHeight="1">
      <c r="A39" s="3" t="str">
        <f ca="1">IFERROR(__xludf.DUMMYFUNCTION("""COMPUTED_VALUE"""),"Annie Lennox")</f>
        <v>Annie Lennox</v>
      </c>
      <c r="E39" s="3">
        <v>63</v>
      </c>
      <c r="F39" s="3">
        <f>SUMIF('2024 Full View'!B:B,E39,'2024 Full View'!I:I)</f>
        <v>65</v>
      </c>
      <c r="G39" s="3">
        <f>SUMIF('2024 Full View'!C:C,E39,'2024 Full View'!I:I)</f>
        <v>53</v>
      </c>
      <c r="H39" s="3">
        <f>SUMIF('2024 Full View'!D:D,E39,'2024 Full View'!I:I)</f>
        <v>65</v>
      </c>
      <c r="I39" s="3">
        <f>SUMIF('2024 Full View'!E:E,E39,'2024 Full View'!I:I)</f>
        <v>60</v>
      </c>
      <c r="J39" s="3">
        <f t="shared" si="0"/>
        <v>60.75</v>
      </c>
      <c r="K39" s="3">
        <f t="shared" si="1"/>
        <v>41</v>
      </c>
    </row>
    <row r="40" spans="1:11" ht="15.75" customHeight="1">
      <c r="A40" s="3" t="str">
        <f ca="1">IFERROR(__xludf.DUMMYFUNCTION("""COMPUTED_VALUE"""),"Toby Keith")</f>
        <v>Toby Keith</v>
      </c>
      <c r="E40" s="3">
        <v>62</v>
      </c>
      <c r="F40" s="3">
        <f>SUMIF('2024 Full View'!B:B,E40,'2024 Full View'!I:I)</f>
        <v>26</v>
      </c>
      <c r="G40" s="3">
        <f>SUMIF('2024 Full View'!C:C,E40,'2024 Full View'!I:I)</f>
        <v>74</v>
      </c>
      <c r="H40" s="3">
        <f>SUMIF('2024 Full View'!D:D,E40,'2024 Full View'!I:I)</f>
        <v>71</v>
      </c>
      <c r="I40" s="3">
        <f>SUMIF('2024 Full View'!E:E,E40,'2024 Full View'!I:I)</f>
        <v>80</v>
      </c>
      <c r="J40" s="3">
        <f t="shared" si="0"/>
        <v>62.75</v>
      </c>
      <c r="K40" s="3">
        <f t="shared" si="1"/>
        <v>51</v>
      </c>
    </row>
    <row r="41" spans="1:11" ht="15.75" customHeight="1">
      <c r="A41" s="3" t="str">
        <f ca="1">IFERROR(__xludf.DUMMYFUNCTION("""COMPUTED_VALUE"""),"The Tokens")</f>
        <v>The Tokens</v>
      </c>
      <c r="E41" s="3">
        <v>61</v>
      </c>
      <c r="F41" s="3">
        <f>SUMIF('2024 Full View'!B:B,E41,'2024 Full View'!I:I)</f>
        <v>22</v>
      </c>
      <c r="G41" s="3">
        <f>SUMIF('2024 Full View'!C:C,E41,'2024 Full View'!I:I)</f>
        <v>42</v>
      </c>
      <c r="H41" s="3">
        <f>SUMIF('2024 Full View'!D:D,E41,'2024 Full View'!I:I)</f>
        <v>46</v>
      </c>
      <c r="I41" s="3">
        <f>SUMIF('2024 Full View'!E:E,E41,'2024 Full View'!I:I)</f>
        <v>86</v>
      </c>
      <c r="J41" s="3">
        <f t="shared" si="0"/>
        <v>49</v>
      </c>
      <c r="K41" s="3">
        <f t="shared" si="1"/>
        <v>8</v>
      </c>
    </row>
    <row r="42" spans="1:11" ht="15.75" customHeight="1">
      <c r="A42" s="3" t="str">
        <f ca="1">IFERROR(__xludf.DUMMYFUNCTION("""COMPUTED_VALUE"""),"Sheryl Crow")</f>
        <v>Sheryl Crow</v>
      </c>
      <c r="E42" s="3">
        <v>60</v>
      </c>
      <c r="F42" s="3">
        <f>SUMIF('2024 Full View'!B:B,E42,'2024 Full View'!I:I)</f>
        <v>66</v>
      </c>
      <c r="G42" s="3">
        <f>SUMIF('2024 Full View'!C:C,E42,'2024 Full View'!I:I)</f>
        <v>79</v>
      </c>
      <c r="H42" s="3">
        <f>SUMIF('2024 Full View'!D:D,E42,'2024 Full View'!I:I)</f>
        <v>79</v>
      </c>
      <c r="I42" s="3">
        <f>SUMIF('2024 Full View'!E:E,E42,'2024 Full View'!I:I)</f>
        <v>69</v>
      </c>
      <c r="J42" s="3">
        <f t="shared" si="0"/>
        <v>73.25</v>
      </c>
      <c r="K42" s="3">
        <f t="shared" si="1"/>
        <v>72</v>
      </c>
    </row>
    <row r="43" spans="1:11" ht="15.75" customHeight="1">
      <c r="A43" s="3" t="str">
        <f ca="1">IFERROR(__xludf.DUMMYFUNCTION("""COMPUTED_VALUE"""),"Sublime")</f>
        <v>Sublime</v>
      </c>
      <c r="E43" s="3">
        <v>59</v>
      </c>
      <c r="F43" s="3">
        <f>SUMIF('2024 Full View'!B:B,E43,'2024 Full View'!I:I)</f>
        <v>68</v>
      </c>
      <c r="G43" s="3">
        <f>SUMIF('2024 Full View'!C:C,E43,'2024 Full View'!I:I)</f>
        <v>69</v>
      </c>
      <c r="H43" s="3">
        <f>SUMIF('2024 Full View'!D:D,E43,'2024 Full View'!I:I)</f>
        <v>61</v>
      </c>
      <c r="I43" s="3">
        <f>SUMIF('2024 Full View'!E:E,E43,'2024 Full View'!I:I)</f>
        <v>65</v>
      </c>
      <c r="J43" s="3">
        <f t="shared" si="0"/>
        <v>65.75</v>
      </c>
      <c r="K43" s="3">
        <f t="shared" si="1"/>
        <v>63</v>
      </c>
    </row>
    <row r="44" spans="1:11" ht="15.75" customHeight="1">
      <c r="A44" s="3" t="str">
        <f ca="1">IFERROR(__xludf.DUMMYFUNCTION("""COMPUTED_VALUE"""),"The Chicks")</f>
        <v>The Chicks</v>
      </c>
      <c r="E44" s="3">
        <v>58</v>
      </c>
      <c r="F44" s="3">
        <f>SUMIF('2024 Full View'!B:B,E44,'2024 Full View'!I:I)</f>
        <v>35</v>
      </c>
      <c r="G44" s="3">
        <f>SUMIF('2024 Full View'!C:C,E44,'2024 Full View'!I:I)</f>
        <v>52</v>
      </c>
      <c r="H44" s="3">
        <f>SUMIF('2024 Full View'!D:D,E44,'2024 Full View'!I:I)</f>
        <v>81</v>
      </c>
      <c r="I44" s="3">
        <f>SUMIF('2024 Full View'!E:E,E44,'2024 Full View'!I:I)</f>
        <v>57</v>
      </c>
      <c r="J44" s="3">
        <f t="shared" si="0"/>
        <v>56.25</v>
      </c>
      <c r="K44" s="3">
        <f t="shared" si="1"/>
        <v>24</v>
      </c>
    </row>
    <row r="45" spans="1:11" ht="15.75" customHeight="1">
      <c r="A45" s="3" t="str">
        <f ca="1">IFERROR(__xludf.DUMMYFUNCTION("""COMPUTED_VALUE"""),"Creed")</f>
        <v>Creed</v>
      </c>
      <c r="E45" s="3">
        <v>57</v>
      </c>
      <c r="F45" s="3">
        <f>SUMIF('2024 Full View'!B:B,E45,'2024 Full View'!I:I)</f>
        <v>78</v>
      </c>
      <c r="G45" s="3">
        <f>SUMIF('2024 Full View'!C:C,E45,'2024 Full View'!I:I)</f>
        <v>66</v>
      </c>
      <c r="H45" s="3">
        <f>SUMIF('2024 Full View'!D:D,E45,'2024 Full View'!I:I)</f>
        <v>75</v>
      </c>
      <c r="I45" s="3">
        <f>SUMIF('2024 Full View'!E:E,E45,'2024 Full View'!I:I)</f>
        <v>38</v>
      </c>
      <c r="J45" s="3">
        <f t="shared" si="0"/>
        <v>64.25</v>
      </c>
      <c r="K45" s="3">
        <f t="shared" si="1"/>
        <v>57</v>
      </c>
    </row>
    <row r="46" spans="1:11" ht="15.75" customHeight="1">
      <c r="A46" s="3" t="str">
        <f ca="1">IFERROR(__xludf.DUMMYFUNCTION("""COMPUTED_VALUE"""),"Lit")</f>
        <v>Lit</v>
      </c>
      <c r="E46" s="3">
        <v>56</v>
      </c>
      <c r="F46" s="3">
        <f>SUMIF('2024 Full View'!B:B,E46,'2024 Full View'!I:I)</f>
        <v>64</v>
      </c>
      <c r="G46" s="3">
        <f>SUMIF('2024 Full View'!C:C,E46,'2024 Full View'!I:I)</f>
        <v>67</v>
      </c>
      <c r="H46" s="3">
        <f>SUMIF('2024 Full View'!D:D,E46,'2024 Full View'!I:I)</f>
        <v>61</v>
      </c>
      <c r="I46" s="3">
        <f>SUMIF('2024 Full View'!E:E,E46,'2024 Full View'!I:I)</f>
        <v>39</v>
      </c>
      <c r="J46" s="3">
        <f t="shared" si="0"/>
        <v>57.75</v>
      </c>
      <c r="K46" s="3">
        <f t="shared" si="1"/>
        <v>32</v>
      </c>
    </row>
    <row r="47" spans="1:11" ht="15.75" customHeight="1">
      <c r="A47" s="3" t="str">
        <f ca="1">IFERROR(__xludf.DUMMYFUNCTION("""COMPUTED_VALUE"""),"Backstreet Boys")</f>
        <v>Backstreet Boys</v>
      </c>
      <c r="E47" s="3">
        <v>55</v>
      </c>
      <c r="F47" s="3">
        <f>SUMIF('2024 Full View'!B:B,E47,'2024 Full View'!I:I)</f>
        <v>64</v>
      </c>
      <c r="G47" s="3">
        <f>SUMIF('2024 Full View'!C:C,E47,'2024 Full View'!I:I)</f>
        <v>39</v>
      </c>
      <c r="H47" s="3">
        <f>SUMIF('2024 Full View'!D:D,E47,'2024 Full View'!I:I)</f>
        <v>69</v>
      </c>
      <c r="I47" s="3">
        <f>SUMIF('2024 Full View'!E:E,E47,'2024 Full View'!I:I)</f>
        <v>79</v>
      </c>
      <c r="J47" s="3">
        <f t="shared" si="0"/>
        <v>62.75</v>
      </c>
      <c r="K47" s="3">
        <f t="shared" si="1"/>
        <v>51</v>
      </c>
    </row>
    <row r="48" spans="1:11" ht="15.75" customHeight="1">
      <c r="A48" s="3" t="str">
        <f ca="1">IFERROR(__xludf.DUMMYFUNCTION("""COMPUTED_VALUE"""),"Five For Fighting")</f>
        <v>Five For Fighting</v>
      </c>
      <c r="E48" s="3">
        <v>54</v>
      </c>
      <c r="F48" s="3">
        <f>SUMIF('2024 Full View'!B:B,E48,'2024 Full View'!I:I)</f>
        <v>75</v>
      </c>
      <c r="G48" s="3">
        <f>SUMIF('2024 Full View'!C:C,E48,'2024 Full View'!I:I)</f>
        <v>65</v>
      </c>
      <c r="H48" s="3">
        <f>SUMIF('2024 Full View'!D:D,E48,'2024 Full View'!I:I)</f>
        <v>69</v>
      </c>
      <c r="I48" s="3">
        <f>SUMIF('2024 Full View'!E:E,E48,'2024 Full View'!I:I)</f>
        <v>71</v>
      </c>
      <c r="J48" s="3">
        <f t="shared" si="0"/>
        <v>70</v>
      </c>
      <c r="K48" s="3">
        <f t="shared" si="1"/>
        <v>68</v>
      </c>
    </row>
    <row r="49" spans="1:11" ht="13">
      <c r="A49" s="3" t="str">
        <f ca="1">IFERROR(__xludf.DUMMYFUNCTION("""COMPUTED_VALUE"""),"Stereophonics")</f>
        <v>Stereophonics</v>
      </c>
      <c r="E49" s="3">
        <v>53</v>
      </c>
      <c r="F49" s="3">
        <f>SUMIF('2024 Full View'!B:B,E49,'2024 Full View'!I:I)</f>
        <v>78</v>
      </c>
      <c r="G49" s="3">
        <f>SUMIF('2024 Full View'!C:C,E49,'2024 Full View'!I:I)</f>
        <v>71</v>
      </c>
      <c r="H49" s="3">
        <f>SUMIF('2024 Full View'!D:D,E49,'2024 Full View'!I:I)</f>
        <v>58</v>
      </c>
      <c r="I49" s="3">
        <f>SUMIF('2024 Full View'!E:E,E49,'2024 Full View'!I:I)</f>
        <v>83</v>
      </c>
      <c r="J49" s="3">
        <f t="shared" si="0"/>
        <v>72.5</v>
      </c>
      <c r="K49" s="3">
        <f t="shared" si="1"/>
        <v>70</v>
      </c>
    </row>
    <row r="50" spans="1:11" ht="13">
      <c r="A50" s="3" t="str">
        <f ca="1">IFERROR(__xludf.DUMMYFUNCTION("""COMPUTED_VALUE"""),"Play")</f>
        <v>Play</v>
      </c>
      <c r="E50" s="3">
        <v>52</v>
      </c>
      <c r="F50" s="3">
        <f>SUMIF('2024 Full View'!B:B,E50,'2024 Full View'!I:I)</f>
        <v>55</v>
      </c>
      <c r="G50" s="3">
        <f>SUMIF('2024 Full View'!C:C,E50,'2024 Full View'!I:I)</f>
        <v>52</v>
      </c>
      <c r="H50" s="3">
        <f>SUMIF('2024 Full View'!D:D,E50,'2024 Full View'!I:I)</f>
        <v>60</v>
      </c>
      <c r="I50" s="3">
        <f>SUMIF('2024 Full View'!E:E,E50,'2024 Full View'!I:I)</f>
        <v>50</v>
      </c>
      <c r="J50" s="3">
        <f t="shared" si="0"/>
        <v>54.25</v>
      </c>
      <c r="K50" s="3">
        <f t="shared" si="1"/>
        <v>20</v>
      </c>
    </row>
    <row r="51" spans="1:11" ht="13">
      <c r="A51" s="3" t="str">
        <f ca="1">IFERROR(__xludf.DUMMYFUNCTION("""COMPUTED_VALUE"""),"Good Charlotte")</f>
        <v>Good Charlotte</v>
      </c>
      <c r="E51" s="3">
        <v>51</v>
      </c>
      <c r="F51" s="3">
        <f>SUMIF('2024 Full View'!B:B,E51,'2024 Full View'!I:I)</f>
        <v>54</v>
      </c>
      <c r="G51" s="3">
        <f>SUMIF('2024 Full View'!C:C,E51,'2024 Full View'!I:I)</f>
        <v>39</v>
      </c>
      <c r="H51" s="3">
        <f>SUMIF('2024 Full View'!D:D,E51,'2024 Full View'!I:I)</f>
        <v>59</v>
      </c>
      <c r="I51" s="3">
        <f>SUMIF('2024 Full View'!E:E,E51,'2024 Full View'!I:I)</f>
        <v>81</v>
      </c>
      <c r="J51" s="3">
        <f t="shared" si="0"/>
        <v>58.25</v>
      </c>
      <c r="K51" s="3">
        <f t="shared" si="1"/>
        <v>35</v>
      </c>
    </row>
    <row r="52" spans="1:11" ht="13">
      <c r="A52" s="3" t="str">
        <f ca="1">IFERROR(__xludf.DUMMYFUNCTION("""COMPUTED_VALUE"""),"Linkin Park")</f>
        <v>Linkin Park</v>
      </c>
      <c r="E52" s="3">
        <v>50</v>
      </c>
      <c r="F52" s="3">
        <f>SUMIF('2024 Full View'!B:B,E52,'2024 Full View'!I:I)</f>
        <v>81</v>
      </c>
      <c r="G52" s="3">
        <f>SUMIF('2024 Full View'!C:C,E52,'2024 Full View'!I:I)</f>
        <v>31</v>
      </c>
      <c r="H52" s="3">
        <f>SUMIF('2024 Full View'!D:D,E52,'2024 Full View'!I:I)</f>
        <v>54</v>
      </c>
      <c r="I52" s="3">
        <f>SUMIF('2024 Full View'!E:E,E52,'2024 Full View'!I:I)</f>
        <v>43</v>
      </c>
      <c r="J52" s="3">
        <f t="shared" si="0"/>
        <v>52.25</v>
      </c>
      <c r="K52" s="3">
        <f t="shared" si="1"/>
        <v>15</v>
      </c>
    </row>
    <row r="53" spans="1:11" ht="13">
      <c r="A53" s="3" t="str">
        <f ca="1">IFERROR(__xludf.DUMMYFUNCTION("""COMPUTED_VALUE"""),"Ashlee Simpson")</f>
        <v>Ashlee Simpson</v>
      </c>
      <c r="E53" s="3">
        <v>49</v>
      </c>
      <c r="F53" s="3">
        <f>SUMIF('2024 Full View'!B:B,E53,'2024 Full View'!I:I)</f>
        <v>21</v>
      </c>
      <c r="G53" s="3">
        <f>SUMIF('2024 Full View'!C:C,E53,'2024 Full View'!I:I)</f>
        <v>76</v>
      </c>
      <c r="H53" s="3">
        <f>SUMIF('2024 Full View'!D:D,E53,'2024 Full View'!I:I)</f>
        <v>93</v>
      </c>
      <c r="I53" s="3">
        <f>SUMIF('2024 Full View'!E:E,E53,'2024 Full View'!I:I)</f>
        <v>31</v>
      </c>
      <c r="J53" s="3">
        <f t="shared" si="0"/>
        <v>55.25</v>
      </c>
      <c r="K53" s="3">
        <f t="shared" si="1"/>
        <v>22</v>
      </c>
    </row>
    <row r="54" spans="1:11" ht="13">
      <c r="A54" s="3" t="str">
        <f ca="1">IFERROR(__xludf.DUMMYFUNCTION("""COMPUTED_VALUE"""),"USHER")</f>
        <v>USHER</v>
      </c>
      <c r="E54" s="3">
        <v>48</v>
      </c>
      <c r="F54" s="3">
        <f>SUMIF('2024 Full View'!B:B,E54,'2024 Full View'!I:I)</f>
        <v>51</v>
      </c>
      <c r="G54" s="3">
        <f>SUMIF('2024 Full View'!C:C,E54,'2024 Full View'!I:I)</f>
        <v>63</v>
      </c>
      <c r="H54" s="3">
        <f>SUMIF('2024 Full View'!D:D,E54,'2024 Full View'!I:I)</f>
        <v>66</v>
      </c>
      <c r="I54" s="3">
        <f>SUMIF('2024 Full View'!E:E,E54,'2024 Full View'!I:I)</f>
        <v>30</v>
      </c>
      <c r="J54" s="3">
        <f t="shared" si="0"/>
        <v>52.5</v>
      </c>
      <c r="K54" s="3">
        <f t="shared" si="1"/>
        <v>16</v>
      </c>
    </row>
    <row r="55" spans="1:11" ht="13">
      <c r="A55" s="3" t="str">
        <f ca="1">IFERROR(__xludf.DUMMYFUNCTION("""COMPUTED_VALUE"""),"The Kooks")</f>
        <v>The Kooks</v>
      </c>
      <c r="E55" s="3">
        <v>47</v>
      </c>
      <c r="F55" s="3">
        <f>SUMIF('2024 Full View'!B:B,E55,'2024 Full View'!I:I)</f>
        <v>53</v>
      </c>
      <c r="G55" s="3">
        <f>SUMIF('2024 Full View'!C:C,E55,'2024 Full View'!I:I)</f>
        <v>63</v>
      </c>
      <c r="H55" s="3">
        <f>SUMIF('2024 Full View'!D:D,E55,'2024 Full View'!I:I)</f>
        <v>33</v>
      </c>
      <c r="I55" s="3">
        <f>SUMIF('2024 Full View'!E:E,E55,'2024 Full View'!I:I)</f>
        <v>52</v>
      </c>
      <c r="J55" s="3">
        <f t="shared" si="0"/>
        <v>50.25</v>
      </c>
      <c r="K55" s="3">
        <f t="shared" si="1"/>
        <v>12</v>
      </c>
    </row>
    <row r="56" spans="1:11" ht="13">
      <c r="A56" s="3" t="str">
        <f ca="1">IFERROR(__xludf.DUMMYFUNCTION("""COMPUTED_VALUE"""),"Mark Ronson")</f>
        <v>Mark Ronson</v>
      </c>
      <c r="E56" s="3">
        <v>46</v>
      </c>
      <c r="F56" s="3">
        <f>SUMIF('2024 Full View'!B:B,E56,'2024 Full View'!I:I)</f>
        <v>70</v>
      </c>
      <c r="G56" s="3">
        <f>SUMIF('2024 Full View'!C:C,E56,'2024 Full View'!I:I)</f>
        <v>32</v>
      </c>
      <c r="H56" s="3">
        <f>SUMIF('2024 Full View'!D:D,E56,'2024 Full View'!I:I)</f>
        <v>52</v>
      </c>
      <c r="I56" s="3">
        <f>SUMIF('2024 Full View'!E:E,E56,'2024 Full View'!I:I)</f>
        <v>76</v>
      </c>
      <c r="J56" s="3">
        <f t="shared" si="0"/>
        <v>57.5</v>
      </c>
      <c r="K56" s="3">
        <f t="shared" si="1"/>
        <v>30</v>
      </c>
    </row>
    <row r="57" spans="1:11" ht="13">
      <c r="A57" s="3" t="str">
        <f ca="1">IFERROR(__xludf.DUMMYFUNCTION("""COMPUTED_VALUE"""),"We The Kings")</f>
        <v>We The Kings</v>
      </c>
      <c r="E57" s="3">
        <v>45</v>
      </c>
      <c r="F57" s="3">
        <f>SUMIF('2024 Full View'!B:B,E57,'2024 Full View'!I:I)</f>
        <v>21</v>
      </c>
      <c r="G57" s="3">
        <f>SUMIF('2024 Full View'!C:C,E57,'2024 Full View'!I:I)</f>
        <v>14</v>
      </c>
      <c r="H57" s="3">
        <f>SUMIF('2024 Full View'!D:D,E57,'2024 Full View'!I:I)</f>
        <v>70</v>
      </c>
      <c r="I57" s="3">
        <f>SUMIF('2024 Full View'!E:E,E57,'2024 Full View'!I:I)</f>
        <v>68</v>
      </c>
      <c r="J57" s="3">
        <f t="shared" si="0"/>
        <v>43.25</v>
      </c>
      <c r="K57" s="3">
        <f t="shared" si="1"/>
        <v>2</v>
      </c>
    </row>
    <row r="58" spans="1:11" ht="13">
      <c r="A58" s="3" t="str">
        <f ca="1">IFERROR(__xludf.DUMMYFUNCTION("""COMPUTED_VALUE"""),"Ray LaMontagne")</f>
        <v>Ray LaMontagne</v>
      </c>
      <c r="E58" s="3">
        <v>44</v>
      </c>
      <c r="F58" s="3">
        <f>SUMIF('2024 Full View'!B:B,E58,'2024 Full View'!I:I)</f>
        <v>71</v>
      </c>
      <c r="G58" s="3">
        <f>SUMIF('2024 Full View'!C:C,E58,'2024 Full View'!I:I)</f>
        <v>29</v>
      </c>
      <c r="H58" s="3">
        <f>SUMIF('2024 Full View'!D:D,E58,'2024 Full View'!I:I)</f>
        <v>89</v>
      </c>
      <c r="I58" s="3">
        <f>SUMIF('2024 Full View'!E:E,E58,'2024 Full View'!I:I)</f>
        <v>40</v>
      </c>
      <c r="J58" s="3">
        <f t="shared" si="0"/>
        <v>57.25</v>
      </c>
      <c r="K58" s="3">
        <f t="shared" si="1"/>
        <v>28</v>
      </c>
    </row>
    <row r="59" spans="1:11" ht="13">
      <c r="A59" s="3" t="str">
        <f ca="1">IFERROR(__xludf.DUMMYFUNCTION("""COMPUTED_VALUE"""),"Drake")</f>
        <v>Drake</v>
      </c>
      <c r="E59" s="3">
        <v>43</v>
      </c>
      <c r="F59" s="3">
        <f>SUMIF('2024 Full View'!B:B,E59,'2024 Full View'!I:I)</f>
        <v>70</v>
      </c>
      <c r="G59" s="3">
        <f>SUMIF('2024 Full View'!C:C,E59,'2024 Full View'!I:I)</f>
        <v>81</v>
      </c>
      <c r="H59" s="3">
        <f>SUMIF('2024 Full View'!D:D,E59,'2024 Full View'!I:I)</f>
        <v>65</v>
      </c>
      <c r="I59" s="3">
        <f>SUMIF('2024 Full View'!E:E,E59,'2024 Full View'!I:I)</f>
        <v>44</v>
      </c>
      <c r="J59" s="3">
        <f t="shared" si="0"/>
        <v>65</v>
      </c>
      <c r="K59" s="3">
        <f t="shared" si="1"/>
        <v>60</v>
      </c>
    </row>
    <row r="60" spans="1:11" ht="13">
      <c r="A60" s="3" t="str">
        <f ca="1">IFERROR(__xludf.DUMMYFUNCTION("""COMPUTED_VALUE"""),"John Mayer")</f>
        <v>John Mayer</v>
      </c>
      <c r="E60" s="3">
        <v>42</v>
      </c>
      <c r="F60" s="3">
        <f>SUMIF('2024 Full View'!B:B,E60,'2024 Full View'!I:I)</f>
        <v>72</v>
      </c>
      <c r="G60" s="3">
        <f>SUMIF('2024 Full View'!C:C,E60,'2024 Full View'!I:I)</f>
        <v>35</v>
      </c>
      <c r="H60" s="3">
        <f>SUMIF('2024 Full View'!D:D,E60,'2024 Full View'!I:I)</f>
        <v>79</v>
      </c>
      <c r="I60" s="3">
        <f>SUMIF('2024 Full View'!E:E,E60,'2024 Full View'!I:I)</f>
        <v>84</v>
      </c>
      <c r="J60" s="3">
        <f t="shared" si="0"/>
        <v>67.5</v>
      </c>
      <c r="K60" s="3">
        <f t="shared" si="1"/>
        <v>65</v>
      </c>
    </row>
    <row r="61" spans="1:11" ht="13">
      <c r="A61" s="3" t="str">
        <f ca="1">IFERROR(__xludf.DUMMYFUNCTION("""COMPUTED_VALUE"""),"Justin Bieber")</f>
        <v>Justin Bieber</v>
      </c>
      <c r="E61" s="3">
        <v>41</v>
      </c>
      <c r="F61" s="3">
        <f>SUMIF('2024 Full View'!B:B,E61,'2024 Full View'!I:I)</f>
        <v>71</v>
      </c>
      <c r="G61" s="3">
        <f>SUMIF('2024 Full View'!C:C,E61,'2024 Full View'!I:I)</f>
        <v>1</v>
      </c>
      <c r="H61" s="3">
        <f>SUMIF('2024 Full View'!D:D,E61,'2024 Full View'!I:I)</f>
        <v>44</v>
      </c>
      <c r="I61" s="3">
        <f>SUMIF('2024 Full View'!E:E,E61,'2024 Full View'!I:I)</f>
        <v>67</v>
      </c>
      <c r="J61" s="3">
        <f t="shared" si="0"/>
        <v>45.75</v>
      </c>
      <c r="K61" s="3">
        <f t="shared" si="1"/>
        <v>4</v>
      </c>
    </row>
    <row r="62" spans="1:11" ht="13">
      <c r="A62" s="3" t="str">
        <f ca="1">IFERROR(__xludf.DUMMYFUNCTION("""COMPUTED_VALUE"""),"Macklemore")</f>
        <v>Macklemore</v>
      </c>
      <c r="E62" s="3">
        <v>40</v>
      </c>
      <c r="F62" s="3">
        <f>SUMIF('2024 Full View'!B:B,E62,'2024 Full View'!I:I)</f>
        <v>34</v>
      </c>
      <c r="G62" s="3">
        <f>SUMIF('2024 Full View'!C:C,E62,'2024 Full View'!I:I)</f>
        <v>69</v>
      </c>
      <c r="H62" s="3">
        <f>SUMIF('2024 Full View'!D:D,E62,'2024 Full View'!I:I)</f>
        <v>74</v>
      </c>
      <c r="I62" s="3">
        <f>SUMIF('2024 Full View'!E:E,E62,'2024 Full View'!I:I)</f>
        <v>50</v>
      </c>
      <c r="J62" s="3">
        <f t="shared" si="0"/>
        <v>56.75</v>
      </c>
      <c r="K62" s="3">
        <f t="shared" si="1"/>
        <v>25</v>
      </c>
    </row>
    <row r="63" spans="1:11" ht="13">
      <c r="A63" s="3" t="str">
        <f ca="1">IFERROR(__xludf.DUMMYFUNCTION("""COMPUTED_VALUE"""),"Clay Walker")</f>
        <v>Clay Walker</v>
      </c>
      <c r="E63" s="3">
        <v>39</v>
      </c>
      <c r="F63" s="3">
        <f>SUMIF('2024 Full View'!B:B,E63,'2024 Full View'!I:I)</f>
        <v>64</v>
      </c>
      <c r="G63" s="3">
        <f>SUMIF('2024 Full View'!C:C,E63,'2024 Full View'!I:I)</f>
        <v>44</v>
      </c>
      <c r="H63" s="3">
        <f>SUMIF('2024 Full View'!D:D,E63,'2024 Full View'!I:I)</f>
        <v>72</v>
      </c>
      <c r="I63" s="3">
        <f>SUMIF('2024 Full View'!E:E,E63,'2024 Full View'!I:I)</f>
        <v>69</v>
      </c>
      <c r="J63" s="3">
        <f t="shared" si="0"/>
        <v>62.25</v>
      </c>
      <c r="K63" s="3">
        <f t="shared" si="1"/>
        <v>49</v>
      </c>
    </row>
    <row r="64" spans="1:11" ht="13">
      <c r="A64" s="3" t="str">
        <f ca="1">IFERROR(__xludf.DUMMYFUNCTION("""COMPUTED_VALUE"""),"Lee DeWyze")</f>
        <v>Lee DeWyze</v>
      </c>
      <c r="E64" s="3">
        <v>38</v>
      </c>
      <c r="F64" s="3">
        <f>SUMIF('2024 Full View'!B:B,E64,'2024 Full View'!I:I)</f>
        <v>60</v>
      </c>
      <c r="G64" s="3">
        <f>SUMIF('2024 Full View'!C:C,E64,'2024 Full View'!I:I)</f>
        <v>68</v>
      </c>
      <c r="H64" s="3">
        <f>SUMIF('2024 Full View'!D:D,E64,'2024 Full View'!I:I)</f>
        <v>23</v>
      </c>
      <c r="I64" s="3">
        <f>SUMIF('2024 Full View'!E:E,E64,'2024 Full View'!I:I)</f>
        <v>31</v>
      </c>
      <c r="J64" s="3">
        <f t="shared" si="0"/>
        <v>45.5</v>
      </c>
      <c r="K64" s="3">
        <f t="shared" si="1"/>
        <v>3</v>
      </c>
    </row>
    <row r="65" spans="1:11" ht="13">
      <c r="A65" s="3" t="str">
        <f ca="1">IFERROR(__xludf.DUMMYFUNCTION("""COMPUTED_VALUE"""),"Glee Cast")</f>
        <v>Glee Cast</v>
      </c>
      <c r="E65" s="3">
        <v>37</v>
      </c>
      <c r="F65" s="3">
        <f>SUMIF('2024 Full View'!B:B,E65,'2024 Full View'!I:I)</f>
        <v>61</v>
      </c>
      <c r="G65" s="3">
        <f>SUMIF('2024 Full View'!C:C,E65,'2024 Full View'!I:I)</f>
        <v>71</v>
      </c>
      <c r="H65" s="3">
        <f>SUMIF('2024 Full View'!D:D,E65,'2024 Full View'!I:I)</f>
        <v>62</v>
      </c>
      <c r="I65" s="3">
        <f>SUMIF('2024 Full View'!E:E,E65,'2024 Full View'!I:I)</f>
        <v>45</v>
      </c>
      <c r="J65" s="3">
        <f t="shared" si="0"/>
        <v>59.75</v>
      </c>
      <c r="K65" s="3">
        <f t="shared" si="1"/>
        <v>40</v>
      </c>
    </row>
    <row r="66" spans="1:11" ht="13">
      <c r="A66" s="3" t="str">
        <f ca="1">IFERROR(__xludf.DUMMYFUNCTION("""COMPUTED_VALUE"""),"Adele")</f>
        <v>Adele</v>
      </c>
      <c r="E66" s="3">
        <v>36</v>
      </c>
      <c r="F66" s="3">
        <f>SUMIF('2024 Full View'!B:B,E66,'2024 Full View'!I:I)</f>
        <v>39</v>
      </c>
      <c r="G66" s="3">
        <f>SUMIF('2024 Full View'!C:C,E66,'2024 Full View'!I:I)</f>
        <v>68</v>
      </c>
      <c r="H66" s="3">
        <f>SUMIF('2024 Full View'!D:D,E66,'2024 Full View'!I:I)</f>
        <v>32</v>
      </c>
      <c r="I66" s="3">
        <f>SUMIF('2024 Full View'!E:E,E66,'2024 Full View'!I:I)</f>
        <v>47</v>
      </c>
      <c r="J66" s="3">
        <f t="shared" si="0"/>
        <v>46.5</v>
      </c>
      <c r="K66" s="3">
        <f t="shared" si="1"/>
        <v>6</v>
      </c>
    </row>
    <row r="67" spans="1:11" ht="13">
      <c r="A67" s="3" t="str">
        <f ca="1">IFERROR(__xludf.DUMMYFUNCTION("""COMPUTED_VALUE"""),"2 Chainz")</f>
        <v>2 Chainz</v>
      </c>
      <c r="E67" s="3">
        <v>35</v>
      </c>
      <c r="F67" s="3">
        <f>SUMIF('2024 Full View'!B:B,E67,'2024 Full View'!I:I)</f>
        <v>43</v>
      </c>
      <c r="G67" s="3">
        <f>SUMIF('2024 Full View'!C:C,E67,'2024 Full View'!I:I)</f>
        <v>79</v>
      </c>
      <c r="H67" s="3">
        <f>SUMIF('2024 Full View'!D:D,E67,'2024 Full View'!I:I)</f>
        <v>59</v>
      </c>
      <c r="I67" s="3">
        <f>SUMIF('2024 Full View'!E:E,E67,'2024 Full View'!I:I)</f>
        <v>71</v>
      </c>
      <c r="J67" s="3">
        <f t="shared" si="0"/>
        <v>63</v>
      </c>
      <c r="K67" s="3">
        <f t="shared" si="1"/>
        <v>53</v>
      </c>
    </row>
    <row r="68" spans="1:11" ht="13">
      <c r="A68" s="3" t="str">
        <f ca="1">IFERROR(__xludf.DUMMYFUNCTION("""COMPUTED_VALUE"""),"Jimmy Soul")</f>
        <v>Jimmy Soul</v>
      </c>
      <c r="E68" s="3">
        <v>34</v>
      </c>
      <c r="F68" s="3">
        <f>SUMIF('2024 Full View'!B:B,E68,'2024 Full View'!I:I)</f>
        <v>71</v>
      </c>
      <c r="G68" s="3">
        <f>SUMIF('2024 Full View'!C:C,E68,'2024 Full View'!I:I)</f>
        <v>81</v>
      </c>
      <c r="H68" s="3">
        <f>SUMIF('2024 Full View'!D:D,E68,'2024 Full View'!I:I)</f>
        <v>72</v>
      </c>
      <c r="I68" s="3">
        <f>SUMIF('2024 Full View'!E:E,E68,'2024 Full View'!I:I)</f>
        <v>33</v>
      </c>
      <c r="J68" s="3">
        <f t="shared" si="0"/>
        <v>64.25</v>
      </c>
      <c r="K68" s="3">
        <f t="shared" si="1"/>
        <v>57</v>
      </c>
    </row>
    <row r="69" spans="1:11" ht="13">
      <c r="A69" s="3" t="str">
        <f ca="1">IFERROR(__xludf.DUMMYFUNCTION("""COMPUTED_VALUE"""),"The Lumineers")</f>
        <v>The Lumineers</v>
      </c>
      <c r="E69" s="3">
        <v>33</v>
      </c>
      <c r="F69" s="3">
        <f>SUMIF('2024 Full View'!B:B,E69,'2024 Full View'!I:I)</f>
        <v>64</v>
      </c>
      <c r="G69" s="3">
        <f>SUMIF('2024 Full View'!C:C,E69,'2024 Full View'!I:I)</f>
        <v>52</v>
      </c>
      <c r="H69" s="3">
        <f>SUMIF('2024 Full View'!D:D,E69,'2024 Full View'!I:I)</f>
        <v>84</v>
      </c>
      <c r="I69" s="3">
        <f>SUMIF('2024 Full View'!E:E,E69,'2024 Full View'!I:I)</f>
        <v>47</v>
      </c>
      <c r="J69" s="3">
        <f t="shared" si="0"/>
        <v>61.75</v>
      </c>
      <c r="K69" s="3">
        <f t="shared" si="1"/>
        <v>47</v>
      </c>
    </row>
    <row r="70" spans="1:11" ht="13">
      <c r="A70" s="3" t="str">
        <f ca="1">IFERROR(__xludf.DUMMYFUNCTION("""COMPUTED_VALUE"""),"Pierce Edens")</f>
        <v>Pierce Edens</v>
      </c>
      <c r="E70" s="3">
        <v>32</v>
      </c>
      <c r="F70" s="3">
        <f>SUMIF('2024 Full View'!B:B,E70,'2024 Full View'!I:I)</f>
        <v>81</v>
      </c>
      <c r="G70" s="3">
        <f>SUMIF('2024 Full View'!C:C,E70,'2024 Full View'!I:I)</f>
        <v>71</v>
      </c>
      <c r="H70" s="3">
        <f>SUMIF('2024 Full View'!D:D,E70,'2024 Full View'!I:I)</f>
        <v>70</v>
      </c>
      <c r="I70" s="3">
        <f>SUMIF('2024 Full View'!E:E,E70,'2024 Full View'!I:I)</f>
        <v>89</v>
      </c>
      <c r="J70" s="3">
        <f t="shared" si="0"/>
        <v>77.75</v>
      </c>
      <c r="K70" s="3">
        <f t="shared" si="1"/>
        <v>74</v>
      </c>
    </row>
    <row r="71" spans="1:11" ht="13">
      <c r="A71" s="3" t="str">
        <f ca="1">IFERROR(__xludf.DUMMYFUNCTION("""COMPUTED_VALUE"""),"Craig Smart")</f>
        <v>Craig Smart</v>
      </c>
      <c r="E71" s="3">
        <v>31</v>
      </c>
      <c r="F71" s="3">
        <f>SUMIF('2024 Full View'!B:B,E71,'2024 Full View'!I:I)</f>
        <v>76</v>
      </c>
      <c r="G71" s="3">
        <f>SUMIF('2024 Full View'!C:C,E71,'2024 Full View'!I:I)</f>
        <v>74</v>
      </c>
      <c r="H71" s="3">
        <f>SUMIF('2024 Full View'!D:D,E71,'2024 Full View'!I:I)</f>
        <v>70</v>
      </c>
      <c r="I71" s="3">
        <f>SUMIF('2024 Full View'!E:E,E71,'2024 Full View'!I:I)</f>
        <v>25</v>
      </c>
      <c r="J71" s="3">
        <f t="shared" si="0"/>
        <v>61.25</v>
      </c>
      <c r="K71" s="3">
        <f t="shared" si="1"/>
        <v>42</v>
      </c>
    </row>
    <row r="72" spans="1:11" ht="13">
      <c r="A72" s="3" t="str">
        <f ca="1">IFERROR(__xludf.DUMMYFUNCTION("""COMPUTED_VALUE"""),"Capital Cities")</f>
        <v>Capital Cities</v>
      </c>
      <c r="E72" s="3">
        <v>30</v>
      </c>
      <c r="F72" s="3">
        <f>SUMIF('2024 Full View'!B:B,E72,'2024 Full View'!I:I)</f>
        <v>85</v>
      </c>
      <c r="G72" s="3">
        <f>SUMIF('2024 Full View'!C:C,E72,'2024 Full View'!I:I)</f>
        <v>50</v>
      </c>
      <c r="H72" s="3">
        <f>SUMIF('2024 Full View'!D:D,E72,'2024 Full View'!I:I)</f>
        <v>66</v>
      </c>
      <c r="I72" s="3">
        <f>SUMIF('2024 Full View'!E:E,E72,'2024 Full View'!I:I)</f>
        <v>31</v>
      </c>
      <c r="J72" s="3">
        <f t="shared" si="0"/>
        <v>58</v>
      </c>
      <c r="K72" s="3">
        <f t="shared" si="1"/>
        <v>33</v>
      </c>
    </row>
    <row r="73" spans="1:11" ht="13">
      <c r="A73" s="3" t="str">
        <f ca="1">IFERROR(__xludf.DUMMYFUNCTION("""COMPUTED_VALUE"""),"Arctic Monkeys")</f>
        <v>Arctic Monkeys</v>
      </c>
      <c r="E73" s="3">
        <v>29</v>
      </c>
      <c r="F73" s="3">
        <f>SUMIF('2024 Full View'!B:B,E73,'2024 Full View'!I:I)</f>
        <v>60</v>
      </c>
      <c r="G73" s="3">
        <f>SUMIF('2024 Full View'!C:C,E73,'2024 Full View'!I:I)</f>
        <v>67</v>
      </c>
      <c r="H73" s="3">
        <f>SUMIF('2024 Full View'!D:D,E73,'2024 Full View'!I:I)</f>
        <v>76</v>
      </c>
      <c r="I73" s="3">
        <f>SUMIF('2024 Full View'!E:E,E73,'2024 Full View'!I:I)</f>
        <v>77</v>
      </c>
      <c r="J73" s="3">
        <f t="shared" si="0"/>
        <v>70</v>
      </c>
      <c r="K73" s="3">
        <f t="shared" si="1"/>
        <v>68</v>
      </c>
    </row>
    <row r="74" spans="1:11" ht="13">
      <c r="A74" s="3" t="str">
        <f ca="1">IFERROR(__xludf.DUMMYFUNCTION("""COMPUTED_VALUE"""),"Cage The Elephant")</f>
        <v>Cage The Elephant</v>
      </c>
      <c r="E74" s="3">
        <v>28</v>
      </c>
      <c r="F74" s="3">
        <f>SUMIF('2024 Full View'!B:B,E74,'2024 Full View'!I:I)</f>
        <v>48</v>
      </c>
      <c r="G74" s="3">
        <f>SUMIF('2024 Full View'!C:C,E74,'2024 Full View'!I:I)</f>
        <v>34</v>
      </c>
      <c r="H74" s="3">
        <f>SUMIF('2024 Full View'!D:D,E74,'2024 Full View'!I:I)</f>
        <v>84</v>
      </c>
      <c r="I74" s="3">
        <f>SUMIF('2024 Full View'!E:E,E74,'2024 Full View'!I:I)</f>
        <v>80</v>
      </c>
      <c r="J74" s="3">
        <f t="shared" si="0"/>
        <v>61.5</v>
      </c>
      <c r="K74" s="3">
        <f t="shared" si="1"/>
        <v>43</v>
      </c>
    </row>
    <row r="75" spans="1:11" ht="13">
      <c r="A75" s="3" t="str">
        <f ca="1">IFERROR(__xludf.DUMMYFUNCTION("""COMPUTED_VALUE"""),"GIMS")</f>
        <v>GIMS</v>
      </c>
      <c r="E75" s="3">
        <v>27</v>
      </c>
      <c r="F75" s="3">
        <f>SUMIF('2024 Full View'!B:B,E75,'2024 Full View'!I:I)</f>
        <v>64</v>
      </c>
      <c r="G75" s="3">
        <f>SUMIF('2024 Full View'!C:C,E75,'2024 Full View'!I:I)</f>
        <v>79</v>
      </c>
      <c r="H75" s="3">
        <f>SUMIF('2024 Full View'!D:D,E75,'2024 Full View'!I:I)</f>
        <v>68</v>
      </c>
      <c r="I75" s="3">
        <f>SUMIF('2024 Full View'!E:E,E75,'2024 Full View'!I:I)</f>
        <v>67</v>
      </c>
      <c r="J75" s="3">
        <f t="shared" si="0"/>
        <v>69.5</v>
      </c>
      <c r="K75" s="3">
        <f t="shared" si="1"/>
        <v>67</v>
      </c>
    </row>
    <row r="76" spans="1:11" ht="13">
      <c r="A76" s="3" t="str">
        <f ca="1">IFERROR(__xludf.DUMMYFUNCTION("""COMPUTED_VALUE"""),"Eric Paslay")</f>
        <v>Eric Paslay</v>
      </c>
    </row>
    <row r="77" spans="1:11" ht="13">
      <c r="A77" s="3" t="str">
        <f ca="1">IFERROR(__xludf.DUMMYFUNCTION("""COMPUTED_VALUE"""),"Lake Street Dive")</f>
        <v>Lake Street Dive</v>
      </c>
    </row>
    <row r="78" spans="1:11" ht="13">
      <c r="A78" s="3" t="str">
        <f ca="1">IFERROR(__xludf.DUMMYFUNCTION("""COMPUTED_VALUE"""),"Clean Bandit")</f>
        <v>Clean Bandit</v>
      </c>
    </row>
    <row r="79" spans="1:11" ht="13">
      <c r="A79" s="3" t="str">
        <f ca="1">IFERROR(__xludf.DUMMYFUNCTION("""COMPUTED_VALUE"""),"J. Cole")</f>
        <v>J. Cole</v>
      </c>
    </row>
    <row r="80" spans="1:11" ht="13">
      <c r="A80" s="3" t="str">
        <f ca="1">IFERROR(__xludf.DUMMYFUNCTION("""COMPUTED_VALUE"""),"Meghan Trainor")</f>
        <v>Meghan Trainor</v>
      </c>
    </row>
    <row r="81" spans="1:1" ht="13">
      <c r="A81" s="3" t="str">
        <f ca="1">IFERROR(__xludf.DUMMYFUNCTION("""COMPUTED_VALUE"""),"Houndmouth")</f>
        <v>Houndmouth</v>
      </c>
    </row>
    <row r="82" spans="1:1" ht="13">
      <c r="A82" s="3" t="str">
        <f ca="1">IFERROR(__xludf.DUMMYFUNCTION("""COMPUTED_VALUE"""),"Circa Waves")</f>
        <v>Circa Waves</v>
      </c>
    </row>
    <row r="83" spans="1:1" ht="13">
      <c r="A83" s="3" t="str">
        <f ca="1">IFERROR(__xludf.DUMMYFUNCTION("""COMPUTED_VALUE"""),"Twenty One Pilots")</f>
        <v>Twenty One Pilots</v>
      </c>
    </row>
    <row r="84" spans="1:1" ht="13">
      <c r="A84" s="3" t="str">
        <f ca="1">IFERROR(__xludf.DUMMYFUNCTION("""COMPUTED_VALUE"""),"The Chainsmokers")</f>
        <v>The Chainsmokers</v>
      </c>
    </row>
    <row r="85" spans="1:1" ht="13">
      <c r="A85" s="3" t="str">
        <f ca="1">IFERROR(__xludf.DUMMYFUNCTION("""COMPUTED_VALUE"""),"Disclosure")</f>
        <v>Disclosure</v>
      </c>
    </row>
    <row r="86" spans="1:1" ht="13">
      <c r="A86" s="3" t="str">
        <f ca="1">IFERROR(__xludf.DUMMYFUNCTION("""COMPUTED_VALUE"""),"Little Mix")</f>
        <v>Little Mix</v>
      </c>
    </row>
    <row r="87" spans="1:1" ht="13">
      <c r="A87" s="3" t="str">
        <f ca="1">IFERROR(__xludf.DUMMYFUNCTION("""COMPUTED_VALUE"""),"Hailee Steinfeld")</f>
        <v>Hailee Steinfeld</v>
      </c>
    </row>
    <row r="88" spans="1:1" ht="13">
      <c r="A88" s="3" t="str">
        <f ca="1">IFERROR(__xludf.DUMMYFUNCTION("""COMPUTED_VALUE"""),"Keen' V")</f>
        <v>Keen' V</v>
      </c>
    </row>
    <row r="89" spans="1:1" ht="13">
      <c r="A89" s="3" t="str">
        <f ca="1">IFERROR(__xludf.DUMMYFUNCTION("""COMPUTED_VALUE"""),"Father John Misty")</f>
        <v>Father John Misty</v>
      </c>
    </row>
    <row r="90" spans="1:1" ht="13">
      <c r="A90" s="3" t="str">
        <f ca="1">IFERROR(__xludf.DUMMYFUNCTION("""COMPUTED_VALUE"""),"Jamestown Revival")</f>
        <v>Jamestown Revival</v>
      </c>
    </row>
    <row r="91" spans="1:1" ht="13">
      <c r="A91" s="3" t="str">
        <f ca="1">IFERROR(__xludf.DUMMYFUNCTION("""COMPUTED_VALUE"""),"Colony House")</f>
        <v>Colony House</v>
      </c>
    </row>
    <row r="92" spans="1:1" ht="13">
      <c r="A92" s="3" t="str">
        <f ca="1">IFERROR(__xludf.DUMMYFUNCTION("""COMPUTED_VALUE"""),"Declan McKenna")</f>
        <v>Declan McKenna</v>
      </c>
    </row>
    <row r="93" spans="1:1" ht="13">
      <c r="A93" s="3" t="str">
        <f ca="1">IFERROR(__xludf.DUMMYFUNCTION("""COMPUTED_VALUE"""),"Taylor Swift")</f>
        <v>Taylor Swift</v>
      </c>
    </row>
    <row r="94" spans="1:1" ht="13">
      <c r="A94" s="3" t="str">
        <f ca="1">IFERROR(__xludf.DUMMYFUNCTION("""COMPUTED_VALUE"""),"Parker McCollum")</f>
        <v>Parker McCollum</v>
      </c>
    </row>
    <row r="95" spans="1:1" ht="13">
      <c r="A95" s="3" t="str">
        <f ca="1">IFERROR(__xludf.DUMMYFUNCTION("""COMPUTED_VALUE"""),"Mt. Joy")</f>
        <v>Mt. Joy</v>
      </c>
    </row>
    <row r="96" spans="1:1" ht="13">
      <c r="A96" s="3" t="str">
        <f ca="1">IFERROR(__xludf.DUMMYFUNCTION("""COMPUTED_VALUE"""),"Kacey Musgraves")</f>
        <v>Kacey Musgraves</v>
      </c>
    </row>
    <row r="97" spans="1:1" ht="13">
      <c r="A97" s="3" t="str">
        <f ca="1">IFERROR(__xludf.DUMMYFUNCTION("""COMPUTED_VALUE"""),"Clairo")</f>
        <v>Clairo</v>
      </c>
    </row>
    <row r="98" spans="1:1" ht="13">
      <c r="A98" s="3" t="str">
        <f ca="1">IFERROR(__xludf.DUMMYFUNCTION("""COMPUTED_VALUE"""),"Kanye West")</f>
        <v>Kanye West</v>
      </c>
    </row>
    <row r="99" spans="1:1" ht="13">
      <c r="A99" s="3" t="str">
        <f ca="1">IFERROR(__xludf.DUMMYFUNCTION("""COMPUTED_VALUE"""),"Luke Combs")</f>
        <v>Luke Combs</v>
      </c>
    </row>
    <row r="100" spans="1:1" ht="13">
      <c r="A100" s="3" t="str">
        <f ca="1">IFERROR(__xludf.DUMMYFUNCTION("""COMPUTED_VALUE"""),"Juice")</f>
        <v>Juice</v>
      </c>
    </row>
    <row r="101" spans="1:1" ht="13">
      <c r="A101" s="3" t="str">
        <f ca="1">IFERROR(__xludf.DUMMYFUNCTION("""COMPUTED_VALUE"""),"SIX")</f>
        <v>SIX</v>
      </c>
    </row>
    <row r="102" spans="1:1" ht="13">
      <c r="A102" s="3" t="str">
        <f ca="1">IFERROR(__xludf.DUMMYFUNCTION("""COMPUTED_VALUE"""),"Key Glock")</f>
        <v>Key Glock</v>
      </c>
    </row>
    <row r="103" spans="1:1" ht="13">
      <c r="A103" s="3" t="str">
        <f ca="1">IFERROR(__xludf.DUMMYFUNCTION("""COMPUTED_VALUE"""),"Maggie Rogers")</f>
        <v>Maggie Rogers</v>
      </c>
    </row>
    <row r="104" spans="1:1" ht="13">
      <c r="A104" s="3" t="str">
        <f ca="1">IFERROR(__xludf.DUMMYFUNCTION("""COMPUTED_VALUE"""),"M. Pokora")</f>
        <v>M. Pokora</v>
      </c>
    </row>
    <row r="105" spans="1:1" ht="13">
      <c r="A105" s="3" t="str">
        <f ca="1">IFERROR(__xludf.DUMMYFUNCTION("""COMPUTED_VALUE"""),"Sir Woman")</f>
        <v>Sir Woman</v>
      </c>
    </row>
    <row r="106" spans="1:1" ht="13">
      <c r="A106" s="3" t="str">
        <f ca="1">IFERROR(__xludf.DUMMYFUNCTION("""COMPUTED_VALUE"""),"Stephen Day")</f>
        <v>Stephen Day</v>
      </c>
    </row>
    <row r="107" spans="1:1" ht="13">
      <c r="A107" s="3" t="str">
        <f ca="1">IFERROR(__xludf.DUMMYFUNCTION("""COMPUTED_VALUE"""),"Caroline Polachek")</f>
        <v>Caroline Polachek</v>
      </c>
    </row>
    <row r="108" spans="1:1" ht="13">
      <c r="A108" s="3" t="str">
        <f ca="1">IFERROR(__xludf.DUMMYFUNCTION("""COMPUTED_VALUE"""),"Tibz")</f>
        <v>Tibz</v>
      </c>
    </row>
    <row r="109" spans="1:1" ht="13">
      <c r="A109" s="3" t="str">
        <f ca="1">IFERROR(__xludf.DUMMYFUNCTION("""COMPUTED_VALUE"""),"Dayglow")</f>
        <v>Dayglow</v>
      </c>
    </row>
    <row r="110" spans="1:1" ht="13">
      <c r="A110" s="3" t="str">
        <f ca="1">IFERROR(__xludf.DUMMYFUNCTION("""COMPUTED_VALUE"""),"RAC")</f>
        <v>RAC</v>
      </c>
    </row>
    <row r="111" spans="1:1" ht="13">
      <c r="A111" s="3" t="str">
        <f ca="1">IFERROR(__xludf.DUMMYFUNCTION("""COMPUTED_VALUE"""),"The War And Treaty")</f>
        <v>The War And Treaty</v>
      </c>
    </row>
    <row r="112" spans="1:1" ht="13">
      <c r="A112" s="3" t="str">
        <f ca="1">IFERROR(__xludf.DUMMYFUNCTION("""COMPUTED_VALUE"""),"mgk")</f>
        <v>mgk</v>
      </c>
    </row>
    <row r="113" spans="1:1" ht="13">
      <c r="A113" s="3" t="str">
        <f ca="1">IFERROR(__xludf.DUMMYFUNCTION("""COMPUTED_VALUE"""),"Trousdale")</f>
        <v>Trousdale</v>
      </c>
    </row>
    <row r="114" spans="1:1" ht="13">
      <c r="A114" s="3" t="str">
        <f ca="1">IFERROR(__xludf.DUMMYFUNCTION("""COMPUTED_VALUE"""),"Ashe")</f>
        <v>Ashe</v>
      </c>
    </row>
    <row r="115" spans="1:1" ht="13">
      <c r="A115" s="3" t="str">
        <f ca="1">IFERROR(__xludf.DUMMYFUNCTION("""COMPUTED_VALUE"""),"Becky Hill")</f>
        <v>Becky Hill</v>
      </c>
    </row>
    <row r="116" spans="1:1" ht="13">
      <c r="A116" s="3" t="str">
        <f ca="1">IFERROR(__xludf.DUMMYFUNCTION("""COMPUTED_VALUE"""),"The Kid LAROI")</f>
        <v>The Kid LAROI</v>
      </c>
    </row>
    <row r="117" spans="1:1" ht="13">
      <c r="A117" s="3" t="str">
        <f ca="1">IFERROR(__xludf.DUMMYFUNCTION("""COMPUTED_VALUE"""),"SARA'H")</f>
        <v>SARA'H</v>
      </c>
    </row>
    <row r="118" spans="1:1" ht="13">
      <c r="A118" s="3" t="str">
        <f ca="1">IFERROR(__xludf.DUMMYFUNCTION("""COMPUTED_VALUE"""),"Bruno Mars")</f>
        <v>Bruno Mars</v>
      </c>
    </row>
    <row r="119" spans="1:1" ht="13">
      <c r="A119" s="3" t="str">
        <f ca="1">IFERROR(__xludf.DUMMYFUNCTION("""COMPUTED_VALUE"""),"Vianney")</f>
        <v>Vianney</v>
      </c>
    </row>
    <row r="120" spans="1:1" ht="13">
      <c r="A120" s="3" t="str">
        <f ca="1">IFERROR(__xludf.DUMMYFUNCTION("""COMPUTED_VALUE"""),"Yebba")</f>
        <v>Yebba</v>
      </c>
    </row>
    <row r="121" spans="1:1" ht="13">
      <c r="A121" s="3" t="str">
        <f ca="1">IFERROR(__xludf.DUMMYFUNCTION("""COMPUTED_VALUE"""),"Chris Lane")</f>
        <v>Chris Lane</v>
      </c>
    </row>
    <row r="122" spans="1:1" ht="13">
      <c r="A122" s="3" t="str">
        <f ca="1">IFERROR(__xludf.DUMMYFUNCTION("""COMPUTED_VALUE"""),"Zach Bryan")</f>
        <v>Zach Bryan</v>
      </c>
    </row>
    <row r="123" spans="1:1" ht="13">
      <c r="A123" s="3" t="str">
        <f ca="1">IFERROR(__xludf.DUMMYFUNCTION("""COMPUTED_VALUE"""),"Eminem")</f>
        <v>Eminem</v>
      </c>
    </row>
    <row r="124" spans="1:1" ht="13">
      <c r="A124" s="3" t="str">
        <f ca="1">IFERROR(__xludf.DUMMYFUNCTION("""COMPUTED_VALUE"""),"Caamp")</f>
        <v>Caamp</v>
      </c>
    </row>
    <row r="125" spans="1:1" ht="13">
      <c r="A125" s="3" t="str">
        <f ca="1">IFERROR(__xludf.DUMMYFUNCTION("""COMPUTED_VALUE"""),"Yung Buttpiss")</f>
        <v>Yung Buttpiss</v>
      </c>
    </row>
    <row r="126" spans="1:1" ht="13">
      <c r="A126" s="3" t="str">
        <f ca="1">IFERROR(__xludf.DUMMYFUNCTION("""COMPUTED_VALUE"""),"Kameron Marlowe")</f>
        <v>Kameron Marlowe</v>
      </c>
    </row>
    <row r="127" spans="1:1" ht="13">
      <c r="A127" s="3" t="str">
        <f ca="1">IFERROR(__xludf.DUMMYFUNCTION("""COMPUTED_VALUE"""),"Couch")</f>
        <v>Couch</v>
      </c>
    </row>
    <row r="128" spans="1:1" ht="13">
      <c r="A128" s="3" t="str">
        <f ca="1">IFERROR(__xludf.DUMMYFUNCTION("""COMPUTED_VALUE"""),"Maddie &amp; Tae")</f>
        <v>Maddie &amp; Tae</v>
      </c>
    </row>
    <row r="129" spans="1:1" ht="13">
      <c r="A129" s="3" t="str">
        <f ca="1">IFERROR(__xludf.DUMMYFUNCTION("""COMPUTED_VALUE"""),"Noah Kahan")</f>
        <v>Noah Kahan</v>
      </c>
    </row>
    <row r="130" spans="1:1" ht="13">
      <c r="A130" s="3" t="str">
        <f ca="1">IFERROR(__xludf.DUMMYFUNCTION("""COMPUTED_VALUE"""),"SZA")</f>
        <v>SZA</v>
      </c>
    </row>
    <row r="131" spans="1:1" ht="13">
      <c r="A131" s="3" t="str">
        <f ca="1">IFERROR(__xludf.DUMMYFUNCTION("""COMPUTED_VALUE"""),"Steinza")</f>
        <v>Steinza</v>
      </c>
    </row>
    <row r="132" spans="1:1" ht="13">
      <c r="A132" s="3" t="str">
        <f ca="1">IFERROR(__xludf.DUMMYFUNCTION("""COMPUTED_VALUE"""),"Bailey Zimmerman")</f>
        <v>Bailey Zimmerman</v>
      </c>
    </row>
    <row r="133" spans="1:1" ht="13">
      <c r="A133" s="3" t="str">
        <f ca="1">IFERROR(__xludf.DUMMYFUNCTION("""COMPUTED_VALUE"""),"HARDY")</f>
        <v>HARDY</v>
      </c>
    </row>
    <row r="134" spans="1:1" ht="13">
      <c r="A134" s="3" t="str">
        <f ca="1">IFERROR(__xludf.DUMMYFUNCTION("""COMPUTED_VALUE"""),"SYML")</f>
        <v>SYML</v>
      </c>
    </row>
    <row r="135" spans="1:1" ht="13">
      <c r="A135" s="3" t="str">
        <f ca="1">IFERROR(__xludf.DUMMYFUNCTION("""COMPUTED_VALUE"""),"ERNEST")</f>
        <v>ERNEST</v>
      </c>
    </row>
    <row r="136" spans="1:1" ht="13">
      <c r="A136" s="3" t="str">
        <f ca="1">IFERROR(__xludf.DUMMYFUNCTION("""COMPUTED_VALUE"""),"Morgan Wallen")</f>
        <v>Morgan Wallen</v>
      </c>
    </row>
    <row r="137" spans="1:1" ht="13">
      <c r="A137" s="3" t="str">
        <f ca="1">IFERROR(__xludf.DUMMYFUNCTION("""COMPUTED_VALUE"""),"Sabrina Carpenter")</f>
        <v>Sabrina Carpenter</v>
      </c>
    </row>
    <row r="138" spans="1:1" ht="13">
      <c r="A138" s="3" t="str">
        <f ca="1">IFERROR(__xludf.DUMMYFUNCTION("""COMPUTED_VALUE"""),"Fall Out Boy")</f>
        <v>Fall Out Boy</v>
      </c>
    </row>
    <row r="139" spans="1:1" ht="13">
      <c r="A139" s="3" t="str">
        <f ca="1">IFERROR(__xludf.DUMMYFUNCTION("""COMPUTED_VALUE"""),"Post Malone")</f>
        <v>Post Malone</v>
      </c>
    </row>
    <row r="140" spans="1:1" ht="13">
      <c r="A140" s="3" t="str">
        <f ca="1">IFERROR(__xludf.DUMMYFUNCTION("""COMPUTED_VALUE"""),"Nate Smith")</f>
        <v>Nate Smith</v>
      </c>
    </row>
    <row r="141" spans="1:1" ht="13">
      <c r="A141" s="3" t="str">
        <f ca="1">IFERROR(__xludf.DUMMYFUNCTION("""COMPUTED_VALUE"""),"Niall Horan")</f>
        <v>Niall Horan</v>
      </c>
    </row>
    <row r="142" spans="1:1" ht="13">
      <c r="A142" s="3" t="str">
        <f ca="1">IFERROR(__xludf.DUMMYFUNCTION("""COMPUTED_VALUE"""),"Phillip Phillips")</f>
        <v>Phillip Phillips</v>
      </c>
    </row>
    <row r="143" spans="1:1" ht="13">
      <c r="A143" s="3" t="str">
        <f ca="1">IFERROR(__xludf.DUMMYFUNCTION("""COMPUTED_VALUE"""),"Olivia Dean")</f>
        <v>Olivia Dean</v>
      </c>
    </row>
    <row r="144" spans="1:1" ht="13">
      <c r="A144" s="3" t="str">
        <f ca="1">IFERROR(__xludf.DUMMYFUNCTION("""COMPUTED_VALUE"""),"Billie Eilish")</f>
        <v>Billie Eilish</v>
      </c>
    </row>
    <row r="145" spans="1:1" ht="13">
      <c r="A145" s="3" t="str">
        <f ca="1">IFERROR(__xludf.DUMMYFUNCTION("""COMPUTED_VALUE"""),"Ryan Gosling")</f>
        <v>Ryan Gosling</v>
      </c>
    </row>
    <row r="146" spans="1:1" ht="13">
      <c r="A146" s="3" t="str">
        <f ca="1">IFERROR(__xludf.DUMMYFUNCTION("""COMPUTED_VALUE"""),"Warren Zeiders")</f>
        <v>Warren Zeiders</v>
      </c>
    </row>
    <row r="147" spans="1:1" ht="13">
      <c r="A147" s="3" t="str">
        <f ca="1">IFERROR(__xludf.DUMMYFUNCTION("""COMPUTED_VALUE"""),"Larry Fleet")</f>
        <v>Larry Fleet</v>
      </c>
    </row>
    <row r="148" spans="1:1" ht="13">
      <c r="A148" s="3" t="str">
        <f ca="1">IFERROR(__xludf.DUMMYFUNCTION("""COMPUTED_VALUE"""),"Olivia Rodrigo")</f>
        <v>Olivia Rodrigo</v>
      </c>
    </row>
    <row r="149" spans="1:1" ht="13">
      <c r="A149" s="3" t="str">
        <f ca="1">IFERROR(__xludf.DUMMYFUNCTION("""COMPUTED_VALUE"""),"Tate McRae")</f>
        <v>Tate McRae</v>
      </c>
    </row>
    <row r="150" spans="1:1" ht="13">
      <c r="A150" s="3" t="str">
        <f ca="1">IFERROR(__xludf.DUMMYFUNCTION("""COMPUTED_VALUE"""),"The Beaches")</f>
        <v>The Beaches</v>
      </c>
    </row>
    <row r="151" spans="1:1" ht="13">
      <c r="A151" s="3" t="str">
        <f ca="1">IFERROR(__xludf.DUMMYFUNCTION("""COMPUTED_VALUE"""),"Chappell Roan")</f>
        <v>Chappell Roan</v>
      </c>
    </row>
    <row r="152" spans="1:1" ht="13">
      <c r="A152" s="3" t="str">
        <f ca="1">IFERROR(__xludf.DUMMYFUNCTION("""COMPUTED_VALUE"""),"Old Dominion")</f>
        <v>Old Dominion</v>
      </c>
    </row>
    <row r="153" spans="1:1" ht="13">
      <c r="A153" s="3" t="str">
        <f ca="1">IFERROR(__xludf.DUMMYFUNCTION("""COMPUTED_VALUE"""),"Darius Rucker")</f>
        <v>Darius Rucker</v>
      </c>
    </row>
    <row r="154" spans="1:1" ht="13">
      <c r="A154" s="3" t="str">
        <f ca="1">IFERROR(__xludf.DUMMYFUNCTION("""COMPUTED_VALUE"""),"Troye Sivan")</f>
        <v>Troye Sivan</v>
      </c>
    </row>
    <row r="155" spans="1:1" ht="13">
      <c r="A155" s="3" t="str">
        <f ca="1">IFERROR(__xludf.DUMMYFUNCTION("""COMPUTED_VALUE"""),"Chelsea Cutler")</f>
        <v>Chelsea Cutler</v>
      </c>
    </row>
    <row r="156" spans="1:1" ht="13">
      <c r="A156" s="3" t="str">
        <f ca="1">IFERROR(__xludf.DUMMYFUNCTION("""COMPUTED_VALUE"""),"Cody Johnson")</f>
        <v>Cody Johnson</v>
      </c>
    </row>
    <row r="157" spans="1:1" ht="13">
      <c r="A157" s="3" t="str">
        <f ca="1">IFERROR(__xludf.DUMMYFUNCTION("""COMPUTED_VALUE"""),"Chris Stapleton")</f>
        <v>Chris Stapleton</v>
      </c>
    </row>
    <row r="158" spans="1:1" ht="13">
      <c r="A158" s="3" t="str">
        <f ca="1">IFERROR(__xludf.DUMMYFUNCTION("""COMPUTED_VALUE"""),"Justin Timberlake")</f>
        <v>Justin Timberlake</v>
      </c>
    </row>
    <row r="159" spans="1:1" ht="13">
      <c r="A159" s="3" t="str">
        <f ca="1">IFERROR(__xludf.DUMMYFUNCTION("""COMPUTED_VALUE"""),"Billy Joel")</f>
        <v>Billy Joel</v>
      </c>
    </row>
    <row r="160" spans="1:1" ht="13">
      <c r="A160" s="3" t="str">
        <f ca="1">IFERROR(__xludf.DUMMYFUNCTION("""COMPUTED_VALUE"""),"Gabby Barrett")</f>
        <v>Gabby Barrett</v>
      </c>
    </row>
    <row r="161" spans="1:1" ht="13">
      <c r="A161" s="3" t="str">
        <f ca="1">IFERROR(__xludf.DUMMYFUNCTION("""COMPUTED_VALUE"""),"¥$")</f>
        <v>¥$</v>
      </c>
    </row>
    <row r="162" spans="1:1" ht="13">
      <c r="A162" s="3" t="str">
        <f ca="1">IFERROR(__xludf.DUMMYFUNCTION("""COMPUTED_VALUE"""),"Pitbull")</f>
        <v>Pitbull</v>
      </c>
    </row>
    <row r="163" spans="1:1" ht="13">
      <c r="A163" s="3" t="str">
        <f ca="1">IFERROR(__xludf.DUMMYFUNCTION("""COMPUTED_VALUE"""),"Dierks Bentley")</f>
        <v>Dierks Bentley</v>
      </c>
    </row>
    <row r="164" spans="1:1" ht="13">
      <c r="A164" s="3" t="str">
        <f ca="1">IFERROR(__xludf.DUMMYFUNCTION("""COMPUTED_VALUE"""),"Bleachers")</f>
        <v>Bleachers</v>
      </c>
    </row>
    <row r="165" spans="1:1" ht="13">
      <c r="A165" s="3" t="str">
        <f ca="1">IFERROR(__xludf.DUMMYFUNCTION("""COMPUTED_VALUE"""),"Beyoncé")</f>
        <v>Beyoncé</v>
      </c>
    </row>
    <row r="166" spans="1:1" ht="13">
      <c r="A166" s="3" t="str">
        <f ca="1">IFERROR(__xludf.DUMMYFUNCTION("""COMPUTED_VALUE"""),"Lizzy McAlpine")</f>
        <v>Lizzy McAlpine</v>
      </c>
    </row>
    <row r="167" spans="1:1" ht="13">
      <c r="A167" s="3" t="str">
        <f ca="1">IFERROR(__xludf.DUMMYFUNCTION("""COMPUTED_VALUE"""),"Zach Top")</f>
        <v>Zach Top</v>
      </c>
    </row>
    <row r="168" spans="1:1" ht="13">
      <c r="A168" s="3" t="str">
        <f ca="1">IFERROR(__xludf.DUMMYFUNCTION("""COMPUTED_VALUE"""),"Benson Boone")</f>
        <v>Benson Boone</v>
      </c>
    </row>
    <row r="169" spans="1:1" ht="13">
      <c r="A169" s="3" t="str">
        <f ca="1">IFERROR(__xludf.DUMMYFUNCTION("""COMPUTED_VALUE"""),"Shaboozey")</f>
        <v>Shaboozey</v>
      </c>
    </row>
    <row r="170" spans="1:1" ht="13">
      <c r="A170" s="3" t="str">
        <f ca="1">IFERROR(__xludf.DUMMYFUNCTION("""COMPUTED_VALUE"""),"Dua Lipa")</f>
        <v>Dua Lipa</v>
      </c>
    </row>
    <row r="171" spans="1:1" ht="13">
      <c r="A171" s="3" t="str">
        <f ca="1">IFERROR(__xludf.DUMMYFUNCTION("""COMPUTED_VALUE"""),"Marshmello")</f>
        <v>Marshmello</v>
      </c>
    </row>
    <row r="172" spans="1:1" ht="13">
      <c r="A172" s="3" t="str">
        <f ca="1">IFERROR(__xludf.DUMMYFUNCTION("""COMPUTED_VALUE"""),"Ivan Hrvatska")</f>
        <v>Ivan Hrvatska</v>
      </c>
    </row>
    <row r="173" spans="1:1" ht="13">
      <c r="A173" s="3" t="str">
        <f ca="1">IFERROR(__xludf.DUMMYFUNCTION("""COMPUTED_VALUE"""),"Yung Gravy")</f>
        <v>Yung Gravy</v>
      </c>
    </row>
    <row r="174" spans="1:1" ht="13">
      <c r="A174" s="3" t="str">
        <f ca="1">IFERROR(__xludf.DUMMYFUNCTION("""COMPUTED_VALUE"""),"Myles Smith")</f>
        <v>Myles Smith</v>
      </c>
    </row>
    <row r="175" spans="1:1" ht="13">
      <c r="A175" s="3" t="str">
        <f ca="1">IFERROR(__xludf.DUMMYFUNCTION("""COMPUTED_VALUE"""),"Charlie Puth")</f>
        <v>Charlie Puth</v>
      </c>
    </row>
    <row r="176" spans="1:1" ht="13">
      <c r="A176" s="3" t="str">
        <f ca="1">IFERROR(__xludf.DUMMYFUNCTION("""COMPUTED_VALUE"""),"Lawrence")</f>
        <v>Lawrence</v>
      </c>
    </row>
    <row r="177" spans="1:1" ht="13">
      <c r="A177" s="3" t="str">
        <f ca="1">IFERROR(__xludf.DUMMYFUNCTION("""COMPUTED_VALUE"""),"Gracie Abrams")</f>
        <v>Gracie Abrams</v>
      </c>
    </row>
    <row r="178" spans="1:1" ht="13">
      <c r="A178" s="3" t="str">
        <f ca="1">IFERROR(__xludf.DUMMYFUNCTION("""COMPUTED_VALUE"""),"Knox")</f>
        <v>Knox</v>
      </c>
    </row>
    <row r="179" spans="1:1" ht="13">
      <c r="A179" s="3" t="str">
        <f ca="1">IFERROR(__xludf.DUMMYFUNCTION("""COMPUTED_VALUE"""),"A.J. &amp; Big Justice")</f>
        <v>A.J. &amp; Big Justice</v>
      </c>
    </row>
    <row r="180" spans="1:1" ht="13">
      <c r="A180" s="3" t="str">
        <f ca="1">IFERROR(__xludf.DUMMYFUNCTION("""COMPUTED_VALUE"""),"Addison Rae")</f>
        <v>Addison Rae</v>
      </c>
    </row>
    <row r="181" spans="1:1" ht="13">
      <c r="A181" s="3" t="str">
        <f ca="1">IFERROR(__xludf.DUMMYFUNCTION("""COMPUTED_VALUE"""),"Hozier")</f>
        <v>Hozier</v>
      </c>
    </row>
    <row r="182" spans="1:1" ht="13">
      <c r="A182" s="3" t="str">
        <f ca="1">IFERROR(__xludf.DUMMYFUNCTION("""COMPUTED_VALUE"""),"Fontaines D.C.")</f>
        <v>Fontaines D.C.</v>
      </c>
    </row>
    <row r="183" spans="1:1" ht="13">
      <c r="A183" s="3" t="str">
        <f ca="1">IFERROR(__xludf.DUMMYFUNCTION("""COMPUTED_VALUE"""),"Flo Rida")</f>
        <v>Flo Rida</v>
      </c>
    </row>
    <row r="184" spans="1:1" ht="13">
      <c r="A184" s="3" t="str">
        <f ca="1">IFERROR(__xludf.DUMMYFUNCTION("""COMPUTED_VALUE"""),"The All-American Rejects")</f>
        <v>The All-American Rejects</v>
      </c>
    </row>
    <row r="185" spans="1:1" ht="13">
      <c r="A185" s="3" t="str">
        <f ca="1">IFERROR(__xludf.DUMMYFUNCTION("""COMPUTED_VALUE"""),"Keith Urban")</f>
        <v>Keith Urban</v>
      </c>
    </row>
    <row r="186" spans="1:1" ht="13">
      <c r="A186" s="3" t="str">
        <f ca="1">IFERROR(__xludf.DUMMYFUNCTION("""COMPUTED_VALUE"""),"Jelly Roll")</f>
        <v>Jelly Roll</v>
      </c>
    </row>
    <row r="187" spans="1:1" ht="13">
      <c r="A187" s="3" t="str">
        <f ca="1">IFERROR(__xludf.DUMMYFUNCTION("""COMPUTED_VALUE"""),"Kane Brown")</f>
        <v>Kane Brown</v>
      </c>
    </row>
    <row r="188" spans="1:1" ht="13">
      <c r="A188" s="3" t="str">
        <f ca="1">IFERROR(__xludf.DUMMYFUNCTION("""COMPUTED_VALUE"""),"BRELAND")</f>
        <v>BRELAND</v>
      </c>
    </row>
    <row r="189" spans="1:1" ht="13">
      <c r="A189" s="3" t="str">
        <f ca="1">IFERROR(__xludf.DUMMYFUNCTION("""COMPUTED_VALUE"""),"Drake Bell")</f>
        <v>Drake Bell</v>
      </c>
    </row>
    <row r="190" spans="1:1" ht="13">
      <c r="A190" s="3" t="str">
        <f ca="1">IFERROR(__xludf.DUMMYFUNCTION("""COMPUTED_VALUE"""),"Kate Hudson")</f>
        <v>Kate Hudson</v>
      </c>
    </row>
    <row r="191" spans="1:1" ht="13">
      <c r="A191" s="3" t="str">
        <f ca="1">IFERROR(__xludf.DUMMYFUNCTION("""COMPUTED_VALUE"""),"Ludacris")</f>
        <v>Ludacris</v>
      </c>
    </row>
    <row r="192" spans="1:1" ht="13">
      <c r="A192" s="3" t="str">
        <f ca="1">IFERROR(__xludf.DUMMYFUNCTION("""COMPUTED_VALUE"""),"Lil Jon")</f>
        <v>Lil Jon</v>
      </c>
    </row>
    <row r="193" spans="1:1" ht="13">
      <c r="A193" s="3" t="str">
        <f ca="1">IFERROR(__xludf.DUMMYFUNCTION("""COMPUTED_VALUE"""),"Jeezy")</f>
        <v>Jeezy</v>
      </c>
    </row>
    <row r="194" spans="1:1" ht="13">
      <c r="A194" s="3" t="str">
        <f ca="1">IFERROR(__xludf.DUMMYFUNCTION("""COMPUTED_VALUE"""),"Gwyneth Paltrow")</f>
        <v>Gwyneth Paltrow</v>
      </c>
    </row>
    <row r="195" spans="1:1" ht="13">
      <c r="A195" s="3" t="str">
        <f ca="1">IFERROR(__xludf.DUMMYFUNCTION("""COMPUTED_VALUE"""),"Jess Glynne")</f>
        <v>Jess Glynne</v>
      </c>
    </row>
    <row r="196" spans="1:1" ht="13">
      <c r="A196" s="3" t="str">
        <f ca="1">IFERROR(__xludf.DUMMYFUNCTION("""COMPUTED_VALUE"""),"ROZES")</f>
        <v>ROZES</v>
      </c>
    </row>
    <row r="197" spans="1:1" ht="13">
      <c r="A197" s="3" t="str">
        <f ca="1">IFERROR(__xludf.DUMMYFUNCTION("""COMPUTED_VALUE"""),"Sam Smith")</f>
        <v>Sam Smith</v>
      </c>
    </row>
    <row r="198" spans="1:1" ht="13">
      <c r="A198" s="3" t="str">
        <f ca="1">IFERROR(__xludf.DUMMYFUNCTION("""COMPUTED_VALUE"""),"PARTYNEXTDOOR")</f>
        <v>PARTYNEXTDOOR</v>
      </c>
    </row>
    <row r="199" spans="1:1" ht="13">
      <c r="A199" s="3" t="str">
        <f ca="1">IFERROR(__xludf.DUMMYFUNCTION("""COMPUTED_VALUE"""),"Sting")</f>
        <v>Sting</v>
      </c>
    </row>
    <row r="200" spans="1:1" ht="13">
      <c r="A200" s="3" t="str">
        <f ca="1">IFERROR(__xludf.DUMMYFUNCTION("""COMPUTED_VALUE"""),"Matthew Koma")</f>
        <v>Matthew Koma</v>
      </c>
    </row>
    <row r="201" spans="1:1" ht="13">
      <c r="A201" s="3" t="str">
        <f ca="1">IFERROR(__xludf.DUMMYFUNCTION("""COMPUTED_VALUE"""),"blackbear")</f>
        <v>blackbear</v>
      </c>
    </row>
    <row r="202" spans="1:1" ht="13">
      <c r="A202" s="3" t="str">
        <f ca="1">IFERROR(__xludf.DUMMYFUNCTION("""COMPUTED_VALUE"""),"YUNGBLUD")</f>
        <v>YUNGBLUD</v>
      </c>
    </row>
    <row r="203" spans="1:1" ht="13">
      <c r="A203" s="3" t="str">
        <f ca="1">IFERROR(__xludf.DUMMYFUNCTION("""COMPUTED_VALUE"""),"David Guetta")</f>
        <v>David Guetta</v>
      </c>
    </row>
    <row r="204" spans="1:1" ht="13">
      <c r="A204" s="3" t="str">
        <f ca="1">IFERROR(__xludf.DUMMYFUNCTION("""COMPUTED_VALUE"""),"Anderson .Paak")</f>
        <v>Anderson .Paak</v>
      </c>
    </row>
    <row r="205" spans="1:1" ht="13">
      <c r="A205" s="3" t="str">
        <f ca="1">IFERROR(__xludf.DUMMYFUNCTION("""COMPUTED_VALUE"""),"Lil Wayne")</f>
        <v>Lil Wayne</v>
      </c>
    </row>
    <row r="206" spans="1:1" ht="13">
      <c r="A206" s="3" t="str">
        <f ca="1">IFERROR(__xludf.DUMMYFUNCTION("""COMPUTED_VALUE"""),"WILLOW")</f>
        <v>WILLOW</v>
      </c>
    </row>
    <row r="207" spans="1:1" ht="13">
      <c r="A207" s="3" t="str">
        <f ca="1">IFERROR(__xludf.DUMMYFUNCTION("""COMPUTED_VALUE"""),"Lauren Alaina")</f>
        <v>Lauren Alaina</v>
      </c>
    </row>
    <row r="208" spans="1:1" ht="13">
      <c r="A208" s="3" t="str">
        <f ca="1">IFERROR(__xludf.DUMMYFUNCTION("""COMPUTED_VALUE"""),"Tony Yayo")</f>
        <v>Tony Yayo</v>
      </c>
    </row>
    <row r="209" spans="1:1" ht="13">
      <c r="A209" s="3" t="str">
        <f ca="1">IFERROR(__xludf.DUMMYFUNCTION("""COMPUTED_VALUE"""),"Eric Church")</f>
        <v>Eric Church</v>
      </c>
    </row>
    <row r="210" spans="1:1" ht="13">
      <c r="A210" s="3" t="str">
        <f ca="1">IFERROR(__xludf.DUMMYFUNCTION("""COMPUTED_VALUE"""),"Coi Leray")</f>
        <v>Coi Leray</v>
      </c>
    </row>
    <row r="211" spans="1:1" ht="13">
      <c r="A211" s="3" t="str">
        <f ca="1">IFERROR(__xludf.DUMMYFUNCTION("""COMPUTED_VALUE"""),"Leon Bridges")</f>
        <v>Leon Bridges</v>
      </c>
    </row>
    <row r="212" spans="1:1" ht="13">
      <c r="A212" s="3" t="str">
        <f ca="1">IFERROR(__xludf.DUMMYFUNCTION("""COMPUTED_VALUE"""),"Dolly Parton")</f>
        <v>Dolly Parton</v>
      </c>
    </row>
    <row r="213" spans="1:1" ht="13">
      <c r="A213" s="3" t="str">
        <f ca="1">IFERROR(__xludf.DUMMYFUNCTION("""COMPUTED_VALUE"""),"Alok")</f>
        <v>Alok</v>
      </c>
    </row>
    <row r="214" spans="1:1" ht="13">
      <c r="A214" s="3" t="str">
        <f ca="1">IFERROR(__xludf.DUMMYFUNCTION("""COMPUTED_VALUE"""),"Miley Cyrus")</f>
        <v>Miley Cyrus</v>
      </c>
    </row>
    <row r="215" spans="1:1" ht="13">
      <c r="A215" s="3" t="str">
        <f ca="1">IFERROR(__xludf.DUMMYFUNCTION("""COMPUTED_VALUE"""),"Jennifer Nettles")</f>
        <v>Jennifer Nettles</v>
      </c>
    </row>
    <row r="216" spans="1:1" ht="13">
      <c r="A216" s="3" t="str">
        <f ca="1">IFERROR(__xludf.DUMMYFUNCTION("""COMPUTED_VALUE"""),"Blake Shelton")</f>
        <v>Blake Shelton</v>
      </c>
    </row>
    <row r="217" spans="1:1" ht="13">
      <c r="A217" s="3" t="str">
        <f ca="1">IFERROR(__xludf.DUMMYFUNCTION("""COMPUTED_VALUE"""),"Lainey Wilson")</f>
        <v>Lainey Wilson</v>
      </c>
    </row>
    <row r="218" spans="1:1" ht="13">
      <c r="A218" s="3" t="str">
        <f ca="1">IFERROR(__xludf.DUMMYFUNCTION("""COMPUTED_VALUE"""),"Brad Paisley")</f>
        <v>Brad Paisley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6" max="9" width="25.3320312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F1" s="31" t="s">
        <v>0</v>
      </c>
      <c r="G1" s="31" t="s">
        <v>1</v>
      </c>
      <c r="H1" s="31" t="s">
        <v>2</v>
      </c>
      <c r="I1" s="31" t="s">
        <v>3</v>
      </c>
    </row>
    <row r="2" spans="1:9" ht="15.75" customHeight="1">
      <c r="A2" s="2" t="s">
        <v>4</v>
      </c>
      <c r="B2" s="2" t="s">
        <v>5</v>
      </c>
      <c r="C2" s="2" t="s">
        <v>1642</v>
      </c>
      <c r="D2" s="2" t="s">
        <v>7</v>
      </c>
      <c r="E2" s="3">
        <v>100</v>
      </c>
      <c r="F2" s="32" t="s">
        <v>1643</v>
      </c>
      <c r="G2" s="32" t="s">
        <v>1</v>
      </c>
      <c r="H2" s="32"/>
      <c r="I2" s="32" t="s">
        <v>1644</v>
      </c>
    </row>
    <row r="3" spans="1:9" ht="15.75" customHeight="1">
      <c r="A3" s="2" t="s">
        <v>8</v>
      </c>
      <c r="B3" s="2" t="s">
        <v>9</v>
      </c>
      <c r="C3" s="2" t="s">
        <v>10</v>
      </c>
      <c r="D3" s="2" t="s">
        <v>11</v>
      </c>
      <c r="E3" s="3">
        <v>99</v>
      </c>
      <c r="F3" s="32" t="s">
        <v>1645</v>
      </c>
      <c r="G3" s="32" t="s">
        <v>1646</v>
      </c>
      <c r="H3" s="32" t="s">
        <v>1647</v>
      </c>
      <c r="I3" s="32" t="s">
        <v>1648</v>
      </c>
    </row>
    <row r="4" spans="1:9" ht="15.75" customHeight="1">
      <c r="A4" s="2" t="s">
        <v>12</v>
      </c>
      <c r="B4" s="2" t="s">
        <v>1649</v>
      </c>
      <c r="C4" s="2" t="s">
        <v>14</v>
      </c>
      <c r="D4" s="4" t="s">
        <v>15</v>
      </c>
      <c r="E4" s="3">
        <v>98</v>
      </c>
      <c r="F4" s="32" t="s">
        <v>1650</v>
      </c>
      <c r="G4" s="32" t="s">
        <v>1651</v>
      </c>
      <c r="H4" s="32" t="s">
        <v>1</v>
      </c>
      <c r="I4" s="32" t="s">
        <v>1652</v>
      </c>
    </row>
    <row r="5" spans="1:9" ht="15.75" customHeight="1">
      <c r="A5" s="2" t="s">
        <v>16</v>
      </c>
      <c r="B5" s="2" t="s">
        <v>17</v>
      </c>
      <c r="C5" s="2" t="s">
        <v>18</v>
      </c>
      <c r="D5" s="2" t="s">
        <v>19</v>
      </c>
      <c r="E5" s="3">
        <v>97</v>
      </c>
      <c r="F5" s="32" t="s">
        <v>1</v>
      </c>
      <c r="G5" s="32" t="s">
        <v>1653</v>
      </c>
      <c r="H5" s="32" t="s">
        <v>1654</v>
      </c>
      <c r="I5" s="32" t="s">
        <v>1655</v>
      </c>
    </row>
    <row r="6" spans="1:9" ht="15.75" customHeight="1">
      <c r="A6" s="2" t="s">
        <v>20</v>
      </c>
      <c r="B6" s="2" t="s">
        <v>1656</v>
      </c>
      <c r="C6" s="2" t="s">
        <v>22</v>
      </c>
      <c r="D6" s="2" t="s">
        <v>1657</v>
      </c>
      <c r="E6" s="3">
        <v>96</v>
      </c>
      <c r="F6" s="32" t="s">
        <v>1651</v>
      </c>
      <c r="G6" s="32" t="s">
        <v>1658</v>
      </c>
      <c r="H6" s="32" t="s">
        <v>1659</v>
      </c>
      <c r="I6" s="32" t="s">
        <v>1660</v>
      </c>
    </row>
    <row r="7" spans="1:9" ht="15.75" customHeight="1">
      <c r="A7" s="2" t="s">
        <v>24</v>
      </c>
      <c r="B7" s="2" t="s">
        <v>1661</v>
      </c>
      <c r="C7" s="2" t="s">
        <v>26</v>
      </c>
      <c r="D7" s="2" t="s">
        <v>27</v>
      </c>
      <c r="E7" s="3">
        <v>95</v>
      </c>
      <c r="F7" s="32" t="s">
        <v>1655</v>
      </c>
      <c r="G7" s="32" t="s">
        <v>1662</v>
      </c>
      <c r="H7" s="32" t="s">
        <v>1651</v>
      </c>
      <c r="I7" s="32" t="s">
        <v>1663</v>
      </c>
    </row>
    <row r="8" spans="1:9" ht="15.75" customHeight="1">
      <c r="A8" s="2" t="s">
        <v>28</v>
      </c>
      <c r="B8" s="3" t="s">
        <v>29</v>
      </c>
      <c r="C8" s="2" t="s">
        <v>30</v>
      </c>
      <c r="D8" s="2" t="s">
        <v>31</v>
      </c>
      <c r="E8" s="3">
        <v>94</v>
      </c>
      <c r="F8" s="32" t="s">
        <v>1664</v>
      </c>
      <c r="G8" s="32" t="s">
        <v>1665</v>
      </c>
      <c r="H8" s="32" t="s">
        <v>1666</v>
      </c>
      <c r="I8" s="32" t="s">
        <v>1658</v>
      </c>
    </row>
    <row r="9" spans="1:9" ht="15.75" customHeight="1">
      <c r="A9" s="2" t="s">
        <v>32</v>
      </c>
      <c r="B9" s="2" t="s">
        <v>33</v>
      </c>
      <c r="C9" s="2" t="s">
        <v>34</v>
      </c>
      <c r="D9" s="2" t="s">
        <v>35</v>
      </c>
      <c r="E9" s="3">
        <v>93</v>
      </c>
      <c r="F9" s="32" t="s">
        <v>1655</v>
      </c>
      <c r="G9" s="32" t="s">
        <v>1</v>
      </c>
      <c r="H9" s="32" t="s">
        <v>1650</v>
      </c>
      <c r="I9" s="32" t="s">
        <v>1667</v>
      </c>
    </row>
    <row r="10" spans="1:9" ht="15.75" customHeight="1">
      <c r="A10" s="2" t="s">
        <v>1668</v>
      </c>
      <c r="B10" s="2" t="s">
        <v>37</v>
      </c>
      <c r="C10" s="2" t="s">
        <v>38</v>
      </c>
      <c r="D10" s="2" t="s">
        <v>39</v>
      </c>
      <c r="E10" s="3">
        <v>92</v>
      </c>
      <c r="F10" s="32" t="s">
        <v>1669</v>
      </c>
      <c r="G10" s="32" t="s">
        <v>1655</v>
      </c>
      <c r="H10" s="32" t="s">
        <v>1651</v>
      </c>
      <c r="I10" s="32" t="s">
        <v>1670</v>
      </c>
    </row>
    <row r="11" spans="1:9" ht="15.75" customHeight="1">
      <c r="A11" s="2" t="s">
        <v>40</v>
      </c>
      <c r="B11" s="2" t="s">
        <v>41</v>
      </c>
      <c r="C11" s="2" t="s">
        <v>42</v>
      </c>
      <c r="D11" s="2" t="s">
        <v>43</v>
      </c>
      <c r="E11" s="3">
        <v>91</v>
      </c>
      <c r="F11" s="32" t="s">
        <v>1671</v>
      </c>
      <c r="G11" s="32" t="s">
        <v>1672</v>
      </c>
      <c r="H11" s="32" t="s">
        <v>1</v>
      </c>
      <c r="I11" s="32" t="s">
        <v>1673</v>
      </c>
    </row>
    <row r="12" spans="1:9" ht="15.75" customHeight="1">
      <c r="A12" s="2" t="s">
        <v>44</v>
      </c>
      <c r="B12" s="2" t="s">
        <v>45</v>
      </c>
      <c r="C12" s="2" t="s">
        <v>46</v>
      </c>
      <c r="D12" s="2" t="s">
        <v>47</v>
      </c>
      <c r="E12" s="3">
        <v>90</v>
      </c>
      <c r="F12" s="32" t="s">
        <v>1674</v>
      </c>
      <c r="G12" s="32" t="s">
        <v>1655</v>
      </c>
      <c r="H12" s="32" t="s">
        <v>1659</v>
      </c>
      <c r="I12" s="32" t="s">
        <v>1651</v>
      </c>
    </row>
    <row r="13" spans="1:9" ht="15.75" customHeight="1">
      <c r="A13" s="2" t="s">
        <v>48</v>
      </c>
      <c r="B13" s="2" t="s">
        <v>49</v>
      </c>
      <c r="C13" s="2" t="s">
        <v>50</v>
      </c>
      <c r="D13" s="2" t="s">
        <v>51</v>
      </c>
      <c r="E13" s="3">
        <v>89</v>
      </c>
      <c r="F13" s="32" t="s">
        <v>1675</v>
      </c>
      <c r="G13" s="32" t="s">
        <v>1676</v>
      </c>
      <c r="H13" s="32" t="s">
        <v>1658</v>
      </c>
      <c r="I13" s="32" t="s">
        <v>1</v>
      </c>
    </row>
    <row r="14" spans="1:9" ht="15.75" customHeight="1">
      <c r="A14" s="2" t="s">
        <v>52</v>
      </c>
      <c r="B14" s="2" t="s">
        <v>53</v>
      </c>
      <c r="C14" s="2" t="s">
        <v>54</v>
      </c>
      <c r="D14" s="2" t="s">
        <v>55</v>
      </c>
      <c r="E14" s="3">
        <v>88</v>
      </c>
      <c r="F14" s="32" t="s">
        <v>1677</v>
      </c>
      <c r="G14" s="32" t="s">
        <v>1678</v>
      </c>
      <c r="H14" s="32" t="s">
        <v>1679</v>
      </c>
      <c r="I14" s="32" t="s">
        <v>1680</v>
      </c>
    </row>
    <row r="15" spans="1:9" ht="15.75" customHeight="1">
      <c r="A15" s="2" t="s">
        <v>56</v>
      </c>
      <c r="B15" s="2" t="s">
        <v>57</v>
      </c>
      <c r="C15" s="2" t="s">
        <v>58</v>
      </c>
      <c r="D15" s="2" t="s">
        <v>59</v>
      </c>
      <c r="E15" s="3">
        <v>87</v>
      </c>
      <c r="F15" s="32" t="s">
        <v>1681</v>
      </c>
      <c r="G15" s="32" t="s">
        <v>1655</v>
      </c>
      <c r="H15" s="32" t="s">
        <v>1682</v>
      </c>
      <c r="I15" s="32" t="s">
        <v>1683</v>
      </c>
    </row>
    <row r="16" spans="1:9" ht="15.75" customHeight="1">
      <c r="A16" s="2" t="s">
        <v>60</v>
      </c>
      <c r="B16" s="2" t="s">
        <v>61</v>
      </c>
      <c r="C16" s="2" t="s">
        <v>62</v>
      </c>
      <c r="D16" s="2" t="s">
        <v>63</v>
      </c>
      <c r="E16" s="3">
        <v>86</v>
      </c>
      <c r="F16" s="32" t="s">
        <v>1650</v>
      </c>
      <c r="G16" s="32" t="s">
        <v>1684</v>
      </c>
      <c r="H16" s="32" t="s">
        <v>1685</v>
      </c>
      <c r="I16" s="32" t="s">
        <v>1651</v>
      </c>
    </row>
    <row r="17" spans="1:9" ht="15.75" customHeight="1">
      <c r="A17" s="4" t="s">
        <v>64</v>
      </c>
      <c r="B17" s="2" t="s">
        <v>65</v>
      </c>
      <c r="C17" s="2" t="s">
        <v>66</v>
      </c>
      <c r="D17" s="4" t="s">
        <v>67</v>
      </c>
      <c r="E17" s="3">
        <v>85</v>
      </c>
      <c r="F17" s="32" t="s">
        <v>1686</v>
      </c>
      <c r="G17" s="32" t="s">
        <v>1687</v>
      </c>
      <c r="H17" s="32" t="s">
        <v>1688</v>
      </c>
      <c r="I17" s="32" t="s">
        <v>1689</v>
      </c>
    </row>
    <row r="18" spans="1:9" ht="15.75" customHeight="1">
      <c r="A18" s="2" t="s">
        <v>1690</v>
      </c>
      <c r="B18" s="2" t="s">
        <v>69</v>
      </c>
      <c r="C18" s="2" t="s">
        <v>1691</v>
      </c>
      <c r="D18" s="4" t="s">
        <v>71</v>
      </c>
      <c r="E18" s="3">
        <v>84</v>
      </c>
      <c r="F18" s="32" t="s">
        <v>1658</v>
      </c>
      <c r="G18" s="32" t="s">
        <v>1</v>
      </c>
      <c r="H18" s="32" t="s">
        <v>1692</v>
      </c>
      <c r="I18" s="32" t="s">
        <v>1693</v>
      </c>
    </row>
    <row r="19" spans="1:9" ht="15.75" customHeight="1">
      <c r="A19" s="2" t="s">
        <v>72</v>
      </c>
      <c r="B19" s="2" t="s">
        <v>1694</v>
      </c>
      <c r="C19" s="2" t="s">
        <v>74</v>
      </c>
      <c r="D19" s="2" t="s">
        <v>75</v>
      </c>
      <c r="E19" s="3">
        <v>83</v>
      </c>
      <c r="F19" s="32" t="s">
        <v>1651</v>
      </c>
      <c r="G19" s="32" t="s">
        <v>1651</v>
      </c>
      <c r="H19" s="32" t="s">
        <v>1</v>
      </c>
      <c r="I19" s="32" t="s">
        <v>1686</v>
      </c>
    </row>
    <row r="20" spans="1:9" ht="15.75" customHeight="1">
      <c r="A20" s="2" t="s">
        <v>76</v>
      </c>
      <c r="B20" s="2" t="s">
        <v>77</v>
      </c>
      <c r="C20" s="2" t="s">
        <v>78</v>
      </c>
      <c r="D20" s="2" t="s">
        <v>79</v>
      </c>
      <c r="E20" s="3">
        <v>82</v>
      </c>
      <c r="F20" s="32" t="s">
        <v>1695</v>
      </c>
      <c r="G20" s="32" t="s">
        <v>1</v>
      </c>
      <c r="H20" s="32" t="s">
        <v>2</v>
      </c>
      <c r="I20" s="32" t="s">
        <v>1658</v>
      </c>
    </row>
    <row r="21" spans="1:9" ht="15.75" customHeight="1">
      <c r="A21" s="2" t="s">
        <v>80</v>
      </c>
      <c r="B21" s="2" t="s">
        <v>81</v>
      </c>
      <c r="C21" s="2" t="s">
        <v>82</v>
      </c>
      <c r="D21" s="2" t="s">
        <v>83</v>
      </c>
      <c r="E21" s="3">
        <v>81</v>
      </c>
      <c r="F21" s="32" t="s">
        <v>3</v>
      </c>
      <c r="G21" s="32" t="s">
        <v>1696</v>
      </c>
      <c r="H21" s="32" t="s">
        <v>1697</v>
      </c>
      <c r="I21" s="32"/>
    </row>
    <row r="22" spans="1:9" ht="15.75" customHeight="1">
      <c r="A22" s="2" t="s">
        <v>84</v>
      </c>
      <c r="B22" s="2" t="s">
        <v>85</v>
      </c>
      <c r="C22" s="2" t="s">
        <v>86</v>
      </c>
      <c r="D22" s="3" t="s">
        <v>87</v>
      </c>
      <c r="E22" s="3">
        <v>80</v>
      </c>
      <c r="F22" s="32" t="s">
        <v>1651</v>
      </c>
      <c r="G22" s="32" t="s">
        <v>1</v>
      </c>
      <c r="H22" s="32" t="s">
        <v>1658</v>
      </c>
      <c r="I22" s="32" t="s">
        <v>1655</v>
      </c>
    </row>
    <row r="23" spans="1:9" ht="15.75" customHeight="1">
      <c r="A23" s="2" t="s">
        <v>88</v>
      </c>
      <c r="B23" s="2" t="s">
        <v>89</v>
      </c>
      <c r="C23" s="2" t="s">
        <v>90</v>
      </c>
      <c r="D23" s="2" t="s">
        <v>91</v>
      </c>
      <c r="E23" s="3">
        <v>79</v>
      </c>
      <c r="F23" s="32" t="s">
        <v>1654</v>
      </c>
      <c r="G23" s="32" t="s">
        <v>1663</v>
      </c>
      <c r="H23" s="32" t="s">
        <v>1653</v>
      </c>
      <c r="I23" s="32" t="s">
        <v>1698</v>
      </c>
    </row>
    <row r="24" spans="1:9" ht="15.75" customHeight="1">
      <c r="A24" s="2" t="s">
        <v>92</v>
      </c>
      <c r="B24" s="2" t="s">
        <v>93</v>
      </c>
      <c r="C24" s="2" t="s">
        <v>94</v>
      </c>
      <c r="D24" s="2" t="s">
        <v>95</v>
      </c>
      <c r="E24" s="3">
        <v>78</v>
      </c>
      <c r="F24" s="32" t="s">
        <v>1646</v>
      </c>
      <c r="G24" s="32" t="s">
        <v>1699</v>
      </c>
      <c r="H24" s="32" t="s">
        <v>1679</v>
      </c>
      <c r="I24" s="32" t="s">
        <v>1700</v>
      </c>
    </row>
    <row r="25" spans="1:9" ht="15.75" customHeight="1">
      <c r="A25" s="2" t="s">
        <v>96</v>
      </c>
      <c r="B25" s="2" t="s">
        <v>97</v>
      </c>
      <c r="C25" s="2" t="s">
        <v>98</v>
      </c>
      <c r="D25" s="2" t="s">
        <v>1701</v>
      </c>
      <c r="E25" s="3">
        <v>77</v>
      </c>
      <c r="F25" s="32" t="s">
        <v>1651</v>
      </c>
      <c r="G25" s="32" t="s">
        <v>1702</v>
      </c>
      <c r="H25" s="32" t="s">
        <v>2</v>
      </c>
      <c r="I25" s="32" t="s">
        <v>1703</v>
      </c>
    </row>
    <row r="26" spans="1:9" ht="15.75" customHeight="1">
      <c r="A26" s="2" t="s">
        <v>100</v>
      </c>
      <c r="B26" s="2" t="s">
        <v>101</v>
      </c>
      <c r="C26" s="2" t="s">
        <v>102</v>
      </c>
      <c r="D26" s="2" t="s">
        <v>103</v>
      </c>
      <c r="E26" s="3">
        <v>76</v>
      </c>
      <c r="F26" s="32" t="s">
        <v>1</v>
      </c>
      <c r="G26" s="32" t="s">
        <v>1</v>
      </c>
      <c r="H26" s="32" t="s">
        <v>1704</v>
      </c>
      <c r="I26" s="32" t="s">
        <v>1705</v>
      </c>
    </row>
    <row r="27" spans="1:9" ht="15.75" customHeight="1">
      <c r="A27" s="2" t="s">
        <v>104</v>
      </c>
      <c r="B27" s="2" t="s">
        <v>1706</v>
      </c>
      <c r="C27" s="2" t="s">
        <v>106</v>
      </c>
      <c r="D27" s="2" t="s">
        <v>107</v>
      </c>
      <c r="E27" s="3">
        <v>75</v>
      </c>
      <c r="F27" s="32" t="s">
        <v>1707</v>
      </c>
      <c r="G27" s="32"/>
      <c r="H27" s="32" t="s">
        <v>1655</v>
      </c>
      <c r="I27" s="32"/>
    </row>
    <row r="28" spans="1:9" ht="15.75" customHeight="1">
      <c r="A28" s="2" t="s">
        <v>108</v>
      </c>
      <c r="B28" s="2" t="s">
        <v>109</v>
      </c>
      <c r="C28" s="2" t="s">
        <v>110</v>
      </c>
      <c r="D28" s="2" t="s">
        <v>111</v>
      </c>
      <c r="E28" s="3">
        <v>74</v>
      </c>
      <c r="F28" s="32" t="s">
        <v>1651</v>
      </c>
      <c r="G28" s="32" t="s">
        <v>1659</v>
      </c>
      <c r="H28" s="32" t="s">
        <v>1655</v>
      </c>
      <c r="I28" s="32" t="s">
        <v>1643</v>
      </c>
    </row>
    <row r="29" spans="1:9" ht="15.75" customHeight="1">
      <c r="A29" s="2" t="s">
        <v>112</v>
      </c>
      <c r="B29" s="5" t="s">
        <v>113</v>
      </c>
      <c r="C29" s="2" t="s">
        <v>114</v>
      </c>
      <c r="D29" s="2" t="s">
        <v>115</v>
      </c>
      <c r="E29" s="3">
        <v>73</v>
      </c>
      <c r="F29" s="32" t="s">
        <v>1708</v>
      </c>
      <c r="G29" s="32" t="s">
        <v>1673</v>
      </c>
      <c r="H29" s="32" t="s">
        <v>1651</v>
      </c>
      <c r="I29" s="32" t="s">
        <v>1709</v>
      </c>
    </row>
    <row r="30" spans="1:9" ht="15.75" customHeight="1">
      <c r="A30" s="2" t="s">
        <v>116</v>
      </c>
      <c r="B30" s="2" t="s">
        <v>117</v>
      </c>
      <c r="C30" s="2" t="s">
        <v>118</v>
      </c>
      <c r="D30" s="2" t="s">
        <v>119</v>
      </c>
      <c r="E30" s="3">
        <v>72</v>
      </c>
      <c r="F30" s="32" t="s">
        <v>1710</v>
      </c>
      <c r="G30" s="32" t="s">
        <v>1</v>
      </c>
      <c r="H30" s="32" t="s">
        <v>1651</v>
      </c>
      <c r="I30" s="32" t="s">
        <v>1650</v>
      </c>
    </row>
    <row r="31" spans="1:9" ht="15.75" customHeight="1">
      <c r="A31" s="2" t="s">
        <v>1711</v>
      </c>
      <c r="B31" s="2" t="s">
        <v>121</v>
      </c>
      <c r="C31" s="2" t="s">
        <v>122</v>
      </c>
      <c r="D31" s="2" t="s">
        <v>123</v>
      </c>
      <c r="E31" s="3">
        <v>71</v>
      </c>
      <c r="F31" s="32" t="s">
        <v>1712</v>
      </c>
      <c r="G31" s="32" t="s">
        <v>1713</v>
      </c>
      <c r="H31" s="32" t="s">
        <v>1655</v>
      </c>
      <c r="I31" s="32" t="s">
        <v>1658</v>
      </c>
    </row>
    <row r="32" spans="1:9" ht="15.75" customHeight="1">
      <c r="A32" s="2" t="s">
        <v>124</v>
      </c>
      <c r="B32" s="3" t="s">
        <v>125</v>
      </c>
      <c r="C32" s="2" t="s">
        <v>126</v>
      </c>
      <c r="D32" s="2" t="s">
        <v>127</v>
      </c>
      <c r="E32" s="3">
        <v>70</v>
      </c>
      <c r="F32" s="32"/>
      <c r="G32" s="32"/>
      <c r="H32" s="32"/>
      <c r="I32" s="32"/>
    </row>
    <row r="33" spans="1:9" ht="15.75" customHeight="1">
      <c r="A33" s="2" t="s">
        <v>128</v>
      </c>
      <c r="B33" s="2" t="s">
        <v>129</v>
      </c>
      <c r="C33" s="2" t="s">
        <v>130</v>
      </c>
      <c r="D33" s="2" t="s">
        <v>131</v>
      </c>
      <c r="E33" s="3">
        <v>69</v>
      </c>
      <c r="F33" s="32" t="s">
        <v>1714</v>
      </c>
      <c r="G33" s="32" t="s">
        <v>1658</v>
      </c>
      <c r="H33" s="32" t="s">
        <v>1</v>
      </c>
      <c r="I33" s="32" t="s">
        <v>1652</v>
      </c>
    </row>
    <row r="34" spans="1:9" ht="15.75" customHeight="1">
      <c r="A34" s="2" t="s">
        <v>132</v>
      </c>
      <c r="B34" s="2" t="s">
        <v>133</v>
      </c>
      <c r="C34" s="2" t="s">
        <v>134</v>
      </c>
      <c r="D34" s="2" t="s">
        <v>135</v>
      </c>
      <c r="E34" s="3">
        <v>68</v>
      </c>
      <c r="F34" s="32" t="s">
        <v>1715</v>
      </c>
      <c r="G34" s="32" t="s">
        <v>1651</v>
      </c>
      <c r="H34" s="32" t="s">
        <v>1716</v>
      </c>
      <c r="I34" s="32" t="s">
        <v>1680</v>
      </c>
    </row>
    <row r="35" spans="1:9" ht="15.75" customHeight="1">
      <c r="A35" s="2" t="s">
        <v>136</v>
      </c>
      <c r="B35" s="2" t="s">
        <v>137</v>
      </c>
      <c r="C35" s="2" t="s">
        <v>138</v>
      </c>
      <c r="D35" s="4" t="s">
        <v>139</v>
      </c>
      <c r="E35" s="3">
        <v>67</v>
      </c>
      <c r="F35" s="32" t="s">
        <v>1655</v>
      </c>
      <c r="G35" s="32" t="s">
        <v>1717</v>
      </c>
      <c r="H35" s="32" t="s">
        <v>1718</v>
      </c>
      <c r="I35" s="32" t="s">
        <v>1719</v>
      </c>
    </row>
    <row r="36" spans="1:9" ht="15.75" customHeight="1">
      <c r="A36" s="2" t="s">
        <v>140</v>
      </c>
      <c r="B36" s="2" t="s">
        <v>141</v>
      </c>
      <c r="C36" s="2" t="s">
        <v>142</v>
      </c>
      <c r="D36" s="2" t="s">
        <v>143</v>
      </c>
      <c r="E36" s="3">
        <v>66</v>
      </c>
      <c r="F36" s="32" t="s">
        <v>1720</v>
      </c>
      <c r="G36" s="32" t="s">
        <v>1</v>
      </c>
      <c r="H36" s="32" t="s">
        <v>1721</v>
      </c>
      <c r="I36" s="32" t="s">
        <v>1651</v>
      </c>
    </row>
    <row r="37" spans="1:9" ht="15.75" customHeight="1">
      <c r="A37" s="2" t="s">
        <v>144</v>
      </c>
      <c r="B37" s="2" t="s">
        <v>145</v>
      </c>
      <c r="C37" s="2" t="s">
        <v>146</v>
      </c>
      <c r="D37" s="2" t="s">
        <v>147</v>
      </c>
      <c r="E37" s="3">
        <v>65</v>
      </c>
      <c r="F37" s="32" t="s">
        <v>1722</v>
      </c>
      <c r="G37" s="32" t="s">
        <v>1</v>
      </c>
      <c r="H37" s="32" t="s">
        <v>1</v>
      </c>
      <c r="I37" s="32" t="s">
        <v>1723</v>
      </c>
    </row>
    <row r="38" spans="1:9" ht="15.75" customHeight="1">
      <c r="A38" s="2" t="s">
        <v>148</v>
      </c>
      <c r="B38" s="2" t="s">
        <v>149</v>
      </c>
      <c r="C38" s="2" t="s">
        <v>150</v>
      </c>
      <c r="D38" s="4" t="s">
        <v>151</v>
      </c>
      <c r="E38" s="3">
        <v>64</v>
      </c>
      <c r="F38" s="32" t="s">
        <v>1724</v>
      </c>
      <c r="G38" s="32" t="s">
        <v>1683</v>
      </c>
      <c r="H38" s="32" t="s">
        <v>1725</v>
      </c>
      <c r="I38" s="32" t="s">
        <v>1654</v>
      </c>
    </row>
    <row r="39" spans="1:9" ht="15.75" customHeight="1">
      <c r="A39" s="2" t="s">
        <v>152</v>
      </c>
      <c r="B39" s="2" t="s">
        <v>153</v>
      </c>
      <c r="C39" s="4" t="s">
        <v>154</v>
      </c>
      <c r="D39" s="2" t="s">
        <v>1726</v>
      </c>
      <c r="E39" s="3">
        <v>63</v>
      </c>
      <c r="F39" s="32" t="s">
        <v>1727</v>
      </c>
      <c r="G39" s="32" t="s">
        <v>1655</v>
      </c>
      <c r="H39" s="32" t="s">
        <v>1</v>
      </c>
      <c r="I39" s="32" t="s">
        <v>1652</v>
      </c>
    </row>
    <row r="40" spans="1:9" ht="15.75" customHeight="1">
      <c r="A40" s="2" t="s">
        <v>156</v>
      </c>
      <c r="B40" s="4" t="s">
        <v>1728</v>
      </c>
      <c r="C40" s="2" t="s">
        <v>158</v>
      </c>
      <c r="D40" s="4" t="s">
        <v>159</v>
      </c>
      <c r="E40" s="3">
        <v>62</v>
      </c>
      <c r="F40" s="32" t="s">
        <v>1729</v>
      </c>
      <c r="G40" s="32" t="s">
        <v>1650</v>
      </c>
      <c r="H40" s="32" t="s">
        <v>1</v>
      </c>
      <c r="I40" s="32" t="s">
        <v>1</v>
      </c>
    </row>
    <row r="41" spans="1:9" ht="15.75" customHeight="1">
      <c r="A41" s="2" t="s">
        <v>160</v>
      </c>
      <c r="B41" s="2" t="s">
        <v>161</v>
      </c>
      <c r="C41" s="2" t="s">
        <v>162</v>
      </c>
      <c r="D41" s="4" t="s">
        <v>163</v>
      </c>
      <c r="E41" s="3">
        <v>61</v>
      </c>
      <c r="F41" s="32"/>
      <c r="G41" s="32"/>
      <c r="H41" s="32"/>
      <c r="I41" s="32"/>
    </row>
    <row r="42" spans="1:9" ht="15.75" customHeight="1">
      <c r="A42" s="2" t="s">
        <v>164</v>
      </c>
      <c r="B42" s="4" t="s">
        <v>165</v>
      </c>
      <c r="C42" s="2" t="s">
        <v>166</v>
      </c>
      <c r="D42" s="4" t="s">
        <v>167</v>
      </c>
      <c r="E42" s="3">
        <v>60</v>
      </c>
      <c r="F42" s="32" t="s">
        <v>1700</v>
      </c>
      <c r="G42" s="32" t="s">
        <v>1729</v>
      </c>
      <c r="H42" s="32" t="s">
        <v>1</v>
      </c>
      <c r="I42" s="32" t="s">
        <v>1730</v>
      </c>
    </row>
    <row r="43" spans="1:9" ht="15.75" customHeight="1">
      <c r="A43" s="2" t="s">
        <v>168</v>
      </c>
      <c r="B43" s="4" t="s">
        <v>169</v>
      </c>
      <c r="C43" s="4" t="s">
        <v>1731</v>
      </c>
      <c r="D43" s="4" t="s">
        <v>171</v>
      </c>
      <c r="E43" s="3">
        <v>59</v>
      </c>
      <c r="F43" s="32" t="s">
        <v>1732</v>
      </c>
      <c r="G43" s="32" t="s">
        <v>1733</v>
      </c>
      <c r="H43" s="32" t="s">
        <v>1734</v>
      </c>
      <c r="I43" s="32" t="s">
        <v>1735</v>
      </c>
    </row>
    <row r="44" spans="1:9" ht="15.75" customHeight="1">
      <c r="A44" s="2" t="s">
        <v>172</v>
      </c>
      <c r="B44" s="2" t="s">
        <v>173</v>
      </c>
      <c r="C44" s="2" t="s">
        <v>174</v>
      </c>
      <c r="D44" s="4" t="s">
        <v>175</v>
      </c>
      <c r="E44" s="3">
        <v>58</v>
      </c>
      <c r="F44" s="32" t="s">
        <v>1736</v>
      </c>
      <c r="G44" s="32" t="s">
        <v>1737</v>
      </c>
      <c r="H44" s="32" t="s">
        <v>1738</v>
      </c>
      <c r="I44" s="32" t="s">
        <v>1739</v>
      </c>
    </row>
    <row r="45" spans="1:9" ht="15.75" customHeight="1">
      <c r="A45" s="4" t="s">
        <v>176</v>
      </c>
      <c r="B45" s="2" t="s">
        <v>177</v>
      </c>
      <c r="C45" s="2" t="s">
        <v>178</v>
      </c>
      <c r="D45" s="2" t="s">
        <v>179</v>
      </c>
      <c r="E45" s="3">
        <v>57</v>
      </c>
      <c r="F45" s="32" t="s">
        <v>1740</v>
      </c>
      <c r="G45" s="32" t="s">
        <v>1741</v>
      </c>
      <c r="H45" s="32" t="s">
        <v>1742</v>
      </c>
      <c r="I45" s="32" t="s">
        <v>1743</v>
      </c>
    </row>
    <row r="46" spans="1:9" ht="15.75" customHeight="1">
      <c r="A46" s="2" t="s">
        <v>1744</v>
      </c>
      <c r="B46" s="2" t="s">
        <v>181</v>
      </c>
      <c r="C46" s="4" t="s">
        <v>182</v>
      </c>
      <c r="D46" s="4" t="s">
        <v>183</v>
      </c>
      <c r="E46" s="3">
        <v>56</v>
      </c>
      <c r="F46" s="32" t="s">
        <v>1745</v>
      </c>
      <c r="G46" s="32" t="s">
        <v>1746</v>
      </c>
      <c r="H46" s="32" t="s">
        <v>1714</v>
      </c>
      <c r="I46" s="32" t="s">
        <v>1655</v>
      </c>
    </row>
    <row r="47" spans="1:9" ht="15.75" customHeight="1">
      <c r="A47" s="4" t="s">
        <v>184</v>
      </c>
      <c r="B47" s="4" t="s">
        <v>185</v>
      </c>
      <c r="C47" s="4" t="s">
        <v>186</v>
      </c>
      <c r="D47" s="4" t="s">
        <v>1747</v>
      </c>
      <c r="E47" s="3">
        <v>55</v>
      </c>
      <c r="F47" s="32" t="s">
        <v>1748</v>
      </c>
      <c r="G47" s="32" t="s">
        <v>1705</v>
      </c>
      <c r="H47" s="32" t="s">
        <v>1749</v>
      </c>
      <c r="I47" s="32" t="s">
        <v>1750</v>
      </c>
    </row>
    <row r="48" spans="1:9" ht="15.75" customHeight="1">
      <c r="A48" s="4" t="s">
        <v>188</v>
      </c>
      <c r="B48" s="4" t="s">
        <v>189</v>
      </c>
      <c r="C48" s="4" t="s">
        <v>190</v>
      </c>
      <c r="D48" s="4" t="s">
        <v>191</v>
      </c>
      <c r="E48" s="3">
        <v>54</v>
      </c>
      <c r="F48" s="32" t="s">
        <v>1751</v>
      </c>
      <c r="G48" s="32" t="s">
        <v>1651</v>
      </c>
      <c r="H48" s="32" t="s">
        <v>1752</v>
      </c>
      <c r="I48" s="32" t="s">
        <v>1752</v>
      </c>
    </row>
    <row r="49" spans="1:9" ht="15.75" customHeight="1">
      <c r="A49" s="3"/>
      <c r="B49" s="3"/>
      <c r="C49" s="3"/>
      <c r="D49" s="3"/>
      <c r="E49" s="3">
        <v>53</v>
      </c>
      <c r="F49" s="32" t="s">
        <v>1753</v>
      </c>
      <c r="G49" s="32" t="s">
        <v>1651</v>
      </c>
      <c r="H49" s="32" t="s">
        <v>1752</v>
      </c>
      <c r="I49" s="32" t="s">
        <v>1754</v>
      </c>
    </row>
    <row r="50" spans="1:9" ht="15.75" customHeight="1">
      <c r="A50" s="3"/>
      <c r="B50" s="3"/>
      <c r="C50" s="3"/>
      <c r="D50" s="3"/>
      <c r="E50" s="3">
        <v>52</v>
      </c>
      <c r="F50" s="32" t="s">
        <v>1</v>
      </c>
      <c r="G50" s="32" t="s">
        <v>1</v>
      </c>
      <c r="H50" s="32" t="s">
        <v>1658</v>
      </c>
      <c r="I50" s="32" t="s">
        <v>1651</v>
      </c>
    </row>
    <row r="51" spans="1:9" ht="14">
      <c r="A51" s="3"/>
      <c r="B51" s="3"/>
      <c r="C51" s="3"/>
      <c r="D51" s="3"/>
      <c r="E51" s="3">
        <v>51</v>
      </c>
      <c r="F51" s="32" t="s">
        <v>1755</v>
      </c>
      <c r="G51" s="32" t="s">
        <v>1756</v>
      </c>
      <c r="H51" s="32"/>
      <c r="I51" s="32" t="s">
        <v>1757</v>
      </c>
    </row>
    <row r="52" spans="1:9" ht="13">
      <c r="A52" s="3"/>
      <c r="B52" s="3"/>
      <c r="C52" s="3"/>
      <c r="D52" s="3"/>
      <c r="E52" s="3">
        <v>50</v>
      </c>
      <c r="F52" s="32"/>
      <c r="G52" s="32"/>
      <c r="H52" s="32"/>
      <c r="I52" s="32"/>
    </row>
    <row r="53" spans="1:9" ht="13">
      <c r="A53" s="3"/>
      <c r="B53" s="3"/>
      <c r="C53" s="3"/>
      <c r="D53" s="3"/>
      <c r="E53" s="3">
        <v>49</v>
      </c>
      <c r="F53" s="32"/>
      <c r="G53" s="32"/>
      <c r="H53" s="32"/>
      <c r="I53" s="32"/>
    </row>
    <row r="54" spans="1:9" ht="13">
      <c r="A54" s="3"/>
      <c r="B54" s="3"/>
      <c r="C54" s="3"/>
      <c r="D54" s="3"/>
      <c r="E54" s="3">
        <v>48</v>
      </c>
      <c r="F54" s="32"/>
      <c r="G54" s="32"/>
      <c r="H54" s="32"/>
      <c r="I54" s="32"/>
    </row>
    <row r="55" spans="1:9" ht="13">
      <c r="A55" s="3"/>
      <c r="B55" s="3"/>
      <c r="C55" s="3"/>
      <c r="D55" s="3"/>
      <c r="E55" s="3">
        <v>47</v>
      </c>
      <c r="F55" s="32"/>
      <c r="G55" s="32"/>
      <c r="H55" s="32"/>
      <c r="I55" s="32"/>
    </row>
    <row r="56" spans="1:9" ht="13">
      <c r="A56" s="3"/>
      <c r="B56" s="3"/>
      <c r="C56" s="3"/>
      <c r="D56" s="3"/>
      <c r="E56" s="3">
        <v>46</v>
      </c>
      <c r="F56" s="32"/>
      <c r="G56" s="32"/>
      <c r="H56" s="32"/>
      <c r="I56" s="32"/>
    </row>
    <row r="57" spans="1:9" ht="13">
      <c r="A57" s="3"/>
      <c r="B57" s="3"/>
      <c r="C57" s="3"/>
      <c r="D57" s="3"/>
      <c r="E57" s="3">
        <v>45</v>
      </c>
      <c r="F57" s="32"/>
      <c r="G57" s="32"/>
      <c r="H57" s="32"/>
      <c r="I57" s="32"/>
    </row>
    <row r="58" spans="1:9" ht="13">
      <c r="A58" s="3"/>
      <c r="B58" s="3"/>
      <c r="C58" s="3"/>
      <c r="D58" s="3"/>
      <c r="E58" s="3">
        <v>44</v>
      </c>
      <c r="F58" s="32"/>
      <c r="G58" s="32"/>
      <c r="H58" s="32"/>
      <c r="I58" s="32"/>
    </row>
    <row r="59" spans="1:9" ht="13">
      <c r="A59" s="3"/>
      <c r="B59" s="3"/>
      <c r="C59" s="3"/>
      <c r="D59" s="3"/>
      <c r="E59" s="3">
        <v>43</v>
      </c>
      <c r="F59" s="32"/>
      <c r="G59" s="32"/>
      <c r="H59" s="32"/>
      <c r="I59" s="32"/>
    </row>
    <row r="60" spans="1:9" ht="13">
      <c r="A60" s="3"/>
      <c r="B60" s="3"/>
      <c r="C60" s="3"/>
      <c r="D60" s="3"/>
      <c r="E60" s="3">
        <v>42</v>
      </c>
      <c r="F60" s="32"/>
      <c r="G60" s="32"/>
      <c r="H60" s="32"/>
      <c r="I60" s="32"/>
    </row>
    <row r="61" spans="1:9" ht="13">
      <c r="A61" s="3"/>
      <c r="B61" s="3"/>
      <c r="C61" s="3"/>
      <c r="D61" s="3"/>
      <c r="E61" s="3">
        <v>41</v>
      </c>
      <c r="F61" s="32"/>
      <c r="G61" s="32"/>
      <c r="H61" s="32"/>
      <c r="I61" s="32"/>
    </row>
    <row r="62" spans="1:9" ht="13">
      <c r="A62" s="3"/>
      <c r="B62" s="3"/>
      <c r="C62" s="3"/>
      <c r="D62" s="3"/>
      <c r="E62" s="3">
        <v>40</v>
      </c>
      <c r="F62" s="32"/>
      <c r="G62" s="32"/>
      <c r="H62" s="32"/>
      <c r="I62" s="32"/>
    </row>
    <row r="63" spans="1:9" ht="13">
      <c r="A63" s="3"/>
      <c r="B63" s="3"/>
      <c r="C63" s="3"/>
      <c r="D63" s="3"/>
      <c r="E63" s="3">
        <v>39</v>
      </c>
      <c r="F63" s="32"/>
      <c r="G63" s="32"/>
      <c r="H63" s="32"/>
      <c r="I63" s="32"/>
    </row>
    <row r="64" spans="1:9" ht="13">
      <c r="A64" s="3"/>
      <c r="B64" s="3"/>
      <c r="C64" s="3"/>
      <c r="D64" s="3"/>
      <c r="E64" s="3">
        <v>38</v>
      </c>
      <c r="F64" s="32"/>
      <c r="G64" s="32"/>
      <c r="H64" s="32"/>
      <c r="I64" s="32"/>
    </row>
    <row r="65" spans="1:9" ht="13">
      <c r="A65" s="3"/>
      <c r="B65" s="3"/>
      <c r="C65" s="3"/>
      <c r="D65" s="3"/>
      <c r="E65" s="3">
        <v>37</v>
      </c>
      <c r="F65" s="32"/>
      <c r="G65" s="32"/>
      <c r="H65" s="32"/>
      <c r="I65" s="32"/>
    </row>
    <row r="66" spans="1:9" ht="13">
      <c r="A66" s="3"/>
      <c r="B66" s="3"/>
      <c r="C66" s="3"/>
      <c r="D66" s="3"/>
      <c r="E66" s="3">
        <v>36</v>
      </c>
      <c r="F66" s="32"/>
      <c r="G66" s="32"/>
      <c r="H66" s="32"/>
      <c r="I66" s="32"/>
    </row>
    <row r="67" spans="1:9" ht="13">
      <c r="A67" s="3"/>
      <c r="B67" s="3"/>
      <c r="C67" s="3"/>
      <c r="D67" s="3"/>
      <c r="E67" s="3">
        <v>35</v>
      </c>
      <c r="F67" s="32"/>
      <c r="G67" s="32"/>
      <c r="H67" s="32"/>
      <c r="I67" s="32"/>
    </row>
    <row r="68" spans="1:9" ht="13">
      <c r="A68" s="3"/>
      <c r="B68" s="3"/>
      <c r="C68" s="3"/>
      <c r="D68" s="3"/>
      <c r="E68" s="3">
        <v>34</v>
      </c>
      <c r="F68" s="32"/>
      <c r="G68" s="32"/>
      <c r="H68" s="32"/>
      <c r="I68" s="32"/>
    </row>
    <row r="69" spans="1:9" ht="13">
      <c r="A69" s="3"/>
      <c r="B69" s="3"/>
      <c r="C69" s="3"/>
      <c r="D69" s="3"/>
      <c r="E69" s="3">
        <v>33</v>
      </c>
      <c r="F69" s="32"/>
      <c r="G69" s="32"/>
      <c r="H69" s="32"/>
      <c r="I69" s="32"/>
    </row>
    <row r="70" spans="1:9" ht="13">
      <c r="A70" s="3"/>
      <c r="B70" s="3"/>
      <c r="C70" s="3"/>
      <c r="D70" s="3"/>
      <c r="E70" s="3">
        <v>32</v>
      </c>
      <c r="F70" s="32"/>
      <c r="G70" s="32"/>
      <c r="H70" s="32"/>
      <c r="I70" s="32"/>
    </row>
    <row r="71" spans="1:9" ht="13">
      <c r="A71" s="3"/>
      <c r="B71" s="3"/>
      <c r="C71" s="3"/>
      <c r="D71" s="3"/>
      <c r="E71" s="3">
        <v>31</v>
      </c>
      <c r="F71" s="32"/>
      <c r="G71" s="32"/>
      <c r="H71" s="32"/>
      <c r="I71" s="32"/>
    </row>
    <row r="72" spans="1:9" ht="13">
      <c r="A72" s="3"/>
      <c r="B72" s="3"/>
      <c r="C72" s="3"/>
      <c r="D72" s="3"/>
      <c r="E72" s="3">
        <v>30</v>
      </c>
      <c r="F72" s="32"/>
      <c r="G72" s="32"/>
      <c r="H72" s="32"/>
      <c r="I72" s="32"/>
    </row>
    <row r="73" spans="1:9" ht="13">
      <c r="A73" s="3"/>
      <c r="B73" s="3"/>
      <c r="C73" s="3"/>
      <c r="D73" s="3"/>
      <c r="E73" s="3">
        <v>29</v>
      </c>
      <c r="F73" s="32"/>
      <c r="G73" s="32"/>
      <c r="H73" s="32"/>
      <c r="I73" s="32"/>
    </row>
    <row r="74" spans="1:9" ht="13">
      <c r="A74" s="3"/>
      <c r="B74" s="3"/>
      <c r="C74" s="3"/>
      <c r="D74" s="3"/>
      <c r="E74" s="3">
        <v>28</v>
      </c>
      <c r="F74" s="32"/>
      <c r="G74" s="32"/>
      <c r="H74" s="32"/>
      <c r="I74" s="32"/>
    </row>
    <row r="75" spans="1:9" ht="13">
      <c r="A75" s="3"/>
      <c r="B75" s="3"/>
      <c r="C75" s="3"/>
      <c r="D75" s="3"/>
      <c r="E75" s="3">
        <v>27</v>
      </c>
      <c r="F75" s="32"/>
      <c r="G75" s="32"/>
      <c r="H75" s="32"/>
      <c r="I75" s="32"/>
    </row>
    <row r="76" spans="1:9" ht="13">
      <c r="A76" s="3"/>
      <c r="B76" s="3"/>
      <c r="C76" s="3"/>
      <c r="D76" s="3"/>
      <c r="E76" s="3">
        <v>26</v>
      </c>
      <c r="F76" s="32"/>
      <c r="G76" s="32"/>
      <c r="H76" s="32"/>
      <c r="I76" s="32"/>
    </row>
    <row r="77" spans="1:9" ht="13">
      <c r="A77" s="3"/>
      <c r="B77" s="3"/>
      <c r="C77" s="3"/>
      <c r="D77" s="3"/>
      <c r="E77" s="3">
        <v>25</v>
      </c>
      <c r="F77" s="32"/>
      <c r="G77" s="32"/>
      <c r="H77" s="32"/>
      <c r="I77" s="32"/>
    </row>
    <row r="78" spans="1:9" ht="13">
      <c r="A78" s="3"/>
      <c r="B78" s="3"/>
      <c r="C78" s="3"/>
      <c r="D78" s="3"/>
      <c r="E78" s="3">
        <v>24</v>
      </c>
      <c r="F78" s="32"/>
      <c r="G78" s="32"/>
      <c r="H78" s="32"/>
      <c r="I78" s="32"/>
    </row>
    <row r="79" spans="1:9" ht="13">
      <c r="A79" s="3"/>
      <c r="B79" s="3"/>
      <c r="C79" s="3"/>
      <c r="D79" s="3"/>
      <c r="E79" s="3">
        <v>23</v>
      </c>
      <c r="F79" s="32"/>
      <c r="G79" s="32"/>
      <c r="H79" s="32"/>
      <c r="I79" s="32"/>
    </row>
    <row r="80" spans="1:9" ht="13">
      <c r="A80" s="3"/>
      <c r="B80" s="3"/>
      <c r="C80" s="3"/>
      <c r="D80" s="3"/>
      <c r="E80" s="3">
        <v>22</v>
      </c>
      <c r="F80" s="32"/>
      <c r="G80" s="32"/>
      <c r="H80" s="32"/>
      <c r="I80" s="32"/>
    </row>
    <row r="81" spans="1:9" ht="13">
      <c r="A81" s="3"/>
      <c r="B81" s="3"/>
      <c r="C81" s="3"/>
      <c r="D81" s="3"/>
      <c r="E81" s="3">
        <v>21</v>
      </c>
      <c r="F81" s="32"/>
      <c r="G81" s="32"/>
      <c r="H81" s="32"/>
      <c r="I81" s="32"/>
    </row>
    <row r="82" spans="1:9" ht="13">
      <c r="A82" s="3"/>
      <c r="B82" s="3"/>
      <c r="C82" s="3"/>
      <c r="D82" s="3"/>
      <c r="E82" s="3">
        <v>20</v>
      </c>
      <c r="F82" s="32"/>
      <c r="G82" s="32"/>
      <c r="H82" s="32"/>
      <c r="I82" s="32"/>
    </row>
    <row r="83" spans="1:9" ht="13">
      <c r="A83" s="3"/>
      <c r="B83" s="3"/>
      <c r="C83" s="3"/>
      <c r="D83" s="3"/>
      <c r="E83" s="3">
        <v>19</v>
      </c>
      <c r="F83" s="32"/>
      <c r="G83" s="32"/>
      <c r="H83" s="32"/>
      <c r="I83" s="32"/>
    </row>
    <row r="84" spans="1:9" ht="13">
      <c r="A84" s="3"/>
      <c r="B84" s="3"/>
      <c r="C84" s="3"/>
      <c r="D84" s="3"/>
      <c r="E84" s="3">
        <v>18</v>
      </c>
      <c r="F84" s="32"/>
      <c r="G84" s="32"/>
      <c r="H84" s="32"/>
      <c r="I84" s="32"/>
    </row>
    <row r="85" spans="1:9" ht="13">
      <c r="A85" s="3"/>
      <c r="B85" s="3"/>
      <c r="C85" s="3"/>
      <c r="D85" s="3"/>
      <c r="E85" s="3">
        <v>17</v>
      </c>
      <c r="F85" s="32"/>
      <c r="G85" s="32"/>
      <c r="H85" s="32"/>
      <c r="I85" s="32"/>
    </row>
    <row r="86" spans="1:9" ht="13">
      <c r="A86" s="3"/>
      <c r="B86" s="3"/>
      <c r="C86" s="3"/>
      <c r="D86" s="3"/>
      <c r="E86" s="3">
        <v>16</v>
      </c>
      <c r="F86" s="32"/>
      <c r="G86" s="32"/>
      <c r="H86" s="32"/>
      <c r="I86" s="32"/>
    </row>
    <row r="87" spans="1:9" ht="13">
      <c r="A87" s="3"/>
      <c r="B87" s="3"/>
      <c r="C87" s="3"/>
      <c r="D87" s="3"/>
      <c r="E87" s="3">
        <v>15</v>
      </c>
      <c r="F87" s="32"/>
      <c r="G87" s="32"/>
      <c r="H87" s="32"/>
      <c r="I87" s="32"/>
    </row>
    <row r="88" spans="1:9" ht="13">
      <c r="A88" s="3"/>
      <c r="B88" s="3"/>
      <c r="C88" s="3"/>
      <c r="D88" s="3"/>
      <c r="E88" s="3">
        <v>14</v>
      </c>
      <c r="F88" s="32"/>
      <c r="G88" s="32"/>
      <c r="H88" s="32"/>
      <c r="I88" s="32"/>
    </row>
    <row r="89" spans="1:9" ht="13">
      <c r="A89" s="3"/>
      <c r="B89" s="3"/>
      <c r="C89" s="3"/>
      <c r="D89" s="3"/>
      <c r="E89" s="3">
        <v>13</v>
      </c>
      <c r="F89" s="32"/>
      <c r="G89" s="32"/>
      <c r="H89" s="32"/>
      <c r="I89" s="32"/>
    </row>
    <row r="90" spans="1:9" ht="13">
      <c r="A90" s="3"/>
      <c r="B90" s="3"/>
      <c r="C90" s="3"/>
      <c r="D90" s="3"/>
      <c r="E90" s="3">
        <v>12</v>
      </c>
      <c r="F90" s="32"/>
      <c r="G90" s="32"/>
      <c r="H90" s="32"/>
      <c r="I90" s="32"/>
    </row>
    <row r="91" spans="1:9" ht="13">
      <c r="A91" s="3"/>
      <c r="B91" s="3"/>
      <c r="C91" s="3"/>
      <c r="D91" s="3"/>
      <c r="E91" s="3">
        <v>11</v>
      </c>
      <c r="F91" s="32"/>
      <c r="G91" s="32"/>
      <c r="H91" s="32"/>
      <c r="I91" s="32"/>
    </row>
    <row r="92" spans="1:9" ht="13">
      <c r="A92" s="3"/>
      <c r="B92" s="3"/>
      <c r="C92" s="3"/>
      <c r="D92" s="3"/>
      <c r="E92" s="3">
        <v>10</v>
      </c>
      <c r="F92" s="32"/>
      <c r="G92" s="32"/>
      <c r="H92" s="32"/>
      <c r="I92" s="32"/>
    </row>
    <row r="93" spans="1:9" ht="13">
      <c r="A93" s="3"/>
      <c r="B93" s="3"/>
      <c r="C93" s="3"/>
      <c r="D93" s="3"/>
      <c r="E93" s="3">
        <v>9</v>
      </c>
      <c r="F93" s="32"/>
      <c r="G93" s="32"/>
      <c r="H93" s="32"/>
      <c r="I93" s="32"/>
    </row>
    <row r="94" spans="1:9" ht="13">
      <c r="A94" s="3"/>
      <c r="B94" s="3"/>
      <c r="C94" s="3"/>
      <c r="D94" s="3"/>
      <c r="E94" s="3">
        <v>8</v>
      </c>
      <c r="F94" s="32"/>
      <c r="G94" s="32"/>
      <c r="H94" s="32"/>
      <c r="I94" s="32"/>
    </row>
    <row r="95" spans="1:9" ht="13">
      <c r="A95" s="3"/>
      <c r="B95" s="3"/>
      <c r="C95" s="3"/>
      <c r="D95" s="3"/>
      <c r="E95" s="3">
        <v>7</v>
      </c>
      <c r="F95" s="32"/>
      <c r="G95" s="32"/>
      <c r="H95" s="32"/>
      <c r="I95" s="32"/>
    </row>
    <row r="96" spans="1:9" ht="13">
      <c r="A96" s="3"/>
      <c r="B96" s="3"/>
      <c r="C96" s="3"/>
      <c r="D96" s="3"/>
      <c r="E96" s="3">
        <v>6</v>
      </c>
      <c r="F96" s="32"/>
      <c r="G96" s="32"/>
      <c r="H96" s="32"/>
      <c r="I96" s="32"/>
    </row>
    <row r="97" spans="1:9" ht="13">
      <c r="A97" s="3"/>
      <c r="B97" s="3"/>
      <c r="C97" s="3"/>
      <c r="D97" s="3"/>
      <c r="E97" s="3">
        <v>5</v>
      </c>
      <c r="F97" s="32"/>
      <c r="G97" s="32"/>
      <c r="H97" s="32"/>
      <c r="I97" s="32"/>
    </row>
    <row r="98" spans="1:9" ht="13">
      <c r="A98" s="3"/>
      <c r="B98" s="3"/>
      <c r="C98" s="3"/>
      <c r="D98" s="3"/>
      <c r="E98" s="3">
        <v>4</v>
      </c>
      <c r="F98" s="32"/>
      <c r="G98" s="32"/>
      <c r="H98" s="32"/>
      <c r="I98" s="32"/>
    </row>
    <row r="99" spans="1:9" ht="13">
      <c r="A99" s="3"/>
      <c r="B99" s="3"/>
      <c r="C99" s="3"/>
      <c r="D99" s="3"/>
      <c r="E99" s="3">
        <v>3</v>
      </c>
      <c r="F99" s="32"/>
      <c r="G99" s="32"/>
      <c r="H99" s="32"/>
      <c r="I99" s="32"/>
    </row>
    <row r="100" spans="1:9" ht="13">
      <c r="A100" s="3"/>
      <c r="B100" s="3"/>
      <c r="C100" s="3"/>
      <c r="D100" s="3"/>
      <c r="E100" s="3">
        <v>2</v>
      </c>
      <c r="F100" s="32"/>
      <c r="G100" s="32"/>
      <c r="H100" s="32"/>
      <c r="I100" s="32"/>
    </row>
    <row r="101" spans="1:9" ht="13">
      <c r="A101" s="3"/>
      <c r="B101" s="3"/>
      <c r="C101" s="3"/>
      <c r="D101" s="3"/>
      <c r="E101" s="3">
        <v>1</v>
      </c>
      <c r="F101" s="32"/>
      <c r="G101" s="32"/>
      <c r="H101" s="32"/>
      <c r="I101" s="32"/>
    </row>
    <row r="102" spans="1:9" ht="13">
      <c r="F102" s="32"/>
      <c r="G102" s="32"/>
      <c r="H102" s="32"/>
      <c r="I102" s="32"/>
    </row>
    <row r="103" spans="1:9" ht="13">
      <c r="F103" s="32"/>
      <c r="G103" s="32"/>
      <c r="H103" s="32"/>
      <c r="I103" s="32"/>
    </row>
    <row r="104" spans="1:9" ht="13">
      <c r="F104" s="32"/>
      <c r="G104" s="32"/>
      <c r="H104" s="32"/>
      <c r="I104" s="32"/>
    </row>
    <row r="105" spans="1:9" ht="13">
      <c r="F105" s="32"/>
      <c r="G105" s="32"/>
      <c r="H105" s="32"/>
      <c r="I105" s="32"/>
    </row>
    <row r="106" spans="1:9" ht="13">
      <c r="F106" s="32"/>
      <c r="G106" s="32"/>
      <c r="H106" s="32"/>
      <c r="I106" s="32"/>
    </row>
    <row r="107" spans="1:9" ht="13">
      <c r="F107" s="32"/>
      <c r="G107" s="32"/>
      <c r="H107" s="32"/>
      <c r="I107" s="32"/>
    </row>
    <row r="108" spans="1:9" ht="13">
      <c r="F108" s="32"/>
      <c r="G108" s="32"/>
      <c r="H108" s="32"/>
      <c r="I108" s="32"/>
    </row>
    <row r="109" spans="1:9" ht="13">
      <c r="F109" s="32"/>
      <c r="G109" s="32"/>
      <c r="H109" s="32"/>
      <c r="I109" s="32"/>
    </row>
    <row r="110" spans="1:9" ht="13">
      <c r="F110" s="32"/>
      <c r="G110" s="32"/>
      <c r="H110" s="32"/>
      <c r="I110" s="32"/>
    </row>
    <row r="111" spans="1:9" ht="13">
      <c r="F111" s="32"/>
      <c r="G111" s="32"/>
      <c r="H111" s="32"/>
      <c r="I111" s="32"/>
    </row>
    <row r="112" spans="1:9" ht="13">
      <c r="F112" s="32"/>
      <c r="G112" s="32"/>
      <c r="H112" s="32"/>
      <c r="I112" s="32"/>
    </row>
    <row r="113" spans="6:9" ht="13">
      <c r="F113" s="32"/>
      <c r="G113" s="32"/>
      <c r="H113" s="32"/>
      <c r="I113" s="32"/>
    </row>
    <row r="114" spans="6:9" ht="13">
      <c r="F114" s="32"/>
      <c r="G114" s="32"/>
      <c r="H114" s="32"/>
      <c r="I114" s="32"/>
    </row>
    <row r="115" spans="6:9" ht="13">
      <c r="F115" s="32"/>
      <c r="G115" s="32"/>
      <c r="H115" s="32"/>
      <c r="I115" s="32"/>
    </row>
    <row r="116" spans="6:9" ht="13">
      <c r="F116" s="32"/>
      <c r="G116" s="32"/>
      <c r="H116" s="32"/>
      <c r="I116" s="32"/>
    </row>
    <row r="117" spans="6:9" ht="13">
      <c r="F117" s="32"/>
      <c r="G117" s="32"/>
      <c r="H117" s="32"/>
      <c r="I117" s="32"/>
    </row>
    <row r="118" spans="6:9" ht="13">
      <c r="F118" s="32"/>
      <c r="G118" s="32"/>
      <c r="H118" s="32"/>
      <c r="I118" s="32"/>
    </row>
    <row r="119" spans="6:9" ht="13">
      <c r="F119" s="32"/>
      <c r="G119" s="32"/>
      <c r="H119" s="32"/>
      <c r="I119" s="32"/>
    </row>
    <row r="120" spans="6:9" ht="13">
      <c r="F120" s="32"/>
      <c r="G120" s="32"/>
      <c r="H120" s="32"/>
      <c r="I120" s="32"/>
    </row>
    <row r="121" spans="6:9" ht="13">
      <c r="F121" s="32"/>
      <c r="G121" s="32"/>
      <c r="H121" s="32"/>
      <c r="I121" s="32"/>
    </row>
    <row r="122" spans="6:9" ht="13">
      <c r="F122" s="32"/>
      <c r="G122" s="32"/>
      <c r="H122" s="32"/>
      <c r="I122" s="32"/>
    </row>
    <row r="123" spans="6:9" ht="13">
      <c r="F123" s="32"/>
      <c r="G123" s="32"/>
      <c r="H123" s="32"/>
      <c r="I123" s="32"/>
    </row>
    <row r="124" spans="6:9" ht="13">
      <c r="F124" s="32"/>
      <c r="G124" s="32"/>
      <c r="H124" s="32"/>
      <c r="I124" s="32"/>
    </row>
    <row r="125" spans="6:9" ht="13">
      <c r="F125" s="32"/>
      <c r="G125" s="32"/>
      <c r="H125" s="32"/>
      <c r="I125" s="32"/>
    </row>
    <row r="126" spans="6:9" ht="13">
      <c r="F126" s="32"/>
      <c r="G126" s="32"/>
      <c r="H126" s="32"/>
      <c r="I126" s="32"/>
    </row>
    <row r="127" spans="6:9" ht="13">
      <c r="F127" s="32"/>
      <c r="G127" s="32"/>
      <c r="H127" s="32"/>
      <c r="I127" s="32"/>
    </row>
    <row r="128" spans="6:9" ht="13">
      <c r="F128" s="32"/>
      <c r="G128" s="32"/>
      <c r="H128" s="32"/>
      <c r="I128" s="32"/>
    </row>
    <row r="129" spans="6:9" ht="13">
      <c r="F129" s="32"/>
      <c r="G129" s="32"/>
      <c r="H129" s="32"/>
      <c r="I129" s="32"/>
    </row>
    <row r="130" spans="6:9" ht="13">
      <c r="F130" s="32"/>
      <c r="G130" s="32"/>
      <c r="H130" s="32"/>
      <c r="I130" s="32"/>
    </row>
    <row r="131" spans="6:9" ht="13">
      <c r="F131" s="32"/>
      <c r="G131" s="32"/>
      <c r="H131" s="32"/>
      <c r="I131" s="32"/>
    </row>
    <row r="132" spans="6:9" ht="13">
      <c r="F132" s="32"/>
      <c r="G132" s="32"/>
      <c r="H132" s="32"/>
      <c r="I132" s="32"/>
    </row>
    <row r="133" spans="6:9" ht="13">
      <c r="F133" s="32"/>
      <c r="G133" s="32"/>
      <c r="H133" s="32"/>
      <c r="I133" s="32"/>
    </row>
    <row r="134" spans="6:9" ht="13">
      <c r="F134" s="32"/>
      <c r="G134" s="32"/>
      <c r="H134" s="32"/>
      <c r="I134" s="32"/>
    </row>
    <row r="135" spans="6:9" ht="13">
      <c r="F135" s="32"/>
      <c r="G135" s="32"/>
      <c r="H135" s="32"/>
      <c r="I135" s="32"/>
    </row>
    <row r="136" spans="6:9" ht="13">
      <c r="F136" s="32"/>
      <c r="G136" s="32"/>
      <c r="H136" s="32"/>
      <c r="I136" s="32"/>
    </row>
    <row r="137" spans="6:9" ht="13">
      <c r="F137" s="32"/>
      <c r="G137" s="32"/>
      <c r="H137" s="32"/>
      <c r="I137" s="32"/>
    </row>
    <row r="138" spans="6:9" ht="13">
      <c r="F138" s="32"/>
      <c r="G138" s="32"/>
      <c r="H138" s="32"/>
      <c r="I138" s="32"/>
    </row>
    <row r="139" spans="6:9" ht="13">
      <c r="F139" s="32"/>
      <c r="G139" s="32"/>
      <c r="H139" s="32"/>
      <c r="I139" s="32"/>
    </row>
    <row r="140" spans="6:9" ht="13">
      <c r="F140" s="32"/>
      <c r="G140" s="32"/>
      <c r="H140" s="32"/>
      <c r="I140" s="32"/>
    </row>
    <row r="141" spans="6:9" ht="13">
      <c r="F141" s="32"/>
      <c r="G141" s="32"/>
      <c r="H141" s="32"/>
      <c r="I141" s="32"/>
    </row>
    <row r="142" spans="6:9" ht="13">
      <c r="F142" s="32"/>
      <c r="G142" s="32"/>
      <c r="H142" s="32"/>
      <c r="I142" s="32"/>
    </row>
    <row r="143" spans="6:9" ht="13">
      <c r="F143" s="32"/>
      <c r="G143" s="32"/>
      <c r="H143" s="32"/>
      <c r="I143" s="32"/>
    </row>
    <row r="144" spans="6:9" ht="13">
      <c r="F144" s="32"/>
      <c r="G144" s="32"/>
      <c r="H144" s="32"/>
      <c r="I144" s="32"/>
    </row>
    <row r="145" spans="6:9" ht="13">
      <c r="F145" s="32"/>
      <c r="G145" s="32"/>
      <c r="H145" s="32"/>
      <c r="I145" s="32"/>
    </row>
    <row r="146" spans="6:9" ht="13">
      <c r="F146" s="32"/>
      <c r="G146" s="32"/>
      <c r="H146" s="32"/>
      <c r="I146" s="32"/>
    </row>
    <row r="147" spans="6:9" ht="13">
      <c r="F147" s="32"/>
      <c r="G147" s="32"/>
      <c r="H147" s="32"/>
      <c r="I147" s="32"/>
    </row>
    <row r="148" spans="6:9" ht="13">
      <c r="F148" s="32"/>
      <c r="G148" s="32"/>
      <c r="H148" s="32"/>
      <c r="I148" s="32"/>
    </row>
    <row r="149" spans="6:9" ht="13">
      <c r="F149" s="32"/>
      <c r="G149" s="32"/>
      <c r="H149" s="32"/>
      <c r="I149" s="32"/>
    </row>
    <row r="150" spans="6:9" ht="13">
      <c r="F150" s="32"/>
      <c r="G150" s="32"/>
      <c r="H150" s="32"/>
      <c r="I150" s="32"/>
    </row>
    <row r="151" spans="6:9" ht="13">
      <c r="F151" s="32"/>
      <c r="G151" s="32"/>
      <c r="H151" s="32"/>
      <c r="I151" s="32"/>
    </row>
    <row r="152" spans="6:9" ht="13">
      <c r="F152" s="32"/>
      <c r="G152" s="32"/>
      <c r="H152" s="32"/>
      <c r="I152" s="32"/>
    </row>
    <row r="153" spans="6:9" ht="13">
      <c r="F153" s="32"/>
      <c r="G153" s="32"/>
      <c r="H153" s="32"/>
      <c r="I153" s="32"/>
    </row>
    <row r="154" spans="6:9" ht="13">
      <c r="F154" s="32"/>
      <c r="G154" s="32"/>
      <c r="H154" s="32"/>
      <c r="I154" s="32"/>
    </row>
    <row r="155" spans="6:9" ht="13">
      <c r="F155" s="32"/>
      <c r="G155" s="32"/>
      <c r="H155" s="32"/>
      <c r="I155" s="32"/>
    </row>
    <row r="156" spans="6:9" ht="13">
      <c r="F156" s="32"/>
      <c r="G156" s="32"/>
      <c r="H156" s="32"/>
      <c r="I156" s="32"/>
    </row>
    <row r="157" spans="6:9" ht="13">
      <c r="F157" s="32"/>
      <c r="G157" s="32"/>
      <c r="H157" s="32"/>
      <c r="I157" s="32"/>
    </row>
    <row r="158" spans="6:9" ht="13">
      <c r="F158" s="32"/>
      <c r="G158" s="32"/>
      <c r="H158" s="32"/>
      <c r="I158" s="32"/>
    </row>
    <row r="159" spans="6:9" ht="13">
      <c r="F159" s="32"/>
      <c r="G159" s="32"/>
      <c r="H159" s="32"/>
      <c r="I159" s="32"/>
    </row>
    <row r="160" spans="6:9" ht="13">
      <c r="F160" s="32"/>
      <c r="G160" s="32"/>
      <c r="H160" s="32"/>
      <c r="I160" s="32"/>
    </row>
    <row r="161" spans="6:9" ht="13">
      <c r="F161" s="32"/>
      <c r="G161" s="32"/>
      <c r="H161" s="32"/>
      <c r="I161" s="32"/>
    </row>
    <row r="162" spans="6:9" ht="13">
      <c r="F162" s="32"/>
      <c r="G162" s="32"/>
      <c r="H162" s="32"/>
      <c r="I162" s="32"/>
    </row>
    <row r="163" spans="6:9" ht="13">
      <c r="F163" s="32"/>
      <c r="G163" s="32"/>
      <c r="H163" s="32"/>
      <c r="I163" s="32"/>
    </row>
    <row r="164" spans="6:9" ht="13">
      <c r="F164" s="32"/>
      <c r="G164" s="32"/>
      <c r="H164" s="32"/>
      <c r="I164" s="32"/>
    </row>
    <row r="165" spans="6:9" ht="13">
      <c r="F165" s="32"/>
      <c r="G165" s="32"/>
      <c r="H165" s="32"/>
      <c r="I165" s="32"/>
    </row>
    <row r="166" spans="6:9" ht="13">
      <c r="F166" s="32"/>
      <c r="G166" s="32"/>
      <c r="H166" s="32"/>
      <c r="I166" s="32"/>
    </row>
    <row r="167" spans="6:9" ht="13">
      <c r="F167" s="32"/>
      <c r="G167" s="32"/>
      <c r="H167" s="32"/>
      <c r="I167" s="32"/>
    </row>
    <row r="168" spans="6:9" ht="13">
      <c r="F168" s="32"/>
      <c r="G168" s="32"/>
      <c r="H168" s="32"/>
      <c r="I168" s="32"/>
    </row>
    <row r="169" spans="6:9" ht="13">
      <c r="F169" s="32"/>
      <c r="G169" s="32"/>
      <c r="H169" s="32"/>
      <c r="I169" s="32"/>
    </row>
    <row r="170" spans="6:9" ht="13">
      <c r="F170" s="32"/>
      <c r="G170" s="32"/>
      <c r="H170" s="32"/>
      <c r="I170" s="32"/>
    </row>
    <row r="171" spans="6:9" ht="13">
      <c r="F171" s="32"/>
      <c r="G171" s="32"/>
      <c r="H171" s="32"/>
      <c r="I171" s="32"/>
    </row>
    <row r="172" spans="6:9" ht="13">
      <c r="F172" s="32"/>
      <c r="G172" s="32"/>
      <c r="H172" s="32"/>
      <c r="I172" s="32"/>
    </row>
    <row r="173" spans="6:9" ht="13">
      <c r="F173" s="32"/>
      <c r="G173" s="32"/>
      <c r="H173" s="32"/>
      <c r="I173" s="32"/>
    </row>
    <row r="174" spans="6:9" ht="13">
      <c r="F174" s="32"/>
      <c r="G174" s="32"/>
      <c r="H174" s="32"/>
      <c r="I174" s="32"/>
    </row>
    <row r="175" spans="6:9" ht="13">
      <c r="F175" s="32"/>
      <c r="G175" s="32"/>
      <c r="H175" s="32"/>
      <c r="I175" s="32"/>
    </row>
    <row r="176" spans="6:9" ht="13">
      <c r="F176" s="32"/>
      <c r="G176" s="32"/>
      <c r="H176" s="32"/>
      <c r="I176" s="32"/>
    </row>
    <row r="177" spans="6:9" ht="13">
      <c r="F177" s="32"/>
      <c r="G177" s="32"/>
      <c r="H177" s="32"/>
      <c r="I177" s="32"/>
    </row>
    <row r="178" spans="6:9" ht="13">
      <c r="F178" s="32"/>
      <c r="G178" s="32"/>
      <c r="H178" s="32"/>
      <c r="I178" s="32"/>
    </row>
    <row r="179" spans="6:9" ht="13">
      <c r="F179" s="32"/>
      <c r="G179" s="32"/>
      <c r="H179" s="32"/>
      <c r="I179" s="32"/>
    </row>
    <row r="180" spans="6:9" ht="13">
      <c r="F180" s="32"/>
      <c r="G180" s="32"/>
      <c r="H180" s="32"/>
      <c r="I180" s="32"/>
    </row>
    <row r="181" spans="6:9" ht="13">
      <c r="F181" s="32"/>
      <c r="G181" s="32"/>
      <c r="H181" s="32"/>
      <c r="I181" s="32"/>
    </row>
    <row r="182" spans="6:9" ht="13">
      <c r="F182" s="32"/>
      <c r="G182" s="32"/>
      <c r="H182" s="32"/>
      <c r="I182" s="32"/>
    </row>
    <row r="183" spans="6:9" ht="13">
      <c r="F183" s="32"/>
      <c r="G183" s="32"/>
      <c r="H183" s="32"/>
      <c r="I183" s="32"/>
    </row>
    <row r="184" spans="6:9" ht="13">
      <c r="F184" s="32"/>
      <c r="G184" s="32"/>
      <c r="H184" s="32"/>
      <c r="I184" s="32"/>
    </row>
    <row r="185" spans="6:9" ht="13">
      <c r="F185" s="32"/>
      <c r="G185" s="32"/>
      <c r="H185" s="32"/>
      <c r="I185" s="32"/>
    </row>
    <row r="186" spans="6:9" ht="13">
      <c r="F186" s="32"/>
      <c r="G186" s="32"/>
      <c r="H186" s="32"/>
      <c r="I186" s="32"/>
    </row>
    <row r="187" spans="6:9" ht="13">
      <c r="F187" s="32"/>
      <c r="G187" s="32"/>
      <c r="H187" s="32"/>
      <c r="I187" s="32"/>
    </row>
    <row r="188" spans="6:9" ht="13">
      <c r="F188" s="32"/>
      <c r="G188" s="32"/>
      <c r="H188" s="32"/>
      <c r="I188" s="32"/>
    </row>
    <row r="189" spans="6:9" ht="13">
      <c r="F189" s="32"/>
      <c r="G189" s="32"/>
      <c r="H189" s="32"/>
      <c r="I189" s="32"/>
    </row>
    <row r="190" spans="6:9" ht="13">
      <c r="F190" s="32"/>
      <c r="G190" s="32"/>
      <c r="H190" s="32"/>
      <c r="I190" s="32"/>
    </row>
    <row r="191" spans="6:9" ht="13">
      <c r="F191" s="32"/>
      <c r="G191" s="32"/>
      <c r="H191" s="32"/>
      <c r="I191" s="32"/>
    </row>
    <row r="192" spans="6:9" ht="13">
      <c r="F192" s="32"/>
      <c r="G192" s="32"/>
      <c r="H192" s="32"/>
      <c r="I192" s="32"/>
    </row>
    <row r="193" spans="6:9" ht="13">
      <c r="F193" s="32"/>
      <c r="G193" s="32"/>
      <c r="H193" s="32"/>
      <c r="I193" s="32"/>
    </row>
    <row r="194" spans="6:9" ht="13">
      <c r="F194" s="32"/>
      <c r="G194" s="32"/>
      <c r="H194" s="32"/>
      <c r="I194" s="32"/>
    </row>
    <row r="195" spans="6:9" ht="13">
      <c r="F195" s="32"/>
      <c r="G195" s="32"/>
      <c r="H195" s="32"/>
      <c r="I195" s="32"/>
    </row>
    <row r="196" spans="6:9" ht="13">
      <c r="F196" s="32"/>
      <c r="G196" s="32"/>
      <c r="H196" s="32"/>
      <c r="I196" s="32"/>
    </row>
    <row r="197" spans="6:9" ht="13">
      <c r="F197" s="32"/>
      <c r="G197" s="32"/>
      <c r="H197" s="32"/>
      <c r="I197" s="32"/>
    </row>
    <row r="198" spans="6:9" ht="13">
      <c r="F198" s="32"/>
      <c r="G198" s="32"/>
      <c r="H198" s="32"/>
      <c r="I198" s="32"/>
    </row>
    <row r="199" spans="6:9" ht="13">
      <c r="F199" s="32"/>
      <c r="G199" s="32"/>
      <c r="H199" s="32"/>
      <c r="I199" s="32"/>
    </row>
    <row r="200" spans="6:9" ht="13">
      <c r="F200" s="32"/>
      <c r="G200" s="32"/>
      <c r="H200" s="32"/>
      <c r="I200" s="32"/>
    </row>
    <row r="201" spans="6:9" ht="13">
      <c r="F201" s="32"/>
      <c r="G201" s="32"/>
      <c r="H201" s="32"/>
      <c r="I201" s="32"/>
    </row>
    <row r="202" spans="6:9" ht="13">
      <c r="F202" s="32"/>
      <c r="G202" s="32"/>
      <c r="H202" s="32"/>
      <c r="I202" s="32"/>
    </row>
    <row r="203" spans="6:9" ht="13">
      <c r="F203" s="32"/>
      <c r="G203" s="32"/>
      <c r="H203" s="32"/>
      <c r="I203" s="32"/>
    </row>
    <row r="204" spans="6:9" ht="13">
      <c r="F204" s="32"/>
      <c r="G204" s="32"/>
      <c r="H204" s="32"/>
      <c r="I204" s="32"/>
    </row>
    <row r="205" spans="6:9" ht="13">
      <c r="F205" s="32"/>
      <c r="G205" s="32"/>
      <c r="H205" s="32"/>
      <c r="I205" s="32"/>
    </row>
    <row r="206" spans="6:9" ht="13">
      <c r="F206" s="32"/>
      <c r="G206" s="32"/>
      <c r="H206" s="32"/>
      <c r="I206" s="32"/>
    </row>
    <row r="207" spans="6:9" ht="13">
      <c r="F207" s="32"/>
      <c r="G207" s="32"/>
      <c r="H207" s="32"/>
      <c r="I207" s="32"/>
    </row>
    <row r="208" spans="6:9" ht="13">
      <c r="F208" s="32"/>
      <c r="G208" s="32"/>
      <c r="H208" s="32"/>
      <c r="I208" s="32"/>
    </row>
    <row r="209" spans="6:9" ht="13">
      <c r="F209" s="32"/>
      <c r="G209" s="32"/>
      <c r="H209" s="32"/>
      <c r="I209" s="32"/>
    </row>
    <row r="210" spans="6:9" ht="13">
      <c r="F210" s="32"/>
      <c r="G210" s="32"/>
      <c r="H210" s="32"/>
      <c r="I210" s="32"/>
    </row>
    <row r="211" spans="6:9" ht="13">
      <c r="F211" s="32"/>
      <c r="G211" s="32"/>
      <c r="H211" s="32"/>
      <c r="I211" s="32"/>
    </row>
    <row r="212" spans="6:9" ht="13">
      <c r="F212" s="32"/>
      <c r="G212" s="32"/>
      <c r="H212" s="32"/>
      <c r="I212" s="32"/>
    </row>
    <row r="213" spans="6:9" ht="13">
      <c r="F213" s="32"/>
      <c r="G213" s="32"/>
      <c r="H213" s="32"/>
      <c r="I213" s="32"/>
    </row>
    <row r="214" spans="6:9" ht="13">
      <c r="F214" s="32"/>
      <c r="G214" s="32"/>
      <c r="H214" s="32"/>
      <c r="I214" s="32"/>
    </row>
    <row r="215" spans="6:9" ht="13">
      <c r="F215" s="32"/>
      <c r="G215" s="32"/>
      <c r="H215" s="32"/>
      <c r="I215" s="32"/>
    </row>
    <row r="216" spans="6:9" ht="13">
      <c r="F216" s="32"/>
      <c r="G216" s="32"/>
      <c r="H216" s="32"/>
      <c r="I216" s="32"/>
    </row>
    <row r="217" spans="6:9" ht="13">
      <c r="F217" s="32"/>
      <c r="G217" s="32"/>
      <c r="H217" s="32"/>
      <c r="I217" s="32"/>
    </row>
    <row r="218" spans="6:9" ht="13">
      <c r="F218" s="32"/>
      <c r="G218" s="32"/>
      <c r="H218" s="32"/>
      <c r="I218" s="32"/>
    </row>
    <row r="219" spans="6:9" ht="13">
      <c r="F219" s="32"/>
      <c r="G219" s="32"/>
      <c r="H219" s="32"/>
      <c r="I219" s="32"/>
    </row>
    <row r="220" spans="6:9" ht="13">
      <c r="F220" s="32"/>
      <c r="G220" s="32"/>
      <c r="H220" s="32"/>
      <c r="I220" s="32"/>
    </row>
    <row r="221" spans="6:9" ht="13">
      <c r="F221" s="32"/>
      <c r="G221" s="32"/>
      <c r="H221" s="32"/>
      <c r="I221" s="32"/>
    </row>
    <row r="222" spans="6:9" ht="13">
      <c r="F222" s="32"/>
      <c r="G222" s="32"/>
      <c r="H222" s="32"/>
      <c r="I222" s="32"/>
    </row>
    <row r="223" spans="6:9" ht="13">
      <c r="F223" s="32"/>
      <c r="G223" s="32"/>
      <c r="H223" s="32"/>
      <c r="I223" s="32"/>
    </row>
    <row r="224" spans="6:9" ht="13">
      <c r="F224" s="32"/>
      <c r="G224" s="32"/>
      <c r="H224" s="32"/>
      <c r="I224" s="32"/>
    </row>
    <row r="225" spans="6:9" ht="13">
      <c r="F225" s="32"/>
      <c r="G225" s="32"/>
      <c r="H225" s="32"/>
      <c r="I225" s="32"/>
    </row>
    <row r="226" spans="6:9" ht="13">
      <c r="F226" s="32"/>
      <c r="G226" s="32"/>
      <c r="H226" s="32"/>
      <c r="I226" s="32"/>
    </row>
    <row r="227" spans="6:9" ht="13">
      <c r="F227" s="32"/>
      <c r="G227" s="32"/>
      <c r="H227" s="32"/>
      <c r="I227" s="32"/>
    </row>
    <row r="228" spans="6:9" ht="13">
      <c r="F228" s="32"/>
      <c r="G228" s="32"/>
      <c r="H228" s="32"/>
      <c r="I228" s="32"/>
    </row>
    <row r="229" spans="6:9" ht="13">
      <c r="F229" s="32"/>
      <c r="G229" s="32"/>
      <c r="H229" s="32"/>
      <c r="I229" s="32"/>
    </row>
    <row r="230" spans="6:9" ht="13">
      <c r="F230" s="32"/>
      <c r="G230" s="32"/>
      <c r="H230" s="32"/>
      <c r="I230" s="32"/>
    </row>
    <row r="231" spans="6:9" ht="13">
      <c r="F231" s="32"/>
      <c r="G231" s="32"/>
      <c r="H231" s="32"/>
      <c r="I231" s="32"/>
    </row>
    <row r="232" spans="6:9" ht="13">
      <c r="F232" s="32"/>
      <c r="G232" s="32"/>
      <c r="H232" s="32"/>
      <c r="I232" s="32"/>
    </row>
    <row r="233" spans="6:9" ht="13">
      <c r="F233" s="32"/>
      <c r="G233" s="32"/>
      <c r="H233" s="32"/>
      <c r="I233" s="32"/>
    </row>
    <row r="234" spans="6:9" ht="13">
      <c r="F234" s="32"/>
      <c r="G234" s="32"/>
      <c r="H234" s="32"/>
      <c r="I234" s="32"/>
    </row>
    <row r="235" spans="6:9" ht="13">
      <c r="F235" s="32"/>
      <c r="G235" s="32"/>
      <c r="H235" s="32"/>
      <c r="I235" s="32"/>
    </row>
    <row r="236" spans="6:9" ht="13">
      <c r="F236" s="32"/>
      <c r="G236" s="32"/>
      <c r="H236" s="32"/>
      <c r="I236" s="32"/>
    </row>
    <row r="237" spans="6:9" ht="13">
      <c r="F237" s="32"/>
      <c r="G237" s="32"/>
      <c r="H237" s="32"/>
      <c r="I237" s="32"/>
    </row>
    <row r="238" spans="6:9" ht="13">
      <c r="F238" s="32"/>
      <c r="G238" s="32"/>
      <c r="H238" s="32"/>
      <c r="I238" s="32"/>
    </row>
    <row r="239" spans="6:9" ht="13">
      <c r="F239" s="32"/>
      <c r="G239" s="32"/>
      <c r="H239" s="32"/>
      <c r="I239" s="32"/>
    </row>
    <row r="240" spans="6:9" ht="13">
      <c r="F240" s="32"/>
      <c r="G240" s="32"/>
      <c r="H240" s="32"/>
      <c r="I240" s="32"/>
    </row>
    <row r="241" spans="6:9" ht="13">
      <c r="F241" s="32"/>
      <c r="G241" s="32"/>
      <c r="H241" s="32"/>
      <c r="I241" s="32"/>
    </row>
    <row r="242" spans="6:9" ht="13">
      <c r="F242" s="32"/>
      <c r="G242" s="32"/>
      <c r="H242" s="32"/>
      <c r="I242" s="32"/>
    </row>
    <row r="243" spans="6:9" ht="13">
      <c r="F243" s="32"/>
      <c r="G243" s="32"/>
      <c r="H243" s="32"/>
      <c r="I243" s="32"/>
    </row>
    <row r="244" spans="6:9" ht="13">
      <c r="F244" s="32"/>
      <c r="G244" s="32"/>
      <c r="H244" s="32"/>
      <c r="I244" s="32"/>
    </row>
    <row r="245" spans="6:9" ht="13">
      <c r="F245" s="32"/>
      <c r="G245" s="32"/>
      <c r="H245" s="32"/>
      <c r="I245" s="32"/>
    </row>
    <row r="246" spans="6:9" ht="13">
      <c r="F246" s="32"/>
      <c r="G246" s="32"/>
      <c r="H246" s="32"/>
      <c r="I246" s="32"/>
    </row>
    <row r="247" spans="6:9" ht="13">
      <c r="F247" s="32"/>
      <c r="G247" s="32"/>
      <c r="H247" s="32"/>
      <c r="I247" s="32"/>
    </row>
    <row r="248" spans="6:9" ht="13">
      <c r="F248" s="32"/>
      <c r="G248" s="32"/>
      <c r="H248" s="32"/>
      <c r="I248" s="32"/>
    </row>
    <row r="249" spans="6:9" ht="13">
      <c r="F249" s="32"/>
      <c r="G249" s="32"/>
      <c r="H249" s="32"/>
      <c r="I249" s="32"/>
    </row>
    <row r="250" spans="6:9" ht="13">
      <c r="F250" s="32"/>
      <c r="G250" s="32"/>
      <c r="H250" s="32"/>
      <c r="I250" s="32"/>
    </row>
    <row r="251" spans="6:9" ht="13">
      <c r="F251" s="32"/>
      <c r="G251" s="32"/>
      <c r="H251" s="32"/>
      <c r="I251" s="32"/>
    </row>
    <row r="252" spans="6:9" ht="13">
      <c r="F252" s="32"/>
      <c r="G252" s="32"/>
      <c r="H252" s="32"/>
      <c r="I252" s="32"/>
    </row>
    <row r="253" spans="6:9" ht="13">
      <c r="F253" s="32"/>
      <c r="G253" s="32"/>
      <c r="H253" s="32"/>
      <c r="I253" s="32"/>
    </row>
    <row r="254" spans="6:9" ht="13">
      <c r="F254" s="32"/>
      <c r="G254" s="32"/>
      <c r="H254" s="32"/>
      <c r="I254" s="32"/>
    </row>
    <row r="255" spans="6:9" ht="13">
      <c r="F255" s="32"/>
      <c r="G255" s="32"/>
      <c r="H255" s="32"/>
      <c r="I255" s="32"/>
    </row>
    <row r="256" spans="6:9" ht="13">
      <c r="F256" s="32"/>
      <c r="G256" s="32"/>
      <c r="H256" s="32"/>
      <c r="I256" s="32"/>
    </row>
    <row r="257" spans="6:9" ht="13">
      <c r="F257" s="32"/>
      <c r="G257" s="32"/>
      <c r="H257" s="32"/>
      <c r="I257" s="32"/>
    </row>
    <row r="258" spans="6:9" ht="13">
      <c r="F258" s="32"/>
      <c r="G258" s="32"/>
      <c r="H258" s="32"/>
      <c r="I258" s="32"/>
    </row>
    <row r="259" spans="6:9" ht="13">
      <c r="F259" s="32"/>
      <c r="G259" s="32"/>
      <c r="H259" s="32"/>
      <c r="I259" s="32"/>
    </row>
    <row r="260" spans="6:9" ht="13">
      <c r="F260" s="32"/>
      <c r="G260" s="32"/>
      <c r="H260" s="32"/>
      <c r="I260" s="32"/>
    </row>
    <row r="261" spans="6:9" ht="13">
      <c r="F261" s="32"/>
      <c r="G261" s="32"/>
      <c r="H261" s="32"/>
      <c r="I261" s="32"/>
    </row>
    <row r="262" spans="6:9" ht="13">
      <c r="F262" s="32"/>
      <c r="G262" s="32"/>
      <c r="H262" s="32"/>
      <c r="I262" s="32"/>
    </row>
    <row r="263" spans="6:9" ht="13">
      <c r="F263" s="32"/>
      <c r="G263" s="32"/>
      <c r="H263" s="32"/>
      <c r="I263" s="32"/>
    </row>
    <row r="264" spans="6:9" ht="13">
      <c r="F264" s="32"/>
      <c r="G264" s="32"/>
      <c r="H264" s="32"/>
      <c r="I264" s="32"/>
    </row>
    <row r="265" spans="6:9" ht="13">
      <c r="F265" s="32"/>
      <c r="G265" s="32"/>
      <c r="H265" s="32"/>
      <c r="I265" s="32"/>
    </row>
    <row r="266" spans="6:9" ht="13">
      <c r="F266" s="32"/>
      <c r="G266" s="32"/>
      <c r="H266" s="32"/>
      <c r="I266" s="32"/>
    </row>
    <row r="267" spans="6:9" ht="13">
      <c r="F267" s="32"/>
      <c r="G267" s="32"/>
      <c r="H267" s="32"/>
      <c r="I267" s="32"/>
    </row>
    <row r="268" spans="6:9" ht="13">
      <c r="F268" s="32"/>
      <c r="G268" s="32"/>
      <c r="H268" s="32"/>
      <c r="I268" s="32"/>
    </row>
    <row r="269" spans="6:9" ht="13">
      <c r="F269" s="32"/>
      <c r="G269" s="32"/>
      <c r="H269" s="32"/>
      <c r="I269" s="32"/>
    </row>
    <row r="270" spans="6:9" ht="13">
      <c r="F270" s="32"/>
      <c r="G270" s="32"/>
      <c r="H270" s="32"/>
      <c r="I270" s="32"/>
    </row>
    <row r="271" spans="6:9" ht="13">
      <c r="F271" s="32"/>
      <c r="G271" s="32"/>
      <c r="H271" s="32"/>
      <c r="I271" s="32"/>
    </row>
    <row r="272" spans="6:9" ht="13">
      <c r="F272" s="32"/>
      <c r="G272" s="32"/>
      <c r="H272" s="32"/>
      <c r="I272" s="32"/>
    </row>
    <row r="273" spans="6:9" ht="13">
      <c r="F273" s="32"/>
      <c r="G273" s="32"/>
      <c r="H273" s="32"/>
      <c r="I273" s="32"/>
    </row>
    <row r="274" spans="6:9" ht="13">
      <c r="F274" s="32"/>
      <c r="G274" s="32"/>
      <c r="H274" s="32"/>
      <c r="I274" s="32"/>
    </row>
    <row r="275" spans="6:9" ht="13">
      <c r="F275" s="32"/>
      <c r="G275" s="32"/>
      <c r="H275" s="32"/>
      <c r="I275" s="32"/>
    </row>
    <row r="276" spans="6:9" ht="13">
      <c r="F276" s="32"/>
      <c r="G276" s="32"/>
      <c r="H276" s="32"/>
      <c r="I276" s="32"/>
    </row>
    <row r="277" spans="6:9" ht="13">
      <c r="F277" s="32"/>
      <c r="G277" s="32"/>
      <c r="H277" s="32"/>
      <c r="I277" s="32"/>
    </row>
    <row r="278" spans="6:9" ht="13">
      <c r="F278" s="32"/>
      <c r="G278" s="32"/>
      <c r="H278" s="32"/>
      <c r="I278" s="32"/>
    </row>
    <row r="279" spans="6:9" ht="13">
      <c r="F279" s="32"/>
      <c r="G279" s="32"/>
      <c r="H279" s="32"/>
      <c r="I279" s="32"/>
    </row>
    <row r="280" spans="6:9" ht="13">
      <c r="F280" s="32"/>
      <c r="G280" s="32"/>
      <c r="H280" s="32"/>
      <c r="I280" s="32"/>
    </row>
    <row r="281" spans="6:9" ht="13">
      <c r="F281" s="32"/>
      <c r="G281" s="32"/>
      <c r="H281" s="32"/>
      <c r="I281" s="32"/>
    </row>
    <row r="282" spans="6:9" ht="13">
      <c r="F282" s="32"/>
      <c r="G282" s="32"/>
      <c r="H282" s="32"/>
      <c r="I282" s="32"/>
    </row>
    <row r="283" spans="6:9" ht="13">
      <c r="F283" s="32"/>
      <c r="G283" s="32"/>
      <c r="H283" s="32"/>
      <c r="I283" s="32"/>
    </row>
    <row r="284" spans="6:9" ht="13">
      <c r="F284" s="32"/>
      <c r="G284" s="32"/>
      <c r="H284" s="32"/>
      <c r="I284" s="32"/>
    </row>
    <row r="285" spans="6:9" ht="13">
      <c r="F285" s="32"/>
      <c r="G285" s="32"/>
      <c r="H285" s="32"/>
      <c r="I285" s="32"/>
    </row>
    <row r="286" spans="6:9" ht="13">
      <c r="F286" s="32"/>
      <c r="G286" s="32"/>
      <c r="H286" s="32"/>
      <c r="I286" s="32"/>
    </row>
    <row r="287" spans="6:9" ht="13">
      <c r="F287" s="32"/>
      <c r="G287" s="32"/>
      <c r="H287" s="32"/>
      <c r="I287" s="32"/>
    </row>
    <row r="288" spans="6:9" ht="13">
      <c r="F288" s="32"/>
      <c r="G288" s="32"/>
      <c r="H288" s="32"/>
      <c r="I288" s="32"/>
    </row>
    <row r="289" spans="6:9" ht="13">
      <c r="F289" s="32"/>
      <c r="G289" s="32"/>
      <c r="H289" s="32"/>
      <c r="I289" s="32"/>
    </row>
    <row r="290" spans="6:9" ht="13">
      <c r="F290" s="32"/>
      <c r="G290" s="32"/>
      <c r="H290" s="32"/>
      <c r="I290" s="32"/>
    </row>
    <row r="291" spans="6:9" ht="13">
      <c r="F291" s="32"/>
      <c r="G291" s="32"/>
      <c r="H291" s="32"/>
      <c r="I291" s="32"/>
    </row>
    <row r="292" spans="6:9" ht="13">
      <c r="F292" s="32"/>
      <c r="G292" s="32"/>
      <c r="H292" s="32"/>
      <c r="I292" s="32"/>
    </row>
    <row r="293" spans="6:9" ht="13">
      <c r="F293" s="32"/>
      <c r="G293" s="32"/>
      <c r="H293" s="32"/>
      <c r="I293" s="32"/>
    </row>
    <row r="294" spans="6:9" ht="13">
      <c r="F294" s="32"/>
      <c r="G294" s="32"/>
      <c r="H294" s="32"/>
      <c r="I294" s="32"/>
    </row>
    <row r="295" spans="6:9" ht="13">
      <c r="F295" s="32"/>
      <c r="G295" s="32"/>
      <c r="H295" s="32"/>
      <c r="I295" s="32"/>
    </row>
    <row r="296" spans="6:9" ht="13">
      <c r="F296" s="32"/>
      <c r="G296" s="32"/>
      <c r="H296" s="32"/>
      <c r="I296" s="32"/>
    </row>
    <row r="297" spans="6:9" ht="13">
      <c r="F297" s="32"/>
      <c r="G297" s="32"/>
      <c r="H297" s="32"/>
      <c r="I297" s="32"/>
    </row>
    <row r="298" spans="6:9" ht="13">
      <c r="F298" s="32"/>
      <c r="G298" s="32"/>
      <c r="H298" s="32"/>
      <c r="I298" s="32"/>
    </row>
    <row r="299" spans="6:9" ht="13">
      <c r="F299" s="32"/>
      <c r="G299" s="32"/>
      <c r="H299" s="32"/>
      <c r="I299" s="32"/>
    </row>
    <row r="300" spans="6:9" ht="13">
      <c r="F300" s="32"/>
      <c r="G300" s="32"/>
      <c r="H300" s="32"/>
      <c r="I300" s="32"/>
    </row>
    <row r="301" spans="6:9" ht="13">
      <c r="F301" s="32"/>
      <c r="G301" s="32"/>
      <c r="H301" s="32"/>
      <c r="I301" s="32"/>
    </row>
    <row r="302" spans="6:9" ht="13">
      <c r="F302" s="32"/>
      <c r="G302" s="32"/>
      <c r="H302" s="32"/>
      <c r="I302" s="32"/>
    </row>
    <row r="303" spans="6:9" ht="13">
      <c r="F303" s="32"/>
      <c r="G303" s="32"/>
      <c r="H303" s="32"/>
      <c r="I303" s="32"/>
    </row>
    <row r="304" spans="6:9" ht="13">
      <c r="F304" s="32"/>
      <c r="G304" s="32"/>
      <c r="H304" s="32"/>
      <c r="I304" s="32"/>
    </row>
    <row r="305" spans="6:9" ht="13">
      <c r="F305" s="32"/>
      <c r="G305" s="32"/>
      <c r="H305" s="32"/>
      <c r="I305" s="32"/>
    </row>
    <row r="306" spans="6:9" ht="13">
      <c r="F306" s="32"/>
      <c r="G306" s="32"/>
      <c r="H306" s="32"/>
      <c r="I306" s="32"/>
    </row>
    <row r="307" spans="6:9" ht="13">
      <c r="F307" s="32"/>
      <c r="G307" s="32"/>
      <c r="H307" s="32"/>
      <c r="I307" s="32"/>
    </row>
    <row r="308" spans="6:9" ht="13">
      <c r="F308" s="32"/>
      <c r="G308" s="32"/>
      <c r="H308" s="32"/>
      <c r="I308" s="32"/>
    </row>
    <row r="309" spans="6:9" ht="13">
      <c r="F309" s="32"/>
      <c r="G309" s="32"/>
      <c r="H309" s="32"/>
      <c r="I309" s="32"/>
    </row>
    <row r="310" spans="6:9" ht="13">
      <c r="F310" s="32"/>
      <c r="G310" s="32"/>
      <c r="H310" s="32"/>
      <c r="I310" s="32"/>
    </row>
    <row r="311" spans="6:9" ht="13">
      <c r="F311" s="32"/>
      <c r="G311" s="32"/>
      <c r="H311" s="32"/>
      <c r="I311" s="32"/>
    </row>
    <row r="312" spans="6:9" ht="13">
      <c r="F312" s="32"/>
      <c r="G312" s="32"/>
      <c r="H312" s="32"/>
      <c r="I312" s="32"/>
    </row>
    <row r="313" spans="6:9" ht="13">
      <c r="F313" s="32"/>
      <c r="G313" s="32"/>
      <c r="H313" s="32"/>
      <c r="I313" s="32"/>
    </row>
    <row r="314" spans="6:9" ht="13">
      <c r="F314" s="32"/>
      <c r="G314" s="32"/>
      <c r="H314" s="32"/>
      <c r="I314" s="32"/>
    </row>
    <row r="315" spans="6:9" ht="13">
      <c r="F315" s="32"/>
      <c r="G315" s="32"/>
      <c r="H315" s="32"/>
      <c r="I315" s="32"/>
    </row>
    <row r="316" spans="6:9" ht="13">
      <c r="F316" s="32"/>
      <c r="G316" s="32"/>
      <c r="H316" s="32"/>
      <c r="I316" s="32"/>
    </row>
    <row r="317" spans="6:9" ht="13">
      <c r="F317" s="32"/>
      <c r="G317" s="32"/>
      <c r="H317" s="32"/>
      <c r="I317" s="32"/>
    </row>
    <row r="318" spans="6:9" ht="13">
      <c r="F318" s="32"/>
      <c r="G318" s="32"/>
      <c r="H318" s="32"/>
      <c r="I318" s="32"/>
    </row>
    <row r="319" spans="6:9" ht="13">
      <c r="F319" s="32"/>
      <c r="G319" s="32"/>
      <c r="H319" s="32"/>
      <c r="I319" s="32"/>
    </row>
    <row r="320" spans="6:9" ht="13">
      <c r="F320" s="32"/>
      <c r="G320" s="32"/>
      <c r="H320" s="32"/>
      <c r="I320" s="32"/>
    </row>
    <row r="321" spans="6:9" ht="13">
      <c r="F321" s="32"/>
      <c r="G321" s="32"/>
      <c r="H321" s="32"/>
      <c r="I321" s="32"/>
    </row>
    <row r="322" spans="6:9" ht="13">
      <c r="F322" s="32"/>
      <c r="G322" s="32"/>
      <c r="H322" s="32"/>
      <c r="I322" s="32"/>
    </row>
    <row r="323" spans="6:9" ht="13">
      <c r="F323" s="32"/>
      <c r="G323" s="32"/>
      <c r="H323" s="32"/>
      <c r="I323" s="32"/>
    </row>
    <row r="324" spans="6:9" ht="13">
      <c r="F324" s="32"/>
      <c r="G324" s="32"/>
      <c r="H324" s="32"/>
      <c r="I324" s="32"/>
    </row>
    <row r="325" spans="6:9" ht="13">
      <c r="F325" s="32"/>
      <c r="G325" s="32"/>
      <c r="H325" s="32"/>
      <c r="I325" s="32"/>
    </row>
    <row r="326" spans="6:9" ht="13">
      <c r="F326" s="32"/>
      <c r="G326" s="32"/>
      <c r="H326" s="32"/>
      <c r="I326" s="32"/>
    </row>
    <row r="327" spans="6:9" ht="13">
      <c r="F327" s="32"/>
      <c r="G327" s="32"/>
      <c r="H327" s="32"/>
      <c r="I327" s="32"/>
    </row>
    <row r="328" spans="6:9" ht="13">
      <c r="F328" s="32"/>
      <c r="G328" s="32"/>
      <c r="H328" s="32"/>
      <c r="I328" s="32"/>
    </row>
    <row r="329" spans="6:9" ht="13">
      <c r="F329" s="32"/>
      <c r="G329" s="32"/>
      <c r="H329" s="32"/>
      <c r="I329" s="32"/>
    </row>
    <row r="330" spans="6:9" ht="13">
      <c r="F330" s="32"/>
      <c r="G330" s="32"/>
      <c r="H330" s="32"/>
      <c r="I330" s="32"/>
    </row>
    <row r="331" spans="6:9" ht="13">
      <c r="F331" s="32"/>
      <c r="G331" s="32"/>
      <c r="H331" s="32"/>
      <c r="I331" s="32"/>
    </row>
    <row r="332" spans="6:9" ht="13">
      <c r="F332" s="32"/>
      <c r="G332" s="32"/>
      <c r="H332" s="32"/>
      <c r="I332" s="32"/>
    </row>
    <row r="333" spans="6:9" ht="13">
      <c r="F333" s="32"/>
      <c r="G333" s="32"/>
      <c r="H333" s="32"/>
      <c r="I333" s="32"/>
    </row>
    <row r="334" spans="6:9" ht="13">
      <c r="F334" s="32"/>
      <c r="G334" s="32"/>
      <c r="H334" s="32"/>
      <c r="I334" s="32"/>
    </row>
    <row r="335" spans="6:9" ht="13">
      <c r="F335" s="32"/>
      <c r="G335" s="32"/>
      <c r="H335" s="32"/>
      <c r="I335" s="32"/>
    </row>
    <row r="336" spans="6:9" ht="13">
      <c r="F336" s="32"/>
      <c r="G336" s="32"/>
      <c r="H336" s="32"/>
      <c r="I336" s="32"/>
    </row>
    <row r="337" spans="6:9" ht="13">
      <c r="F337" s="32"/>
      <c r="G337" s="32"/>
      <c r="H337" s="32"/>
      <c r="I337" s="32"/>
    </row>
    <row r="338" spans="6:9" ht="13">
      <c r="F338" s="32"/>
      <c r="G338" s="32"/>
      <c r="H338" s="32"/>
      <c r="I338" s="32"/>
    </row>
    <row r="339" spans="6:9" ht="13">
      <c r="F339" s="32"/>
      <c r="G339" s="32"/>
      <c r="H339" s="32"/>
      <c r="I339" s="32"/>
    </row>
    <row r="340" spans="6:9" ht="13">
      <c r="F340" s="32"/>
      <c r="G340" s="32"/>
      <c r="H340" s="32"/>
      <c r="I340" s="32"/>
    </row>
    <row r="341" spans="6:9" ht="13">
      <c r="F341" s="32"/>
      <c r="G341" s="32"/>
      <c r="H341" s="32"/>
      <c r="I341" s="32"/>
    </row>
    <row r="342" spans="6:9" ht="13">
      <c r="F342" s="32"/>
      <c r="G342" s="32"/>
      <c r="H342" s="32"/>
      <c r="I342" s="32"/>
    </row>
    <row r="343" spans="6:9" ht="13">
      <c r="F343" s="32"/>
      <c r="G343" s="32"/>
      <c r="H343" s="32"/>
      <c r="I343" s="32"/>
    </row>
    <row r="344" spans="6:9" ht="13">
      <c r="F344" s="32"/>
      <c r="G344" s="32"/>
      <c r="H344" s="32"/>
      <c r="I344" s="32"/>
    </row>
    <row r="345" spans="6:9" ht="13">
      <c r="F345" s="32"/>
      <c r="G345" s="32"/>
      <c r="H345" s="32"/>
      <c r="I345" s="32"/>
    </row>
    <row r="346" spans="6:9" ht="13">
      <c r="F346" s="32"/>
      <c r="G346" s="32"/>
      <c r="H346" s="32"/>
      <c r="I346" s="32"/>
    </row>
    <row r="347" spans="6:9" ht="13">
      <c r="F347" s="32"/>
      <c r="G347" s="32"/>
      <c r="H347" s="32"/>
      <c r="I347" s="32"/>
    </row>
    <row r="348" spans="6:9" ht="13">
      <c r="F348" s="32"/>
      <c r="G348" s="32"/>
      <c r="H348" s="32"/>
      <c r="I348" s="32"/>
    </row>
    <row r="349" spans="6:9" ht="13">
      <c r="F349" s="32"/>
      <c r="G349" s="32"/>
      <c r="H349" s="32"/>
      <c r="I349" s="32"/>
    </row>
    <row r="350" spans="6:9" ht="13">
      <c r="F350" s="32"/>
      <c r="G350" s="32"/>
      <c r="H350" s="32"/>
      <c r="I350" s="32"/>
    </row>
    <row r="351" spans="6:9" ht="13">
      <c r="F351" s="32"/>
      <c r="G351" s="32"/>
      <c r="H351" s="32"/>
      <c r="I351" s="32"/>
    </row>
    <row r="352" spans="6:9" ht="13">
      <c r="F352" s="32"/>
      <c r="G352" s="32"/>
      <c r="H352" s="32"/>
      <c r="I352" s="32"/>
    </row>
    <row r="353" spans="6:9" ht="13">
      <c r="F353" s="32"/>
      <c r="G353" s="32"/>
      <c r="H353" s="32"/>
      <c r="I353" s="32"/>
    </row>
    <row r="354" spans="6:9" ht="13">
      <c r="F354" s="32"/>
      <c r="G354" s="32"/>
      <c r="H354" s="32"/>
      <c r="I354" s="32"/>
    </row>
    <row r="355" spans="6:9" ht="13">
      <c r="F355" s="32"/>
      <c r="G355" s="32"/>
      <c r="H355" s="32"/>
      <c r="I355" s="32"/>
    </row>
    <row r="356" spans="6:9" ht="13">
      <c r="F356" s="32"/>
      <c r="G356" s="32"/>
      <c r="H356" s="32"/>
      <c r="I356" s="32"/>
    </row>
    <row r="357" spans="6:9" ht="13">
      <c r="F357" s="32"/>
      <c r="G357" s="32"/>
      <c r="H357" s="32"/>
      <c r="I357" s="32"/>
    </row>
    <row r="358" spans="6:9" ht="13">
      <c r="F358" s="32"/>
      <c r="G358" s="32"/>
      <c r="H358" s="32"/>
      <c r="I358" s="32"/>
    </row>
    <row r="359" spans="6:9" ht="13">
      <c r="F359" s="32"/>
      <c r="G359" s="32"/>
      <c r="H359" s="32"/>
      <c r="I359" s="32"/>
    </row>
    <row r="360" spans="6:9" ht="13">
      <c r="F360" s="32"/>
      <c r="G360" s="32"/>
      <c r="H360" s="32"/>
      <c r="I360" s="32"/>
    </row>
    <row r="361" spans="6:9" ht="13">
      <c r="F361" s="32"/>
      <c r="G361" s="32"/>
      <c r="H361" s="32"/>
      <c r="I361" s="32"/>
    </row>
    <row r="362" spans="6:9" ht="13">
      <c r="F362" s="32"/>
      <c r="G362" s="32"/>
      <c r="H362" s="32"/>
      <c r="I362" s="32"/>
    </row>
    <row r="363" spans="6:9" ht="13">
      <c r="F363" s="32"/>
      <c r="G363" s="32"/>
      <c r="H363" s="32"/>
      <c r="I363" s="32"/>
    </row>
    <row r="364" spans="6:9" ht="13">
      <c r="F364" s="32"/>
      <c r="G364" s="32"/>
      <c r="H364" s="32"/>
      <c r="I364" s="32"/>
    </row>
    <row r="365" spans="6:9" ht="13">
      <c r="F365" s="32"/>
      <c r="G365" s="32"/>
      <c r="H365" s="32"/>
      <c r="I365" s="32"/>
    </row>
    <row r="366" spans="6:9" ht="13">
      <c r="F366" s="32"/>
      <c r="G366" s="32"/>
      <c r="H366" s="32"/>
      <c r="I366" s="32"/>
    </row>
    <row r="367" spans="6:9" ht="13">
      <c r="F367" s="32"/>
      <c r="G367" s="32"/>
      <c r="H367" s="32"/>
      <c r="I367" s="32"/>
    </row>
    <row r="368" spans="6:9" ht="13">
      <c r="F368" s="32"/>
      <c r="G368" s="32"/>
      <c r="H368" s="32"/>
      <c r="I368" s="32"/>
    </row>
    <row r="369" spans="6:9" ht="13">
      <c r="F369" s="32"/>
      <c r="G369" s="32"/>
      <c r="H369" s="32"/>
      <c r="I369" s="32"/>
    </row>
    <row r="370" spans="6:9" ht="13">
      <c r="F370" s="32"/>
      <c r="G370" s="32"/>
      <c r="H370" s="32"/>
      <c r="I370" s="32"/>
    </row>
    <row r="371" spans="6:9" ht="13">
      <c r="F371" s="32"/>
      <c r="G371" s="32"/>
      <c r="H371" s="32"/>
      <c r="I371" s="32"/>
    </row>
    <row r="372" spans="6:9" ht="13">
      <c r="F372" s="32"/>
      <c r="G372" s="32"/>
      <c r="H372" s="32"/>
      <c r="I372" s="32"/>
    </row>
    <row r="373" spans="6:9" ht="13">
      <c r="F373" s="32"/>
      <c r="G373" s="32"/>
      <c r="H373" s="32"/>
      <c r="I373" s="32"/>
    </row>
    <row r="374" spans="6:9" ht="13">
      <c r="F374" s="32"/>
      <c r="G374" s="32"/>
      <c r="H374" s="32"/>
      <c r="I374" s="32"/>
    </row>
    <row r="375" spans="6:9" ht="13">
      <c r="F375" s="32"/>
      <c r="G375" s="32"/>
      <c r="H375" s="32"/>
      <c r="I375" s="32"/>
    </row>
    <row r="376" spans="6:9" ht="13">
      <c r="F376" s="32"/>
      <c r="G376" s="32"/>
      <c r="H376" s="32"/>
      <c r="I376" s="32"/>
    </row>
    <row r="377" spans="6:9" ht="13">
      <c r="F377" s="32"/>
      <c r="G377" s="32"/>
      <c r="H377" s="32"/>
      <c r="I377" s="32"/>
    </row>
    <row r="378" spans="6:9" ht="13">
      <c r="F378" s="32"/>
      <c r="G378" s="32"/>
      <c r="H378" s="32"/>
      <c r="I378" s="32"/>
    </row>
    <row r="379" spans="6:9" ht="13">
      <c r="F379" s="32"/>
      <c r="G379" s="32"/>
      <c r="H379" s="32"/>
      <c r="I379" s="32"/>
    </row>
    <row r="380" spans="6:9" ht="13">
      <c r="F380" s="32"/>
      <c r="G380" s="32"/>
      <c r="H380" s="32"/>
      <c r="I380" s="32"/>
    </row>
    <row r="381" spans="6:9" ht="13">
      <c r="F381" s="32"/>
      <c r="G381" s="32"/>
      <c r="H381" s="32"/>
      <c r="I381" s="32"/>
    </row>
    <row r="382" spans="6:9" ht="13">
      <c r="F382" s="32"/>
      <c r="G382" s="32"/>
      <c r="H382" s="32"/>
      <c r="I382" s="32"/>
    </row>
    <row r="383" spans="6:9" ht="13">
      <c r="F383" s="32"/>
      <c r="G383" s="32"/>
      <c r="H383" s="32"/>
      <c r="I383" s="32"/>
    </row>
    <row r="384" spans="6:9" ht="13">
      <c r="F384" s="32"/>
      <c r="G384" s="32"/>
      <c r="H384" s="32"/>
      <c r="I384" s="32"/>
    </row>
    <row r="385" spans="6:9" ht="13">
      <c r="F385" s="32"/>
      <c r="G385" s="32"/>
      <c r="H385" s="32"/>
      <c r="I385" s="32"/>
    </row>
    <row r="386" spans="6:9" ht="13">
      <c r="F386" s="32"/>
      <c r="G386" s="32"/>
      <c r="H386" s="32"/>
      <c r="I386" s="32"/>
    </row>
    <row r="387" spans="6:9" ht="13">
      <c r="F387" s="32"/>
      <c r="G387" s="32"/>
      <c r="H387" s="32"/>
      <c r="I387" s="32"/>
    </row>
    <row r="388" spans="6:9" ht="13">
      <c r="F388" s="32"/>
      <c r="G388" s="32"/>
      <c r="H388" s="32"/>
      <c r="I388" s="32"/>
    </row>
    <row r="389" spans="6:9" ht="13">
      <c r="F389" s="32"/>
      <c r="G389" s="32"/>
      <c r="H389" s="32"/>
      <c r="I389" s="32"/>
    </row>
    <row r="390" spans="6:9" ht="13">
      <c r="F390" s="32"/>
      <c r="G390" s="32"/>
      <c r="H390" s="32"/>
      <c r="I390" s="32"/>
    </row>
    <row r="391" spans="6:9" ht="13">
      <c r="F391" s="32"/>
      <c r="G391" s="32"/>
      <c r="H391" s="32"/>
      <c r="I391" s="32"/>
    </row>
    <row r="392" spans="6:9" ht="13">
      <c r="F392" s="32"/>
      <c r="G392" s="32"/>
      <c r="H392" s="32"/>
      <c r="I392" s="32"/>
    </row>
    <row r="393" spans="6:9" ht="13">
      <c r="F393" s="32"/>
      <c r="G393" s="32"/>
      <c r="H393" s="32"/>
      <c r="I393" s="32"/>
    </row>
    <row r="394" spans="6:9" ht="13">
      <c r="F394" s="32"/>
      <c r="G394" s="32"/>
      <c r="H394" s="32"/>
      <c r="I394" s="32"/>
    </row>
    <row r="395" spans="6:9" ht="13">
      <c r="F395" s="32"/>
      <c r="G395" s="32"/>
      <c r="H395" s="32"/>
      <c r="I395" s="32"/>
    </row>
    <row r="396" spans="6:9" ht="13">
      <c r="F396" s="32"/>
      <c r="G396" s="32"/>
      <c r="H396" s="32"/>
      <c r="I396" s="32"/>
    </row>
    <row r="397" spans="6:9" ht="13">
      <c r="F397" s="32"/>
      <c r="G397" s="32"/>
      <c r="H397" s="32"/>
      <c r="I397" s="32"/>
    </row>
    <row r="398" spans="6:9" ht="13">
      <c r="F398" s="32"/>
      <c r="G398" s="32"/>
      <c r="H398" s="32"/>
      <c r="I398" s="32"/>
    </row>
    <row r="399" spans="6:9" ht="13">
      <c r="F399" s="32"/>
      <c r="G399" s="32"/>
      <c r="H399" s="32"/>
      <c r="I399" s="32"/>
    </row>
    <row r="400" spans="6:9" ht="13">
      <c r="F400" s="32"/>
      <c r="G400" s="32"/>
      <c r="H400" s="32"/>
      <c r="I400" s="32"/>
    </row>
    <row r="401" spans="6:9" ht="13">
      <c r="F401" s="32"/>
      <c r="G401" s="32"/>
      <c r="H401" s="32"/>
      <c r="I401" s="32"/>
    </row>
    <row r="402" spans="6:9" ht="13">
      <c r="F402" s="32"/>
      <c r="G402" s="32"/>
      <c r="H402" s="32"/>
      <c r="I402" s="32"/>
    </row>
    <row r="403" spans="6:9" ht="13">
      <c r="F403" s="32"/>
      <c r="G403" s="32"/>
      <c r="H403" s="32"/>
      <c r="I403" s="32"/>
    </row>
    <row r="404" spans="6:9" ht="13">
      <c r="F404" s="32"/>
      <c r="G404" s="32"/>
      <c r="H404" s="32"/>
      <c r="I404" s="32"/>
    </row>
    <row r="405" spans="6:9" ht="13">
      <c r="F405" s="32"/>
      <c r="G405" s="32"/>
      <c r="H405" s="32"/>
      <c r="I405" s="32"/>
    </row>
    <row r="406" spans="6:9" ht="13">
      <c r="F406" s="32"/>
      <c r="G406" s="32"/>
      <c r="H406" s="32"/>
      <c r="I406" s="32"/>
    </row>
    <row r="407" spans="6:9" ht="13">
      <c r="F407" s="32"/>
      <c r="G407" s="32"/>
      <c r="H407" s="32"/>
      <c r="I407" s="32"/>
    </row>
    <row r="408" spans="6:9" ht="13">
      <c r="F408" s="32"/>
      <c r="G408" s="32"/>
      <c r="H408" s="32"/>
      <c r="I408" s="32"/>
    </row>
    <row r="409" spans="6:9" ht="13">
      <c r="F409" s="32"/>
      <c r="G409" s="32"/>
      <c r="H409" s="32"/>
      <c r="I409" s="32"/>
    </row>
    <row r="410" spans="6:9" ht="13">
      <c r="F410" s="32"/>
      <c r="G410" s="32"/>
      <c r="H410" s="32"/>
      <c r="I410" s="32"/>
    </row>
    <row r="411" spans="6:9" ht="13">
      <c r="F411" s="32"/>
      <c r="G411" s="32"/>
      <c r="H411" s="32"/>
      <c r="I411" s="32"/>
    </row>
    <row r="412" spans="6:9" ht="13">
      <c r="F412" s="32"/>
      <c r="G412" s="32"/>
      <c r="H412" s="32"/>
      <c r="I412" s="32"/>
    </row>
    <row r="413" spans="6:9" ht="13">
      <c r="F413" s="32"/>
      <c r="G413" s="32"/>
      <c r="H413" s="32"/>
      <c r="I413" s="32"/>
    </row>
    <row r="414" spans="6:9" ht="13">
      <c r="F414" s="32"/>
      <c r="G414" s="32"/>
      <c r="H414" s="32"/>
      <c r="I414" s="32"/>
    </row>
    <row r="415" spans="6:9" ht="13">
      <c r="F415" s="32"/>
      <c r="G415" s="32"/>
      <c r="H415" s="32"/>
      <c r="I415" s="32"/>
    </row>
    <row r="416" spans="6:9" ht="13">
      <c r="F416" s="32"/>
      <c r="G416" s="32"/>
      <c r="H416" s="32"/>
      <c r="I416" s="32"/>
    </row>
    <row r="417" spans="6:9" ht="13">
      <c r="F417" s="32"/>
      <c r="G417" s="32"/>
      <c r="H417" s="32"/>
      <c r="I417" s="32"/>
    </row>
    <row r="418" spans="6:9" ht="13">
      <c r="F418" s="32"/>
      <c r="G418" s="32"/>
      <c r="H418" s="32"/>
      <c r="I418" s="32"/>
    </row>
    <row r="419" spans="6:9" ht="13">
      <c r="F419" s="32"/>
      <c r="G419" s="32"/>
      <c r="H419" s="32"/>
      <c r="I419" s="32"/>
    </row>
    <row r="420" spans="6:9" ht="13">
      <c r="F420" s="32"/>
      <c r="G420" s="32"/>
      <c r="H420" s="32"/>
      <c r="I420" s="32"/>
    </row>
    <row r="421" spans="6:9" ht="13">
      <c r="F421" s="32"/>
      <c r="G421" s="32"/>
      <c r="H421" s="32"/>
      <c r="I421" s="32"/>
    </row>
    <row r="422" spans="6:9" ht="13">
      <c r="F422" s="32"/>
      <c r="G422" s="32"/>
      <c r="H422" s="32"/>
      <c r="I422" s="32"/>
    </row>
    <row r="423" spans="6:9" ht="13">
      <c r="F423" s="32"/>
      <c r="G423" s="32"/>
      <c r="H423" s="32"/>
      <c r="I423" s="32"/>
    </row>
    <row r="424" spans="6:9" ht="13">
      <c r="F424" s="32"/>
      <c r="G424" s="32"/>
      <c r="H424" s="32"/>
      <c r="I424" s="32"/>
    </row>
    <row r="425" spans="6:9" ht="13">
      <c r="F425" s="32"/>
      <c r="G425" s="32"/>
      <c r="H425" s="32"/>
      <c r="I425" s="32"/>
    </row>
    <row r="426" spans="6:9" ht="13">
      <c r="F426" s="32"/>
      <c r="G426" s="32"/>
      <c r="H426" s="32"/>
      <c r="I426" s="32"/>
    </row>
    <row r="427" spans="6:9" ht="13">
      <c r="F427" s="32"/>
      <c r="G427" s="32"/>
      <c r="H427" s="32"/>
      <c r="I427" s="32"/>
    </row>
    <row r="428" spans="6:9" ht="13">
      <c r="F428" s="32"/>
      <c r="G428" s="32"/>
      <c r="H428" s="32"/>
      <c r="I428" s="32"/>
    </row>
    <row r="429" spans="6:9" ht="13">
      <c r="F429" s="32"/>
      <c r="G429" s="32"/>
      <c r="H429" s="32"/>
      <c r="I429" s="32"/>
    </row>
    <row r="430" spans="6:9" ht="13">
      <c r="F430" s="32"/>
      <c r="G430" s="32"/>
      <c r="H430" s="32"/>
      <c r="I430" s="32"/>
    </row>
    <row r="431" spans="6:9" ht="13">
      <c r="F431" s="32"/>
      <c r="G431" s="32"/>
      <c r="H431" s="32"/>
      <c r="I431" s="32"/>
    </row>
    <row r="432" spans="6:9" ht="13">
      <c r="F432" s="32"/>
      <c r="G432" s="32"/>
      <c r="H432" s="32"/>
      <c r="I432" s="32"/>
    </row>
    <row r="433" spans="6:9" ht="13">
      <c r="F433" s="32"/>
      <c r="G433" s="32"/>
      <c r="H433" s="32"/>
      <c r="I433" s="32"/>
    </row>
    <row r="434" spans="6:9" ht="13">
      <c r="F434" s="32"/>
      <c r="G434" s="32"/>
      <c r="H434" s="32"/>
      <c r="I434" s="32"/>
    </row>
    <row r="435" spans="6:9" ht="13">
      <c r="F435" s="32"/>
      <c r="G435" s="32"/>
      <c r="H435" s="32"/>
      <c r="I435" s="32"/>
    </row>
    <row r="436" spans="6:9" ht="13">
      <c r="F436" s="32"/>
      <c r="G436" s="32"/>
      <c r="H436" s="32"/>
      <c r="I436" s="32"/>
    </row>
    <row r="437" spans="6:9" ht="13">
      <c r="F437" s="32"/>
      <c r="G437" s="32"/>
      <c r="H437" s="32"/>
      <c r="I437" s="32"/>
    </row>
    <row r="438" spans="6:9" ht="13">
      <c r="F438" s="32"/>
      <c r="G438" s="32"/>
      <c r="H438" s="32"/>
      <c r="I438" s="32"/>
    </row>
    <row r="439" spans="6:9" ht="13">
      <c r="F439" s="32"/>
      <c r="G439" s="32"/>
      <c r="H439" s="32"/>
      <c r="I439" s="32"/>
    </row>
    <row r="440" spans="6:9" ht="13">
      <c r="F440" s="32"/>
      <c r="G440" s="32"/>
      <c r="H440" s="32"/>
      <c r="I440" s="32"/>
    </row>
    <row r="441" spans="6:9" ht="13">
      <c r="F441" s="32"/>
      <c r="G441" s="32"/>
      <c r="H441" s="32"/>
      <c r="I441" s="32"/>
    </row>
    <row r="442" spans="6:9" ht="13">
      <c r="F442" s="32"/>
      <c r="G442" s="32"/>
      <c r="H442" s="32"/>
      <c r="I442" s="32"/>
    </row>
    <row r="443" spans="6:9" ht="13">
      <c r="F443" s="32"/>
      <c r="G443" s="32"/>
      <c r="H443" s="32"/>
      <c r="I443" s="32"/>
    </row>
    <row r="444" spans="6:9" ht="13">
      <c r="F444" s="32"/>
      <c r="G444" s="32"/>
      <c r="H444" s="32"/>
      <c r="I444" s="32"/>
    </row>
    <row r="445" spans="6:9" ht="13">
      <c r="F445" s="32"/>
      <c r="G445" s="32"/>
      <c r="H445" s="32"/>
      <c r="I445" s="32"/>
    </row>
    <row r="446" spans="6:9" ht="13">
      <c r="F446" s="32"/>
      <c r="G446" s="32"/>
      <c r="H446" s="32"/>
      <c r="I446" s="32"/>
    </row>
    <row r="447" spans="6:9" ht="13">
      <c r="F447" s="32"/>
      <c r="G447" s="32"/>
      <c r="H447" s="32"/>
      <c r="I447" s="32"/>
    </row>
    <row r="448" spans="6:9" ht="13">
      <c r="F448" s="32"/>
      <c r="G448" s="32"/>
      <c r="H448" s="32"/>
      <c r="I448" s="32"/>
    </row>
    <row r="449" spans="6:9" ht="13">
      <c r="F449" s="32"/>
      <c r="G449" s="32"/>
      <c r="H449" s="32"/>
      <c r="I449" s="32"/>
    </row>
    <row r="450" spans="6:9" ht="13">
      <c r="F450" s="32"/>
      <c r="G450" s="32"/>
      <c r="H450" s="32"/>
      <c r="I450" s="32"/>
    </row>
    <row r="451" spans="6:9" ht="13">
      <c r="F451" s="32"/>
      <c r="G451" s="32"/>
      <c r="H451" s="32"/>
      <c r="I451" s="32"/>
    </row>
    <row r="452" spans="6:9" ht="13">
      <c r="F452" s="32"/>
      <c r="G452" s="32"/>
      <c r="H452" s="32"/>
      <c r="I452" s="32"/>
    </row>
    <row r="453" spans="6:9" ht="13">
      <c r="F453" s="32"/>
      <c r="G453" s="32"/>
      <c r="H453" s="32"/>
      <c r="I453" s="32"/>
    </row>
    <row r="454" spans="6:9" ht="13">
      <c r="F454" s="32"/>
      <c r="G454" s="32"/>
      <c r="H454" s="32"/>
      <c r="I454" s="32"/>
    </row>
    <row r="455" spans="6:9" ht="13">
      <c r="F455" s="32"/>
      <c r="G455" s="32"/>
      <c r="H455" s="32"/>
      <c r="I455" s="32"/>
    </row>
    <row r="456" spans="6:9" ht="13">
      <c r="F456" s="32"/>
      <c r="G456" s="32"/>
      <c r="H456" s="32"/>
      <c r="I456" s="32"/>
    </row>
    <row r="457" spans="6:9" ht="13">
      <c r="F457" s="32"/>
      <c r="G457" s="32"/>
      <c r="H457" s="32"/>
      <c r="I457" s="32"/>
    </row>
    <row r="458" spans="6:9" ht="13">
      <c r="F458" s="32"/>
      <c r="G458" s="32"/>
      <c r="H458" s="32"/>
      <c r="I458" s="32"/>
    </row>
    <row r="459" spans="6:9" ht="13">
      <c r="F459" s="32"/>
      <c r="G459" s="32"/>
      <c r="H459" s="32"/>
      <c r="I459" s="32"/>
    </row>
    <row r="460" spans="6:9" ht="13">
      <c r="F460" s="32"/>
      <c r="G460" s="32"/>
      <c r="H460" s="32"/>
      <c r="I460" s="32"/>
    </row>
    <row r="461" spans="6:9" ht="13">
      <c r="F461" s="32"/>
      <c r="G461" s="32"/>
      <c r="H461" s="32"/>
      <c r="I461" s="32"/>
    </row>
    <row r="462" spans="6:9" ht="13">
      <c r="F462" s="32"/>
      <c r="G462" s="32"/>
      <c r="H462" s="32"/>
      <c r="I462" s="32"/>
    </row>
    <row r="463" spans="6:9" ht="13">
      <c r="F463" s="32"/>
      <c r="G463" s="32"/>
      <c r="H463" s="32"/>
      <c r="I463" s="32"/>
    </row>
    <row r="464" spans="6:9" ht="13">
      <c r="F464" s="32"/>
      <c r="G464" s="32"/>
      <c r="H464" s="32"/>
      <c r="I464" s="32"/>
    </row>
    <row r="465" spans="6:9" ht="13">
      <c r="F465" s="32"/>
      <c r="G465" s="32"/>
      <c r="H465" s="32"/>
      <c r="I465" s="32"/>
    </row>
    <row r="466" spans="6:9" ht="13">
      <c r="F466" s="32"/>
      <c r="G466" s="32"/>
      <c r="H466" s="32"/>
      <c r="I466" s="32"/>
    </row>
    <row r="467" spans="6:9" ht="13">
      <c r="F467" s="32"/>
      <c r="G467" s="32"/>
      <c r="H467" s="32"/>
      <c r="I467" s="32"/>
    </row>
    <row r="468" spans="6:9" ht="13">
      <c r="F468" s="32"/>
      <c r="G468" s="32"/>
      <c r="H468" s="32"/>
      <c r="I468" s="32"/>
    </row>
    <row r="469" spans="6:9" ht="13">
      <c r="F469" s="32"/>
      <c r="G469" s="32"/>
      <c r="H469" s="32"/>
      <c r="I469" s="32"/>
    </row>
    <row r="470" spans="6:9" ht="13">
      <c r="F470" s="32"/>
      <c r="G470" s="32"/>
      <c r="H470" s="32"/>
      <c r="I470" s="32"/>
    </row>
    <row r="471" spans="6:9" ht="13">
      <c r="F471" s="32"/>
      <c r="G471" s="32"/>
      <c r="H471" s="32"/>
      <c r="I471" s="32"/>
    </row>
    <row r="472" spans="6:9" ht="13">
      <c r="F472" s="32"/>
      <c r="G472" s="32"/>
      <c r="H472" s="32"/>
      <c r="I472" s="32"/>
    </row>
    <row r="473" spans="6:9" ht="13">
      <c r="F473" s="32"/>
      <c r="G473" s="32"/>
      <c r="H473" s="32"/>
      <c r="I473" s="32"/>
    </row>
    <row r="474" spans="6:9" ht="13">
      <c r="F474" s="32"/>
      <c r="G474" s="32"/>
      <c r="H474" s="32"/>
      <c r="I474" s="32"/>
    </row>
    <row r="475" spans="6:9" ht="13">
      <c r="F475" s="32"/>
      <c r="G475" s="32"/>
      <c r="H475" s="32"/>
      <c r="I475" s="32"/>
    </row>
    <row r="476" spans="6:9" ht="13">
      <c r="F476" s="32"/>
      <c r="G476" s="32"/>
      <c r="H476" s="32"/>
      <c r="I476" s="32"/>
    </row>
    <row r="477" spans="6:9" ht="13">
      <c r="F477" s="32"/>
      <c r="G477" s="32"/>
      <c r="H477" s="32"/>
      <c r="I477" s="32"/>
    </row>
    <row r="478" spans="6:9" ht="13">
      <c r="F478" s="32"/>
      <c r="G478" s="32"/>
      <c r="H478" s="32"/>
      <c r="I478" s="32"/>
    </row>
    <row r="479" spans="6:9" ht="13">
      <c r="F479" s="32"/>
      <c r="G479" s="32"/>
      <c r="H479" s="32"/>
      <c r="I479" s="32"/>
    </row>
    <row r="480" spans="6:9" ht="13">
      <c r="F480" s="32"/>
      <c r="G480" s="32"/>
      <c r="H480" s="32"/>
      <c r="I480" s="32"/>
    </row>
    <row r="481" spans="6:9" ht="13">
      <c r="F481" s="32"/>
      <c r="G481" s="32"/>
      <c r="H481" s="32"/>
      <c r="I481" s="32"/>
    </row>
    <row r="482" spans="6:9" ht="13">
      <c r="F482" s="32"/>
      <c r="G482" s="32"/>
      <c r="H482" s="32"/>
      <c r="I482" s="32"/>
    </row>
    <row r="483" spans="6:9" ht="13">
      <c r="F483" s="32"/>
      <c r="G483" s="32"/>
      <c r="H483" s="32"/>
      <c r="I483" s="32"/>
    </row>
    <row r="484" spans="6:9" ht="13">
      <c r="F484" s="32"/>
      <c r="G484" s="32"/>
      <c r="H484" s="32"/>
      <c r="I484" s="32"/>
    </row>
    <row r="485" spans="6:9" ht="13">
      <c r="F485" s="32"/>
      <c r="G485" s="32"/>
      <c r="H485" s="32"/>
      <c r="I485" s="32"/>
    </row>
    <row r="486" spans="6:9" ht="13">
      <c r="F486" s="32"/>
      <c r="G486" s="32"/>
      <c r="H486" s="32"/>
      <c r="I486" s="32"/>
    </row>
    <row r="487" spans="6:9" ht="13">
      <c r="F487" s="32"/>
      <c r="G487" s="32"/>
      <c r="H487" s="32"/>
      <c r="I487" s="32"/>
    </row>
    <row r="488" spans="6:9" ht="13">
      <c r="F488" s="32"/>
      <c r="G488" s="32"/>
      <c r="H488" s="32"/>
      <c r="I488" s="32"/>
    </row>
    <row r="489" spans="6:9" ht="13">
      <c r="F489" s="32"/>
      <c r="G489" s="32"/>
      <c r="H489" s="32"/>
      <c r="I489" s="32"/>
    </row>
    <row r="490" spans="6:9" ht="13">
      <c r="F490" s="32"/>
      <c r="G490" s="32"/>
      <c r="H490" s="32"/>
      <c r="I490" s="32"/>
    </row>
    <row r="491" spans="6:9" ht="13">
      <c r="F491" s="32"/>
      <c r="G491" s="32"/>
      <c r="H491" s="32"/>
      <c r="I491" s="32"/>
    </row>
    <row r="492" spans="6:9" ht="13">
      <c r="F492" s="32"/>
      <c r="G492" s="32"/>
      <c r="H492" s="32"/>
      <c r="I492" s="32"/>
    </row>
    <row r="493" spans="6:9" ht="13">
      <c r="F493" s="32"/>
      <c r="G493" s="32"/>
      <c r="H493" s="32"/>
      <c r="I493" s="32"/>
    </row>
    <row r="494" spans="6:9" ht="13">
      <c r="F494" s="32"/>
      <c r="G494" s="32"/>
      <c r="H494" s="32"/>
      <c r="I494" s="32"/>
    </row>
    <row r="495" spans="6:9" ht="13">
      <c r="F495" s="32"/>
      <c r="G495" s="32"/>
      <c r="H495" s="32"/>
      <c r="I495" s="32"/>
    </row>
    <row r="496" spans="6:9" ht="13">
      <c r="F496" s="32"/>
      <c r="G496" s="32"/>
      <c r="H496" s="32"/>
      <c r="I496" s="32"/>
    </row>
    <row r="497" spans="6:9" ht="13">
      <c r="F497" s="32"/>
      <c r="G497" s="32"/>
      <c r="H497" s="32"/>
      <c r="I497" s="32"/>
    </row>
    <row r="498" spans="6:9" ht="13">
      <c r="F498" s="32"/>
      <c r="G498" s="32"/>
      <c r="H498" s="32"/>
      <c r="I498" s="32"/>
    </row>
    <row r="499" spans="6:9" ht="13">
      <c r="F499" s="32"/>
      <c r="G499" s="32"/>
      <c r="H499" s="32"/>
      <c r="I499" s="32"/>
    </row>
    <row r="500" spans="6:9" ht="13">
      <c r="F500" s="32"/>
      <c r="G500" s="32"/>
      <c r="H500" s="32"/>
      <c r="I500" s="32"/>
    </row>
    <row r="501" spans="6:9" ht="13">
      <c r="F501" s="32"/>
      <c r="G501" s="32"/>
      <c r="H501" s="32"/>
      <c r="I501" s="32"/>
    </row>
    <row r="502" spans="6:9" ht="13">
      <c r="F502" s="32"/>
      <c r="G502" s="32"/>
      <c r="H502" s="32"/>
      <c r="I502" s="32"/>
    </row>
    <row r="503" spans="6:9" ht="13">
      <c r="F503" s="32"/>
      <c r="G503" s="32"/>
      <c r="H503" s="32"/>
      <c r="I503" s="32"/>
    </row>
    <row r="504" spans="6:9" ht="13">
      <c r="F504" s="32"/>
      <c r="G504" s="32"/>
      <c r="H504" s="32"/>
      <c r="I504" s="32"/>
    </row>
    <row r="505" spans="6:9" ht="13">
      <c r="F505" s="32"/>
      <c r="G505" s="32"/>
      <c r="H505" s="32"/>
      <c r="I505" s="32"/>
    </row>
    <row r="506" spans="6:9" ht="13">
      <c r="F506" s="32"/>
      <c r="G506" s="32"/>
      <c r="H506" s="32"/>
      <c r="I506" s="32"/>
    </row>
    <row r="507" spans="6:9" ht="13">
      <c r="F507" s="32"/>
      <c r="G507" s="32"/>
      <c r="H507" s="32"/>
      <c r="I507" s="32"/>
    </row>
    <row r="508" spans="6:9" ht="13">
      <c r="F508" s="32"/>
      <c r="G508" s="32"/>
      <c r="H508" s="32"/>
      <c r="I508" s="32"/>
    </row>
    <row r="509" spans="6:9" ht="13">
      <c r="F509" s="32"/>
      <c r="G509" s="32"/>
      <c r="H509" s="32"/>
      <c r="I509" s="32"/>
    </row>
    <row r="510" spans="6:9" ht="13">
      <c r="F510" s="32"/>
      <c r="G510" s="32"/>
      <c r="H510" s="32"/>
      <c r="I510" s="32"/>
    </row>
    <row r="511" spans="6:9" ht="13">
      <c r="F511" s="32"/>
      <c r="G511" s="32"/>
      <c r="H511" s="32"/>
      <c r="I511" s="32"/>
    </row>
    <row r="512" spans="6:9" ht="13">
      <c r="F512" s="32"/>
      <c r="G512" s="32"/>
      <c r="H512" s="32"/>
      <c r="I512" s="32"/>
    </row>
    <row r="513" spans="6:9" ht="13">
      <c r="F513" s="32"/>
      <c r="G513" s="32"/>
      <c r="H513" s="32"/>
      <c r="I513" s="32"/>
    </row>
    <row r="514" spans="6:9" ht="13">
      <c r="F514" s="32"/>
      <c r="G514" s="32"/>
      <c r="H514" s="32"/>
      <c r="I514" s="32"/>
    </row>
    <row r="515" spans="6:9" ht="13">
      <c r="F515" s="32"/>
      <c r="G515" s="32"/>
      <c r="H515" s="32"/>
      <c r="I515" s="32"/>
    </row>
    <row r="516" spans="6:9" ht="13">
      <c r="F516" s="32"/>
      <c r="G516" s="32"/>
      <c r="H516" s="32"/>
      <c r="I516" s="32"/>
    </row>
    <row r="517" spans="6:9" ht="13">
      <c r="F517" s="32"/>
      <c r="G517" s="32"/>
      <c r="H517" s="32"/>
      <c r="I517" s="32"/>
    </row>
    <row r="518" spans="6:9" ht="13">
      <c r="F518" s="32"/>
      <c r="G518" s="32"/>
      <c r="H518" s="32"/>
      <c r="I518" s="32"/>
    </row>
    <row r="519" spans="6:9" ht="13">
      <c r="F519" s="32"/>
      <c r="G519" s="32"/>
      <c r="H519" s="32"/>
      <c r="I519" s="32"/>
    </row>
    <row r="520" spans="6:9" ht="13">
      <c r="F520" s="32"/>
      <c r="G520" s="32"/>
      <c r="H520" s="32"/>
      <c r="I520" s="32"/>
    </row>
    <row r="521" spans="6:9" ht="13">
      <c r="F521" s="32"/>
      <c r="G521" s="32"/>
      <c r="H521" s="32"/>
      <c r="I521" s="32"/>
    </row>
    <row r="522" spans="6:9" ht="13">
      <c r="F522" s="32"/>
      <c r="G522" s="32"/>
      <c r="H522" s="32"/>
      <c r="I522" s="32"/>
    </row>
    <row r="523" spans="6:9" ht="13">
      <c r="F523" s="32"/>
      <c r="G523" s="32"/>
      <c r="H523" s="32"/>
      <c r="I523" s="32"/>
    </row>
    <row r="524" spans="6:9" ht="13">
      <c r="F524" s="32"/>
      <c r="G524" s="32"/>
      <c r="H524" s="32"/>
      <c r="I524" s="32"/>
    </row>
    <row r="525" spans="6:9" ht="13">
      <c r="F525" s="32"/>
      <c r="G525" s="32"/>
      <c r="H525" s="32"/>
      <c r="I525" s="32"/>
    </row>
    <row r="526" spans="6:9" ht="13">
      <c r="F526" s="32"/>
      <c r="G526" s="32"/>
      <c r="H526" s="32"/>
      <c r="I526" s="32"/>
    </row>
    <row r="527" spans="6:9" ht="13">
      <c r="F527" s="32"/>
      <c r="G527" s="32"/>
      <c r="H527" s="32"/>
      <c r="I527" s="32"/>
    </row>
    <row r="528" spans="6:9" ht="13">
      <c r="F528" s="32"/>
      <c r="G528" s="32"/>
      <c r="H528" s="32"/>
      <c r="I528" s="32"/>
    </row>
    <row r="529" spans="6:9" ht="13">
      <c r="F529" s="32"/>
      <c r="G529" s="32"/>
      <c r="H529" s="32"/>
      <c r="I529" s="32"/>
    </row>
    <row r="530" spans="6:9" ht="13">
      <c r="F530" s="32"/>
      <c r="G530" s="32"/>
      <c r="H530" s="32"/>
      <c r="I530" s="32"/>
    </row>
    <row r="531" spans="6:9" ht="13">
      <c r="F531" s="32"/>
      <c r="G531" s="32"/>
      <c r="H531" s="32"/>
      <c r="I531" s="32"/>
    </row>
    <row r="532" spans="6:9" ht="13">
      <c r="F532" s="32"/>
      <c r="G532" s="32"/>
      <c r="H532" s="32"/>
      <c r="I532" s="32"/>
    </row>
    <row r="533" spans="6:9" ht="13">
      <c r="F533" s="32"/>
      <c r="G533" s="32"/>
      <c r="H533" s="32"/>
      <c r="I533" s="32"/>
    </row>
    <row r="534" spans="6:9" ht="13">
      <c r="F534" s="32"/>
      <c r="G534" s="32"/>
      <c r="H534" s="32"/>
      <c r="I534" s="32"/>
    </row>
    <row r="535" spans="6:9" ht="13">
      <c r="F535" s="32"/>
      <c r="G535" s="32"/>
      <c r="H535" s="32"/>
      <c r="I535" s="32"/>
    </row>
    <row r="536" spans="6:9" ht="13">
      <c r="F536" s="32"/>
      <c r="G536" s="32"/>
      <c r="H536" s="32"/>
      <c r="I536" s="32"/>
    </row>
    <row r="537" spans="6:9" ht="13">
      <c r="F537" s="32"/>
      <c r="G537" s="32"/>
      <c r="H537" s="32"/>
      <c r="I537" s="32"/>
    </row>
    <row r="538" spans="6:9" ht="13">
      <c r="F538" s="32"/>
      <c r="G538" s="32"/>
      <c r="H538" s="32"/>
      <c r="I538" s="32"/>
    </row>
    <row r="539" spans="6:9" ht="13">
      <c r="F539" s="32"/>
      <c r="G539" s="32"/>
      <c r="H539" s="32"/>
      <c r="I539" s="32"/>
    </row>
    <row r="540" spans="6:9" ht="13">
      <c r="F540" s="32"/>
      <c r="G540" s="32"/>
      <c r="H540" s="32"/>
      <c r="I540" s="32"/>
    </row>
    <row r="541" spans="6:9" ht="13">
      <c r="F541" s="32"/>
      <c r="G541" s="32"/>
      <c r="H541" s="32"/>
      <c r="I541" s="32"/>
    </row>
    <row r="542" spans="6:9" ht="13">
      <c r="F542" s="32"/>
      <c r="G542" s="32"/>
      <c r="H542" s="32"/>
      <c r="I542" s="32"/>
    </row>
    <row r="543" spans="6:9" ht="13">
      <c r="F543" s="32"/>
      <c r="G543" s="32"/>
      <c r="H543" s="32"/>
      <c r="I543" s="32"/>
    </row>
    <row r="544" spans="6:9" ht="13">
      <c r="F544" s="32"/>
      <c r="G544" s="32"/>
      <c r="H544" s="32"/>
      <c r="I544" s="32"/>
    </row>
    <row r="545" spans="6:9" ht="13">
      <c r="F545" s="32"/>
      <c r="G545" s="32"/>
      <c r="H545" s="32"/>
      <c r="I545" s="32"/>
    </row>
    <row r="546" spans="6:9" ht="13">
      <c r="F546" s="32"/>
      <c r="G546" s="32"/>
      <c r="H546" s="32"/>
      <c r="I546" s="32"/>
    </row>
    <row r="547" spans="6:9" ht="13">
      <c r="F547" s="32"/>
      <c r="G547" s="32"/>
      <c r="H547" s="32"/>
      <c r="I547" s="32"/>
    </row>
    <row r="548" spans="6:9" ht="13">
      <c r="F548" s="32"/>
      <c r="G548" s="32"/>
      <c r="H548" s="32"/>
      <c r="I548" s="32"/>
    </row>
    <row r="549" spans="6:9" ht="13">
      <c r="F549" s="32"/>
      <c r="G549" s="32"/>
      <c r="H549" s="32"/>
      <c r="I549" s="32"/>
    </row>
    <row r="550" spans="6:9" ht="13">
      <c r="F550" s="32"/>
      <c r="G550" s="32"/>
      <c r="H550" s="32"/>
      <c r="I550" s="32"/>
    </row>
    <row r="551" spans="6:9" ht="13">
      <c r="F551" s="32"/>
      <c r="G551" s="32"/>
      <c r="H551" s="32"/>
      <c r="I551" s="32"/>
    </row>
    <row r="552" spans="6:9" ht="13">
      <c r="F552" s="32"/>
      <c r="G552" s="32"/>
      <c r="H552" s="32"/>
      <c r="I552" s="32"/>
    </row>
    <row r="553" spans="6:9" ht="13">
      <c r="F553" s="32"/>
      <c r="G553" s="32"/>
      <c r="H553" s="32"/>
      <c r="I553" s="32"/>
    </row>
    <row r="554" spans="6:9" ht="13">
      <c r="F554" s="32"/>
      <c r="G554" s="32"/>
      <c r="H554" s="32"/>
      <c r="I554" s="32"/>
    </row>
    <row r="555" spans="6:9" ht="13">
      <c r="F555" s="32"/>
      <c r="G555" s="32"/>
      <c r="H555" s="32"/>
      <c r="I555" s="32"/>
    </row>
    <row r="556" spans="6:9" ht="13">
      <c r="F556" s="32"/>
      <c r="G556" s="32"/>
      <c r="H556" s="32"/>
      <c r="I556" s="32"/>
    </row>
    <row r="557" spans="6:9" ht="13">
      <c r="F557" s="32"/>
      <c r="G557" s="32"/>
      <c r="H557" s="32"/>
      <c r="I557" s="32"/>
    </row>
    <row r="558" spans="6:9" ht="13">
      <c r="F558" s="32"/>
      <c r="G558" s="32"/>
      <c r="H558" s="32"/>
      <c r="I558" s="32"/>
    </row>
    <row r="559" spans="6:9" ht="13">
      <c r="F559" s="32"/>
      <c r="G559" s="32"/>
      <c r="H559" s="32"/>
      <c r="I559" s="32"/>
    </row>
    <row r="560" spans="6:9" ht="13">
      <c r="F560" s="32"/>
      <c r="G560" s="32"/>
      <c r="H560" s="32"/>
      <c r="I560" s="32"/>
    </row>
    <row r="561" spans="6:9" ht="13">
      <c r="F561" s="32"/>
      <c r="G561" s="32"/>
      <c r="H561" s="32"/>
      <c r="I561" s="32"/>
    </row>
    <row r="562" spans="6:9" ht="13">
      <c r="F562" s="32"/>
      <c r="G562" s="32"/>
      <c r="H562" s="32"/>
      <c r="I562" s="32"/>
    </row>
    <row r="563" spans="6:9" ht="13">
      <c r="F563" s="32"/>
      <c r="G563" s="32"/>
      <c r="H563" s="32"/>
      <c r="I563" s="32"/>
    </row>
    <row r="564" spans="6:9" ht="13">
      <c r="F564" s="32"/>
      <c r="G564" s="32"/>
      <c r="H564" s="32"/>
      <c r="I564" s="32"/>
    </row>
    <row r="565" spans="6:9" ht="13">
      <c r="F565" s="32"/>
      <c r="G565" s="32"/>
      <c r="H565" s="32"/>
      <c r="I565" s="32"/>
    </row>
    <row r="566" spans="6:9" ht="13">
      <c r="F566" s="32"/>
      <c r="G566" s="32"/>
      <c r="H566" s="32"/>
      <c r="I566" s="32"/>
    </row>
    <row r="567" spans="6:9" ht="13">
      <c r="F567" s="32"/>
      <c r="G567" s="32"/>
      <c r="H567" s="32"/>
      <c r="I567" s="32"/>
    </row>
    <row r="568" spans="6:9" ht="13">
      <c r="F568" s="32"/>
      <c r="G568" s="32"/>
      <c r="H568" s="32"/>
      <c r="I568" s="32"/>
    </row>
    <row r="569" spans="6:9" ht="13">
      <c r="F569" s="32"/>
      <c r="G569" s="32"/>
      <c r="H569" s="32"/>
      <c r="I569" s="32"/>
    </row>
    <row r="570" spans="6:9" ht="13">
      <c r="F570" s="32"/>
      <c r="G570" s="32"/>
      <c r="H570" s="32"/>
      <c r="I570" s="32"/>
    </row>
    <row r="571" spans="6:9" ht="13">
      <c r="F571" s="32"/>
      <c r="G571" s="32"/>
      <c r="H571" s="32"/>
      <c r="I571" s="32"/>
    </row>
    <row r="572" spans="6:9" ht="13">
      <c r="F572" s="32"/>
      <c r="G572" s="32"/>
      <c r="H572" s="32"/>
      <c r="I572" s="32"/>
    </row>
    <row r="573" spans="6:9" ht="13">
      <c r="F573" s="32"/>
      <c r="G573" s="32"/>
      <c r="H573" s="32"/>
      <c r="I573" s="32"/>
    </row>
    <row r="574" spans="6:9" ht="13">
      <c r="F574" s="32"/>
      <c r="G574" s="32"/>
      <c r="H574" s="32"/>
      <c r="I574" s="32"/>
    </row>
    <row r="575" spans="6:9" ht="13">
      <c r="F575" s="32"/>
      <c r="G575" s="32"/>
      <c r="H575" s="32"/>
      <c r="I575" s="32"/>
    </row>
    <row r="576" spans="6:9" ht="13">
      <c r="F576" s="32"/>
      <c r="G576" s="32"/>
      <c r="H576" s="32"/>
      <c r="I576" s="32"/>
    </row>
    <row r="577" spans="6:9" ht="13">
      <c r="F577" s="32"/>
      <c r="G577" s="32"/>
      <c r="H577" s="32"/>
      <c r="I577" s="32"/>
    </row>
    <row r="578" spans="6:9" ht="13">
      <c r="F578" s="32"/>
      <c r="G578" s="32"/>
      <c r="H578" s="32"/>
      <c r="I578" s="32"/>
    </row>
    <row r="579" spans="6:9" ht="13">
      <c r="F579" s="32"/>
      <c r="G579" s="32"/>
      <c r="H579" s="32"/>
      <c r="I579" s="32"/>
    </row>
    <row r="580" spans="6:9" ht="13">
      <c r="F580" s="32"/>
      <c r="G580" s="32"/>
      <c r="H580" s="32"/>
      <c r="I580" s="32"/>
    </row>
    <row r="581" spans="6:9" ht="13">
      <c r="F581" s="32"/>
      <c r="G581" s="32"/>
      <c r="H581" s="32"/>
      <c r="I581" s="32"/>
    </row>
    <row r="582" spans="6:9" ht="13">
      <c r="F582" s="32"/>
      <c r="G582" s="32"/>
      <c r="H582" s="32"/>
      <c r="I582" s="32"/>
    </row>
    <row r="583" spans="6:9" ht="13">
      <c r="F583" s="32"/>
      <c r="G583" s="32"/>
      <c r="H583" s="32"/>
      <c r="I583" s="32"/>
    </row>
    <row r="584" spans="6:9" ht="13">
      <c r="F584" s="32"/>
      <c r="G584" s="32"/>
      <c r="H584" s="32"/>
      <c r="I584" s="32"/>
    </row>
    <row r="585" spans="6:9" ht="13">
      <c r="F585" s="32"/>
      <c r="G585" s="32"/>
      <c r="H585" s="32"/>
      <c r="I585" s="32"/>
    </row>
    <row r="586" spans="6:9" ht="13">
      <c r="F586" s="32"/>
      <c r="G586" s="32"/>
      <c r="H586" s="32"/>
      <c r="I586" s="32"/>
    </row>
    <row r="587" spans="6:9" ht="13">
      <c r="F587" s="32"/>
      <c r="G587" s="32"/>
      <c r="H587" s="32"/>
      <c r="I587" s="32"/>
    </row>
    <row r="588" spans="6:9" ht="13">
      <c r="F588" s="32"/>
      <c r="G588" s="32"/>
      <c r="H588" s="32"/>
      <c r="I588" s="32"/>
    </row>
    <row r="589" spans="6:9" ht="13">
      <c r="F589" s="32"/>
      <c r="G589" s="32"/>
      <c r="H589" s="32"/>
      <c r="I589" s="32"/>
    </row>
    <row r="590" spans="6:9" ht="13">
      <c r="F590" s="32"/>
      <c r="G590" s="32"/>
      <c r="H590" s="32"/>
      <c r="I590" s="32"/>
    </row>
    <row r="591" spans="6:9" ht="13">
      <c r="F591" s="32"/>
      <c r="G591" s="32"/>
      <c r="H591" s="32"/>
      <c r="I591" s="32"/>
    </row>
    <row r="592" spans="6:9" ht="13">
      <c r="F592" s="32"/>
      <c r="G592" s="32"/>
      <c r="H592" s="32"/>
      <c r="I592" s="32"/>
    </row>
    <row r="593" spans="6:9" ht="13">
      <c r="F593" s="32"/>
      <c r="G593" s="32"/>
      <c r="H593" s="32"/>
      <c r="I593" s="32"/>
    </row>
    <row r="594" spans="6:9" ht="13">
      <c r="F594" s="32"/>
      <c r="G594" s="32"/>
      <c r="H594" s="32"/>
      <c r="I594" s="32"/>
    </row>
    <row r="595" spans="6:9" ht="13">
      <c r="F595" s="32"/>
      <c r="G595" s="32"/>
      <c r="H595" s="32"/>
      <c r="I595" s="32"/>
    </row>
    <row r="596" spans="6:9" ht="13">
      <c r="F596" s="32"/>
      <c r="G596" s="32"/>
      <c r="H596" s="32"/>
      <c r="I596" s="32"/>
    </row>
    <row r="597" spans="6:9" ht="13">
      <c r="F597" s="32"/>
      <c r="G597" s="32"/>
      <c r="H597" s="32"/>
      <c r="I597" s="32"/>
    </row>
    <row r="598" spans="6:9" ht="13">
      <c r="F598" s="32"/>
      <c r="G598" s="32"/>
      <c r="H598" s="32"/>
      <c r="I598" s="32"/>
    </row>
    <row r="599" spans="6:9" ht="13">
      <c r="F599" s="32"/>
      <c r="G599" s="32"/>
      <c r="H599" s="32"/>
      <c r="I599" s="32"/>
    </row>
    <row r="600" spans="6:9" ht="13">
      <c r="F600" s="32"/>
      <c r="G600" s="32"/>
      <c r="H600" s="32"/>
      <c r="I600" s="32"/>
    </row>
    <row r="601" spans="6:9" ht="13">
      <c r="F601" s="32"/>
      <c r="G601" s="32"/>
      <c r="H601" s="32"/>
      <c r="I601" s="32"/>
    </row>
    <row r="602" spans="6:9" ht="13">
      <c r="F602" s="32"/>
      <c r="G602" s="32"/>
      <c r="H602" s="32"/>
      <c r="I602" s="32"/>
    </row>
    <row r="603" spans="6:9" ht="13">
      <c r="F603" s="32"/>
      <c r="G603" s="32"/>
      <c r="H603" s="32"/>
      <c r="I603" s="32"/>
    </row>
    <row r="604" spans="6:9" ht="13">
      <c r="F604" s="32"/>
      <c r="G604" s="32"/>
      <c r="H604" s="32"/>
      <c r="I604" s="32"/>
    </row>
    <row r="605" spans="6:9" ht="13">
      <c r="F605" s="32"/>
      <c r="G605" s="32"/>
      <c r="H605" s="32"/>
      <c r="I605" s="32"/>
    </row>
    <row r="606" spans="6:9" ht="13">
      <c r="F606" s="32"/>
      <c r="G606" s="32"/>
      <c r="H606" s="32"/>
      <c r="I606" s="32"/>
    </row>
    <row r="607" spans="6:9" ht="13">
      <c r="F607" s="32"/>
      <c r="G607" s="32"/>
      <c r="H607" s="32"/>
      <c r="I607" s="32"/>
    </row>
    <row r="608" spans="6:9" ht="13">
      <c r="F608" s="32"/>
      <c r="G608" s="32"/>
      <c r="H608" s="32"/>
      <c r="I608" s="32"/>
    </row>
    <row r="609" spans="6:9" ht="13">
      <c r="F609" s="32"/>
      <c r="G609" s="32"/>
      <c r="H609" s="32"/>
      <c r="I609" s="32"/>
    </row>
    <row r="610" spans="6:9" ht="13">
      <c r="F610" s="32"/>
      <c r="G610" s="32"/>
      <c r="H610" s="32"/>
      <c r="I610" s="32"/>
    </row>
    <row r="611" spans="6:9" ht="13">
      <c r="F611" s="32"/>
      <c r="G611" s="32"/>
      <c r="H611" s="32"/>
      <c r="I611" s="32"/>
    </row>
    <row r="612" spans="6:9" ht="13">
      <c r="F612" s="32"/>
      <c r="G612" s="32"/>
      <c r="H612" s="32"/>
      <c r="I612" s="32"/>
    </row>
    <row r="613" spans="6:9" ht="13">
      <c r="F613" s="32"/>
      <c r="G613" s="32"/>
      <c r="H613" s="32"/>
      <c r="I613" s="32"/>
    </row>
    <row r="614" spans="6:9" ht="13">
      <c r="F614" s="32"/>
      <c r="G614" s="32"/>
      <c r="H614" s="32"/>
      <c r="I614" s="32"/>
    </row>
    <row r="615" spans="6:9" ht="13">
      <c r="F615" s="32"/>
      <c r="G615" s="32"/>
      <c r="H615" s="32"/>
      <c r="I615" s="32"/>
    </row>
    <row r="616" spans="6:9" ht="13">
      <c r="F616" s="32"/>
      <c r="G616" s="32"/>
      <c r="H616" s="32"/>
      <c r="I616" s="32"/>
    </row>
    <row r="617" spans="6:9" ht="13">
      <c r="F617" s="32"/>
      <c r="G617" s="32"/>
      <c r="H617" s="32"/>
      <c r="I617" s="32"/>
    </row>
    <row r="618" spans="6:9" ht="13">
      <c r="F618" s="32"/>
      <c r="G618" s="32"/>
      <c r="H618" s="32"/>
      <c r="I618" s="32"/>
    </row>
    <row r="619" spans="6:9" ht="13">
      <c r="F619" s="32"/>
      <c r="G619" s="32"/>
      <c r="H619" s="32"/>
      <c r="I619" s="32"/>
    </row>
    <row r="620" spans="6:9" ht="13">
      <c r="F620" s="32"/>
      <c r="G620" s="32"/>
      <c r="H620" s="32"/>
      <c r="I620" s="32"/>
    </row>
    <row r="621" spans="6:9" ht="13">
      <c r="F621" s="32"/>
      <c r="G621" s="32"/>
      <c r="H621" s="32"/>
      <c r="I621" s="32"/>
    </row>
    <row r="622" spans="6:9" ht="13">
      <c r="F622" s="32"/>
      <c r="G622" s="32"/>
      <c r="H622" s="32"/>
      <c r="I622" s="32"/>
    </row>
    <row r="623" spans="6:9" ht="13">
      <c r="F623" s="32"/>
      <c r="G623" s="32"/>
      <c r="H623" s="32"/>
      <c r="I623" s="32"/>
    </row>
    <row r="624" spans="6:9" ht="13">
      <c r="F624" s="32"/>
      <c r="G624" s="32"/>
      <c r="H624" s="32"/>
      <c r="I624" s="32"/>
    </row>
    <row r="625" spans="6:9" ht="13">
      <c r="F625" s="32"/>
      <c r="G625" s="32"/>
      <c r="H625" s="32"/>
      <c r="I625" s="32"/>
    </row>
    <row r="626" spans="6:9" ht="13">
      <c r="F626" s="32"/>
      <c r="G626" s="32"/>
      <c r="H626" s="32"/>
      <c r="I626" s="32"/>
    </row>
    <row r="627" spans="6:9" ht="13">
      <c r="F627" s="32"/>
      <c r="G627" s="32"/>
      <c r="H627" s="32"/>
      <c r="I627" s="32"/>
    </row>
    <row r="628" spans="6:9" ht="13">
      <c r="F628" s="32"/>
      <c r="G628" s="32"/>
      <c r="H628" s="32"/>
      <c r="I628" s="32"/>
    </row>
    <row r="629" spans="6:9" ht="13">
      <c r="F629" s="32"/>
      <c r="G629" s="32"/>
      <c r="H629" s="32"/>
      <c r="I629" s="32"/>
    </row>
    <row r="630" spans="6:9" ht="13">
      <c r="F630" s="32"/>
      <c r="G630" s="32"/>
      <c r="H630" s="32"/>
      <c r="I630" s="32"/>
    </row>
    <row r="631" spans="6:9" ht="13">
      <c r="F631" s="32"/>
      <c r="G631" s="32"/>
      <c r="H631" s="32"/>
      <c r="I631" s="32"/>
    </row>
    <row r="632" spans="6:9" ht="13">
      <c r="F632" s="32"/>
      <c r="G632" s="32"/>
      <c r="H632" s="32"/>
      <c r="I632" s="32"/>
    </row>
    <row r="633" spans="6:9" ht="13">
      <c r="F633" s="32"/>
      <c r="G633" s="32"/>
      <c r="H633" s="32"/>
      <c r="I633" s="32"/>
    </row>
    <row r="634" spans="6:9" ht="13">
      <c r="F634" s="32"/>
      <c r="G634" s="32"/>
      <c r="H634" s="32"/>
      <c r="I634" s="32"/>
    </row>
    <row r="635" spans="6:9" ht="13">
      <c r="F635" s="32"/>
      <c r="G635" s="32"/>
      <c r="H635" s="32"/>
      <c r="I635" s="32"/>
    </row>
    <row r="636" spans="6:9" ht="13">
      <c r="F636" s="32"/>
      <c r="G636" s="32"/>
      <c r="H636" s="32"/>
      <c r="I636" s="32"/>
    </row>
    <row r="637" spans="6:9" ht="13">
      <c r="F637" s="32"/>
      <c r="G637" s="32"/>
      <c r="H637" s="32"/>
      <c r="I637" s="32"/>
    </row>
    <row r="638" spans="6:9" ht="13">
      <c r="F638" s="32"/>
      <c r="G638" s="32"/>
      <c r="H638" s="32"/>
      <c r="I638" s="32"/>
    </row>
    <row r="639" spans="6:9" ht="13">
      <c r="F639" s="32"/>
      <c r="G639" s="32"/>
      <c r="H639" s="32"/>
      <c r="I639" s="32"/>
    </row>
    <row r="640" spans="6:9" ht="13">
      <c r="F640" s="32"/>
      <c r="G640" s="32"/>
      <c r="H640" s="32"/>
      <c r="I640" s="32"/>
    </row>
    <row r="641" spans="6:9" ht="13">
      <c r="F641" s="32"/>
      <c r="G641" s="32"/>
      <c r="H641" s="32"/>
      <c r="I641" s="32"/>
    </row>
    <row r="642" spans="6:9" ht="13">
      <c r="F642" s="32"/>
      <c r="G642" s="32"/>
      <c r="H642" s="32"/>
      <c r="I642" s="32"/>
    </row>
    <row r="643" spans="6:9" ht="13">
      <c r="F643" s="32"/>
      <c r="G643" s="32"/>
      <c r="H643" s="32"/>
      <c r="I643" s="32"/>
    </row>
    <row r="644" spans="6:9" ht="13">
      <c r="F644" s="32"/>
      <c r="G644" s="32"/>
      <c r="H644" s="32"/>
      <c r="I644" s="32"/>
    </row>
    <row r="645" spans="6:9" ht="13">
      <c r="F645" s="32"/>
      <c r="G645" s="32"/>
      <c r="H645" s="32"/>
      <c r="I645" s="32"/>
    </row>
    <row r="646" spans="6:9" ht="13">
      <c r="F646" s="32"/>
      <c r="G646" s="32"/>
      <c r="H646" s="32"/>
      <c r="I646" s="32"/>
    </row>
    <row r="647" spans="6:9" ht="13">
      <c r="F647" s="32"/>
      <c r="G647" s="32"/>
      <c r="H647" s="32"/>
      <c r="I647" s="32"/>
    </row>
    <row r="648" spans="6:9" ht="13">
      <c r="F648" s="32"/>
      <c r="G648" s="32"/>
      <c r="H648" s="32"/>
      <c r="I648" s="32"/>
    </row>
    <row r="649" spans="6:9" ht="13">
      <c r="F649" s="32"/>
      <c r="G649" s="32"/>
      <c r="H649" s="32"/>
      <c r="I649" s="32"/>
    </row>
    <row r="650" spans="6:9" ht="13">
      <c r="F650" s="32"/>
      <c r="G650" s="32"/>
      <c r="H650" s="32"/>
      <c r="I650" s="32"/>
    </row>
    <row r="651" spans="6:9" ht="13">
      <c r="F651" s="32"/>
      <c r="G651" s="32"/>
      <c r="H651" s="32"/>
      <c r="I651" s="32"/>
    </row>
    <row r="652" spans="6:9" ht="13">
      <c r="F652" s="32"/>
      <c r="G652" s="32"/>
      <c r="H652" s="32"/>
      <c r="I652" s="32"/>
    </row>
    <row r="653" spans="6:9" ht="13">
      <c r="F653" s="32"/>
      <c r="G653" s="32"/>
      <c r="H653" s="32"/>
      <c r="I653" s="32"/>
    </row>
    <row r="654" spans="6:9" ht="13">
      <c r="F654" s="32"/>
      <c r="G654" s="32"/>
      <c r="H654" s="32"/>
      <c r="I654" s="32"/>
    </row>
    <row r="655" spans="6:9" ht="13">
      <c r="F655" s="32"/>
      <c r="G655" s="32"/>
      <c r="H655" s="32"/>
      <c r="I655" s="32"/>
    </row>
    <row r="656" spans="6:9" ht="13">
      <c r="F656" s="32"/>
      <c r="G656" s="32"/>
      <c r="H656" s="32"/>
      <c r="I656" s="32"/>
    </row>
    <row r="657" spans="6:9" ht="13">
      <c r="F657" s="32"/>
      <c r="G657" s="32"/>
      <c r="H657" s="32"/>
      <c r="I657" s="32"/>
    </row>
    <row r="658" spans="6:9" ht="13">
      <c r="F658" s="32"/>
      <c r="G658" s="32"/>
      <c r="H658" s="32"/>
      <c r="I658" s="32"/>
    </row>
    <row r="659" spans="6:9" ht="13">
      <c r="F659" s="32"/>
      <c r="G659" s="32"/>
      <c r="H659" s="32"/>
      <c r="I659" s="32"/>
    </row>
    <row r="660" spans="6:9" ht="13">
      <c r="F660" s="32"/>
      <c r="G660" s="32"/>
      <c r="H660" s="32"/>
      <c r="I660" s="32"/>
    </row>
    <row r="661" spans="6:9" ht="13">
      <c r="F661" s="32"/>
      <c r="G661" s="32"/>
      <c r="H661" s="32"/>
      <c r="I661" s="32"/>
    </row>
    <row r="662" spans="6:9" ht="13">
      <c r="F662" s="32"/>
      <c r="G662" s="32"/>
      <c r="H662" s="32"/>
      <c r="I662" s="32"/>
    </row>
    <row r="663" spans="6:9" ht="13">
      <c r="F663" s="32"/>
      <c r="G663" s="32"/>
      <c r="H663" s="32"/>
      <c r="I663" s="32"/>
    </row>
    <row r="664" spans="6:9" ht="13">
      <c r="F664" s="32"/>
      <c r="G664" s="32"/>
      <c r="H664" s="32"/>
      <c r="I664" s="32"/>
    </row>
    <row r="665" spans="6:9" ht="13">
      <c r="F665" s="32"/>
      <c r="G665" s="32"/>
      <c r="H665" s="32"/>
      <c r="I665" s="32"/>
    </row>
    <row r="666" spans="6:9" ht="13">
      <c r="F666" s="32"/>
      <c r="G666" s="32"/>
      <c r="H666" s="32"/>
      <c r="I666" s="32"/>
    </row>
    <row r="667" spans="6:9" ht="13">
      <c r="F667" s="32"/>
      <c r="G667" s="32"/>
      <c r="H667" s="32"/>
      <c r="I667" s="32"/>
    </row>
    <row r="668" spans="6:9" ht="13">
      <c r="F668" s="32"/>
      <c r="G668" s="32"/>
      <c r="H668" s="32"/>
      <c r="I668" s="32"/>
    </row>
    <row r="669" spans="6:9" ht="13">
      <c r="F669" s="32"/>
      <c r="G669" s="32"/>
      <c r="H669" s="32"/>
      <c r="I669" s="32"/>
    </row>
    <row r="670" spans="6:9" ht="13">
      <c r="F670" s="32"/>
      <c r="G670" s="32"/>
      <c r="H670" s="32"/>
      <c r="I670" s="32"/>
    </row>
    <row r="671" spans="6:9" ht="13">
      <c r="F671" s="32"/>
      <c r="G671" s="32"/>
      <c r="H671" s="32"/>
      <c r="I671" s="32"/>
    </row>
    <row r="672" spans="6:9" ht="13">
      <c r="F672" s="32"/>
      <c r="G672" s="32"/>
      <c r="H672" s="32"/>
      <c r="I672" s="32"/>
    </row>
    <row r="673" spans="6:9" ht="13">
      <c r="F673" s="32"/>
      <c r="G673" s="32"/>
      <c r="H673" s="32"/>
      <c r="I673" s="32"/>
    </row>
    <row r="674" spans="6:9" ht="13">
      <c r="F674" s="32"/>
      <c r="G674" s="32"/>
      <c r="H674" s="32"/>
      <c r="I674" s="32"/>
    </row>
    <row r="675" spans="6:9" ht="13">
      <c r="F675" s="32"/>
      <c r="G675" s="32"/>
      <c r="H675" s="32"/>
      <c r="I675" s="32"/>
    </row>
    <row r="676" spans="6:9" ht="13">
      <c r="F676" s="32"/>
      <c r="G676" s="32"/>
      <c r="H676" s="32"/>
      <c r="I676" s="32"/>
    </row>
    <row r="677" spans="6:9" ht="13">
      <c r="F677" s="32"/>
      <c r="G677" s="32"/>
      <c r="H677" s="32"/>
      <c r="I677" s="32"/>
    </row>
    <row r="678" spans="6:9" ht="13">
      <c r="F678" s="32"/>
      <c r="G678" s="32"/>
      <c r="H678" s="32"/>
      <c r="I678" s="32"/>
    </row>
    <row r="679" spans="6:9" ht="13">
      <c r="F679" s="32"/>
      <c r="G679" s="32"/>
      <c r="H679" s="32"/>
      <c r="I679" s="32"/>
    </row>
    <row r="680" spans="6:9" ht="13">
      <c r="F680" s="32"/>
      <c r="G680" s="32"/>
      <c r="H680" s="32"/>
      <c r="I680" s="32"/>
    </row>
    <row r="681" spans="6:9" ht="13">
      <c r="F681" s="32"/>
      <c r="G681" s="32"/>
      <c r="H681" s="32"/>
      <c r="I681" s="32"/>
    </row>
    <row r="682" spans="6:9" ht="13">
      <c r="F682" s="32"/>
      <c r="G682" s="32"/>
      <c r="H682" s="32"/>
      <c r="I682" s="32"/>
    </row>
    <row r="683" spans="6:9" ht="13">
      <c r="F683" s="32"/>
      <c r="G683" s="32"/>
      <c r="H683" s="32"/>
      <c r="I683" s="32"/>
    </row>
    <row r="684" spans="6:9" ht="13">
      <c r="F684" s="32"/>
      <c r="G684" s="32"/>
      <c r="H684" s="32"/>
      <c r="I684" s="32"/>
    </row>
    <row r="685" spans="6:9" ht="13">
      <c r="F685" s="32"/>
      <c r="G685" s="32"/>
      <c r="H685" s="32"/>
      <c r="I685" s="32"/>
    </row>
    <row r="686" spans="6:9" ht="13">
      <c r="F686" s="32"/>
      <c r="G686" s="32"/>
      <c r="H686" s="32"/>
      <c r="I686" s="32"/>
    </row>
    <row r="687" spans="6:9" ht="13">
      <c r="F687" s="32"/>
      <c r="G687" s="32"/>
      <c r="H687" s="32"/>
      <c r="I687" s="32"/>
    </row>
    <row r="688" spans="6:9" ht="13">
      <c r="F688" s="32"/>
      <c r="G688" s="32"/>
      <c r="H688" s="32"/>
      <c r="I688" s="32"/>
    </row>
    <row r="689" spans="6:9" ht="13">
      <c r="F689" s="32"/>
      <c r="G689" s="32"/>
      <c r="H689" s="32"/>
      <c r="I689" s="32"/>
    </row>
    <row r="690" spans="6:9" ht="13">
      <c r="F690" s="32"/>
      <c r="G690" s="32"/>
      <c r="H690" s="32"/>
      <c r="I690" s="32"/>
    </row>
    <row r="691" spans="6:9" ht="13">
      <c r="F691" s="32"/>
      <c r="G691" s="32"/>
      <c r="H691" s="32"/>
      <c r="I691" s="32"/>
    </row>
    <row r="692" spans="6:9" ht="13">
      <c r="F692" s="32"/>
      <c r="G692" s="32"/>
      <c r="H692" s="32"/>
      <c r="I692" s="32"/>
    </row>
    <row r="693" spans="6:9" ht="13">
      <c r="F693" s="32"/>
      <c r="G693" s="32"/>
      <c r="H693" s="32"/>
      <c r="I693" s="32"/>
    </row>
    <row r="694" spans="6:9" ht="13">
      <c r="F694" s="32"/>
      <c r="G694" s="32"/>
      <c r="H694" s="32"/>
      <c r="I694" s="32"/>
    </row>
    <row r="695" spans="6:9" ht="13">
      <c r="F695" s="32"/>
      <c r="G695" s="32"/>
      <c r="H695" s="32"/>
      <c r="I695" s="32"/>
    </row>
    <row r="696" spans="6:9" ht="13">
      <c r="F696" s="32"/>
      <c r="G696" s="32"/>
      <c r="H696" s="32"/>
      <c r="I696" s="32"/>
    </row>
    <row r="697" spans="6:9" ht="13">
      <c r="F697" s="32"/>
      <c r="G697" s="32"/>
      <c r="H697" s="32"/>
      <c r="I697" s="32"/>
    </row>
    <row r="698" spans="6:9" ht="13">
      <c r="F698" s="32"/>
      <c r="G698" s="32"/>
      <c r="H698" s="32"/>
      <c r="I698" s="32"/>
    </row>
    <row r="699" spans="6:9" ht="13">
      <c r="F699" s="32"/>
      <c r="G699" s="32"/>
      <c r="H699" s="32"/>
      <c r="I699" s="32"/>
    </row>
    <row r="700" spans="6:9" ht="13">
      <c r="F700" s="32"/>
      <c r="G700" s="32"/>
      <c r="H700" s="32"/>
      <c r="I700" s="32"/>
    </row>
    <row r="701" spans="6:9" ht="13">
      <c r="F701" s="32"/>
      <c r="G701" s="32"/>
      <c r="H701" s="32"/>
      <c r="I701" s="32"/>
    </row>
    <row r="702" spans="6:9" ht="13">
      <c r="F702" s="32"/>
      <c r="G702" s="32"/>
      <c r="H702" s="32"/>
      <c r="I702" s="32"/>
    </row>
    <row r="703" spans="6:9" ht="13">
      <c r="F703" s="32"/>
      <c r="G703" s="32"/>
      <c r="H703" s="32"/>
      <c r="I703" s="32"/>
    </row>
    <row r="704" spans="6:9" ht="13">
      <c r="F704" s="32"/>
      <c r="G704" s="32"/>
      <c r="H704" s="32"/>
      <c r="I704" s="32"/>
    </row>
    <row r="705" spans="6:9" ht="13">
      <c r="F705" s="32"/>
      <c r="G705" s="32"/>
      <c r="H705" s="32"/>
      <c r="I705" s="32"/>
    </row>
    <row r="706" spans="6:9" ht="13">
      <c r="F706" s="32"/>
      <c r="G706" s="32"/>
      <c r="H706" s="32"/>
      <c r="I706" s="32"/>
    </row>
    <row r="707" spans="6:9" ht="13">
      <c r="F707" s="32"/>
      <c r="G707" s="32"/>
      <c r="H707" s="32"/>
      <c r="I707" s="32"/>
    </row>
    <row r="708" spans="6:9" ht="13">
      <c r="F708" s="32"/>
      <c r="G708" s="32"/>
      <c r="H708" s="32"/>
      <c r="I708" s="32"/>
    </row>
    <row r="709" spans="6:9" ht="13">
      <c r="F709" s="32"/>
      <c r="G709" s="32"/>
      <c r="H709" s="32"/>
      <c r="I709" s="32"/>
    </row>
    <row r="710" spans="6:9" ht="13">
      <c r="F710" s="32"/>
      <c r="G710" s="32"/>
      <c r="H710" s="32"/>
      <c r="I710" s="32"/>
    </row>
    <row r="711" spans="6:9" ht="13">
      <c r="F711" s="32"/>
      <c r="G711" s="32"/>
      <c r="H711" s="32"/>
      <c r="I711" s="32"/>
    </row>
    <row r="712" spans="6:9" ht="13">
      <c r="F712" s="32"/>
      <c r="G712" s="32"/>
      <c r="H712" s="32"/>
      <c r="I712" s="32"/>
    </row>
    <row r="713" spans="6:9" ht="13">
      <c r="F713" s="32"/>
      <c r="G713" s="32"/>
      <c r="H713" s="32"/>
      <c r="I713" s="32"/>
    </row>
    <row r="714" spans="6:9" ht="13">
      <c r="F714" s="32"/>
      <c r="G714" s="32"/>
      <c r="H714" s="32"/>
      <c r="I714" s="32"/>
    </row>
    <row r="715" spans="6:9" ht="13">
      <c r="F715" s="32"/>
      <c r="G715" s="32"/>
      <c r="H715" s="32"/>
      <c r="I715" s="32"/>
    </row>
    <row r="716" spans="6:9" ht="13">
      <c r="F716" s="32"/>
      <c r="G716" s="32"/>
      <c r="H716" s="32"/>
      <c r="I716" s="32"/>
    </row>
    <row r="717" spans="6:9" ht="13">
      <c r="F717" s="32"/>
      <c r="G717" s="32"/>
      <c r="H717" s="32"/>
      <c r="I717" s="32"/>
    </row>
    <row r="718" spans="6:9" ht="13">
      <c r="F718" s="32"/>
      <c r="G718" s="32"/>
      <c r="H718" s="32"/>
      <c r="I718" s="32"/>
    </row>
    <row r="719" spans="6:9" ht="13">
      <c r="F719" s="32"/>
      <c r="G719" s="32"/>
      <c r="H719" s="32"/>
      <c r="I719" s="32"/>
    </row>
    <row r="720" spans="6:9" ht="13">
      <c r="F720" s="32"/>
      <c r="G720" s="32"/>
      <c r="H720" s="32"/>
      <c r="I720" s="32"/>
    </row>
    <row r="721" spans="6:9" ht="13">
      <c r="F721" s="32"/>
      <c r="G721" s="32"/>
      <c r="H721" s="32"/>
      <c r="I721" s="32"/>
    </row>
    <row r="722" spans="6:9" ht="13">
      <c r="F722" s="32"/>
      <c r="G722" s="32"/>
      <c r="H722" s="32"/>
      <c r="I722" s="32"/>
    </row>
    <row r="723" spans="6:9" ht="13">
      <c r="F723" s="32"/>
      <c r="G723" s="32"/>
      <c r="H723" s="32"/>
      <c r="I723" s="32"/>
    </row>
    <row r="724" spans="6:9" ht="13">
      <c r="F724" s="32"/>
      <c r="G724" s="32"/>
      <c r="H724" s="32"/>
      <c r="I724" s="32"/>
    </row>
    <row r="725" spans="6:9" ht="13">
      <c r="F725" s="32"/>
      <c r="G725" s="32"/>
      <c r="H725" s="32"/>
      <c r="I725" s="32"/>
    </row>
    <row r="726" spans="6:9" ht="13">
      <c r="F726" s="32"/>
      <c r="G726" s="32"/>
      <c r="H726" s="32"/>
      <c r="I726" s="32"/>
    </row>
    <row r="727" spans="6:9" ht="13">
      <c r="F727" s="32"/>
      <c r="G727" s="32"/>
      <c r="H727" s="32"/>
      <c r="I727" s="32"/>
    </row>
    <row r="728" spans="6:9" ht="13">
      <c r="F728" s="32"/>
      <c r="G728" s="32"/>
      <c r="H728" s="32"/>
      <c r="I728" s="32"/>
    </row>
    <row r="729" spans="6:9" ht="13">
      <c r="F729" s="32"/>
      <c r="G729" s="32"/>
      <c r="H729" s="32"/>
      <c r="I729" s="32"/>
    </row>
    <row r="730" spans="6:9" ht="13">
      <c r="F730" s="32"/>
      <c r="G730" s="32"/>
      <c r="H730" s="32"/>
      <c r="I730" s="32"/>
    </row>
    <row r="731" spans="6:9" ht="13">
      <c r="F731" s="32"/>
      <c r="G731" s="32"/>
      <c r="H731" s="32"/>
      <c r="I731" s="32"/>
    </row>
    <row r="732" spans="6:9" ht="13">
      <c r="F732" s="32"/>
      <c r="G732" s="32"/>
      <c r="H732" s="32"/>
      <c r="I732" s="32"/>
    </row>
    <row r="733" spans="6:9" ht="13">
      <c r="F733" s="32"/>
      <c r="G733" s="32"/>
      <c r="H733" s="32"/>
      <c r="I733" s="32"/>
    </row>
    <row r="734" spans="6:9" ht="13">
      <c r="F734" s="32"/>
      <c r="G734" s="32"/>
      <c r="H734" s="32"/>
      <c r="I734" s="32"/>
    </row>
    <row r="735" spans="6:9" ht="13">
      <c r="F735" s="32"/>
      <c r="G735" s="32"/>
      <c r="H735" s="32"/>
      <c r="I735" s="32"/>
    </row>
    <row r="736" spans="6:9" ht="13">
      <c r="F736" s="32"/>
      <c r="G736" s="32"/>
      <c r="H736" s="32"/>
      <c r="I736" s="32"/>
    </row>
    <row r="737" spans="6:9" ht="13">
      <c r="F737" s="32"/>
      <c r="G737" s="32"/>
      <c r="H737" s="32"/>
      <c r="I737" s="32"/>
    </row>
    <row r="738" spans="6:9" ht="13">
      <c r="F738" s="32"/>
      <c r="G738" s="32"/>
      <c r="H738" s="32"/>
      <c r="I738" s="32"/>
    </row>
    <row r="739" spans="6:9" ht="13">
      <c r="F739" s="32"/>
      <c r="G739" s="32"/>
      <c r="H739" s="32"/>
      <c r="I739" s="32"/>
    </row>
    <row r="740" spans="6:9" ht="13">
      <c r="F740" s="32"/>
      <c r="G740" s="32"/>
      <c r="H740" s="32"/>
      <c r="I740" s="32"/>
    </row>
    <row r="741" spans="6:9" ht="13">
      <c r="F741" s="32"/>
      <c r="G741" s="32"/>
      <c r="H741" s="32"/>
      <c r="I741" s="32"/>
    </row>
    <row r="742" spans="6:9" ht="13">
      <c r="F742" s="32"/>
      <c r="G742" s="32"/>
      <c r="H742" s="32"/>
      <c r="I742" s="32"/>
    </row>
    <row r="743" spans="6:9" ht="13">
      <c r="F743" s="32"/>
      <c r="G743" s="32"/>
      <c r="H743" s="32"/>
      <c r="I743" s="32"/>
    </row>
    <row r="744" spans="6:9" ht="13">
      <c r="F744" s="32"/>
      <c r="G744" s="32"/>
      <c r="H744" s="32"/>
      <c r="I744" s="32"/>
    </row>
    <row r="745" spans="6:9" ht="13">
      <c r="F745" s="32"/>
      <c r="G745" s="32"/>
      <c r="H745" s="32"/>
      <c r="I745" s="32"/>
    </row>
    <row r="746" spans="6:9" ht="13">
      <c r="F746" s="32"/>
      <c r="G746" s="32"/>
      <c r="H746" s="32"/>
      <c r="I746" s="32"/>
    </row>
    <row r="747" spans="6:9" ht="13">
      <c r="F747" s="32"/>
      <c r="G747" s="32"/>
      <c r="H747" s="32"/>
      <c r="I747" s="32"/>
    </row>
    <row r="748" spans="6:9" ht="13">
      <c r="F748" s="32"/>
      <c r="G748" s="32"/>
      <c r="H748" s="32"/>
      <c r="I748" s="32"/>
    </row>
    <row r="749" spans="6:9" ht="13">
      <c r="F749" s="32"/>
      <c r="G749" s="32"/>
      <c r="H749" s="32"/>
      <c r="I749" s="32"/>
    </row>
    <row r="750" spans="6:9" ht="13">
      <c r="F750" s="32"/>
      <c r="G750" s="32"/>
      <c r="H750" s="32"/>
      <c r="I750" s="32"/>
    </row>
    <row r="751" spans="6:9" ht="13">
      <c r="F751" s="32"/>
      <c r="G751" s="32"/>
      <c r="H751" s="32"/>
      <c r="I751" s="32"/>
    </row>
    <row r="752" spans="6:9" ht="13">
      <c r="F752" s="32"/>
      <c r="G752" s="32"/>
      <c r="H752" s="32"/>
      <c r="I752" s="32"/>
    </row>
    <row r="753" spans="6:9" ht="13">
      <c r="F753" s="32"/>
      <c r="G753" s="32"/>
      <c r="H753" s="32"/>
      <c r="I753" s="32"/>
    </row>
    <row r="754" spans="6:9" ht="13">
      <c r="F754" s="32"/>
      <c r="G754" s="32"/>
      <c r="H754" s="32"/>
      <c r="I754" s="32"/>
    </row>
    <row r="755" spans="6:9" ht="13">
      <c r="F755" s="32"/>
      <c r="G755" s="32"/>
      <c r="H755" s="32"/>
      <c r="I755" s="32"/>
    </row>
    <row r="756" spans="6:9" ht="13">
      <c r="F756" s="32"/>
      <c r="G756" s="32"/>
      <c r="H756" s="32"/>
      <c r="I756" s="32"/>
    </row>
    <row r="757" spans="6:9" ht="13">
      <c r="F757" s="32"/>
      <c r="G757" s="32"/>
      <c r="H757" s="32"/>
      <c r="I757" s="32"/>
    </row>
    <row r="758" spans="6:9" ht="13">
      <c r="F758" s="32"/>
      <c r="G758" s="32"/>
      <c r="H758" s="32"/>
      <c r="I758" s="32"/>
    </row>
    <row r="759" spans="6:9" ht="13">
      <c r="F759" s="32"/>
      <c r="G759" s="32"/>
      <c r="H759" s="32"/>
      <c r="I759" s="32"/>
    </row>
    <row r="760" spans="6:9" ht="13">
      <c r="F760" s="32"/>
      <c r="G760" s="32"/>
      <c r="H760" s="32"/>
      <c r="I760" s="32"/>
    </row>
    <row r="761" spans="6:9" ht="13">
      <c r="F761" s="32"/>
      <c r="G761" s="32"/>
      <c r="H761" s="32"/>
      <c r="I761" s="32"/>
    </row>
    <row r="762" spans="6:9" ht="13">
      <c r="F762" s="32"/>
      <c r="G762" s="32"/>
      <c r="H762" s="32"/>
      <c r="I762" s="32"/>
    </row>
    <row r="763" spans="6:9" ht="13">
      <c r="F763" s="32"/>
      <c r="G763" s="32"/>
      <c r="H763" s="32"/>
      <c r="I763" s="32"/>
    </row>
    <row r="764" spans="6:9" ht="13">
      <c r="F764" s="32"/>
      <c r="G764" s="32"/>
      <c r="H764" s="32"/>
      <c r="I764" s="32"/>
    </row>
    <row r="765" spans="6:9" ht="13">
      <c r="F765" s="32"/>
      <c r="G765" s="32"/>
      <c r="H765" s="32"/>
      <c r="I765" s="32"/>
    </row>
    <row r="766" spans="6:9" ht="13">
      <c r="F766" s="32"/>
      <c r="G766" s="32"/>
      <c r="H766" s="32"/>
      <c r="I766" s="32"/>
    </row>
    <row r="767" spans="6:9" ht="13">
      <c r="F767" s="32"/>
      <c r="G767" s="32"/>
      <c r="H767" s="32"/>
      <c r="I767" s="32"/>
    </row>
    <row r="768" spans="6:9" ht="13">
      <c r="F768" s="32"/>
      <c r="G768" s="32"/>
      <c r="H768" s="32"/>
      <c r="I768" s="32"/>
    </row>
    <row r="769" spans="6:9" ht="13">
      <c r="F769" s="32"/>
      <c r="G769" s="32"/>
      <c r="H769" s="32"/>
      <c r="I769" s="32"/>
    </row>
    <row r="770" spans="6:9" ht="13">
      <c r="F770" s="32"/>
      <c r="G770" s="32"/>
      <c r="H770" s="32"/>
      <c r="I770" s="32"/>
    </row>
    <row r="771" spans="6:9" ht="13">
      <c r="F771" s="32"/>
      <c r="G771" s="32"/>
      <c r="H771" s="32"/>
      <c r="I771" s="32"/>
    </row>
    <row r="772" spans="6:9" ht="13">
      <c r="F772" s="32"/>
      <c r="G772" s="32"/>
      <c r="H772" s="32"/>
      <c r="I772" s="32"/>
    </row>
    <row r="773" spans="6:9" ht="13">
      <c r="F773" s="32"/>
      <c r="G773" s="32"/>
      <c r="H773" s="32"/>
      <c r="I773" s="32"/>
    </row>
    <row r="774" spans="6:9" ht="13">
      <c r="F774" s="32"/>
      <c r="G774" s="32"/>
      <c r="H774" s="32"/>
      <c r="I774" s="32"/>
    </row>
    <row r="775" spans="6:9" ht="13">
      <c r="F775" s="32"/>
      <c r="G775" s="32"/>
      <c r="H775" s="32"/>
      <c r="I775" s="32"/>
    </row>
    <row r="776" spans="6:9" ht="13">
      <c r="F776" s="32"/>
      <c r="G776" s="32"/>
      <c r="H776" s="32"/>
      <c r="I776" s="32"/>
    </row>
    <row r="777" spans="6:9" ht="13">
      <c r="F777" s="32"/>
      <c r="G777" s="32"/>
      <c r="H777" s="32"/>
      <c r="I777" s="32"/>
    </row>
    <row r="778" spans="6:9" ht="13">
      <c r="F778" s="32"/>
      <c r="G778" s="32"/>
      <c r="H778" s="32"/>
      <c r="I778" s="32"/>
    </row>
    <row r="779" spans="6:9" ht="13">
      <c r="F779" s="32"/>
      <c r="G779" s="32"/>
      <c r="H779" s="32"/>
      <c r="I779" s="32"/>
    </row>
    <row r="780" spans="6:9" ht="13">
      <c r="F780" s="32"/>
      <c r="G780" s="32"/>
      <c r="H780" s="32"/>
      <c r="I780" s="32"/>
    </row>
    <row r="781" spans="6:9" ht="13">
      <c r="F781" s="32"/>
      <c r="G781" s="32"/>
      <c r="H781" s="32"/>
      <c r="I781" s="32"/>
    </row>
    <row r="782" spans="6:9" ht="13">
      <c r="F782" s="32"/>
      <c r="G782" s="32"/>
      <c r="H782" s="32"/>
      <c r="I782" s="32"/>
    </row>
    <row r="783" spans="6:9" ht="13">
      <c r="F783" s="32"/>
      <c r="G783" s="32"/>
      <c r="H783" s="32"/>
      <c r="I783" s="32"/>
    </row>
    <row r="784" spans="6:9" ht="13">
      <c r="F784" s="32"/>
      <c r="G784" s="32"/>
      <c r="H784" s="32"/>
      <c r="I784" s="32"/>
    </row>
    <row r="785" spans="6:9" ht="13">
      <c r="F785" s="32"/>
      <c r="G785" s="32"/>
      <c r="H785" s="32"/>
      <c r="I785" s="32"/>
    </row>
    <row r="786" spans="6:9" ht="13">
      <c r="F786" s="32"/>
      <c r="G786" s="32"/>
      <c r="H786" s="32"/>
      <c r="I786" s="32"/>
    </row>
    <row r="787" spans="6:9" ht="13">
      <c r="F787" s="32"/>
      <c r="G787" s="32"/>
      <c r="H787" s="32"/>
      <c r="I787" s="32"/>
    </row>
    <row r="788" spans="6:9" ht="13">
      <c r="F788" s="32"/>
      <c r="G788" s="32"/>
      <c r="H788" s="32"/>
      <c r="I788" s="32"/>
    </row>
    <row r="789" spans="6:9" ht="13">
      <c r="F789" s="32"/>
      <c r="G789" s="32"/>
      <c r="H789" s="32"/>
      <c r="I789" s="32"/>
    </row>
    <row r="790" spans="6:9" ht="13">
      <c r="F790" s="32"/>
      <c r="G790" s="32"/>
      <c r="H790" s="32"/>
      <c r="I790" s="32"/>
    </row>
    <row r="791" spans="6:9" ht="13">
      <c r="F791" s="32"/>
      <c r="G791" s="32"/>
      <c r="H791" s="32"/>
      <c r="I791" s="32"/>
    </row>
    <row r="792" spans="6:9" ht="13">
      <c r="F792" s="32"/>
      <c r="G792" s="32"/>
      <c r="H792" s="32"/>
      <c r="I792" s="32"/>
    </row>
    <row r="793" spans="6:9" ht="13">
      <c r="F793" s="32"/>
      <c r="G793" s="32"/>
      <c r="H793" s="32"/>
      <c r="I793" s="32"/>
    </row>
    <row r="794" spans="6:9" ht="13">
      <c r="F794" s="32"/>
      <c r="G794" s="32"/>
      <c r="H794" s="32"/>
      <c r="I794" s="32"/>
    </row>
    <row r="795" spans="6:9" ht="13">
      <c r="F795" s="32"/>
      <c r="G795" s="32"/>
      <c r="H795" s="32"/>
      <c r="I795" s="32"/>
    </row>
    <row r="796" spans="6:9" ht="13">
      <c r="F796" s="32"/>
      <c r="G796" s="32"/>
      <c r="H796" s="32"/>
      <c r="I796" s="32"/>
    </row>
    <row r="797" spans="6:9" ht="13">
      <c r="F797" s="32"/>
      <c r="G797" s="32"/>
      <c r="H797" s="32"/>
      <c r="I797" s="32"/>
    </row>
    <row r="798" spans="6:9" ht="13">
      <c r="F798" s="32"/>
      <c r="G798" s="32"/>
      <c r="H798" s="32"/>
      <c r="I798" s="32"/>
    </row>
    <row r="799" spans="6:9" ht="13">
      <c r="F799" s="32"/>
      <c r="G799" s="32"/>
      <c r="H799" s="32"/>
      <c r="I799" s="32"/>
    </row>
    <row r="800" spans="6:9" ht="13">
      <c r="F800" s="32"/>
      <c r="G800" s="32"/>
      <c r="H800" s="32"/>
      <c r="I800" s="32"/>
    </row>
    <row r="801" spans="6:9" ht="13">
      <c r="F801" s="32"/>
      <c r="G801" s="32"/>
      <c r="H801" s="32"/>
      <c r="I801" s="32"/>
    </row>
    <row r="802" spans="6:9" ht="13">
      <c r="F802" s="32"/>
      <c r="G802" s="32"/>
      <c r="H802" s="32"/>
      <c r="I802" s="32"/>
    </row>
    <row r="803" spans="6:9" ht="13">
      <c r="F803" s="32"/>
      <c r="G803" s="32"/>
      <c r="H803" s="32"/>
      <c r="I803" s="32"/>
    </row>
    <row r="804" spans="6:9" ht="13">
      <c r="F804" s="32"/>
      <c r="G804" s="32"/>
      <c r="H804" s="32"/>
      <c r="I804" s="32"/>
    </row>
    <row r="805" spans="6:9" ht="13">
      <c r="F805" s="32"/>
      <c r="G805" s="32"/>
      <c r="H805" s="32"/>
      <c r="I805" s="32"/>
    </row>
    <row r="806" spans="6:9" ht="13">
      <c r="F806" s="32"/>
      <c r="G806" s="32"/>
      <c r="H806" s="32"/>
      <c r="I806" s="32"/>
    </row>
    <row r="807" spans="6:9" ht="13">
      <c r="F807" s="32"/>
      <c r="G807" s="32"/>
      <c r="H807" s="32"/>
      <c r="I807" s="32"/>
    </row>
    <row r="808" spans="6:9" ht="13">
      <c r="F808" s="32"/>
      <c r="G808" s="32"/>
      <c r="H808" s="32"/>
      <c r="I808" s="32"/>
    </row>
    <row r="809" spans="6:9" ht="13">
      <c r="F809" s="32"/>
      <c r="G809" s="32"/>
      <c r="H809" s="32"/>
      <c r="I809" s="32"/>
    </row>
    <row r="810" spans="6:9" ht="13">
      <c r="F810" s="32"/>
      <c r="G810" s="32"/>
      <c r="H810" s="32"/>
      <c r="I810" s="32"/>
    </row>
    <row r="811" spans="6:9" ht="13">
      <c r="F811" s="32"/>
      <c r="G811" s="32"/>
      <c r="H811" s="32"/>
      <c r="I811" s="32"/>
    </row>
    <row r="812" spans="6:9" ht="13">
      <c r="F812" s="32"/>
      <c r="G812" s="32"/>
      <c r="H812" s="32"/>
      <c r="I812" s="32"/>
    </row>
    <row r="813" spans="6:9" ht="13">
      <c r="F813" s="32"/>
      <c r="G813" s="32"/>
      <c r="H813" s="32"/>
      <c r="I813" s="32"/>
    </row>
    <row r="814" spans="6:9" ht="13">
      <c r="F814" s="32"/>
      <c r="G814" s="32"/>
      <c r="H814" s="32"/>
      <c r="I814" s="32"/>
    </row>
    <row r="815" spans="6:9" ht="13">
      <c r="F815" s="32"/>
      <c r="G815" s="32"/>
      <c r="H815" s="32"/>
      <c r="I815" s="32"/>
    </row>
    <row r="816" spans="6:9" ht="13">
      <c r="F816" s="32"/>
      <c r="G816" s="32"/>
      <c r="H816" s="32"/>
      <c r="I816" s="32"/>
    </row>
    <row r="817" spans="6:9" ht="13">
      <c r="F817" s="32"/>
      <c r="G817" s="32"/>
      <c r="H817" s="32"/>
      <c r="I817" s="32"/>
    </row>
    <row r="818" spans="6:9" ht="13">
      <c r="F818" s="32"/>
      <c r="G818" s="32"/>
      <c r="H818" s="32"/>
      <c r="I818" s="32"/>
    </row>
    <row r="819" spans="6:9" ht="13">
      <c r="F819" s="32"/>
      <c r="G819" s="32"/>
      <c r="H819" s="32"/>
      <c r="I819" s="32"/>
    </row>
    <row r="820" spans="6:9" ht="13">
      <c r="F820" s="32"/>
      <c r="G820" s="32"/>
      <c r="H820" s="32"/>
      <c r="I820" s="32"/>
    </row>
    <row r="821" spans="6:9" ht="13">
      <c r="F821" s="32"/>
      <c r="G821" s="32"/>
      <c r="H821" s="32"/>
      <c r="I821" s="32"/>
    </row>
    <row r="822" spans="6:9" ht="13">
      <c r="F822" s="32"/>
      <c r="G822" s="32"/>
      <c r="H822" s="32"/>
      <c r="I822" s="32"/>
    </row>
    <row r="823" spans="6:9" ht="13">
      <c r="F823" s="32"/>
      <c r="G823" s="32"/>
      <c r="H823" s="32"/>
      <c r="I823" s="32"/>
    </row>
    <row r="824" spans="6:9" ht="13">
      <c r="F824" s="32"/>
      <c r="G824" s="32"/>
      <c r="H824" s="32"/>
      <c r="I824" s="32"/>
    </row>
    <row r="825" spans="6:9" ht="13">
      <c r="F825" s="32"/>
      <c r="G825" s="32"/>
      <c r="H825" s="32"/>
      <c r="I825" s="32"/>
    </row>
    <row r="826" spans="6:9" ht="13">
      <c r="F826" s="32"/>
      <c r="G826" s="32"/>
      <c r="H826" s="32"/>
      <c r="I826" s="32"/>
    </row>
    <row r="827" spans="6:9" ht="13">
      <c r="F827" s="32"/>
      <c r="G827" s="32"/>
      <c r="H827" s="32"/>
      <c r="I827" s="32"/>
    </row>
    <row r="828" spans="6:9" ht="13">
      <c r="F828" s="32"/>
      <c r="G828" s="32"/>
      <c r="H828" s="32"/>
      <c r="I828" s="32"/>
    </row>
    <row r="829" spans="6:9" ht="13">
      <c r="F829" s="32"/>
      <c r="G829" s="32"/>
      <c r="H829" s="32"/>
      <c r="I829" s="32"/>
    </row>
    <row r="830" spans="6:9" ht="13">
      <c r="F830" s="32"/>
      <c r="G830" s="32"/>
      <c r="H830" s="32"/>
      <c r="I830" s="32"/>
    </row>
    <row r="831" spans="6:9" ht="13">
      <c r="F831" s="32"/>
      <c r="G831" s="32"/>
      <c r="H831" s="32"/>
      <c r="I831" s="32"/>
    </row>
    <row r="832" spans="6:9" ht="13">
      <c r="F832" s="32"/>
      <c r="G832" s="32"/>
      <c r="H832" s="32"/>
      <c r="I832" s="32"/>
    </row>
    <row r="833" spans="6:9" ht="13">
      <c r="F833" s="32"/>
      <c r="G833" s="32"/>
      <c r="H833" s="32"/>
      <c r="I833" s="32"/>
    </row>
    <row r="834" spans="6:9" ht="13">
      <c r="F834" s="32"/>
      <c r="G834" s="32"/>
      <c r="H834" s="32"/>
      <c r="I834" s="32"/>
    </row>
    <row r="835" spans="6:9" ht="13">
      <c r="F835" s="32"/>
      <c r="G835" s="32"/>
      <c r="H835" s="32"/>
      <c r="I835" s="32"/>
    </row>
    <row r="836" spans="6:9" ht="13">
      <c r="F836" s="32"/>
      <c r="G836" s="32"/>
      <c r="H836" s="32"/>
      <c r="I836" s="32"/>
    </row>
    <row r="837" spans="6:9" ht="13">
      <c r="F837" s="32"/>
      <c r="G837" s="32"/>
      <c r="H837" s="32"/>
      <c r="I837" s="32"/>
    </row>
    <row r="838" spans="6:9" ht="13">
      <c r="F838" s="32"/>
      <c r="G838" s="32"/>
      <c r="H838" s="32"/>
      <c r="I838" s="32"/>
    </row>
    <row r="839" spans="6:9" ht="13">
      <c r="F839" s="32"/>
      <c r="G839" s="32"/>
      <c r="H839" s="32"/>
      <c r="I839" s="32"/>
    </row>
    <row r="840" spans="6:9" ht="13">
      <c r="F840" s="32"/>
      <c r="G840" s="32"/>
      <c r="H840" s="32"/>
      <c r="I840" s="32"/>
    </row>
    <row r="841" spans="6:9" ht="13">
      <c r="F841" s="32"/>
      <c r="G841" s="32"/>
      <c r="H841" s="32"/>
      <c r="I841" s="32"/>
    </row>
    <row r="842" spans="6:9" ht="13">
      <c r="F842" s="32"/>
      <c r="G842" s="32"/>
      <c r="H842" s="32"/>
      <c r="I842" s="32"/>
    </row>
    <row r="843" spans="6:9" ht="13">
      <c r="F843" s="32"/>
      <c r="G843" s="32"/>
      <c r="H843" s="32"/>
      <c r="I843" s="32"/>
    </row>
    <row r="844" spans="6:9" ht="13">
      <c r="F844" s="32"/>
      <c r="G844" s="32"/>
      <c r="H844" s="32"/>
      <c r="I844" s="32"/>
    </row>
    <row r="845" spans="6:9" ht="13">
      <c r="F845" s="32"/>
      <c r="G845" s="32"/>
      <c r="H845" s="32"/>
      <c r="I845" s="32"/>
    </row>
    <row r="846" spans="6:9" ht="13">
      <c r="F846" s="32"/>
      <c r="G846" s="32"/>
      <c r="H846" s="32"/>
      <c r="I846" s="32"/>
    </row>
    <row r="847" spans="6:9" ht="13">
      <c r="F847" s="32"/>
      <c r="G847" s="32"/>
      <c r="H847" s="32"/>
      <c r="I847" s="32"/>
    </row>
    <row r="848" spans="6:9" ht="13">
      <c r="F848" s="32"/>
      <c r="G848" s="32"/>
      <c r="H848" s="32"/>
      <c r="I848" s="32"/>
    </row>
    <row r="849" spans="6:9" ht="13">
      <c r="F849" s="32"/>
      <c r="G849" s="32"/>
      <c r="H849" s="32"/>
      <c r="I849" s="32"/>
    </row>
    <row r="850" spans="6:9" ht="13">
      <c r="F850" s="32"/>
      <c r="G850" s="32"/>
      <c r="H850" s="32"/>
      <c r="I850" s="32"/>
    </row>
    <row r="851" spans="6:9" ht="13">
      <c r="F851" s="32"/>
      <c r="G851" s="32"/>
      <c r="H851" s="32"/>
      <c r="I851" s="32"/>
    </row>
    <row r="852" spans="6:9" ht="13">
      <c r="F852" s="32"/>
      <c r="G852" s="32"/>
      <c r="H852" s="32"/>
      <c r="I852" s="32"/>
    </row>
    <row r="853" spans="6:9" ht="13">
      <c r="F853" s="32"/>
      <c r="G853" s="32"/>
      <c r="H853" s="32"/>
      <c r="I853" s="32"/>
    </row>
    <row r="854" spans="6:9" ht="13">
      <c r="F854" s="32"/>
      <c r="G854" s="32"/>
      <c r="H854" s="32"/>
      <c r="I854" s="32"/>
    </row>
    <row r="855" spans="6:9" ht="13">
      <c r="F855" s="32"/>
      <c r="G855" s="32"/>
      <c r="H855" s="32"/>
      <c r="I855" s="32"/>
    </row>
    <row r="856" spans="6:9" ht="13">
      <c r="F856" s="32"/>
      <c r="G856" s="32"/>
      <c r="H856" s="32"/>
      <c r="I856" s="32"/>
    </row>
    <row r="857" spans="6:9" ht="13">
      <c r="F857" s="32"/>
      <c r="G857" s="32"/>
      <c r="H857" s="32"/>
      <c r="I857" s="32"/>
    </row>
    <row r="858" spans="6:9" ht="13">
      <c r="F858" s="32"/>
      <c r="G858" s="32"/>
      <c r="H858" s="32"/>
      <c r="I858" s="32"/>
    </row>
    <row r="859" spans="6:9" ht="13">
      <c r="F859" s="32"/>
      <c r="G859" s="32"/>
      <c r="H859" s="32"/>
      <c r="I859" s="32"/>
    </row>
    <row r="860" spans="6:9" ht="13">
      <c r="F860" s="32"/>
      <c r="G860" s="32"/>
      <c r="H860" s="32"/>
      <c r="I860" s="32"/>
    </row>
    <row r="861" spans="6:9" ht="13">
      <c r="F861" s="32"/>
      <c r="G861" s="32"/>
      <c r="H861" s="32"/>
      <c r="I861" s="32"/>
    </row>
    <row r="862" spans="6:9" ht="13">
      <c r="F862" s="32"/>
      <c r="G862" s="32"/>
      <c r="H862" s="32"/>
      <c r="I862" s="32"/>
    </row>
    <row r="863" spans="6:9" ht="13">
      <c r="F863" s="32"/>
      <c r="G863" s="32"/>
      <c r="H863" s="32"/>
      <c r="I863" s="32"/>
    </row>
    <row r="864" spans="6:9" ht="13">
      <c r="F864" s="32"/>
      <c r="G864" s="32"/>
      <c r="H864" s="32"/>
      <c r="I864" s="32"/>
    </row>
    <row r="865" spans="6:9" ht="13">
      <c r="F865" s="32"/>
      <c r="G865" s="32"/>
      <c r="H865" s="32"/>
      <c r="I865" s="32"/>
    </row>
    <row r="866" spans="6:9" ht="13">
      <c r="F866" s="32"/>
      <c r="G866" s="32"/>
      <c r="H866" s="32"/>
      <c r="I866" s="32"/>
    </row>
    <row r="867" spans="6:9" ht="13">
      <c r="F867" s="32"/>
      <c r="G867" s="32"/>
      <c r="H867" s="32"/>
      <c r="I867" s="32"/>
    </row>
    <row r="868" spans="6:9" ht="13">
      <c r="F868" s="32"/>
      <c r="G868" s="32"/>
      <c r="H868" s="32"/>
      <c r="I868" s="32"/>
    </row>
    <row r="869" spans="6:9" ht="13">
      <c r="F869" s="32"/>
      <c r="G869" s="32"/>
      <c r="H869" s="32"/>
      <c r="I869" s="32"/>
    </row>
    <row r="870" spans="6:9" ht="13">
      <c r="F870" s="32"/>
      <c r="G870" s="32"/>
      <c r="H870" s="32"/>
      <c r="I870" s="32"/>
    </row>
    <row r="871" spans="6:9" ht="13">
      <c r="F871" s="32"/>
      <c r="G871" s="32"/>
      <c r="H871" s="32"/>
      <c r="I871" s="32"/>
    </row>
    <row r="872" spans="6:9" ht="13">
      <c r="F872" s="32"/>
      <c r="G872" s="32"/>
      <c r="H872" s="32"/>
      <c r="I872" s="32"/>
    </row>
    <row r="873" spans="6:9" ht="13">
      <c r="F873" s="32"/>
      <c r="G873" s="32"/>
      <c r="H873" s="32"/>
      <c r="I873" s="32"/>
    </row>
    <row r="874" spans="6:9" ht="13">
      <c r="F874" s="32"/>
      <c r="G874" s="32"/>
      <c r="H874" s="32"/>
      <c r="I874" s="32"/>
    </row>
    <row r="875" spans="6:9" ht="13">
      <c r="F875" s="32"/>
      <c r="G875" s="32"/>
      <c r="H875" s="32"/>
      <c r="I875" s="32"/>
    </row>
    <row r="876" spans="6:9" ht="13">
      <c r="F876" s="32"/>
      <c r="G876" s="32"/>
      <c r="H876" s="32"/>
      <c r="I876" s="32"/>
    </row>
    <row r="877" spans="6:9" ht="13">
      <c r="F877" s="32"/>
      <c r="G877" s="32"/>
      <c r="H877" s="32"/>
      <c r="I877" s="32"/>
    </row>
    <row r="878" spans="6:9" ht="13">
      <c r="F878" s="32"/>
      <c r="G878" s="32"/>
      <c r="H878" s="32"/>
      <c r="I878" s="32"/>
    </row>
    <row r="879" spans="6:9" ht="13">
      <c r="F879" s="32"/>
      <c r="G879" s="32"/>
      <c r="H879" s="32"/>
      <c r="I879" s="32"/>
    </row>
    <row r="880" spans="6:9" ht="13">
      <c r="F880" s="32"/>
      <c r="G880" s="32"/>
      <c r="H880" s="32"/>
      <c r="I880" s="32"/>
    </row>
    <row r="881" spans="6:9" ht="13">
      <c r="F881" s="32"/>
      <c r="G881" s="32"/>
      <c r="H881" s="32"/>
      <c r="I881" s="32"/>
    </row>
    <row r="882" spans="6:9" ht="13">
      <c r="F882" s="32"/>
      <c r="G882" s="32"/>
      <c r="H882" s="32"/>
      <c r="I882" s="32"/>
    </row>
    <row r="883" spans="6:9" ht="13">
      <c r="F883" s="32"/>
      <c r="G883" s="32"/>
      <c r="H883" s="32"/>
      <c r="I883" s="32"/>
    </row>
    <row r="884" spans="6:9" ht="13">
      <c r="F884" s="32"/>
      <c r="G884" s="32"/>
      <c r="H884" s="32"/>
      <c r="I884" s="32"/>
    </row>
    <row r="885" spans="6:9" ht="13">
      <c r="F885" s="32"/>
      <c r="G885" s="32"/>
      <c r="H885" s="32"/>
      <c r="I885" s="32"/>
    </row>
    <row r="886" spans="6:9" ht="13">
      <c r="F886" s="32"/>
      <c r="G886" s="32"/>
      <c r="H886" s="32"/>
      <c r="I886" s="32"/>
    </row>
    <row r="887" spans="6:9" ht="13">
      <c r="F887" s="32"/>
      <c r="G887" s="32"/>
      <c r="H887" s="32"/>
      <c r="I887" s="32"/>
    </row>
    <row r="888" spans="6:9" ht="13">
      <c r="F888" s="32"/>
      <c r="G888" s="32"/>
      <c r="H888" s="32"/>
      <c r="I888" s="32"/>
    </row>
    <row r="889" spans="6:9" ht="13">
      <c r="F889" s="32"/>
      <c r="G889" s="32"/>
      <c r="H889" s="32"/>
      <c r="I889" s="32"/>
    </row>
    <row r="890" spans="6:9" ht="13">
      <c r="F890" s="32"/>
      <c r="G890" s="32"/>
      <c r="H890" s="32"/>
      <c r="I890" s="32"/>
    </row>
    <row r="891" spans="6:9" ht="13">
      <c r="F891" s="32"/>
      <c r="G891" s="32"/>
      <c r="H891" s="32"/>
      <c r="I891" s="32"/>
    </row>
    <row r="892" spans="6:9" ht="13">
      <c r="F892" s="32"/>
      <c r="G892" s="32"/>
      <c r="H892" s="32"/>
      <c r="I892" s="32"/>
    </row>
    <row r="893" spans="6:9" ht="13">
      <c r="F893" s="32"/>
      <c r="G893" s="32"/>
      <c r="H893" s="32"/>
      <c r="I893" s="32"/>
    </row>
    <row r="894" spans="6:9" ht="13">
      <c r="F894" s="32"/>
      <c r="G894" s="32"/>
      <c r="H894" s="32"/>
      <c r="I894" s="32"/>
    </row>
    <row r="895" spans="6:9" ht="13">
      <c r="F895" s="32"/>
      <c r="G895" s="32"/>
      <c r="H895" s="32"/>
      <c r="I895" s="32"/>
    </row>
    <row r="896" spans="6:9" ht="13">
      <c r="F896" s="32"/>
      <c r="G896" s="32"/>
      <c r="H896" s="32"/>
      <c r="I896" s="32"/>
    </row>
    <row r="897" spans="6:9" ht="13">
      <c r="F897" s="32"/>
      <c r="G897" s="32"/>
      <c r="H897" s="32"/>
      <c r="I897" s="32"/>
    </row>
    <row r="898" spans="6:9" ht="13">
      <c r="F898" s="32"/>
      <c r="G898" s="32"/>
      <c r="H898" s="32"/>
      <c r="I898" s="32"/>
    </row>
    <row r="899" spans="6:9" ht="13">
      <c r="F899" s="32"/>
      <c r="G899" s="32"/>
      <c r="H899" s="32"/>
      <c r="I899" s="32"/>
    </row>
    <row r="900" spans="6:9" ht="13">
      <c r="F900" s="32"/>
      <c r="G900" s="32"/>
      <c r="H900" s="32"/>
      <c r="I900" s="32"/>
    </row>
    <row r="901" spans="6:9" ht="13">
      <c r="F901" s="32"/>
      <c r="G901" s="32"/>
      <c r="H901" s="32"/>
      <c r="I901" s="32"/>
    </row>
    <row r="902" spans="6:9" ht="13">
      <c r="F902" s="32"/>
      <c r="G902" s="32"/>
      <c r="H902" s="32"/>
      <c r="I902" s="32"/>
    </row>
    <row r="903" spans="6:9" ht="13">
      <c r="F903" s="32"/>
      <c r="G903" s="32"/>
      <c r="H903" s="32"/>
      <c r="I903" s="32"/>
    </row>
    <row r="904" spans="6:9" ht="13">
      <c r="F904" s="32"/>
      <c r="G904" s="32"/>
      <c r="H904" s="32"/>
      <c r="I904" s="32"/>
    </row>
    <row r="905" spans="6:9" ht="13">
      <c r="F905" s="32"/>
      <c r="G905" s="32"/>
      <c r="H905" s="32"/>
      <c r="I905" s="32"/>
    </row>
    <row r="906" spans="6:9" ht="13">
      <c r="F906" s="32"/>
      <c r="G906" s="32"/>
      <c r="H906" s="32"/>
      <c r="I906" s="32"/>
    </row>
    <row r="907" spans="6:9" ht="13">
      <c r="F907" s="32"/>
      <c r="G907" s="32"/>
      <c r="H907" s="32"/>
      <c r="I907" s="32"/>
    </row>
    <row r="908" spans="6:9" ht="13">
      <c r="F908" s="32"/>
      <c r="G908" s="32"/>
      <c r="H908" s="32"/>
      <c r="I908" s="32"/>
    </row>
    <row r="909" spans="6:9" ht="13">
      <c r="F909" s="32"/>
      <c r="G909" s="32"/>
      <c r="H909" s="32"/>
      <c r="I909" s="32"/>
    </row>
    <row r="910" spans="6:9" ht="13">
      <c r="F910" s="32"/>
      <c r="G910" s="32"/>
      <c r="H910" s="32"/>
      <c r="I910" s="32"/>
    </row>
    <row r="911" spans="6:9" ht="13">
      <c r="F911" s="32"/>
      <c r="G911" s="32"/>
      <c r="H911" s="32"/>
      <c r="I911" s="32"/>
    </row>
    <row r="912" spans="6:9" ht="13">
      <c r="F912" s="32"/>
      <c r="G912" s="32"/>
      <c r="H912" s="32"/>
      <c r="I912" s="32"/>
    </row>
    <row r="913" spans="6:9" ht="13">
      <c r="F913" s="32"/>
      <c r="G913" s="32"/>
      <c r="H913" s="32"/>
      <c r="I913" s="32"/>
    </row>
    <row r="914" spans="6:9" ht="13">
      <c r="F914" s="32"/>
      <c r="G914" s="32"/>
      <c r="H914" s="32"/>
      <c r="I914" s="32"/>
    </row>
    <row r="915" spans="6:9" ht="13">
      <c r="F915" s="32"/>
      <c r="G915" s="32"/>
      <c r="H915" s="32"/>
      <c r="I915" s="32"/>
    </row>
    <row r="916" spans="6:9" ht="13">
      <c r="F916" s="32"/>
      <c r="G916" s="32"/>
      <c r="H916" s="32"/>
      <c r="I916" s="32"/>
    </row>
    <row r="917" spans="6:9" ht="13">
      <c r="F917" s="32"/>
      <c r="G917" s="32"/>
      <c r="H917" s="32"/>
      <c r="I917" s="32"/>
    </row>
    <row r="918" spans="6:9" ht="13">
      <c r="F918" s="32"/>
      <c r="G918" s="32"/>
      <c r="H918" s="32"/>
      <c r="I918" s="32"/>
    </row>
    <row r="919" spans="6:9" ht="13">
      <c r="F919" s="32"/>
      <c r="G919" s="32"/>
      <c r="H919" s="32"/>
      <c r="I919" s="32"/>
    </row>
    <row r="920" spans="6:9" ht="13">
      <c r="F920" s="32"/>
      <c r="G920" s="32"/>
      <c r="H920" s="32"/>
      <c r="I920" s="32"/>
    </row>
    <row r="921" spans="6:9" ht="13">
      <c r="F921" s="32"/>
      <c r="G921" s="32"/>
      <c r="H921" s="32"/>
      <c r="I921" s="32"/>
    </row>
    <row r="922" spans="6:9" ht="13">
      <c r="F922" s="32"/>
      <c r="G922" s="32"/>
      <c r="H922" s="32"/>
      <c r="I922" s="32"/>
    </row>
    <row r="923" spans="6:9" ht="13">
      <c r="F923" s="32"/>
      <c r="G923" s="32"/>
      <c r="H923" s="32"/>
      <c r="I923" s="32"/>
    </row>
    <row r="924" spans="6:9" ht="13">
      <c r="F924" s="32"/>
      <c r="G924" s="32"/>
      <c r="H924" s="32"/>
      <c r="I924" s="32"/>
    </row>
    <row r="925" spans="6:9" ht="13">
      <c r="F925" s="32"/>
      <c r="G925" s="32"/>
      <c r="H925" s="32"/>
      <c r="I925" s="32"/>
    </row>
    <row r="926" spans="6:9" ht="13">
      <c r="F926" s="32"/>
      <c r="G926" s="32"/>
      <c r="H926" s="32"/>
      <c r="I926" s="32"/>
    </row>
    <row r="927" spans="6:9" ht="13">
      <c r="F927" s="32"/>
      <c r="G927" s="32"/>
      <c r="H927" s="32"/>
      <c r="I927" s="32"/>
    </row>
    <row r="928" spans="6:9" ht="13">
      <c r="F928" s="32"/>
      <c r="G928" s="32"/>
      <c r="H928" s="32"/>
      <c r="I928" s="32"/>
    </row>
    <row r="929" spans="6:9" ht="13">
      <c r="F929" s="32"/>
      <c r="G929" s="32"/>
      <c r="H929" s="32"/>
      <c r="I929" s="32"/>
    </row>
    <row r="930" spans="6:9" ht="13">
      <c r="F930" s="32"/>
      <c r="G930" s="32"/>
      <c r="H930" s="32"/>
      <c r="I930" s="32"/>
    </row>
    <row r="931" spans="6:9" ht="13">
      <c r="F931" s="32"/>
      <c r="G931" s="32"/>
      <c r="H931" s="32"/>
      <c r="I931" s="32"/>
    </row>
    <row r="932" spans="6:9" ht="13">
      <c r="F932" s="32"/>
      <c r="G932" s="32"/>
      <c r="H932" s="32"/>
      <c r="I932" s="32"/>
    </row>
    <row r="933" spans="6:9" ht="13">
      <c r="F933" s="32"/>
      <c r="G933" s="32"/>
      <c r="H933" s="32"/>
      <c r="I933" s="32"/>
    </row>
    <row r="934" spans="6:9" ht="13">
      <c r="F934" s="32"/>
      <c r="G934" s="32"/>
      <c r="H934" s="32"/>
      <c r="I934" s="32"/>
    </row>
    <row r="935" spans="6:9" ht="13">
      <c r="F935" s="32"/>
      <c r="G935" s="32"/>
      <c r="H935" s="32"/>
      <c r="I935" s="32"/>
    </row>
    <row r="936" spans="6:9" ht="13">
      <c r="F936" s="32"/>
      <c r="G936" s="32"/>
      <c r="H936" s="32"/>
      <c r="I936" s="32"/>
    </row>
    <row r="937" spans="6:9" ht="13">
      <c r="F937" s="32"/>
      <c r="G937" s="32"/>
      <c r="H937" s="32"/>
      <c r="I937" s="32"/>
    </row>
    <row r="938" spans="6:9" ht="13">
      <c r="F938" s="32"/>
      <c r="G938" s="32"/>
      <c r="H938" s="32"/>
      <c r="I938" s="32"/>
    </row>
    <row r="939" spans="6:9" ht="13">
      <c r="F939" s="32"/>
      <c r="G939" s="32"/>
      <c r="H939" s="32"/>
      <c r="I939" s="32"/>
    </row>
    <row r="940" spans="6:9" ht="13">
      <c r="F940" s="32"/>
      <c r="G940" s="32"/>
      <c r="H940" s="32"/>
      <c r="I940" s="32"/>
    </row>
    <row r="941" spans="6:9" ht="13">
      <c r="F941" s="32"/>
      <c r="G941" s="32"/>
      <c r="H941" s="32"/>
      <c r="I941" s="32"/>
    </row>
    <row r="942" spans="6:9" ht="13">
      <c r="F942" s="32"/>
      <c r="G942" s="32"/>
      <c r="H942" s="32"/>
      <c r="I942" s="32"/>
    </row>
    <row r="943" spans="6:9" ht="13">
      <c r="F943" s="32"/>
      <c r="G943" s="32"/>
      <c r="H943" s="32"/>
      <c r="I943" s="32"/>
    </row>
    <row r="944" spans="6:9" ht="13">
      <c r="F944" s="32"/>
      <c r="G944" s="32"/>
      <c r="H944" s="32"/>
      <c r="I944" s="32"/>
    </row>
    <row r="945" spans="6:9" ht="13">
      <c r="F945" s="32"/>
      <c r="G945" s="32"/>
      <c r="H945" s="32"/>
      <c r="I945" s="32"/>
    </row>
    <row r="946" spans="6:9" ht="13">
      <c r="F946" s="32"/>
      <c r="G946" s="32"/>
      <c r="H946" s="32"/>
      <c r="I946" s="32"/>
    </row>
    <row r="947" spans="6:9" ht="13">
      <c r="F947" s="32"/>
      <c r="G947" s="32"/>
      <c r="H947" s="32"/>
      <c r="I947" s="32"/>
    </row>
    <row r="948" spans="6:9" ht="13">
      <c r="F948" s="32"/>
      <c r="G948" s="32"/>
      <c r="H948" s="32"/>
      <c r="I948" s="32"/>
    </row>
    <row r="949" spans="6:9" ht="13">
      <c r="F949" s="32"/>
      <c r="G949" s="32"/>
      <c r="H949" s="32"/>
      <c r="I949" s="32"/>
    </row>
    <row r="950" spans="6:9" ht="13">
      <c r="F950" s="32"/>
      <c r="G950" s="32"/>
      <c r="H950" s="32"/>
      <c r="I950" s="32"/>
    </row>
    <row r="951" spans="6:9" ht="13">
      <c r="F951" s="32"/>
      <c r="G951" s="32"/>
      <c r="H951" s="32"/>
      <c r="I951" s="32"/>
    </row>
    <row r="952" spans="6:9" ht="13">
      <c r="F952" s="32"/>
      <c r="G952" s="32"/>
      <c r="H952" s="32"/>
      <c r="I952" s="32"/>
    </row>
    <row r="953" spans="6:9" ht="13">
      <c r="F953" s="32"/>
      <c r="G953" s="32"/>
      <c r="H953" s="32"/>
      <c r="I953" s="32"/>
    </row>
    <row r="954" spans="6:9" ht="13">
      <c r="F954" s="32"/>
      <c r="G954" s="32"/>
      <c r="H954" s="32"/>
      <c r="I954" s="32"/>
    </row>
    <row r="955" spans="6:9" ht="13">
      <c r="F955" s="32"/>
      <c r="G955" s="32"/>
      <c r="H955" s="32"/>
      <c r="I955" s="32"/>
    </row>
    <row r="956" spans="6:9" ht="13">
      <c r="F956" s="32"/>
      <c r="G956" s="32"/>
      <c r="H956" s="32"/>
      <c r="I956" s="32"/>
    </row>
    <row r="957" spans="6:9" ht="13">
      <c r="F957" s="32"/>
      <c r="G957" s="32"/>
      <c r="H957" s="32"/>
      <c r="I957" s="32"/>
    </row>
    <row r="958" spans="6:9" ht="13">
      <c r="F958" s="32"/>
      <c r="G958" s="32"/>
      <c r="H958" s="32"/>
      <c r="I958" s="32"/>
    </row>
    <row r="959" spans="6:9" ht="13">
      <c r="F959" s="32"/>
      <c r="G959" s="32"/>
      <c r="H959" s="32"/>
      <c r="I959" s="32"/>
    </row>
    <row r="960" spans="6:9" ht="13">
      <c r="F960" s="32"/>
      <c r="G960" s="32"/>
      <c r="H960" s="32"/>
      <c r="I960" s="32"/>
    </row>
    <row r="961" spans="6:9" ht="13">
      <c r="F961" s="32"/>
      <c r="G961" s="32"/>
      <c r="H961" s="32"/>
      <c r="I961" s="32"/>
    </row>
    <row r="962" spans="6:9" ht="13">
      <c r="F962" s="32"/>
      <c r="G962" s="32"/>
      <c r="H962" s="32"/>
      <c r="I962" s="32"/>
    </row>
    <row r="963" spans="6:9" ht="13">
      <c r="F963" s="32"/>
      <c r="G963" s="32"/>
      <c r="H963" s="32"/>
      <c r="I963" s="32"/>
    </row>
    <row r="964" spans="6:9" ht="13">
      <c r="F964" s="32"/>
      <c r="G964" s="32"/>
      <c r="H964" s="32"/>
      <c r="I964" s="32"/>
    </row>
    <row r="965" spans="6:9" ht="13">
      <c r="F965" s="32"/>
      <c r="G965" s="32"/>
      <c r="H965" s="32"/>
      <c r="I965" s="32"/>
    </row>
    <row r="966" spans="6:9" ht="13">
      <c r="F966" s="32"/>
      <c r="G966" s="32"/>
      <c r="H966" s="32"/>
      <c r="I966" s="32"/>
    </row>
    <row r="967" spans="6:9" ht="13">
      <c r="F967" s="32"/>
      <c r="G967" s="32"/>
      <c r="H967" s="32"/>
      <c r="I967" s="32"/>
    </row>
    <row r="968" spans="6:9" ht="13">
      <c r="F968" s="32"/>
      <c r="G968" s="32"/>
      <c r="H968" s="32"/>
      <c r="I968" s="32"/>
    </row>
    <row r="969" spans="6:9" ht="13">
      <c r="F969" s="32"/>
      <c r="G969" s="32"/>
      <c r="H969" s="32"/>
      <c r="I969" s="32"/>
    </row>
    <row r="970" spans="6:9" ht="13">
      <c r="F970" s="32"/>
      <c r="G970" s="32"/>
      <c r="H970" s="32"/>
      <c r="I970" s="32"/>
    </row>
    <row r="971" spans="6:9" ht="13">
      <c r="F971" s="32"/>
      <c r="G971" s="32"/>
      <c r="H971" s="32"/>
      <c r="I971" s="32"/>
    </row>
    <row r="972" spans="6:9" ht="13">
      <c r="F972" s="32"/>
      <c r="G972" s="32"/>
      <c r="H972" s="32"/>
      <c r="I972" s="32"/>
    </row>
    <row r="973" spans="6:9" ht="13">
      <c r="F973" s="32"/>
      <c r="G973" s="32"/>
      <c r="H973" s="32"/>
      <c r="I973" s="32"/>
    </row>
    <row r="974" spans="6:9" ht="13">
      <c r="F974" s="32"/>
      <c r="G974" s="32"/>
      <c r="H974" s="32"/>
      <c r="I974" s="32"/>
    </row>
    <row r="975" spans="6:9" ht="13">
      <c r="F975" s="32"/>
      <c r="G975" s="32"/>
      <c r="H975" s="32"/>
      <c r="I975" s="32"/>
    </row>
    <row r="976" spans="6:9" ht="13">
      <c r="F976" s="32"/>
      <c r="G976" s="32"/>
      <c r="H976" s="32"/>
      <c r="I976" s="32"/>
    </row>
    <row r="977" spans="6:9" ht="13">
      <c r="F977" s="32"/>
      <c r="G977" s="32"/>
      <c r="H977" s="32"/>
      <c r="I977" s="32"/>
    </row>
    <row r="978" spans="6:9" ht="13">
      <c r="F978" s="32"/>
      <c r="G978" s="32"/>
      <c r="H978" s="32"/>
      <c r="I978" s="32"/>
    </row>
    <row r="979" spans="6:9" ht="13">
      <c r="F979" s="32"/>
      <c r="G979" s="32"/>
      <c r="H979" s="32"/>
      <c r="I979" s="32"/>
    </row>
    <row r="980" spans="6:9" ht="13">
      <c r="F980" s="32"/>
      <c r="G980" s="32"/>
      <c r="H980" s="32"/>
      <c r="I980" s="32"/>
    </row>
    <row r="981" spans="6:9" ht="13">
      <c r="F981" s="32"/>
      <c r="G981" s="32"/>
      <c r="H981" s="32"/>
      <c r="I981" s="32"/>
    </row>
    <row r="982" spans="6:9" ht="13">
      <c r="F982" s="32"/>
      <c r="G982" s="32"/>
      <c r="H982" s="32"/>
      <c r="I982" s="32"/>
    </row>
    <row r="983" spans="6:9" ht="13">
      <c r="F983" s="32"/>
      <c r="G983" s="32"/>
      <c r="H983" s="32"/>
      <c r="I983" s="32"/>
    </row>
    <row r="984" spans="6:9" ht="13">
      <c r="F984" s="32"/>
      <c r="G984" s="32"/>
      <c r="H984" s="32"/>
      <c r="I984" s="32"/>
    </row>
    <row r="985" spans="6:9" ht="13">
      <c r="F985" s="32"/>
      <c r="G985" s="32"/>
      <c r="H985" s="32"/>
      <c r="I985" s="32"/>
    </row>
    <row r="986" spans="6:9" ht="13">
      <c r="F986" s="32"/>
      <c r="G986" s="32"/>
      <c r="H986" s="32"/>
      <c r="I986" s="32"/>
    </row>
    <row r="987" spans="6:9" ht="13">
      <c r="F987" s="32"/>
      <c r="G987" s="32"/>
      <c r="H987" s="32"/>
      <c r="I987" s="32"/>
    </row>
    <row r="988" spans="6:9" ht="13">
      <c r="F988" s="32"/>
      <c r="G988" s="32"/>
      <c r="H988" s="32"/>
      <c r="I988" s="32"/>
    </row>
    <row r="989" spans="6:9" ht="13">
      <c r="F989" s="32"/>
      <c r="G989" s="32"/>
      <c r="H989" s="32"/>
      <c r="I989" s="32"/>
    </row>
    <row r="990" spans="6:9" ht="13">
      <c r="F990" s="32"/>
      <c r="G990" s="32"/>
      <c r="H990" s="32"/>
      <c r="I990" s="32"/>
    </row>
    <row r="991" spans="6:9" ht="13">
      <c r="F991" s="32"/>
      <c r="G991" s="32"/>
      <c r="H991" s="32"/>
      <c r="I991" s="32"/>
    </row>
    <row r="992" spans="6:9" ht="13">
      <c r="F992" s="32"/>
      <c r="G992" s="32"/>
      <c r="H992" s="32"/>
      <c r="I992" s="32"/>
    </row>
    <row r="993" spans="6:9" ht="13">
      <c r="F993" s="32"/>
      <c r="G993" s="32"/>
      <c r="H993" s="32"/>
      <c r="I993" s="32"/>
    </row>
    <row r="994" spans="6:9" ht="13">
      <c r="F994" s="32"/>
      <c r="G994" s="32"/>
      <c r="H994" s="32"/>
      <c r="I994" s="32"/>
    </row>
    <row r="995" spans="6:9" ht="13">
      <c r="F995" s="32"/>
      <c r="G995" s="32"/>
      <c r="H995" s="32"/>
      <c r="I995" s="32"/>
    </row>
    <row r="996" spans="6:9" ht="13">
      <c r="F996" s="32"/>
      <c r="G996" s="32"/>
      <c r="H996" s="32"/>
      <c r="I996" s="32"/>
    </row>
    <row r="997" spans="6:9" ht="13">
      <c r="F997" s="32"/>
      <c r="G997" s="32"/>
      <c r="H997" s="32"/>
      <c r="I997" s="32"/>
    </row>
    <row r="998" spans="6:9" ht="13">
      <c r="F998" s="32"/>
      <c r="G998" s="32"/>
      <c r="H998" s="32"/>
      <c r="I998" s="32"/>
    </row>
    <row r="999" spans="6:9" ht="13">
      <c r="F999" s="32"/>
      <c r="G999" s="32"/>
      <c r="H999" s="32"/>
      <c r="I999" s="32"/>
    </row>
    <row r="1000" spans="6:9" ht="13">
      <c r="F1000" s="32"/>
      <c r="G1000" s="32"/>
      <c r="H1000" s="32"/>
      <c r="I1000" s="32"/>
    </row>
  </sheetData>
  <conditionalFormatting sqref="A2:D101">
    <cfRule type="notContainsBlanks" dxfId="0" priority="1">
      <formula>LEN(TRIM(A2))&gt;0</formula>
    </cfRule>
  </conditionalFormatting>
  <hyperlinks>
    <hyperlink ref="A2" r:id="rId1" xr:uid="{00000000-0004-0000-0500-000000000000}"/>
    <hyperlink ref="B2" r:id="rId2" xr:uid="{00000000-0004-0000-0500-000001000000}"/>
    <hyperlink ref="C2" r:id="rId3" xr:uid="{00000000-0004-0000-0500-000002000000}"/>
    <hyperlink ref="D2" r:id="rId4" xr:uid="{00000000-0004-0000-0500-000003000000}"/>
    <hyperlink ref="A3" r:id="rId5" xr:uid="{00000000-0004-0000-0500-000004000000}"/>
    <hyperlink ref="B3" r:id="rId6" xr:uid="{00000000-0004-0000-0500-000005000000}"/>
    <hyperlink ref="C3" r:id="rId7" xr:uid="{00000000-0004-0000-0500-000006000000}"/>
    <hyperlink ref="D3" r:id="rId8" xr:uid="{00000000-0004-0000-0500-000007000000}"/>
    <hyperlink ref="A4" r:id="rId9" xr:uid="{00000000-0004-0000-0500-000008000000}"/>
    <hyperlink ref="B4" r:id="rId10" xr:uid="{00000000-0004-0000-0500-000009000000}"/>
    <hyperlink ref="C4" r:id="rId11" xr:uid="{00000000-0004-0000-0500-00000A000000}"/>
    <hyperlink ref="D4" r:id="rId12" xr:uid="{00000000-0004-0000-0500-00000B000000}"/>
    <hyperlink ref="A5" r:id="rId13" xr:uid="{00000000-0004-0000-0500-00000C000000}"/>
    <hyperlink ref="B5" r:id="rId14" xr:uid="{00000000-0004-0000-0500-00000D000000}"/>
    <hyperlink ref="C5" r:id="rId15" xr:uid="{00000000-0004-0000-0500-00000E000000}"/>
    <hyperlink ref="D5" r:id="rId16" xr:uid="{00000000-0004-0000-0500-00000F000000}"/>
    <hyperlink ref="A6" r:id="rId17" xr:uid="{00000000-0004-0000-0500-000010000000}"/>
    <hyperlink ref="B6" r:id="rId18" xr:uid="{00000000-0004-0000-0500-000011000000}"/>
    <hyperlink ref="C6" r:id="rId19" xr:uid="{00000000-0004-0000-0500-000012000000}"/>
    <hyperlink ref="D6" r:id="rId20" xr:uid="{00000000-0004-0000-0500-000013000000}"/>
    <hyperlink ref="A7" r:id="rId21" xr:uid="{00000000-0004-0000-0500-000014000000}"/>
    <hyperlink ref="B7" r:id="rId22" xr:uid="{00000000-0004-0000-0500-000015000000}"/>
    <hyperlink ref="C7" r:id="rId23" xr:uid="{00000000-0004-0000-0500-000016000000}"/>
    <hyperlink ref="D7" r:id="rId24" xr:uid="{00000000-0004-0000-0500-000017000000}"/>
    <hyperlink ref="A8" r:id="rId25" xr:uid="{00000000-0004-0000-0500-000018000000}"/>
    <hyperlink ref="C8" r:id="rId26" xr:uid="{00000000-0004-0000-0500-000019000000}"/>
    <hyperlink ref="D8" r:id="rId27" xr:uid="{00000000-0004-0000-0500-00001A000000}"/>
    <hyperlink ref="A9" r:id="rId28" xr:uid="{00000000-0004-0000-0500-00001B000000}"/>
    <hyperlink ref="B9" r:id="rId29" xr:uid="{00000000-0004-0000-0500-00001C000000}"/>
    <hyperlink ref="C9" r:id="rId30" xr:uid="{00000000-0004-0000-0500-00001D000000}"/>
    <hyperlink ref="D9" r:id="rId31" xr:uid="{00000000-0004-0000-0500-00001E000000}"/>
    <hyperlink ref="A10" r:id="rId32" xr:uid="{00000000-0004-0000-0500-00001F000000}"/>
    <hyperlink ref="B10" r:id="rId33" xr:uid="{00000000-0004-0000-0500-000020000000}"/>
    <hyperlink ref="C10" r:id="rId34" xr:uid="{00000000-0004-0000-0500-000021000000}"/>
    <hyperlink ref="D10" r:id="rId35" xr:uid="{00000000-0004-0000-0500-000022000000}"/>
    <hyperlink ref="A11" r:id="rId36" xr:uid="{00000000-0004-0000-0500-000023000000}"/>
    <hyperlink ref="B11" r:id="rId37" xr:uid="{00000000-0004-0000-0500-000024000000}"/>
    <hyperlink ref="C11" r:id="rId38" xr:uid="{00000000-0004-0000-0500-000025000000}"/>
    <hyperlink ref="D11" r:id="rId39" xr:uid="{00000000-0004-0000-0500-000026000000}"/>
    <hyperlink ref="A12" r:id="rId40" xr:uid="{00000000-0004-0000-0500-000027000000}"/>
    <hyperlink ref="B12" r:id="rId41" xr:uid="{00000000-0004-0000-0500-000028000000}"/>
    <hyperlink ref="C12" r:id="rId42" xr:uid="{00000000-0004-0000-0500-000029000000}"/>
    <hyperlink ref="D12" r:id="rId43" xr:uid="{00000000-0004-0000-0500-00002A000000}"/>
    <hyperlink ref="A13" r:id="rId44" xr:uid="{00000000-0004-0000-0500-00002B000000}"/>
    <hyperlink ref="B13" r:id="rId45" xr:uid="{00000000-0004-0000-0500-00002C000000}"/>
    <hyperlink ref="C13" r:id="rId46" xr:uid="{00000000-0004-0000-0500-00002D000000}"/>
    <hyperlink ref="D13" r:id="rId47" xr:uid="{00000000-0004-0000-0500-00002E000000}"/>
    <hyperlink ref="A14" r:id="rId48" xr:uid="{00000000-0004-0000-0500-00002F000000}"/>
    <hyperlink ref="B14" r:id="rId49" xr:uid="{00000000-0004-0000-0500-000030000000}"/>
    <hyperlink ref="C14" r:id="rId50" xr:uid="{00000000-0004-0000-0500-000031000000}"/>
    <hyperlink ref="D14" r:id="rId51" xr:uid="{00000000-0004-0000-0500-000032000000}"/>
    <hyperlink ref="A15" r:id="rId52" xr:uid="{00000000-0004-0000-0500-000033000000}"/>
    <hyperlink ref="B15" r:id="rId53" xr:uid="{00000000-0004-0000-0500-000034000000}"/>
    <hyperlink ref="C15" r:id="rId54" xr:uid="{00000000-0004-0000-0500-000035000000}"/>
    <hyperlink ref="D15" r:id="rId55" xr:uid="{00000000-0004-0000-0500-000036000000}"/>
    <hyperlink ref="A16" r:id="rId56" xr:uid="{00000000-0004-0000-0500-000037000000}"/>
    <hyperlink ref="B16" r:id="rId57" xr:uid="{00000000-0004-0000-0500-000038000000}"/>
    <hyperlink ref="C16" r:id="rId58" xr:uid="{00000000-0004-0000-0500-000039000000}"/>
    <hyperlink ref="D16" r:id="rId59" xr:uid="{00000000-0004-0000-0500-00003A000000}"/>
    <hyperlink ref="A17" r:id="rId60" xr:uid="{00000000-0004-0000-0500-00003B000000}"/>
    <hyperlink ref="B17" r:id="rId61" xr:uid="{00000000-0004-0000-0500-00003C000000}"/>
    <hyperlink ref="C17" r:id="rId62" xr:uid="{00000000-0004-0000-0500-00003D000000}"/>
    <hyperlink ref="D17" r:id="rId63" xr:uid="{00000000-0004-0000-0500-00003E000000}"/>
    <hyperlink ref="A18" r:id="rId64" xr:uid="{00000000-0004-0000-0500-00003F000000}"/>
    <hyperlink ref="B18" r:id="rId65" xr:uid="{00000000-0004-0000-0500-000040000000}"/>
    <hyperlink ref="C18" r:id="rId66" xr:uid="{00000000-0004-0000-0500-000041000000}"/>
    <hyperlink ref="D18" r:id="rId67" xr:uid="{00000000-0004-0000-0500-000042000000}"/>
    <hyperlink ref="A19" r:id="rId68" xr:uid="{00000000-0004-0000-0500-000043000000}"/>
    <hyperlink ref="B19" r:id="rId69" xr:uid="{00000000-0004-0000-0500-000044000000}"/>
    <hyperlink ref="C19" r:id="rId70" xr:uid="{00000000-0004-0000-0500-000045000000}"/>
    <hyperlink ref="D19" r:id="rId71" xr:uid="{00000000-0004-0000-0500-000046000000}"/>
    <hyperlink ref="A20" r:id="rId72" xr:uid="{00000000-0004-0000-0500-000047000000}"/>
    <hyperlink ref="B20" r:id="rId73" xr:uid="{00000000-0004-0000-0500-000048000000}"/>
    <hyperlink ref="C20" r:id="rId74" xr:uid="{00000000-0004-0000-0500-000049000000}"/>
    <hyperlink ref="D20" r:id="rId75" xr:uid="{00000000-0004-0000-0500-00004A000000}"/>
    <hyperlink ref="A21" r:id="rId76" xr:uid="{00000000-0004-0000-0500-00004B000000}"/>
    <hyperlink ref="B21" r:id="rId77" xr:uid="{00000000-0004-0000-0500-00004C000000}"/>
    <hyperlink ref="C21" r:id="rId78" xr:uid="{00000000-0004-0000-0500-00004D000000}"/>
    <hyperlink ref="D21" r:id="rId79" xr:uid="{00000000-0004-0000-0500-00004E000000}"/>
    <hyperlink ref="A22" r:id="rId80" xr:uid="{00000000-0004-0000-0500-00004F000000}"/>
    <hyperlink ref="B22" r:id="rId81" xr:uid="{00000000-0004-0000-0500-000050000000}"/>
    <hyperlink ref="C22" r:id="rId82" xr:uid="{00000000-0004-0000-0500-000051000000}"/>
    <hyperlink ref="A23" r:id="rId83" xr:uid="{00000000-0004-0000-0500-000052000000}"/>
    <hyperlink ref="B23" r:id="rId84" xr:uid="{00000000-0004-0000-0500-000053000000}"/>
    <hyperlink ref="C23" r:id="rId85" xr:uid="{00000000-0004-0000-0500-000054000000}"/>
    <hyperlink ref="D23" r:id="rId86" xr:uid="{00000000-0004-0000-0500-000055000000}"/>
    <hyperlink ref="A24" r:id="rId87" xr:uid="{00000000-0004-0000-0500-000056000000}"/>
    <hyperlink ref="B24" r:id="rId88" xr:uid="{00000000-0004-0000-0500-000057000000}"/>
    <hyperlink ref="C24" r:id="rId89" xr:uid="{00000000-0004-0000-0500-000058000000}"/>
    <hyperlink ref="D24" r:id="rId90" xr:uid="{00000000-0004-0000-0500-000059000000}"/>
    <hyperlink ref="A25" r:id="rId91" xr:uid="{00000000-0004-0000-0500-00005A000000}"/>
    <hyperlink ref="B25" r:id="rId92" xr:uid="{00000000-0004-0000-0500-00005B000000}"/>
    <hyperlink ref="C25" r:id="rId93" xr:uid="{00000000-0004-0000-0500-00005C000000}"/>
    <hyperlink ref="D25" r:id="rId94" xr:uid="{00000000-0004-0000-0500-00005D000000}"/>
    <hyperlink ref="A26" r:id="rId95" xr:uid="{00000000-0004-0000-0500-00005E000000}"/>
    <hyperlink ref="B26" r:id="rId96" xr:uid="{00000000-0004-0000-0500-00005F000000}"/>
    <hyperlink ref="C26" r:id="rId97" xr:uid="{00000000-0004-0000-0500-000060000000}"/>
    <hyperlink ref="D26" r:id="rId98" xr:uid="{00000000-0004-0000-0500-000061000000}"/>
    <hyperlink ref="A27" r:id="rId99" xr:uid="{00000000-0004-0000-0500-000062000000}"/>
    <hyperlink ref="B27" r:id="rId100" xr:uid="{00000000-0004-0000-0500-000063000000}"/>
    <hyperlink ref="C27" r:id="rId101" xr:uid="{00000000-0004-0000-0500-000064000000}"/>
    <hyperlink ref="D27" r:id="rId102" xr:uid="{00000000-0004-0000-0500-000065000000}"/>
    <hyperlink ref="A28" r:id="rId103" xr:uid="{00000000-0004-0000-0500-000066000000}"/>
    <hyperlink ref="B28" r:id="rId104" xr:uid="{00000000-0004-0000-0500-000067000000}"/>
    <hyperlink ref="C28" r:id="rId105" xr:uid="{00000000-0004-0000-0500-000068000000}"/>
    <hyperlink ref="D28" r:id="rId106" xr:uid="{00000000-0004-0000-0500-000069000000}"/>
    <hyperlink ref="A29" r:id="rId107" xr:uid="{00000000-0004-0000-0500-00006A000000}"/>
    <hyperlink ref="C29" r:id="rId108" xr:uid="{00000000-0004-0000-0500-00006B000000}"/>
    <hyperlink ref="D29" r:id="rId109" xr:uid="{00000000-0004-0000-0500-00006C000000}"/>
    <hyperlink ref="A30" r:id="rId110" xr:uid="{00000000-0004-0000-0500-00006D000000}"/>
    <hyperlink ref="B30" r:id="rId111" xr:uid="{00000000-0004-0000-0500-00006E000000}"/>
    <hyperlink ref="C30" r:id="rId112" xr:uid="{00000000-0004-0000-0500-00006F000000}"/>
    <hyperlink ref="D30" r:id="rId113" xr:uid="{00000000-0004-0000-0500-000070000000}"/>
    <hyperlink ref="A31" r:id="rId114" xr:uid="{00000000-0004-0000-0500-000071000000}"/>
    <hyperlink ref="B31" r:id="rId115" xr:uid="{00000000-0004-0000-0500-000072000000}"/>
    <hyperlink ref="C31" r:id="rId116" xr:uid="{00000000-0004-0000-0500-000073000000}"/>
    <hyperlink ref="D31" r:id="rId117" xr:uid="{00000000-0004-0000-0500-000074000000}"/>
    <hyperlink ref="A32" r:id="rId118" xr:uid="{00000000-0004-0000-0500-000075000000}"/>
    <hyperlink ref="C32" r:id="rId119" xr:uid="{00000000-0004-0000-0500-000076000000}"/>
    <hyperlink ref="D32" r:id="rId120" xr:uid="{00000000-0004-0000-0500-000077000000}"/>
    <hyperlink ref="A33" r:id="rId121" xr:uid="{00000000-0004-0000-0500-000078000000}"/>
    <hyperlink ref="B33" r:id="rId122" xr:uid="{00000000-0004-0000-0500-000079000000}"/>
    <hyperlink ref="C33" r:id="rId123" xr:uid="{00000000-0004-0000-0500-00007A000000}"/>
    <hyperlink ref="D33" r:id="rId124" xr:uid="{00000000-0004-0000-0500-00007B000000}"/>
    <hyperlink ref="A34" r:id="rId125" xr:uid="{00000000-0004-0000-0500-00007C000000}"/>
    <hyperlink ref="B34" r:id="rId126" xr:uid="{00000000-0004-0000-0500-00007D000000}"/>
    <hyperlink ref="C34" r:id="rId127" xr:uid="{00000000-0004-0000-0500-00007E000000}"/>
    <hyperlink ref="D34" r:id="rId128" xr:uid="{00000000-0004-0000-0500-00007F000000}"/>
    <hyperlink ref="A35" r:id="rId129" xr:uid="{00000000-0004-0000-0500-000080000000}"/>
    <hyperlink ref="B35" r:id="rId130" xr:uid="{00000000-0004-0000-0500-000081000000}"/>
    <hyperlink ref="C35" r:id="rId131" xr:uid="{00000000-0004-0000-0500-000082000000}"/>
    <hyperlink ref="D35" r:id="rId132" xr:uid="{00000000-0004-0000-0500-000083000000}"/>
    <hyperlink ref="A36" r:id="rId133" xr:uid="{00000000-0004-0000-0500-000084000000}"/>
    <hyperlink ref="B36" r:id="rId134" xr:uid="{00000000-0004-0000-0500-000085000000}"/>
    <hyperlink ref="C36" r:id="rId135" xr:uid="{00000000-0004-0000-0500-000086000000}"/>
    <hyperlink ref="D36" r:id="rId136" xr:uid="{00000000-0004-0000-0500-000087000000}"/>
    <hyperlink ref="A37" r:id="rId137" xr:uid="{00000000-0004-0000-0500-000088000000}"/>
    <hyperlink ref="B37" r:id="rId138" xr:uid="{00000000-0004-0000-0500-000089000000}"/>
    <hyperlink ref="C37" r:id="rId139" xr:uid="{00000000-0004-0000-0500-00008A000000}"/>
    <hyperlink ref="D37" r:id="rId140" xr:uid="{00000000-0004-0000-0500-00008B000000}"/>
    <hyperlink ref="A38" r:id="rId141" xr:uid="{00000000-0004-0000-0500-00008C000000}"/>
    <hyperlink ref="B38" r:id="rId142" xr:uid="{00000000-0004-0000-0500-00008D000000}"/>
    <hyperlink ref="C38" r:id="rId143" xr:uid="{00000000-0004-0000-0500-00008E000000}"/>
    <hyperlink ref="D38" r:id="rId144" xr:uid="{00000000-0004-0000-0500-00008F000000}"/>
    <hyperlink ref="A39" r:id="rId145" xr:uid="{00000000-0004-0000-0500-000090000000}"/>
    <hyperlink ref="B39" r:id="rId146" xr:uid="{00000000-0004-0000-0500-000091000000}"/>
    <hyperlink ref="C39" r:id="rId147" xr:uid="{00000000-0004-0000-0500-000092000000}"/>
    <hyperlink ref="D39" r:id="rId148" xr:uid="{00000000-0004-0000-0500-000093000000}"/>
    <hyperlink ref="A40" r:id="rId149" xr:uid="{00000000-0004-0000-0500-000094000000}"/>
    <hyperlink ref="B40" r:id="rId150" xr:uid="{00000000-0004-0000-0500-000095000000}"/>
    <hyperlink ref="C40" r:id="rId151" xr:uid="{00000000-0004-0000-0500-000096000000}"/>
    <hyperlink ref="D40" r:id="rId152" xr:uid="{00000000-0004-0000-0500-000097000000}"/>
    <hyperlink ref="A41" r:id="rId153" xr:uid="{00000000-0004-0000-0500-000098000000}"/>
    <hyperlink ref="B41" r:id="rId154" xr:uid="{00000000-0004-0000-0500-000099000000}"/>
    <hyperlink ref="C41" r:id="rId155" xr:uid="{00000000-0004-0000-0500-00009A000000}"/>
    <hyperlink ref="D41" r:id="rId156" xr:uid="{00000000-0004-0000-0500-00009B000000}"/>
    <hyperlink ref="A42" r:id="rId157" xr:uid="{00000000-0004-0000-0500-00009C000000}"/>
    <hyperlink ref="B42" r:id="rId158" xr:uid="{00000000-0004-0000-0500-00009D000000}"/>
    <hyperlink ref="C42" r:id="rId159" xr:uid="{00000000-0004-0000-0500-00009E000000}"/>
    <hyperlink ref="D42" r:id="rId160" xr:uid="{00000000-0004-0000-0500-00009F000000}"/>
    <hyperlink ref="A43" r:id="rId161" xr:uid="{00000000-0004-0000-0500-0000A0000000}"/>
    <hyperlink ref="B43" r:id="rId162" xr:uid="{00000000-0004-0000-0500-0000A1000000}"/>
    <hyperlink ref="C43" r:id="rId163" xr:uid="{00000000-0004-0000-0500-0000A2000000}"/>
    <hyperlink ref="D43" r:id="rId164" xr:uid="{00000000-0004-0000-0500-0000A3000000}"/>
    <hyperlink ref="A44" r:id="rId165" xr:uid="{00000000-0004-0000-0500-0000A4000000}"/>
    <hyperlink ref="B44" r:id="rId166" xr:uid="{00000000-0004-0000-0500-0000A5000000}"/>
    <hyperlink ref="C44" r:id="rId167" xr:uid="{00000000-0004-0000-0500-0000A6000000}"/>
    <hyperlink ref="D44" r:id="rId168" xr:uid="{00000000-0004-0000-0500-0000A7000000}"/>
    <hyperlink ref="A45" r:id="rId169" xr:uid="{00000000-0004-0000-0500-0000A8000000}"/>
    <hyperlink ref="B45" r:id="rId170" xr:uid="{00000000-0004-0000-0500-0000A9000000}"/>
    <hyperlink ref="C45" r:id="rId171" xr:uid="{00000000-0004-0000-0500-0000AA000000}"/>
    <hyperlink ref="D45" r:id="rId172" xr:uid="{00000000-0004-0000-0500-0000AB000000}"/>
    <hyperlink ref="A46" r:id="rId173" xr:uid="{00000000-0004-0000-0500-0000AC000000}"/>
    <hyperlink ref="B46" r:id="rId174" xr:uid="{00000000-0004-0000-0500-0000AD000000}"/>
    <hyperlink ref="C46" r:id="rId175" xr:uid="{00000000-0004-0000-0500-0000AE000000}"/>
    <hyperlink ref="D46" r:id="rId176" xr:uid="{00000000-0004-0000-0500-0000AF000000}"/>
    <hyperlink ref="A47" r:id="rId177" xr:uid="{00000000-0004-0000-0500-0000B0000000}"/>
    <hyperlink ref="B47" r:id="rId178" xr:uid="{00000000-0004-0000-0500-0000B1000000}"/>
    <hyperlink ref="C47" r:id="rId179" xr:uid="{00000000-0004-0000-0500-0000B2000000}"/>
    <hyperlink ref="D47" r:id="rId180" xr:uid="{00000000-0004-0000-0500-0000B3000000}"/>
    <hyperlink ref="A48" r:id="rId181" xr:uid="{00000000-0004-0000-0500-0000B4000000}"/>
    <hyperlink ref="B48" r:id="rId182" xr:uid="{00000000-0004-0000-0500-0000B5000000}"/>
    <hyperlink ref="C48" r:id="rId183" xr:uid="{00000000-0004-0000-0500-0000B6000000}"/>
    <hyperlink ref="D48" r:id="rId184" xr:uid="{00000000-0004-0000-0500-0000B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Links</vt:lpstr>
      <vt:lpstr>Factoids</vt:lpstr>
      <vt:lpstr>2024 Full View</vt:lpstr>
      <vt:lpstr>2023 Full View</vt:lpstr>
      <vt:lpstr>Helper</vt:lpstr>
      <vt:lpstr>Bryce if he gets bored sticker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 Wayne</cp:lastModifiedBy>
  <dcterms:modified xsi:type="dcterms:W3CDTF">2025-03-08T23:45:41Z</dcterms:modified>
</cp:coreProperties>
</file>