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270" windowWidth="13005" windowHeight="8070" tabRatio="809" activeTab="1"/>
  </bookViews>
  <sheets>
    <sheet name="Inputs" sheetId="14" r:id="rId1"/>
    <sheet name="Senior Bank Note" sheetId="12" r:id="rId2"/>
    <sheet name="IC_1" sheetId="1" r:id="rId3"/>
    <sheet name="IC_2" sheetId="9" r:id="rId4"/>
    <sheet name="IC_3" sheetId="8" r:id="rId5"/>
    <sheet name="IC_4" sheetId="5" r:id="rId6"/>
    <sheet name="IC_5" sheetId="23" r:id="rId7"/>
    <sheet name="Bond_1" sheetId="11" r:id="rId8"/>
    <sheet name="Bank Loans" sheetId="10" r:id="rId9"/>
    <sheet name="SAFA Policy Loans" sheetId="21" r:id="rId10"/>
    <sheet name="Indices" sheetId="13" r:id="rId11"/>
  </sheets>
  <externalReferences>
    <externalReference r:id="rId12"/>
  </externalReferences>
  <definedNames>
    <definedName name="LIBOR_Date">Inputs!$C$5</definedName>
    <definedName name="Liquidity_Cap">'Bank Loans'!$AU$1</definedName>
    <definedName name="Reuters_Liquidity_Premium">Inputs!$C$7</definedName>
    <definedName name="Valuation_Date">Inputs!$C$3</definedName>
  </definedNames>
  <calcPr calcId="152511" iterate="1" iterateCount="750" calcOnSave="0"/>
</workbook>
</file>

<file path=xl/calcChain.xml><?xml version="1.0" encoding="utf-8"?>
<calcChain xmlns="http://schemas.openxmlformats.org/spreadsheetml/2006/main">
  <c r="F8" i="12" l="1"/>
  <c r="AI3" i="10"/>
  <c r="AL4" i="10"/>
  <c r="AQ3" i="10"/>
  <c r="AL3" i="10"/>
  <c r="O17" i="13" l="1"/>
  <c r="O16" i="13"/>
  <c r="O19" i="13" l="1"/>
  <c r="O18" i="13"/>
  <c r="Q14" i="13" l="1"/>
  <c r="O14" i="13"/>
  <c r="Q13" i="13"/>
  <c r="O13" i="13"/>
  <c r="Q12" i="13"/>
  <c r="O12" i="13"/>
  <c r="Q10" i="13" l="1"/>
  <c r="Q9" i="13"/>
  <c r="Q8" i="13"/>
  <c r="Q7" i="13"/>
  <c r="Q6" i="13"/>
  <c r="Q5" i="13"/>
  <c r="Q4" i="13"/>
  <c r="O10" i="13"/>
  <c r="O9" i="13"/>
  <c r="O8" i="13"/>
  <c r="O7" i="13"/>
  <c r="O6" i="13"/>
  <c r="O5" i="13"/>
  <c r="O4" i="13"/>
  <c r="P5" i="13" l="1"/>
  <c r="R3" i="11"/>
  <c r="Q3" i="12"/>
  <c r="Q8" i="12"/>
  <c r="Q5" i="12"/>
  <c r="Q6" i="12"/>
  <c r="Q7" i="12"/>
  <c r="Q4" i="12"/>
  <c r="AT52" i="10" l="1"/>
  <c r="AT51" i="10" l="1"/>
  <c r="AT32" i="10" l="1"/>
  <c r="L7" i="23" l="1"/>
  <c r="L6" i="23"/>
  <c r="L5" i="23"/>
  <c r="L4" i="23"/>
  <c r="L3" i="23"/>
  <c r="M15" i="23" l="1"/>
  <c r="M7" i="23" s="1"/>
  <c r="M14" i="23"/>
  <c r="M13" i="23"/>
  <c r="C1" i="23"/>
  <c r="J3" i="23"/>
  <c r="J4" i="23"/>
  <c r="K4" i="23"/>
  <c r="K3" i="23"/>
  <c r="M6" i="23" l="1"/>
  <c r="M5" i="23"/>
  <c r="M4" i="23"/>
  <c r="M3" i="23"/>
  <c r="J5" i="23"/>
  <c r="K5" i="23"/>
  <c r="J6" i="23" l="1"/>
  <c r="K6" i="23"/>
  <c r="J7" i="23" l="1"/>
  <c r="K7" i="23"/>
  <c r="AR6" i="10" l="1"/>
  <c r="AO6" i="10"/>
  <c r="G6" i="10"/>
  <c r="I6" i="10"/>
  <c r="K6" i="10"/>
  <c r="M6" i="10"/>
  <c r="F6" i="10"/>
  <c r="C2" i="13" l="1"/>
  <c r="D2" i="13"/>
  <c r="E2" i="13"/>
  <c r="F2" i="13"/>
  <c r="G2" i="13"/>
  <c r="H2" i="13"/>
  <c r="I2" i="13"/>
  <c r="L2" i="13"/>
  <c r="P6" i="13"/>
  <c r="P7" i="13"/>
  <c r="P8" i="13"/>
  <c r="U3" i="9" s="1"/>
  <c r="P9" i="13"/>
  <c r="P10" i="13"/>
  <c r="C1" i="12"/>
  <c r="P3" i="12"/>
  <c r="U3" i="8" l="1"/>
  <c r="U3" i="5"/>
  <c r="R3" i="1"/>
  <c r="S3" i="12"/>
  <c r="N3" i="23"/>
  <c r="R12" i="12"/>
  <c r="R3" i="12" s="1"/>
  <c r="P4" i="12"/>
  <c r="N4" i="23" l="1"/>
  <c r="O3" i="23"/>
  <c r="T3" i="12"/>
  <c r="I3" i="12" s="1"/>
  <c r="R4" i="12"/>
  <c r="R5" i="12" s="1"/>
  <c r="S4" i="12"/>
  <c r="P5" i="12"/>
  <c r="P6" i="12"/>
  <c r="G3" i="23" l="1"/>
  <c r="P3" i="23"/>
  <c r="N5" i="23"/>
  <c r="O4" i="23"/>
  <c r="U3" i="12"/>
  <c r="T4" i="12"/>
  <c r="U4" i="12" s="1"/>
  <c r="S5" i="12"/>
  <c r="S6" i="12" s="1"/>
  <c r="R6" i="12"/>
  <c r="P7" i="12"/>
  <c r="O5" i="23" l="1"/>
  <c r="N6" i="23"/>
  <c r="G4" i="23"/>
  <c r="P4" i="23"/>
  <c r="T5" i="12"/>
  <c r="I5" i="12" s="1"/>
  <c r="I4" i="12"/>
  <c r="T6" i="12"/>
  <c r="U6" i="12" s="1"/>
  <c r="R7" i="12"/>
  <c r="S7" i="12"/>
  <c r="P8" i="12"/>
  <c r="G5" i="23" l="1"/>
  <c r="P5" i="23"/>
  <c r="N7" i="23"/>
  <c r="O7" i="23" s="1"/>
  <c r="O6" i="23"/>
  <c r="U5" i="12"/>
  <c r="I6" i="12"/>
  <c r="T7" i="12"/>
  <c r="U7" i="12" s="1"/>
  <c r="R8" i="12"/>
  <c r="S8" i="12"/>
  <c r="C1" i="11"/>
  <c r="O3" i="11"/>
  <c r="S7" i="11"/>
  <c r="Q3" i="11" s="1"/>
  <c r="C1" i="21"/>
  <c r="M3" i="21" s="1"/>
  <c r="N3" i="21" s="1"/>
  <c r="O3" i="21"/>
  <c r="P3" i="11"/>
  <c r="G6" i="23" l="1"/>
  <c r="P6" i="23"/>
  <c r="G7" i="23"/>
  <c r="P7" i="23"/>
  <c r="U8" i="12"/>
  <c r="T8" i="12"/>
  <c r="I7" i="12"/>
  <c r="I8" i="12" s="1"/>
  <c r="S3" i="11"/>
  <c r="H3" i="11" s="1"/>
  <c r="J3" i="21"/>
  <c r="K3" i="21" s="1"/>
  <c r="R3" i="21"/>
  <c r="M4" i="21"/>
  <c r="N4" i="21" s="1"/>
  <c r="O4" i="21"/>
  <c r="L3" i="21"/>
  <c r="T3" i="11" l="1"/>
  <c r="P3" i="21"/>
  <c r="S3" i="21" s="1"/>
  <c r="T3" i="21" s="1"/>
  <c r="J4" i="21"/>
  <c r="K4" i="21" s="1"/>
  <c r="Q4" i="21"/>
  <c r="R4" i="21"/>
  <c r="M5" i="21"/>
  <c r="N5" i="21" s="1"/>
  <c r="O5" i="21"/>
  <c r="L4" i="21"/>
  <c r="I3" i="21" l="1"/>
  <c r="P4" i="21"/>
  <c r="S4" i="21" s="1"/>
  <c r="I4" i="21" s="1"/>
  <c r="J5" i="21"/>
  <c r="K5" i="21" s="1"/>
  <c r="Q5" i="21"/>
  <c r="R5" i="21"/>
  <c r="M6" i="21"/>
  <c r="N6" i="21" s="1"/>
  <c r="L5" i="21"/>
  <c r="O6" i="21"/>
  <c r="T4" i="21" l="1"/>
  <c r="P5" i="21"/>
  <c r="S5" i="21" s="1"/>
  <c r="I5" i="21" s="1"/>
  <c r="J6" i="21"/>
  <c r="K6" i="21" s="1"/>
  <c r="Q6" i="21"/>
  <c r="R6" i="21"/>
  <c r="M7" i="21"/>
  <c r="N7" i="21" s="1"/>
  <c r="L6" i="21"/>
  <c r="O7" i="21"/>
  <c r="P6" i="21" l="1"/>
  <c r="S6" i="21" s="1"/>
  <c r="T6" i="21" s="1"/>
  <c r="T5" i="21"/>
  <c r="J7" i="21"/>
  <c r="K7" i="21" s="1"/>
  <c r="Q7" i="21"/>
  <c r="R7" i="21"/>
  <c r="M8" i="21"/>
  <c r="N8" i="21" s="1"/>
  <c r="O8" i="21"/>
  <c r="L7" i="21"/>
  <c r="P7" i="21" l="1"/>
  <c r="S7" i="21" s="1"/>
  <c r="I7" i="21" s="1"/>
  <c r="I6" i="21"/>
  <c r="J8" i="21"/>
  <c r="K8" i="21" s="1"/>
  <c r="Q8" i="21"/>
  <c r="R8" i="21"/>
  <c r="M9" i="21"/>
  <c r="N9" i="21" s="1"/>
  <c r="L8" i="21"/>
  <c r="O9" i="21"/>
  <c r="P8" i="21" l="1"/>
  <c r="S8" i="21" s="1"/>
  <c r="T8" i="21" s="1"/>
  <c r="T7" i="21"/>
  <c r="J9" i="21"/>
  <c r="K9" i="21" s="1"/>
  <c r="Q9" i="21"/>
  <c r="R9" i="21"/>
  <c r="M10" i="21"/>
  <c r="N10" i="21" s="1"/>
  <c r="O10" i="21"/>
  <c r="L9" i="21"/>
  <c r="P9" i="21" l="1"/>
  <c r="S9" i="21" s="1"/>
  <c r="I9" i="21" s="1"/>
  <c r="I8" i="21"/>
  <c r="J10" i="21"/>
  <c r="K10" i="21" s="1"/>
  <c r="Q10" i="21"/>
  <c r="R10" i="21"/>
  <c r="M11" i="21"/>
  <c r="N11" i="21" s="1"/>
  <c r="O11" i="21"/>
  <c r="L10" i="21"/>
  <c r="P10" i="21" l="1"/>
  <c r="S10" i="21" s="1"/>
  <c r="T10" i="21" s="1"/>
  <c r="T9" i="21"/>
  <c r="J11" i="21"/>
  <c r="K11" i="21" s="1"/>
  <c r="Q11" i="21"/>
  <c r="R11" i="21"/>
  <c r="M12" i="21"/>
  <c r="N12" i="21" s="1"/>
  <c r="L11" i="21"/>
  <c r="O12" i="21"/>
  <c r="P11" i="21" l="1"/>
  <c r="S11" i="21" s="1"/>
  <c r="T11" i="21" s="1"/>
  <c r="I10" i="21"/>
  <c r="J12" i="21"/>
  <c r="K12" i="21" s="1"/>
  <c r="Q12" i="21"/>
  <c r="R12" i="21"/>
  <c r="C15" i="21"/>
  <c r="P17" i="21"/>
  <c r="R17" i="21"/>
  <c r="R18" i="21" s="1"/>
  <c r="R19" i="21" s="1"/>
  <c r="R20" i="21" s="1"/>
  <c r="R21" i="21" s="1"/>
  <c r="R22" i="21" s="1"/>
  <c r="R23" i="21" s="1"/>
  <c r="R24" i="21" s="1"/>
  <c r="R25" i="21" s="1"/>
  <c r="R26" i="21" s="1"/>
  <c r="J17" i="21"/>
  <c r="K17" i="21" s="1"/>
  <c r="M17" i="21"/>
  <c r="N17" i="21" s="1"/>
  <c r="P18" i="21"/>
  <c r="Q18" i="21"/>
  <c r="Q19" i="21" s="1"/>
  <c r="J18" i="21"/>
  <c r="K18" i="21" s="1"/>
  <c r="M18" i="21"/>
  <c r="N18" i="21" s="1"/>
  <c r="P19" i="21"/>
  <c r="J19" i="21"/>
  <c r="K19" i="21" s="1"/>
  <c r="M19" i="21"/>
  <c r="N19" i="21" s="1"/>
  <c r="P20" i="21"/>
  <c r="J20" i="21"/>
  <c r="K20" i="21" s="1"/>
  <c r="M20" i="21"/>
  <c r="N20" i="21" s="1"/>
  <c r="P21" i="21"/>
  <c r="J21" i="21"/>
  <c r="K21" i="21" s="1"/>
  <c r="M21" i="21"/>
  <c r="N21" i="21" s="1"/>
  <c r="P22" i="21"/>
  <c r="J22" i="21"/>
  <c r="K22" i="21" s="1"/>
  <c r="M22" i="21"/>
  <c r="N22" i="21" s="1"/>
  <c r="P23" i="21"/>
  <c r="J23" i="21"/>
  <c r="K23" i="21" s="1"/>
  <c r="M23" i="21"/>
  <c r="N23" i="21" s="1"/>
  <c r="P24" i="21"/>
  <c r="J24" i="21"/>
  <c r="K24" i="21" s="1"/>
  <c r="M24" i="21"/>
  <c r="N24" i="21" s="1"/>
  <c r="P25" i="21"/>
  <c r="J25" i="21"/>
  <c r="K25" i="21" s="1"/>
  <c r="M25" i="21"/>
  <c r="N25" i="21" s="1"/>
  <c r="P26" i="21"/>
  <c r="J26" i="21"/>
  <c r="K26" i="21" s="1"/>
  <c r="M26" i="21"/>
  <c r="N26" i="21" s="1"/>
  <c r="C1" i="10"/>
  <c r="AO1" i="10"/>
  <c r="AU1" i="10"/>
  <c r="AU36" i="10" s="1"/>
  <c r="AQ35" i="10"/>
  <c r="L12" i="21"/>
  <c r="AQ32" i="10"/>
  <c r="AQ36" i="10"/>
  <c r="AR36" i="10" l="1"/>
  <c r="AR32" i="10"/>
  <c r="S36" i="10"/>
  <c r="F36" i="10"/>
  <c r="AJ36" i="10"/>
  <c r="AK36" i="10" s="1"/>
  <c r="AG36" i="10"/>
  <c r="AH36" i="10" s="1"/>
  <c r="F32" i="10"/>
  <c r="AJ32" i="10"/>
  <c r="AK32" i="10" s="1"/>
  <c r="AG32" i="10"/>
  <c r="AH32" i="10" s="1"/>
  <c r="S32" i="10"/>
  <c r="AU6" i="10"/>
  <c r="AU32" i="10"/>
  <c r="AW32" i="10" s="1"/>
  <c r="AR35" i="10"/>
  <c r="AG6" i="10"/>
  <c r="AH6" i="10" s="1"/>
  <c r="S6" i="10"/>
  <c r="AJ6" i="10"/>
  <c r="AK6" i="10" s="1"/>
  <c r="AW3" i="13"/>
  <c r="AW4" i="13" s="1"/>
  <c r="AW5" i="13" s="1"/>
  <c r="AW6" i="13" s="1"/>
  <c r="AW7" i="13" s="1"/>
  <c r="AW8" i="13" s="1"/>
  <c r="AW9" i="13" s="1"/>
  <c r="AW10" i="13" s="1"/>
  <c r="AW11" i="13" s="1"/>
  <c r="AW12" i="13" s="1"/>
  <c r="AW13" i="13" s="1"/>
  <c r="AW14" i="13" s="1"/>
  <c r="AW15" i="13" s="1"/>
  <c r="AW16" i="13" s="1"/>
  <c r="AW17" i="13" s="1"/>
  <c r="AW18" i="13" s="1"/>
  <c r="AW19" i="13" s="1"/>
  <c r="AW20" i="13" s="1"/>
  <c r="AW21" i="13" s="1"/>
  <c r="AW22" i="13" s="1"/>
  <c r="AW23" i="13" s="1"/>
  <c r="AW24" i="13" s="1"/>
  <c r="AW25" i="13" s="1"/>
  <c r="AW26" i="13" s="1"/>
  <c r="AW27" i="13" s="1"/>
  <c r="AW28" i="13" s="1"/>
  <c r="AW29" i="13" s="1"/>
  <c r="AW30" i="13" s="1"/>
  <c r="AW31" i="13" s="1"/>
  <c r="AW32" i="13" s="1"/>
  <c r="AW33" i="13" s="1"/>
  <c r="AW34" i="13" s="1"/>
  <c r="AW35" i="13" s="1"/>
  <c r="AW36" i="13" s="1"/>
  <c r="AU35" i="10"/>
  <c r="F35" i="10"/>
  <c r="AJ35" i="10"/>
  <c r="AK35" i="10" s="1"/>
  <c r="AG35" i="10"/>
  <c r="AH35" i="10" s="1"/>
  <c r="S35" i="10"/>
  <c r="S3" i="10"/>
  <c r="S19" i="21"/>
  <c r="I19" i="21" s="1"/>
  <c r="S18" i="21"/>
  <c r="T18" i="21" s="1"/>
  <c r="S17" i="21"/>
  <c r="I17" i="21" s="1"/>
  <c r="F3" i="10"/>
  <c r="F11" i="10"/>
  <c r="F10" i="10"/>
  <c r="S11" i="10"/>
  <c r="AJ3" i="10"/>
  <c r="AK3" i="10" s="1"/>
  <c r="P12" i="21"/>
  <c r="S12" i="21" s="1"/>
  <c r="I12" i="21" s="1"/>
  <c r="I11" i="21"/>
  <c r="Q20" i="21"/>
  <c r="AG3" i="10"/>
  <c r="AH3" i="10" s="1"/>
  <c r="AI32" i="10"/>
  <c r="AI6" i="10"/>
  <c r="AL36" i="10"/>
  <c r="AI35" i="10"/>
  <c r="AL6" i="10"/>
  <c r="AL35" i="10"/>
  <c r="AI36" i="10"/>
  <c r="AL32" i="10"/>
  <c r="AM36" i="10" l="1"/>
  <c r="AM32" i="10"/>
  <c r="AV32" i="10" s="1"/>
  <c r="T19" i="21"/>
  <c r="AY32" i="10"/>
  <c r="AM6" i="10"/>
  <c r="AP6" i="10" s="1"/>
  <c r="AM35" i="10"/>
  <c r="AP35" i="10" s="1"/>
  <c r="T17" i="21"/>
  <c r="I18" i="21"/>
  <c r="T12" i="21"/>
  <c r="S20" i="21"/>
  <c r="Q21" i="21"/>
  <c r="AM3" i="10"/>
  <c r="AP3" i="10" s="1"/>
  <c r="AT45" i="10"/>
  <c r="AT3" i="10" s="1"/>
  <c r="AU3" i="10"/>
  <c r="AO3" i="10"/>
  <c r="AP32" i="10" l="1"/>
  <c r="AX32" i="10" s="1"/>
  <c r="AZ32" i="10" s="1"/>
  <c r="AP36" i="10"/>
  <c r="X32" i="10"/>
  <c r="Y32" i="10"/>
  <c r="AV3" i="10"/>
  <c r="Y3" i="10" s="1"/>
  <c r="Q22" i="21"/>
  <c r="S21" i="21"/>
  <c r="I20" i="21"/>
  <c r="T20" i="21"/>
  <c r="AR3" i="10"/>
  <c r="AW3" i="10"/>
  <c r="F4" i="10"/>
  <c r="G4" i="10"/>
  <c r="I4" i="10"/>
  <c r="K4" i="10"/>
  <c r="M4" i="10"/>
  <c r="AJ4" i="10"/>
  <c r="AK4" i="10" s="1"/>
  <c r="S4" i="10" l="1"/>
  <c r="AX3" i="10"/>
  <c r="X3" i="10"/>
  <c r="AY3" i="10"/>
  <c r="I21" i="21"/>
  <c r="T21" i="21"/>
  <c r="Q23" i="21"/>
  <c r="S22" i="21"/>
  <c r="AG4" i="10"/>
  <c r="AH4" i="10" s="1"/>
  <c r="AI4" i="10"/>
  <c r="AZ3" i="10" l="1"/>
  <c r="T22" i="21"/>
  <c r="I22" i="21"/>
  <c r="S23" i="21"/>
  <c r="Q24" i="21"/>
  <c r="AM4" i="10"/>
  <c r="AT42" i="10"/>
  <c r="AU4" i="10"/>
  <c r="AO4" i="10"/>
  <c r="AQ4" i="10"/>
  <c r="AT4" i="10" l="1"/>
  <c r="AT35" i="10"/>
  <c r="AP4" i="10"/>
  <c r="S24" i="21"/>
  <c r="Q25" i="21"/>
  <c r="I23" i="21"/>
  <c r="T23" i="21"/>
  <c r="AR4" i="10"/>
  <c r="F5" i="10"/>
  <c r="G5" i="10"/>
  <c r="I5" i="10"/>
  <c r="K5" i="10"/>
  <c r="M5" i="10"/>
  <c r="AJ5" i="10"/>
  <c r="AK5" i="10" s="1"/>
  <c r="AL5" i="10"/>
  <c r="AV4" i="10" l="1"/>
  <c r="X4" i="10" s="1"/>
  <c r="AW4" i="10"/>
  <c r="AY4" i="10" s="1"/>
  <c r="AW35" i="10"/>
  <c r="AY35" i="10" s="1"/>
  <c r="AV35" i="10"/>
  <c r="AX35" i="10" s="1"/>
  <c r="S5" i="10"/>
  <c r="Q26" i="21"/>
  <c r="S26" i="21" s="1"/>
  <c r="S25" i="21"/>
  <c r="I24" i="21"/>
  <c r="T24" i="21"/>
  <c r="AG5" i="10"/>
  <c r="AH5" i="10" s="1"/>
  <c r="AI5" i="10"/>
  <c r="AZ35" i="10" l="1"/>
  <c r="AX4" i="10"/>
  <c r="AZ4" i="10" s="1"/>
  <c r="Y4" i="10"/>
  <c r="Y35" i="10"/>
  <c r="X35" i="10"/>
  <c r="I25" i="21"/>
  <c r="T25" i="21"/>
  <c r="T26" i="21"/>
  <c r="I26" i="21"/>
  <c r="AM5" i="10"/>
  <c r="AP5" i="10" s="1"/>
  <c r="AT50" i="10"/>
  <c r="AU5" i="10"/>
  <c r="AO5" i="10"/>
  <c r="AR5" i="10"/>
  <c r="F7" i="10"/>
  <c r="G7" i="10"/>
  <c r="I7" i="10"/>
  <c r="K7" i="10"/>
  <c r="M7" i="10"/>
  <c r="AJ7" i="10"/>
  <c r="AK7" i="10" s="1"/>
  <c r="AL7" i="10"/>
  <c r="S7" i="10" l="1"/>
  <c r="AT5" i="10"/>
  <c r="AT6" i="10"/>
  <c r="AG7" i="10"/>
  <c r="AH7" i="10" s="1"/>
  <c r="AI7" i="10"/>
  <c r="AV5" i="10" l="1"/>
  <c r="X5" i="10" s="1"/>
  <c r="AW5" i="10"/>
  <c r="AY5" i="10" s="1"/>
  <c r="AW6" i="10"/>
  <c r="AY6" i="10" s="1"/>
  <c r="AV6" i="10"/>
  <c r="AM7" i="10"/>
  <c r="AP7" i="10" s="1"/>
  <c r="AT7" i="10"/>
  <c r="AU7" i="10"/>
  <c r="AO7" i="10"/>
  <c r="AQ7" i="10"/>
  <c r="AX5" i="10" l="1"/>
  <c r="AZ5" i="10" s="1"/>
  <c r="Y5" i="10"/>
  <c r="AX6" i="10"/>
  <c r="AZ6" i="10" s="1"/>
  <c r="Y6" i="10"/>
  <c r="X6" i="10"/>
  <c r="AV7" i="10"/>
  <c r="X7" i="10" s="1"/>
  <c r="AR7" i="10"/>
  <c r="AW7" i="10"/>
  <c r="F8" i="10"/>
  <c r="G8" i="10"/>
  <c r="S8" i="10" s="1"/>
  <c r="I8" i="10"/>
  <c r="K8" i="10"/>
  <c r="AJ8" i="10"/>
  <c r="AK8" i="10" s="1"/>
  <c r="AL8" i="10"/>
  <c r="AY7" i="10" l="1"/>
  <c r="AX7" i="10"/>
  <c r="AZ7" i="10" s="1"/>
  <c r="Y7" i="10"/>
  <c r="AG8" i="10"/>
  <c r="AH8" i="10" s="1"/>
  <c r="AT43" i="10"/>
  <c r="AT8" i="10" s="1"/>
  <c r="AU8" i="10"/>
  <c r="AO8" i="10"/>
  <c r="AI8" i="10"/>
  <c r="AQ8" i="10"/>
  <c r="AM8" i="10" l="1"/>
  <c r="AP8" i="10" s="1"/>
  <c r="AR8" i="10"/>
  <c r="AW8" i="10"/>
  <c r="F9" i="10"/>
  <c r="G9" i="10"/>
  <c r="I9" i="10"/>
  <c r="K9" i="10"/>
  <c r="M9" i="10"/>
  <c r="AJ9" i="10"/>
  <c r="AK9" i="10" s="1"/>
  <c r="AG9" i="10"/>
  <c r="AH9" i="10" s="1"/>
  <c r="AT9" i="10"/>
  <c r="AU9" i="10"/>
  <c r="AO9" i="10"/>
  <c r="AL9" i="10"/>
  <c r="AI9" i="10"/>
  <c r="AQ9" i="10"/>
  <c r="S9" i="10" l="1"/>
  <c r="AY8" i="10"/>
  <c r="AV8" i="10"/>
  <c r="X8" i="10" s="1"/>
  <c r="AM9" i="10"/>
  <c r="AP9" i="10" s="1"/>
  <c r="AR9" i="10"/>
  <c r="AW9" i="10"/>
  <c r="S10" i="10"/>
  <c r="AJ10" i="10"/>
  <c r="AK10" i="10" s="1"/>
  <c r="AG10" i="10"/>
  <c r="AH10" i="10" s="1"/>
  <c r="AT10" i="10"/>
  <c r="AU10" i="10"/>
  <c r="AO10" i="10"/>
  <c r="AL10" i="10"/>
  <c r="AQ10" i="10"/>
  <c r="AI10" i="10"/>
  <c r="AY9" i="10" l="1"/>
  <c r="AX8" i="10"/>
  <c r="AZ8" i="10" s="1"/>
  <c r="Y8" i="10"/>
  <c r="AM10" i="10"/>
  <c r="AP10" i="10" s="1"/>
  <c r="AV9" i="10"/>
  <c r="AX9" i="10" s="1"/>
  <c r="AZ9" i="10" s="1"/>
  <c r="AR10" i="10"/>
  <c r="AW10" i="10"/>
  <c r="AJ11" i="10"/>
  <c r="AK11" i="10" s="1"/>
  <c r="AG11" i="10"/>
  <c r="AH11" i="10" s="1"/>
  <c r="AT11" i="10"/>
  <c r="AU11" i="10"/>
  <c r="AO11" i="10"/>
  <c r="AQ11" i="10"/>
  <c r="AI11" i="10"/>
  <c r="AL11" i="10"/>
  <c r="AY10" i="10" l="1"/>
  <c r="AM11" i="10"/>
  <c r="AV11" i="10" s="1"/>
  <c r="Y11" i="10" s="1"/>
  <c r="Y9" i="10"/>
  <c r="X9" i="10"/>
  <c r="AV10" i="10"/>
  <c r="AX10" i="10" s="1"/>
  <c r="AZ10" i="10" s="1"/>
  <c r="AR11" i="10"/>
  <c r="AW11" i="10"/>
  <c r="F12" i="10"/>
  <c r="S12" i="10"/>
  <c r="AJ12" i="10"/>
  <c r="AK12" i="10" s="1"/>
  <c r="AG12" i="10"/>
  <c r="AH12" i="10" s="1"/>
  <c r="AT41" i="10"/>
  <c r="AT12" i="10" s="1"/>
  <c r="AU12" i="10"/>
  <c r="AO12" i="10"/>
  <c r="AI12" i="10"/>
  <c r="AL12" i="10"/>
  <c r="AQ12" i="10"/>
  <c r="AY11" i="10" l="1"/>
  <c r="X11" i="10"/>
  <c r="AP11" i="10"/>
  <c r="AX11" i="10" s="1"/>
  <c r="AM12" i="10"/>
  <c r="AP12" i="10" s="1"/>
  <c r="Y10" i="10"/>
  <c r="X10" i="10"/>
  <c r="AR12" i="10"/>
  <c r="AW12" i="10"/>
  <c r="F13" i="10"/>
  <c r="K13" i="10"/>
  <c r="S13" i="10" s="1"/>
  <c r="M13" i="10"/>
  <c r="O13" i="10"/>
  <c r="Q13" i="10"/>
  <c r="AK13" i="10"/>
  <c r="AM13" i="10"/>
  <c r="AZ11" i="10" l="1"/>
  <c r="AY12" i="10"/>
  <c r="AV12" i="10"/>
  <c r="Y12" i="10" s="1"/>
  <c r="AT48" i="10"/>
  <c r="AT13" i="10" s="1"/>
  <c r="AU13" i="10"/>
  <c r="AO13" i="10"/>
  <c r="AP13" i="10"/>
  <c r="AQ13" i="10"/>
  <c r="AV13" i="10" l="1"/>
  <c r="Y13" i="10" s="1"/>
  <c r="AX12" i="10"/>
  <c r="AZ12" i="10" s="1"/>
  <c r="X12" i="10"/>
  <c r="AW13" i="10"/>
  <c r="AY13" i="10" s="1"/>
  <c r="F14" i="10"/>
  <c r="S14" i="10"/>
  <c r="AK14" i="10"/>
  <c r="AT14" i="10"/>
  <c r="AU14" i="10"/>
  <c r="AO14" i="10"/>
  <c r="AP14" i="10"/>
  <c r="F15" i="10"/>
  <c r="S15" i="10"/>
  <c r="AJ15" i="10"/>
  <c r="AK15" i="10" s="1"/>
  <c r="AG15" i="10"/>
  <c r="AH15" i="10" s="1"/>
  <c r="AT15" i="10"/>
  <c r="AU15" i="10"/>
  <c r="AO15" i="10"/>
  <c r="AQ15" i="10"/>
  <c r="AL15" i="10"/>
  <c r="AQ14" i="10"/>
  <c r="AM14" i="10"/>
  <c r="AI15" i="10"/>
  <c r="X13" i="10" l="1"/>
  <c r="AX13" i="10"/>
  <c r="AZ13" i="10" s="1"/>
  <c r="AW14" i="10"/>
  <c r="AY14" i="10" s="1"/>
  <c r="AV14" i="10"/>
  <c r="AM15" i="10"/>
  <c r="AP15" i="10" s="1"/>
  <c r="AR15" i="10"/>
  <c r="AW15" i="10"/>
  <c r="F16" i="10"/>
  <c r="S16" i="10"/>
  <c r="AJ16" i="10"/>
  <c r="AK16" i="10" s="1"/>
  <c r="AL16" i="10"/>
  <c r="AY15" i="10" l="1"/>
  <c r="AV15" i="10"/>
  <c r="X15" i="10" s="1"/>
  <c r="AX14" i="10"/>
  <c r="AZ14" i="10" s="1"/>
  <c r="X14" i="10"/>
  <c r="Y14" i="10"/>
  <c r="AG16" i="10"/>
  <c r="AH16" i="10" s="1"/>
  <c r="AT16" i="10"/>
  <c r="AU16" i="10"/>
  <c r="AO16" i="10"/>
  <c r="AI16" i="10"/>
  <c r="AQ16" i="10"/>
  <c r="AX15" i="10" l="1"/>
  <c r="AZ15" i="10" s="1"/>
  <c r="Y15" i="10"/>
  <c r="AM16" i="10"/>
  <c r="AV16" i="10" s="1"/>
  <c r="Y16" i="10" s="1"/>
  <c r="AR16" i="10"/>
  <c r="AW16" i="10"/>
  <c r="F17" i="10"/>
  <c r="S17" i="10"/>
  <c r="AJ17" i="10"/>
  <c r="AK17" i="10" s="1"/>
  <c r="AG17" i="10"/>
  <c r="AH17" i="10" s="1"/>
  <c r="AT17" i="10"/>
  <c r="AU17" i="10"/>
  <c r="AO17" i="10"/>
  <c r="AL17" i="10"/>
  <c r="AI17" i="10"/>
  <c r="AQ17" i="10"/>
  <c r="AY16" i="10" l="1"/>
  <c r="AP16" i="10"/>
  <c r="AX16" i="10" s="1"/>
  <c r="AZ16" i="10" s="1"/>
  <c r="AM17" i="10"/>
  <c r="AV17" i="10" s="1"/>
  <c r="X17" i="10" s="1"/>
  <c r="X16" i="10"/>
  <c r="AR17" i="10"/>
  <c r="AW17" i="10"/>
  <c r="S18" i="10"/>
  <c r="AK18" i="10"/>
  <c r="AT18" i="10"/>
  <c r="AU18" i="10"/>
  <c r="AP18" i="10"/>
  <c r="AQ18" i="10"/>
  <c r="AM18" i="10"/>
  <c r="AY17" i="10" l="1"/>
  <c r="AV18" i="10"/>
  <c r="AX18" i="10" s="1"/>
  <c r="AP17" i="10"/>
  <c r="AX17" i="10" s="1"/>
  <c r="AZ17" i="10" s="1"/>
  <c r="Y17" i="10"/>
  <c r="AW18" i="10"/>
  <c r="AY18" i="10" s="1"/>
  <c r="F19" i="10"/>
  <c r="S19" i="10"/>
  <c r="AJ19" i="10"/>
  <c r="AK19" i="10" s="1"/>
  <c r="AG19" i="10"/>
  <c r="AH19" i="10" s="1"/>
  <c r="AT44" i="10"/>
  <c r="AU19" i="10"/>
  <c r="AP19" i="10"/>
  <c r="AQ19" i="10"/>
  <c r="AL19" i="10"/>
  <c r="AI19" i="10"/>
  <c r="AT19" i="10" l="1"/>
  <c r="AT36" i="10"/>
  <c r="AZ18" i="10"/>
  <c r="X18" i="10"/>
  <c r="AM19" i="10"/>
  <c r="Y18" i="10"/>
  <c r="F20" i="10"/>
  <c r="S20" i="10"/>
  <c r="AJ20" i="10"/>
  <c r="AK20" i="10" s="1"/>
  <c r="AG20" i="10"/>
  <c r="AH20" i="10" s="1"/>
  <c r="AT20" i="10"/>
  <c r="AU20" i="10"/>
  <c r="AI20" i="10"/>
  <c r="AL20" i="10"/>
  <c r="AQ20" i="10"/>
  <c r="AW19" i="10" l="1"/>
  <c r="AY19" i="10" s="1"/>
  <c r="AV19" i="10"/>
  <c r="X19" i="10" s="1"/>
  <c r="AW36" i="10"/>
  <c r="AY36" i="10" s="1"/>
  <c r="AV36" i="10"/>
  <c r="AX36" i="10" s="1"/>
  <c r="AZ36" i="10" s="1"/>
  <c r="AM20" i="10"/>
  <c r="AP20" i="10" s="1"/>
  <c r="AR20" i="10"/>
  <c r="AW20" i="10"/>
  <c r="F21" i="10"/>
  <c r="S21" i="10"/>
  <c r="AJ21" i="10"/>
  <c r="AK21" i="10" s="1"/>
  <c r="AG21" i="10"/>
  <c r="AH21" i="10" s="1"/>
  <c r="AT21" i="10"/>
  <c r="AU21" i="10"/>
  <c r="AQ21" i="10"/>
  <c r="AL21" i="10"/>
  <c r="AI21" i="10"/>
  <c r="Y19" i="10" l="1"/>
  <c r="AX19" i="10"/>
  <c r="AZ19" i="10" s="1"/>
  <c r="Y36" i="10"/>
  <c r="X36" i="10"/>
  <c r="AY20" i="10"/>
  <c r="AV20" i="10"/>
  <c r="AX20" i="10" s="1"/>
  <c r="AZ20" i="10" s="1"/>
  <c r="AM21" i="10"/>
  <c r="AP21" i="10" s="1"/>
  <c r="AR21" i="10"/>
  <c r="AW21" i="10"/>
  <c r="F22" i="10"/>
  <c r="G22" i="10"/>
  <c r="S22" i="10" s="1"/>
  <c r="I22" i="10"/>
  <c r="K22" i="10"/>
  <c r="AJ22" i="10"/>
  <c r="AK22" i="10" s="1"/>
  <c r="AG22" i="10"/>
  <c r="AH22" i="10" s="1"/>
  <c r="AT22" i="10"/>
  <c r="AU22" i="10"/>
  <c r="AQ22" i="10"/>
  <c r="AI22" i="10"/>
  <c r="AL22" i="10"/>
  <c r="AY21" i="10" l="1"/>
  <c r="Y20" i="10"/>
  <c r="X20" i="10"/>
  <c r="AV21" i="10"/>
  <c r="X21" i="10" s="1"/>
  <c r="AM22" i="10"/>
  <c r="AP22" i="10" s="1"/>
  <c r="AR22" i="10"/>
  <c r="AW22" i="10"/>
  <c r="F23" i="10"/>
  <c r="G23" i="10"/>
  <c r="S23" i="10" s="1"/>
  <c r="I23" i="10"/>
  <c r="K23" i="10"/>
  <c r="AJ23" i="10"/>
  <c r="AK23" i="10" s="1"/>
  <c r="AG23" i="10"/>
  <c r="AH23" i="10" s="1"/>
  <c r="AT23" i="10"/>
  <c r="AU23" i="10"/>
  <c r="AQ23" i="10"/>
  <c r="AL23" i="10"/>
  <c r="AI23" i="10"/>
  <c r="AY22" i="10" l="1"/>
  <c r="AX21" i="10"/>
  <c r="AZ21" i="10" s="1"/>
  <c r="Y21" i="10"/>
  <c r="AM23" i="10"/>
  <c r="AP23" i="10" s="1"/>
  <c r="AV22" i="10"/>
  <c r="AX22" i="10" s="1"/>
  <c r="AR23" i="10"/>
  <c r="AW23" i="10"/>
  <c r="F24" i="10"/>
  <c r="G24" i="10"/>
  <c r="S24" i="10" s="1"/>
  <c r="I24" i="10"/>
  <c r="K24" i="10"/>
  <c r="AJ24" i="10"/>
  <c r="AK24" i="10" s="1"/>
  <c r="AG24" i="10"/>
  <c r="AH24" i="10" s="1"/>
  <c r="AT24" i="10"/>
  <c r="AU24" i="10"/>
  <c r="AQ24" i="10"/>
  <c r="AI24" i="10"/>
  <c r="AL24" i="10"/>
  <c r="AZ22" i="10" l="1"/>
  <c r="AY23" i="10"/>
  <c r="AM24" i="10"/>
  <c r="AP24" i="10" s="1"/>
  <c r="X22" i="10"/>
  <c r="Y22" i="10"/>
  <c r="AV23" i="10"/>
  <c r="AR24" i="10"/>
  <c r="AW24" i="10"/>
  <c r="F25" i="10"/>
  <c r="S25" i="10"/>
  <c r="AJ25" i="10"/>
  <c r="AK25" i="10" s="1"/>
  <c r="AG25" i="10"/>
  <c r="AH25" i="10" s="1"/>
  <c r="AT25" i="10"/>
  <c r="AU25" i="10"/>
  <c r="AI25" i="10"/>
  <c r="AL25" i="10"/>
  <c r="AQ25" i="10"/>
  <c r="AY24" i="10" l="1"/>
  <c r="AV24" i="10"/>
  <c r="Y24" i="10" s="1"/>
  <c r="AM25" i="10"/>
  <c r="AV25" i="10" s="1"/>
  <c r="Y25" i="10" s="1"/>
  <c r="AX23" i="10"/>
  <c r="AZ23" i="10" s="1"/>
  <c r="X23" i="10"/>
  <c r="Y23" i="10"/>
  <c r="AR25" i="10"/>
  <c r="AW25" i="10"/>
  <c r="F26" i="10"/>
  <c r="G26" i="10"/>
  <c r="S26" i="10" s="1"/>
  <c r="I26" i="10"/>
  <c r="K26" i="10"/>
  <c r="AJ26" i="10"/>
  <c r="AK26" i="10" s="1"/>
  <c r="AL26" i="10"/>
  <c r="AY25" i="10" l="1"/>
  <c r="AX24" i="10"/>
  <c r="AZ24" i="10" s="1"/>
  <c r="X24" i="10"/>
  <c r="AP25" i="10"/>
  <c r="AX25" i="10" s="1"/>
  <c r="X25" i="10"/>
  <c r="AG26" i="10"/>
  <c r="AH26" i="10" s="1"/>
  <c r="AT26" i="10"/>
  <c r="AU26" i="10"/>
  <c r="AI26" i="10"/>
  <c r="AQ26" i="10"/>
  <c r="AZ25" i="10" l="1"/>
  <c r="AM26" i="10"/>
  <c r="AP26" i="10" s="1"/>
  <c r="AR26" i="10"/>
  <c r="AW26" i="10"/>
  <c r="F27" i="10"/>
  <c r="G27" i="10"/>
  <c r="S27" i="10" s="1"/>
  <c r="I27" i="10"/>
  <c r="K27" i="10"/>
  <c r="AJ27" i="10"/>
  <c r="AK27" i="10" s="1"/>
  <c r="AG27" i="10"/>
  <c r="AH27" i="10" s="1"/>
  <c r="AT27" i="10"/>
  <c r="AU27" i="10"/>
  <c r="AI27" i="10"/>
  <c r="AQ27" i="10"/>
  <c r="AL27" i="10"/>
  <c r="AY26" i="10" l="1"/>
  <c r="AV26" i="10"/>
  <c r="Y26" i="10" s="1"/>
  <c r="AM27" i="10"/>
  <c r="AP27" i="10" s="1"/>
  <c r="AR27" i="10"/>
  <c r="AW27" i="10"/>
  <c r="F28" i="10"/>
  <c r="G28" i="10"/>
  <c r="S28" i="10" s="1"/>
  <c r="I28" i="10"/>
  <c r="K28" i="10"/>
  <c r="AJ28" i="10"/>
  <c r="AK28" i="10" s="1"/>
  <c r="AG28" i="10"/>
  <c r="AH28" i="10" s="1"/>
  <c r="AT28" i="10"/>
  <c r="AU28" i="10"/>
  <c r="AI28" i="10"/>
  <c r="AQ28" i="10"/>
  <c r="AL28" i="10"/>
  <c r="AY27" i="10" l="1"/>
  <c r="AX26" i="10"/>
  <c r="AZ26" i="10" s="1"/>
  <c r="X26" i="10"/>
  <c r="AM28" i="10"/>
  <c r="AP28" i="10" s="1"/>
  <c r="AV27" i="10"/>
  <c r="AX27" i="10" s="1"/>
  <c r="AZ27" i="10" s="1"/>
  <c r="AR28" i="10"/>
  <c r="AW28" i="10"/>
  <c r="F29" i="10"/>
  <c r="S29" i="10"/>
  <c r="AJ29" i="10"/>
  <c r="AK29" i="10" s="1"/>
  <c r="AL29" i="10"/>
  <c r="Y27" i="10" l="1"/>
  <c r="X27" i="10"/>
  <c r="AV28" i="10"/>
  <c r="AX28" i="10" s="1"/>
  <c r="AY28" i="10"/>
  <c r="AG29" i="10"/>
  <c r="AH29" i="10" s="1"/>
  <c r="AT29" i="10"/>
  <c r="AU29" i="10"/>
  <c r="AQ29" i="10"/>
  <c r="AI29" i="10"/>
  <c r="AZ28" i="10" l="1"/>
  <c r="AM29" i="10"/>
  <c r="AP29" i="10" s="1"/>
  <c r="Y28" i="10"/>
  <c r="X28" i="10"/>
  <c r="AR29" i="10"/>
  <c r="AW29" i="10"/>
  <c r="AY29" i="10" s="1"/>
  <c r="F30" i="10"/>
  <c r="S30" i="10"/>
  <c r="AJ30" i="10"/>
  <c r="AK30" i="10" s="1"/>
  <c r="AG30" i="10"/>
  <c r="AH30" i="10" s="1"/>
  <c r="AT30" i="10"/>
  <c r="AU30" i="10"/>
  <c r="AL30" i="10"/>
  <c r="AQ30" i="10"/>
  <c r="AI30" i="10"/>
  <c r="AM30" i="10" l="1"/>
  <c r="AP30" i="10" s="1"/>
  <c r="AV29" i="10"/>
  <c r="AR30" i="10"/>
  <c r="AW30" i="10"/>
  <c r="AY30" i="10" s="1"/>
  <c r="F31" i="10"/>
  <c r="S31" i="10"/>
  <c r="AJ31" i="10"/>
  <c r="AK31" i="10" s="1"/>
  <c r="AG31" i="10"/>
  <c r="AH31" i="10" s="1"/>
  <c r="AT31" i="10"/>
  <c r="AU31" i="10"/>
  <c r="AI31" i="10"/>
  <c r="AQ31" i="10"/>
  <c r="AL31" i="10"/>
  <c r="AM31" i="10" l="1"/>
  <c r="AP31" i="10" s="1"/>
  <c r="X29" i="10"/>
  <c r="AX29" i="10"/>
  <c r="AZ29" i="10" s="1"/>
  <c r="Y29" i="10"/>
  <c r="AV30" i="10"/>
  <c r="AR31" i="10"/>
  <c r="AW31" i="10"/>
  <c r="F33" i="10"/>
  <c r="G33" i="10"/>
  <c r="S33" i="10" s="1"/>
  <c r="I33" i="10"/>
  <c r="K33" i="10"/>
  <c r="AJ33" i="10"/>
  <c r="AK33" i="10" s="1"/>
  <c r="AG33" i="10"/>
  <c r="AH33" i="10" s="1"/>
  <c r="AT33" i="10"/>
  <c r="AU33" i="10"/>
  <c r="AQ33" i="10"/>
  <c r="AL33" i="10"/>
  <c r="AI33" i="10"/>
  <c r="AY31" i="10" l="1"/>
  <c r="AV31" i="10"/>
  <c r="AX31" i="10" s="1"/>
  <c r="AZ31" i="10" s="1"/>
  <c r="AM33" i="10"/>
  <c r="AP33" i="10" s="1"/>
  <c r="Y30" i="10"/>
  <c r="AX30" i="10"/>
  <c r="AZ30" i="10" s="1"/>
  <c r="X30" i="10"/>
  <c r="AR33" i="10"/>
  <c r="AW33" i="10"/>
  <c r="F34" i="10"/>
  <c r="S34" i="10"/>
  <c r="AJ34" i="10"/>
  <c r="AK34" i="10" s="1"/>
  <c r="AL34" i="10"/>
  <c r="X31" i="10" l="1"/>
  <c r="Y31" i="10"/>
  <c r="AV33" i="10"/>
  <c r="AY33" i="10"/>
  <c r="AG34" i="10"/>
  <c r="AH34" i="10" s="1"/>
  <c r="AT49" i="10"/>
  <c r="AT34" i="10" s="1"/>
  <c r="AU34" i="10"/>
  <c r="AI34" i="10"/>
  <c r="AQ34" i="10"/>
  <c r="AM34" i="10" l="1"/>
  <c r="AP34" i="10" s="1"/>
  <c r="AX33" i="10"/>
  <c r="AZ33" i="10" s="1"/>
  <c r="Y33" i="10"/>
  <c r="X33" i="10"/>
  <c r="AR34" i="10"/>
  <c r="AW34" i="10"/>
  <c r="AV34" i="10" l="1"/>
  <c r="Y34" i="10" s="1"/>
  <c r="AY34" i="10"/>
  <c r="AX34" i="10" l="1"/>
  <c r="X34" i="10"/>
  <c r="AO40" i="10"/>
  <c r="AT40" i="10"/>
  <c r="AO41" i="10"/>
  <c r="AO42" i="10"/>
  <c r="AO43" i="10"/>
  <c r="AO44" i="10"/>
  <c r="AT46" i="10"/>
  <c r="AT47" i="10"/>
  <c r="AN56" i="10"/>
  <c r="AN60" i="10"/>
  <c r="AN61" i="10"/>
  <c r="AN62" i="10"/>
  <c r="AQ40" i="10"/>
  <c r="AQ42" i="10"/>
  <c r="AQ56" i="10"/>
  <c r="AQ60" i="10"/>
  <c r="AQ43" i="10"/>
  <c r="AQ62" i="10"/>
  <c r="AQ61" i="10"/>
  <c r="AQ41" i="10"/>
  <c r="AZ34" i="10" l="1"/>
  <c r="AQ54" i="10"/>
  <c r="AQ58" i="10"/>
  <c r="C1" i="9" l="1"/>
  <c r="Q3" i="9"/>
  <c r="T10" i="9"/>
  <c r="S3" i="9" s="1"/>
  <c r="T11" i="9"/>
  <c r="Q4" i="9"/>
  <c r="R3" i="9"/>
  <c r="R4" i="9"/>
  <c r="T12" i="9" l="1"/>
  <c r="T3" i="9" s="1"/>
  <c r="T4" i="9" s="1"/>
  <c r="T5" i="9" s="1"/>
  <c r="T6" i="9" s="1"/>
  <c r="S4" i="9"/>
  <c r="S5" i="9" s="1"/>
  <c r="S6" i="9" s="1"/>
  <c r="U4" i="9"/>
  <c r="U6" i="9" s="1"/>
  <c r="Q5" i="9"/>
  <c r="U5" i="9"/>
  <c r="Q6" i="9"/>
  <c r="C1" i="8"/>
  <c r="Q3" i="8"/>
  <c r="T13" i="8"/>
  <c r="S3" i="8" s="1"/>
  <c r="Q4" i="8"/>
  <c r="R4" i="8"/>
  <c r="R6" i="9"/>
  <c r="R3" i="8"/>
  <c r="R5" i="9"/>
  <c r="V3" i="9" l="1"/>
  <c r="I3" i="9" s="1"/>
  <c r="V4" i="9"/>
  <c r="W4" i="9" s="1"/>
  <c r="V6" i="9"/>
  <c r="V5" i="9"/>
  <c r="V3" i="8"/>
  <c r="W3" i="8" s="1"/>
  <c r="S4" i="8"/>
  <c r="U4" i="8"/>
  <c r="U5" i="8" s="1"/>
  <c r="Q5" i="8"/>
  <c r="Q6" i="8"/>
  <c r="R5" i="8"/>
  <c r="R6" i="8"/>
  <c r="W3" i="9" l="1"/>
  <c r="I4" i="9"/>
  <c r="V4" i="8"/>
  <c r="I4" i="8" s="1"/>
  <c r="S5" i="8"/>
  <c r="V5" i="8" s="1"/>
  <c r="I5" i="8" s="1"/>
  <c r="I3" i="8"/>
  <c r="I5" i="9"/>
  <c r="W5" i="9"/>
  <c r="W6" i="9"/>
  <c r="I6" i="9"/>
  <c r="U6" i="8"/>
  <c r="Q7" i="8"/>
  <c r="R7" i="8"/>
  <c r="S6" i="8" l="1"/>
  <c r="V6" i="8" s="1"/>
  <c r="W6" i="8" s="1"/>
  <c r="W4" i="8"/>
  <c r="W5" i="8"/>
  <c r="U7" i="8"/>
  <c r="U8" i="8" s="1"/>
  <c r="Q8" i="8"/>
  <c r="Q9" i="8"/>
  <c r="R8" i="8"/>
  <c r="R9" i="8"/>
  <c r="S7" i="8" l="1"/>
  <c r="V7" i="8" s="1"/>
  <c r="W7" i="8" s="1"/>
  <c r="I6" i="8"/>
  <c r="U9" i="8"/>
  <c r="S8" i="8" l="1"/>
  <c r="S9" i="8" s="1"/>
  <c r="V9" i="8" s="1"/>
  <c r="I9" i="8" s="1"/>
  <c r="I7" i="8"/>
  <c r="V8" i="8" l="1"/>
  <c r="I8" i="8" s="1"/>
  <c r="W9" i="8"/>
  <c r="W8" i="8" l="1"/>
  <c r="C1" i="5" l="1"/>
  <c r="Q3" i="5"/>
  <c r="S12" i="5"/>
  <c r="S3" i="5" s="1"/>
  <c r="Q4" i="5"/>
  <c r="R3" i="5"/>
  <c r="R4" i="5"/>
  <c r="V3" i="5" l="1"/>
  <c r="W3" i="5" s="1"/>
  <c r="S4" i="5"/>
  <c r="U4" i="5"/>
  <c r="Q8" i="5"/>
  <c r="R8" i="5"/>
  <c r="V4" i="5" l="1"/>
  <c r="I4" i="5" s="1"/>
  <c r="I3" i="5"/>
  <c r="V8" i="5"/>
  <c r="I8" i="5" s="1"/>
  <c r="Q9" i="5"/>
  <c r="Q10" i="5"/>
  <c r="Q11" i="5"/>
  <c r="C1" i="1"/>
  <c r="N3" i="1"/>
  <c r="P15" i="1"/>
  <c r="P3" i="1" s="1"/>
  <c r="P21" i="1"/>
  <c r="N4" i="1"/>
  <c r="O4" i="1"/>
  <c r="R10" i="5"/>
  <c r="R9" i="5"/>
  <c r="O3" i="1"/>
  <c r="R11" i="5"/>
  <c r="W4" i="5" l="1"/>
  <c r="Q3" i="1"/>
  <c r="S3" i="1" s="1"/>
  <c r="V9" i="5"/>
  <c r="I9" i="5" s="1"/>
  <c r="V10" i="5"/>
  <c r="I10" i="5" s="1"/>
  <c r="V11" i="5"/>
  <c r="I11" i="5" s="1"/>
  <c r="P4" i="1"/>
  <c r="Q4" i="1"/>
  <c r="R4" i="1"/>
  <c r="N5" i="1"/>
  <c r="O5" i="1"/>
  <c r="S4" i="1" l="1"/>
  <c r="T4" i="1" s="1"/>
  <c r="G3" i="1"/>
  <c r="T3" i="1"/>
  <c r="P5" i="1"/>
  <c r="Q5" i="1"/>
  <c r="R5" i="1"/>
  <c r="G4" i="1" l="1"/>
  <c r="S5" i="1"/>
  <c r="G5" i="1" s="1"/>
  <c r="T5" i="1" l="1"/>
  <c r="N9" i="1" l="1"/>
  <c r="O9" i="1"/>
  <c r="S9" i="1" l="1"/>
  <c r="G9" i="1" s="1"/>
  <c r="M10" i="1"/>
  <c r="N10" i="1" s="1"/>
  <c r="N11" i="1"/>
  <c r="N14" i="1"/>
  <c r="N17" i="1"/>
  <c r="M18" i="1"/>
  <c r="N18" i="1" s="1"/>
  <c r="O17" i="1"/>
  <c r="O10" i="1"/>
  <c r="O18" i="1"/>
  <c r="O11" i="1"/>
  <c r="O19" i="1"/>
  <c r="O12" i="1"/>
  <c r="O14" i="1"/>
  <c r="O20" i="1"/>
  <c r="O13" i="1"/>
  <c r="M19" i="1" l="1"/>
  <c r="N19" i="1" s="1"/>
  <c r="M12" i="1"/>
  <c r="N12" i="1" s="1"/>
  <c r="S20" i="1"/>
  <c r="G20" i="1" s="1"/>
  <c r="S19" i="1"/>
  <c r="G19" i="1" s="1"/>
  <c r="S14" i="1"/>
  <c r="G14" i="1" s="1"/>
  <c r="S10" i="1"/>
  <c r="G10" i="1" s="1"/>
  <c r="S18" i="1"/>
  <c r="G18" i="1" s="1"/>
  <c r="S17" i="1"/>
  <c r="G17" i="1" s="1"/>
  <c r="S11" i="1"/>
  <c r="G11" i="1" s="1"/>
  <c r="S12" i="1"/>
  <c r="G12" i="1" s="1"/>
  <c r="S13" i="1"/>
  <c r="G13" i="1" s="1"/>
  <c r="M20" i="1" l="1"/>
  <c r="N20" i="1" s="1"/>
  <c r="M13" i="1"/>
  <c r="N13" i="1" s="1"/>
</calcChain>
</file>

<file path=xl/comments1.xml><?xml version="1.0" encoding="utf-8"?>
<comments xmlns="http://schemas.openxmlformats.org/spreadsheetml/2006/main">
  <authors>
    <author>Author</author>
  </authors>
  <commentList>
    <comment ref="R3" authorId="0" shapeId="0">
      <text>
        <r>
          <rPr>
            <b/>
            <sz val="9"/>
            <color indexed="81"/>
            <rFont val="Tahoma"/>
            <family val="2"/>
          </rPr>
          <t>Author:</t>
        </r>
        <r>
          <rPr>
            <sz val="9"/>
            <color indexed="81"/>
            <rFont val="Tahoma"/>
            <family val="2"/>
          </rPr>
          <t xml:space="preserve">
Updating liquidity premium to one notch higher
08/12/2016</t>
        </r>
      </text>
    </comment>
    <comment ref="B24" authorId="0" shapeId="0">
      <text>
        <r>
          <rPr>
            <b/>
            <sz val="9"/>
            <color indexed="81"/>
            <rFont val="Tahoma"/>
            <family val="2"/>
          </rPr>
          <t>Author:</t>
        </r>
        <r>
          <rPr>
            <sz val="9"/>
            <color indexed="81"/>
            <rFont val="Tahoma"/>
            <family val="2"/>
          </rPr>
          <t xml:space="preserve">
Implied 2 notch difference based on notching for SB</t>
        </r>
      </text>
    </comment>
  </commentList>
</comments>
</file>

<file path=xl/comments2.xml><?xml version="1.0" encoding="utf-8"?>
<comments xmlns="http://schemas.openxmlformats.org/spreadsheetml/2006/main">
  <authors>
    <author>Author</author>
  </authors>
  <commentList>
    <comment ref="F4" authorId="0" shapeId="0">
      <text>
        <r>
          <rPr>
            <b/>
            <sz val="9"/>
            <color indexed="81"/>
            <rFont val="Tahoma"/>
            <family val="2"/>
          </rPr>
          <t>Author:</t>
        </r>
        <r>
          <rPr>
            <sz val="9"/>
            <color indexed="81"/>
            <rFont val="Tahoma"/>
            <family val="2"/>
          </rPr>
          <t xml:space="preserve">
Pre-pay at any time (2 days notice) subject to call premium's:
&lt;1yr = 103
&gt;1 &amp; &lt;2yr = 102
2yr &amp; &lt;3y = 101
&gt;3yr = 100</t>
        </r>
      </text>
    </comment>
    <comment ref="AA4" authorId="0" shapeId="0">
      <text>
        <r>
          <rPr>
            <b/>
            <sz val="9"/>
            <color indexed="81"/>
            <rFont val="Tahoma"/>
            <family val="2"/>
          </rPr>
          <t>Author:</t>
        </r>
        <r>
          <rPr>
            <sz val="9"/>
            <color indexed="81"/>
            <rFont val="Tahoma"/>
            <family val="2"/>
          </rPr>
          <t xml:space="preserve">
DBRS CFR shadow rating of B low </t>
        </r>
      </text>
    </comment>
    <comment ref="AB4" authorId="0" shapeId="0">
      <text>
        <r>
          <rPr>
            <b/>
            <sz val="9"/>
            <color indexed="81"/>
            <rFont val="Tahoma"/>
            <family val="2"/>
          </rPr>
          <t>Author:</t>
        </r>
        <r>
          <rPr>
            <sz val="9"/>
            <color indexed="81"/>
            <rFont val="Tahoma"/>
            <family val="2"/>
          </rPr>
          <t xml:space="preserve">
B3/B at L-T Corp rating</t>
        </r>
      </text>
    </comment>
    <comment ref="F5" authorId="0" shapeId="0">
      <text>
        <r>
          <rPr>
            <b/>
            <sz val="9"/>
            <color indexed="81"/>
            <rFont val="Tahoma"/>
            <family val="2"/>
          </rPr>
          <t>Author:</t>
        </r>
        <r>
          <rPr>
            <sz val="9"/>
            <color indexed="81"/>
            <rFont val="Tahoma"/>
            <family val="2"/>
          </rPr>
          <t xml:space="preserve">
Pre-pay at any time (2 days notice) subject to call premium's:
&lt;1yr = 103
&gt;1 &amp; &lt;2yr = 102
2yr &amp; &lt;3y = 101
&gt;3yr = 100</t>
        </r>
      </text>
    </comment>
    <comment ref="AA5" authorId="0" shapeId="0">
      <text>
        <r>
          <rPr>
            <b/>
            <sz val="9"/>
            <color indexed="81"/>
            <rFont val="Tahoma"/>
            <family val="2"/>
          </rPr>
          <t>Author:</t>
        </r>
        <r>
          <rPr>
            <sz val="9"/>
            <color indexed="81"/>
            <rFont val="Tahoma"/>
            <family val="2"/>
          </rPr>
          <t xml:space="preserve">
DBRS CFR shadow rating of B low </t>
        </r>
      </text>
    </comment>
    <comment ref="AQ5" authorId="0" shapeId="0">
      <text>
        <r>
          <rPr>
            <b/>
            <sz val="9"/>
            <color indexed="81"/>
            <rFont val="Tahoma"/>
            <family val="2"/>
          </rPr>
          <t>Author:</t>
        </r>
        <r>
          <rPr>
            <sz val="9"/>
            <color indexed="81"/>
            <rFont val="Tahoma"/>
            <family val="2"/>
          </rPr>
          <t xml:space="preserve">
Greater of Prime Rate or 50bps+ Fed Funds rat with min Fed Funds at 2%</t>
        </r>
      </text>
    </comment>
    <comment ref="F7" authorId="0" shapeId="0">
      <text>
        <r>
          <rPr>
            <b/>
            <sz val="9"/>
            <color indexed="81"/>
            <rFont val="Tahoma"/>
            <family val="2"/>
          </rPr>
          <t>Author:</t>
        </r>
        <r>
          <rPr>
            <sz val="9"/>
            <color indexed="81"/>
            <rFont val="Tahoma"/>
            <family val="2"/>
          </rPr>
          <t xml:space="preserve">
Pre-pay at any time (2 days notice) subject to call premium's:
&lt;1yr = 103
&gt;1 &amp; &lt;2yr = 102
2yr &amp; &lt;3y = 101
&gt;3yr = 100</t>
        </r>
      </text>
    </comment>
    <comment ref="Z7" authorId="0" shapeId="0">
      <text>
        <r>
          <rPr>
            <b/>
            <sz val="9"/>
            <color indexed="81"/>
            <rFont val="Tahoma"/>
            <family val="2"/>
          </rPr>
          <t>Author:</t>
        </r>
        <r>
          <rPr>
            <sz val="9"/>
            <color indexed="81"/>
            <rFont val="Tahoma"/>
            <family val="2"/>
          </rPr>
          <t xml:space="preserve">
Expectation is BB.  Moodys risk calc put it at Ba2. </t>
        </r>
      </text>
    </comment>
    <comment ref="AA7" authorId="0" shapeId="0">
      <text>
        <r>
          <rPr>
            <b/>
            <sz val="9"/>
            <color indexed="81"/>
            <rFont val="Tahoma"/>
            <family val="2"/>
          </rPr>
          <t>Author:</t>
        </r>
        <r>
          <rPr>
            <sz val="9"/>
            <color indexed="81"/>
            <rFont val="Tahoma"/>
            <family val="2"/>
          </rPr>
          <t xml:space="preserve">
DBRS CFR shadow rating of B mid</t>
        </r>
      </text>
    </comment>
    <comment ref="AQ7" authorId="0" shapeId="0">
      <text>
        <r>
          <rPr>
            <b/>
            <sz val="9"/>
            <color indexed="81"/>
            <rFont val="Tahoma"/>
            <family val="2"/>
          </rPr>
          <t>Author:</t>
        </r>
        <r>
          <rPr>
            <sz val="9"/>
            <color indexed="81"/>
            <rFont val="Tahoma"/>
            <family val="2"/>
          </rPr>
          <t xml:space="preserve">
1% LIBOR Floor</t>
        </r>
      </text>
    </comment>
    <comment ref="F8" authorId="0" shapeId="0">
      <text>
        <r>
          <rPr>
            <b/>
            <sz val="9"/>
            <color indexed="81"/>
            <rFont val="Tahoma"/>
            <family val="2"/>
          </rPr>
          <t>Author:</t>
        </r>
        <r>
          <rPr>
            <sz val="9"/>
            <color indexed="81"/>
            <rFont val="Tahoma"/>
            <family val="2"/>
          </rPr>
          <t xml:space="preserve">
Pre-pay at any time (2 days notice) subject to call premium's:
&lt;1yr = 102
&gt;1 &amp; &lt;2yr = 101
&gt;2yr = 100</t>
        </r>
      </text>
    </comment>
    <comment ref="AA8" authorId="0" shapeId="0">
      <text>
        <r>
          <rPr>
            <b/>
            <sz val="9"/>
            <color indexed="81"/>
            <rFont val="Tahoma"/>
            <family val="2"/>
          </rPr>
          <t>Author:</t>
        </r>
        <r>
          <rPr>
            <sz val="9"/>
            <color indexed="81"/>
            <rFont val="Tahoma"/>
            <family val="2"/>
          </rPr>
          <t xml:space="preserve">
BB low shadow rating from DBRS on CFR.  BB high estimated 1st lien</t>
        </r>
      </text>
    </comment>
    <comment ref="F9" authorId="0" shapeId="0">
      <text>
        <r>
          <rPr>
            <b/>
            <sz val="9"/>
            <color indexed="81"/>
            <rFont val="Tahoma"/>
            <family val="2"/>
          </rPr>
          <t>Author:</t>
        </r>
        <r>
          <rPr>
            <sz val="9"/>
            <color indexed="81"/>
            <rFont val="Tahoma"/>
            <family val="2"/>
          </rPr>
          <t xml:space="preserve">
Pre-pay at any time (2 days notice) subject to call premium's:
&lt;1yr = 103
&gt;1 &amp; &lt;2yr = 102
2yr &amp; &lt;3y = 101
&gt;3yr = 100</t>
        </r>
      </text>
    </comment>
    <comment ref="AD9" authorId="0" shapeId="0">
      <text>
        <r>
          <rPr>
            <b/>
            <sz val="9"/>
            <color indexed="81"/>
            <rFont val="Tahoma"/>
            <family val="2"/>
          </rPr>
          <t>Author:</t>
        </r>
        <r>
          <rPr>
            <sz val="9"/>
            <color indexed="81"/>
            <rFont val="Tahoma"/>
            <family val="2"/>
          </rPr>
          <t xml:space="preserve">
BB flat by Fitch</t>
        </r>
      </text>
    </comment>
    <comment ref="V12" authorId="0" shapeId="0">
      <text>
        <r>
          <rPr>
            <b/>
            <sz val="9"/>
            <color indexed="81"/>
            <rFont val="Tahoma"/>
            <family val="2"/>
          </rPr>
          <t>Author:</t>
        </r>
        <r>
          <rPr>
            <sz val="9"/>
            <color indexed="81"/>
            <rFont val="Tahoma"/>
            <family val="2"/>
          </rPr>
          <t xml:space="preserve">
12/15 and 6/15 payment date</t>
        </r>
      </text>
    </comment>
    <comment ref="F13" authorId="0" shapeId="0">
      <text>
        <r>
          <rPr>
            <b/>
            <sz val="9"/>
            <color indexed="81"/>
            <rFont val="Tahoma"/>
            <family val="2"/>
          </rPr>
          <t>Author:</t>
        </r>
        <r>
          <rPr>
            <sz val="9"/>
            <color indexed="81"/>
            <rFont val="Tahoma"/>
            <family val="2"/>
          </rPr>
          <t xml:space="preserve">
Pre-pay at any time (2 days notice) subject to call premium's:
&lt;3yr = 115 + make whole
&gt;3 &amp; &lt;4yr = 115
4yr &amp; &lt;5y = 107.5
&gt;5yr = 100</t>
        </r>
      </text>
    </comment>
    <comment ref="AD13" authorId="0" shapeId="0">
      <text>
        <r>
          <rPr>
            <b/>
            <sz val="9"/>
            <color indexed="81"/>
            <rFont val="Tahoma"/>
            <family val="2"/>
          </rPr>
          <t>Author:</t>
        </r>
        <r>
          <rPr>
            <sz val="9"/>
            <color indexed="81"/>
            <rFont val="Tahoma"/>
            <family val="2"/>
          </rPr>
          <t xml:space="preserve">
Estimate 3-4 notches lower?</t>
        </r>
      </text>
    </comment>
    <comment ref="F14" authorId="0" shapeId="0">
      <text>
        <r>
          <rPr>
            <b/>
            <sz val="9"/>
            <color indexed="81"/>
            <rFont val="Tahoma"/>
            <family val="2"/>
          </rPr>
          <t>Prepay at any time with prepayment premium</t>
        </r>
      </text>
    </comment>
    <comment ref="AA15" authorId="0" shapeId="0">
      <text>
        <r>
          <rPr>
            <b/>
            <sz val="9"/>
            <color indexed="81"/>
            <rFont val="Tahoma"/>
            <family val="2"/>
          </rPr>
          <t>Tentative rating
B high credit estimate CFR, implied 1st lien BB mid</t>
        </r>
      </text>
    </comment>
    <comment ref="AA16" authorId="0" shapeId="0">
      <text>
        <r>
          <rPr>
            <b/>
            <sz val="9"/>
            <color indexed="81"/>
            <rFont val="Tahoma"/>
            <family val="2"/>
          </rPr>
          <t>Tentative rating
B high CFR from DBRS
B mid implied rating on 2nd lien</t>
        </r>
      </text>
    </comment>
    <comment ref="AA17" authorId="0" shapeId="0">
      <text>
        <r>
          <rPr>
            <b/>
            <sz val="9"/>
            <color indexed="81"/>
            <rFont val="Tahoma"/>
            <family val="2"/>
          </rPr>
          <t>Tentative rating
B high credit estimate CFR, implied 1st lien BB mid</t>
        </r>
      </text>
    </comment>
    <comment ref="F22" authorId="0" shapeId="0">
      <text>
        <r>
          <rPr>
            <b/>
            <sz val="9"/>
            <color indexed="81"/>
            <rFont val="Tahoma"/>
            <family val="2"/>
          </rPr>
          <t>Prepayable at any time given 3 days notice</t>
        </r>
      </text>
    </comment>
    <comment ref="AA22" authorId="0" shapeId="0">
      <text>
        <r>
          <rPr>
            <b/>
            <sz val="9"/>
            <color indexed="81"/>
            <rFont val="Tahoma"/>
            <family val="2"/>
          </rPr>
          <t>Author:</t>
        </r>
        <r>
          <rPr>
            <sz val="9"/>
            <color indexed="81"/>
            <rFont val="Tahoma"/>
            <family val="2"/>
          </rPr>
          <t xml:space="preserve">
Assumed rating for now. Expected to get DBRS B shadow rating.</t>
        </r>
      </text>
    </comment>
    <comment ref="F23" authorId="0" shapeId="0">
      <text>
        <r>
          <rPr>
            <b/>
            <sz val="9"/>
            <color indexed="81"/>
            <rFont val="Tahoma"/>
            <family val="2"/>
          </rPr>
          <t>Prepayable at any time given 3 days notice</t>
        </r>
      </text>
    </comment>
    <comment ref="AA23" authorId="0" shapeId="0">
      <text>
        <r>
          <rPr>
            <b/>
            <sz val="9"/>
            <color indexed="81"/>
            <rFont val="Tahoma"/>
            <family val="2"/>
          </rPr>
          <t>Author:</t>
        </r>
        <r>
          <rPr>
            <sz val="9"/>
            <color indexed="81"/>
            <rFont val="Tahoma"/>
            <family val="2"/>
          </rPr>
          <t xml:space="preserve">
Assumed rating for now. Expected to get DBRS B shadow rating.</t>
        </r>
      </text>
    </comment>
    <comment ref="T25" authorId="0" shapeId="0">
      <text>
        <r>
          <rPr>
            <b/>
            <sz val="9"/>
            <color indexed="81"/>
            <rFont val="Tahoma"/>
            <family val="2"/>
          </rPr>
          <t>Author:</t>
        </r>
        <r>
          <rPr>
            <sz val="9"/>
            <color indexed="81"/>
            <rFont val="Tahoma"/>
            <family val="2"/>
          </rPr>
          <t xml:space="preserve">
9% if PIK elected</t>
        </r>
      </text>
    </comment>
    <comment ref="AT25" authorId="0" shapeId="0">
      <text>
        <r>
          <rPr>
            <b/>
            <sz val="9"/>
            <color indexed="81"/>
            <rFont val="Tahoma"/>
            <family val="2"/>
          </rPr>
          <t>Author:</t>
        </r>
        <r>
          <rPr>
            <sz val="9"/>
            <color indexed="81"/>
            <rFont val="Tahoma"/>
            <family val="2"/>
          </rPr>
          <t xml:space="preserve">
Updated for 12/2015</t>
        </r>
      </text>
    </comment>
    <comment ref="F26" authorId="0" shapeId="0">
      <text>
        <r>
          <rPr>
            <b/>
            <sz val="9"/>
            <color indexed="81"/>
            <rFont val="Tahoma"/>
            <family val="2"/>
          </rPr>
          <t>Author:</t>
        </r>
        <r>
          <rPr>
            <sz val="9"/>
            <color indexed="81"/>
            <rFont val="Tahoma"/>
            <family val="2"/>
          </rPr>
          <t xml:space="preserve">
any prepayment of Term Loans pursuant to Section 2.10(a), clause (b) of the definition of “Net Proceeds” or clause (c) of the definition of “Net Proceeds”, as applicable, (x) on or prior to the first anniversary of the Closing Date, shall be accompanied by a prepayment premium equal to the Applicable Premium as of the prepayment
date for the ratable account of each of the Lenders, (y) </t>
        </r>
        <r>
          <rPr>
            <b/>
            <sz val="9"/>
            <color indexed="81"/>
            <rFont val="Tahoma"/>
            <family val="2"/>
          </rPr>
          <t>after the first year anniversary but on or prior to
the second anniversary of the Closing Date, shall be accompanied by a prepayment premium equal to
3.00% of the aggregate principal amount</t>
        </r>
        <r>
          <rPr>
            <sz val="9"/>
            <color indexed="81"/>
            <rFont val="Tahoma"/>
            <family val="2"/>
          </rPr>
          <t xml:space="preserve"> of the Term Loans so prepaid for the ratable account of each of
the Lenders and (z) </t>
        </r>
        <r>
          <rPr>
            <b/>
            <sz val="9"/>
            <color indexed="81"/>
            <rFont val="Tahoma"/>
            <family val="2"/>
          </rPr>
          <t>after the second year anniversary of the Closing Date and on or prior to the third
anniversary of the Closing Date, shall be accompanied by a prepayment premium equal to 1.50% of the aggregate principal amount</t>
        </r>
        <r>
          <rPr>
            <sz val="9"/>
            <color indexed="81"/>
            <rFont val="Tahoma"/>
            <family val="2"/>
          </rPr>
          <t xml:space="preserve"> of the Term Loans so prepaid for the ratable account of each of the Lenders; provided, that if the Borrower prepays all or any portion of the Term Loans pursuant to Section 2.10(a) on</t>
        </r>
      </text>
    </comment>
    <comment ref="AA26" authorId="0" shapeId="0">
      <text>
        <r>
          <rPr>
            <b/>
            <sz val="9"/>
            <color indexed="81"/>
            <rFont val="Tahoma"/>
            <family val="2"/>
          </rPr>
          <t>Author:</t>
        </r>
        <r>
          <rPr>
            <sz val="9"/>
            <color indexed="81"/>
            <rFont val="Tahoma"/>
            <family val="2"/>
          </rPr>
          <t xml:space="preserve">
Assumed rating for now. Expected to get DBRS B shadow rating.</t>
        </r>
      </text>
    </comment>
    <comment ref="AA27" authorId="0" shapeId="0">
      <text>
        <r>
          <rPr>
            <b/>
            <sz val="9"/>
            <color indexed="81"/>
            <rFont val="Tahoma"/>
            <family val="2"/>
          </rPr>
          <t>Author:</t>
        </r>
        <r>
          <rPr>
            <sz val="9"/>
            <color indexed="81"/>
            <rFont val="Tahoma"/>
            <family val="2"/>
          </rPr>
          <t xml:space="preserve">
Assumed rating for now. Expected to get DBRS B shadow rating.</t>
        </r>
      </text>
    </comment>
    <comment ref="F28" authorId="0" shapeId="0">
      <text>
        <r>
          <rPr>
            <b/>
            <sz val="9"/>
            <color indexed="81"/>
            <rFont val="Tahoma"/>
            <family val="2"/>
          </rPr>
          <t>Author:</t>
        </r>
        <r>
          <rPr>
            <sz val="9"/>
            <color indexed="81"/>
            <rFont val="Tahoma"/>
            <family val="2"/>
          </rPr>
          <t xml:space="preserve">
any prepayment of Term Loans pursuant to Section 2.10(a), clause (b) of the definition of “Net Proceeds” or clause (c) of the definition of “Net Proceeds”, as applicable, (x) on or prior to the first anniversary of the Closing Date, shall be accompanied by a prepayment premium equal to the Applicable Premium as of the prepayment
date for the ratable account of each of the Lenders, (y) </t>
        </r>
        <r>
          <rPr>
            <b/>
            <sz val="9"/>
            <color indexed="81"/>
            <rFont val="Tahoma"/>
            <family val="2"/>
          </rPr>
          <t>after the first year anniversary but on or prior to
the second anniversary of the Closing Date, shall be accompanied by a prepayment premium equal to
3.00% of the aggregate principal amount</t>
        </r>
        <r>
          <rPr>
            <sz val="9"/>
            <color indexed="81"/>
            <rFont val="Tahoma"/>
            <family val="2"/>
          </rPr>
          <t xml:space="preserve"> of the Term Loans so prepaid for the ratable account of each of
the Lenders and (z) </t>
        </r>
        <r>
          <rPr>
            <b/>
            <sz val="9"/>
            <color indexed="81"/>
            <rFont val="Tahoma"/>
            <family val="2"/>
          </rPr>
          <t>after the second year anniversary of the Closing Date and on or prior to the third
anniversary of the Closing Date, shall be accompanied by a prepayment premium equal to 1.50% of the aggregate principal amount</t>
        </r>
        <r>
          <rPr>
            <sz val="9"/>
            <color indexed="81"/>
            <rFont val="Tahoma"/>
            <family val="2"/>
          </rPr>
          <t xml:space="preserve"> of the Term Loans so prepaid for the ratable account of each of the Lenders; provided, that if the Borrower prepays all or any portion of the Term Loans pursuant to Section 2.10(a) on</t>
        </r>
      </text>
    </comment>
    <comment ref="AA28" authorId="0" shapeId="0">
      <text>
        <r>
          <rPr>
            <b/>
            <sz val="9"/>
            <color indexed="81"/>
            <rFont val="Tahoma"/>
            <family val="2"/>
          </rPr>
          <t>Author:</t>
        </r>
        <r>
          <rPr>
            <sz val="9"/>
            <color indexed="81"/>
            <rFont val="Tahoma"/>
            <family val="2"/>
          </rPr>
          <t xml:space="preserve">
Assumed rating for now. Expected to get DBRS B shadow rating.</t>
        </r>
      </text>
    </comment>
    <comment ref="AS34" authorId="0" shapeId="0">
      <text>
        <r>
          <rPr>
            <b/>
            <sz val="9"/>
            <color indexed="81"/>
            <rFont val="Tahoma"/>
            <family val="2"/>
          </rPr>
          <t xml:space="preserve">Zac Wininger:
</t>
        </r>
        <r>
          <rPr>
            <sz val="9"/>
            <color indexed="81"/>
            <rFont val="Tahoma"/>
            <family val="2"/>
          </rPr>
          <t>The logic behind using the JPM Leveraged Loan Food and Beverage Index for NVA Holdings instead of the JPM Leveraged Loan B Index is that we believe that the B-rated index does not accurately reflect the spread for NVA Holdings, particularly because this index includes energy and mining which have seen greatly increased spreads as of recently. The thought behind using the Food and Beverage Index instead is that much like food and beverages, veterinary visits are a nondiscretionary item for which spending is not significantly affected by downturns in the economy.</t>
        </r>
      </text>
    </comment>
    <comment ref="AC36" authorId="0" shapeId="0">
      <text>
        <r>
          <rPr>
            <b/>
            <sz val="9"/>
            <color indexed="81"/>
            <rFont val="Tahoma"/>
            <family val="2"/>
          </rPr>
          <t>Author:</t>
        </r>
        <r>
          <rPr>
            <sz val="9"/>
            <color indexed="81"/>
            <rFont val="Tahoma"/>
            <family val="2"/>
          </rPr>
          <t xml:space="preserve">
Egan Jones Rating</t>
        </r>
      </text>
    </comment>
    <comment ref="AQ40" authorId="0" shapeId="0">
      <text>
        <r>
          <rPr>
            <b/>
            <sz val="9"/>
            <color indexed="81"/>
            <rFont val="Tahoma"/>
            <family val="2"/>
          </rPr>
          <t>Author:</t>
        </r>
        <r>
          <rPr>
            <sz val="9"/>
            <color indexed="81"/>
            <rFont val="Tahoma"/>
            <family val="2"/>
          </rPr>
          <t xml:space="preserve">
1% LIBOR Floor</t>
        </r>
      </text>
    </comment>
  </commentList>
</comments>
</file>

<file path=xl/comments3.xml><?xml version="1.0" encoding="utf-8"?>
<comments xmlns="http://schemas.openxmlformats.org/spreadsheetml/2006/main">
  <authors>
    <author>Author</author>
  </authors>
  <commentList>
    <comment ref="Q2" authorId="0" shapeId="0">
      <text>
        <r>
          <rPr>
            <sz val="9"/>
            <color indexed="81"/>
            <rFont val="Tahoma"/>
            <family val="2"/>
          </rPr>
          <t>Yankee Term Loan All-In Rate
BL1906819</t>
        </r>
      </text>
    </comment>
    <comment ref="Q16" authorId="0" shapeId="0">
      <text>
        <r>
          <rPr>
            <sz val="9"/>
            <color indexed="81"/>
            <rFont val="Tahoma"/>
            <family val="2"/>
          </rPr>
          <t>Yankee Term Loan All-In Rate
BL1906819</t>
        </r>
      </text>
    </comment>
  </commentList>
</comments>
</file>

<file path=xl/sharedStrings.xml><?xml version="1.0" encoding="utf-8"?>
<sst xmlns="http://schemas.openxmlformats.org/spreadsheetml/2006/main" count="925" uniqueCount="250">
  <si>
    <t>Issuer</t>
  </si>
  <si>
    <t>Cusip</t>
  </si>
  <si>
    <t>Maturity</t>
  </si>
  <si>
    <t>Coupon</t>
  </si>
  <si>
    <t>Face</t>
  </si>
  <si>
    <t>Frequency</t>
  </si>
  <si>
    <t>Description</t>
  </si>
  <si>
    <t>Moodys</t>
  </si>
  <si>
    <t>S&amp;P</t>
  </si>
  <si>
    <t>Fitch</t>
  </si>
  <si>
    <t>AM Best</t>
  </si>
  <si>
    <t>Issue Size</t>
  </si>
  <si>
    <t>Duration</t>
  </si>
  <si>
    <t>IFSR</t>
  </si>
  <si>
    <t>BBB</t>
  </si>
  <si>
    <t>Surplus Notes</t>
  </si>
  <si>
    <t>BB+</t>
  </si>
  <si>
    <t>Outlook</t>
  </si>
  <si>
    <t>+</t>
  </si>
  <si>
    <t>Baa2</t>
  </si>
  <si>
    <t>stable</t>
  </si>
  <si>
    <t>Ba1</t>
  </si>
  <si>
    <t>A-</t>
  </si>
  <si>
    <t>Stable</t>
  </si>
  <si>
    <t>bbb</t>
  </si>
  <si>
    <t>NR</t>
  </si>
  <si>
    <t>NAIC</t>
  </si>
  <si>
    <t>2Z</t>
  </si>
  <si>
    <t>AMB</t>
  </si>
  <si>
    <t>Comps</t>
  </si>
  <si>
    <t>Pacific Life Insurance Company</t>
  </si>
  <si>
    <t>Surplus Note</t>
  </si>
  <si>
    <t>694475AA2</t>
  </si>
  <si>
    <t>A3</t>
  </si>
  <si>
    <t xml:space="preserve">a </t>
  </si>
  <si>
    <t>National Life Insurance Company of Vermont</t>
  </si>
  <si>
    <t>636792AA1</t>
  </si>
  <si>
    <t>Baa1</t>
  </si>
  <si>
    <t>BBB+</t>
  </si>
  <si>
    <t>a-</t>
  </si>
  <si>
    <t>Jackson Life Insurance Company</t>
  </si>
  <si>
    <t>468502AA7</t>
  </si>
  <si>
    <t>A+</t>
  </si>
  <si>
    <t>a</t>
  </si>
  <si>
    <t>Mutual of Omaha Insurance Company</t>
  </si>
  <si>
    <t>628312AA8</t>
  </si>
  <si>
    <t>Ohio National Insurance Company</t>
  </si>
  <si>
    <t>677412AF5</t>
  </si>
  <si>
    <t>A</t>
  </si>
  <si>
    <t>Liberty Mutual Insurance Company</t>
  </si>
  <si>
    <t>53079QAC1</t>
  </si>
  <si>
    <t>bbb+</t>
  </si>
  <si>
    <t>Guardian Life Insurance Company</t>
  </si>
  <si>
    <t>Mass Mutual Life Insurance Company</t>
  </si>
  <si>
    <t>Northwestern Mutual Life Insurance Company</t>
  </si>
  <si>
    <t>NY Life Insurance Company</t>
  </si>
  <si>
    <t>64952GAF5</t>
  </si>
  <si>
    <t>Aa2</t>
  </si>
  <si>
    <t>AA-</t>
  </si>
  <si>
    <t>AA</t>
  </si>
  <si>
    <t>aa</t>
  </si>
  <si>
    <t>668131AA3</t>
  </si>
  <si>
    <t>575767AJ7</t>
  </si>
  <si>
    <t>A1</t>
  </si>
  <si>
    <t>aa-</t>
  </si>
  <si>
    <t>401378AA2</t>
  </si>
  <si>
    <t>UST</t>
  </si>
  <si>
    <t>T 6.125 11/15/2027</t>
  </si>
  <si>
    <t>yld ytm ask</t>
  </si>
  <si>
    <t>T 3 11/15/44</t>
  </si>
  <si>
    <t>T 6.5 11/15/26</t>
  </si>
  <si>
    <t>T 6.125 11/15/27</t>
  </si>
  <si>
    <t>Quality</t>
  </si>
  <si>
    <t>Liquidity</t>
  </si>
  <si>
    <t>Beta</t>
  </si>
  <si>
    <t>Mkt Yld</t>
  </si>
  <si>
    <t>Price</t>
  </si>
  <si>
    <t>Valuation Date</t>
  </si>
  <si>
    <t>spread</t>
  </si>
  <si>
    <t>bbb-</t>
  </si>
  <si>
    <t>2FE</t>
  </si>
  <si>
    <t>Sr Notes</t>
  </si>
  <si>
    <t>Fairfax US Inc</t>
  </si>
  <si>
    <t>Sr Note</t>
  </si>
  <si>
    <t>304071AA1</t>
  </si>
  <si>
    <t>Baa3</t>
  </si>
  <si>
    <t>BBB-</t>
  </si>
  <si>
    <t>T 2.375 8/15/24</t>
  </si>
  <si>
    <t>Hanover Insurance Group</t>
  </si>
  <si>
    <t>410867AD7</t>
  </si>
  <si>
    <t xml:space="preserve">bbb  </t>
  </si>
  <si>
    <t>T 2.125 6/30/2021</t>
  </si>
  <si>
    <t>OneBeacon US Holdings Insurance Company</t>
  </si>
  <si>
    <t>68245JAB6</t>
  </si>
  <si>
    <t>T 1.625 11/15/22</t>
  </si>
  <si>
    <t>Kemper Corp</t>
  </si>
  <si>
    <t>488401AB6</t>
  </si>
  <si>
    <t>T 2 2/15/2025</t>
  </si>
  <si>
    <t>T 2.5 5/15/24</t>
  </si>
  <si>
    <t>KBRA</t>
  </si>
  <si>
    <t>px last</t>
  </si>
  <si>
    <t>B++</t>
  </si>
  <si>
    <t>LTCR</t>
  </si>
  <si>
    <t xml:space="preserve">Day </t>
  </si>
  <si>
    <t xml:space="preserve">Effective </t>
  </si>
  <si>
    <t>Call Date</t>
  </si>
  <si>
    <t>Count</t>
  </si>
  <si>
    <t>NC</t>
  </si>
  <si>
    <t>Ticker</t>
  </si>
  <si>
    <t>LTV</t>
  </si>
  <si>
    <t>Commitment</t>
  </si>
  <si>
    <t>Fund Size</t>
  </si>
  <si>
    <t>Leverage</t>
  </si>
  <si>
    <t>BAML BBB US Insurance &amp; Finl Services Index</t>
  </si>
  <si>
    <t>UST Mnemonic</t>
  </si>
  <si>
    <t>B</t>
  </si>
  <si>
    <t>bb+</t>
  </si>
  <si>
    <t>3FE</t>
  </si>
  <si>
    <t>BAML BB US HY Index</t>
  </si>
  <si>
    <t>H0A1</t>
  </si>
  <si>
    <t>BB</t>
  </si>
  <si>
    <t>T 2.75 11/15/23</t>
  </si>
  <si>
    <t>T 2.75 2/15/24</t>
  </si>
  <si>
    <t>T 2 2/15/25</t>
  </si>
  <si>
    <t>T 2 2/15/23</t>
  </si>
  <si>
    <t xml:space="preserve">Fixed </t>
  </si>
  <si>
    <t>Float Base</t>
  </si>
  <si>
    <t>Effective</t>
  </si>
  <si>
    <t>Effect</t>
  </si>
  <si>
    <t>Eff</t>
  </si>
  <si>
    <t>NC Index</t>
  </si>
  <si>
    <t>NC Index Mnemonic</t>
  </si>
  <si>
    <t>Call Index</t>
  </si>
  <si>
    <t>Call Index Mnemonic</t>
  </si>
  <si>
    <t>Mkt Price</t>
  </si>
  <si>
    <t>US0003M</t>
  </si>
  <si>
    <t>Float</t>
  </si>
  <si>
    <t>Spread</t>
  </si>
  <si>
    <t>Index</t>
  </si>
  <si>
    <t>Rate</t>
  </si>
  <si>
    <t>Issue</t>
  </si>
  <si>
    <t>Date</t>
  </si>
  <si>
    <t xml:space="preserve">Total Fixed </t>
  </si>
  <si>
    <t>Total Float</t>
  </si>
  <si>
    <t>B2</t>
  </si>
  <si>
    <t>H0A2</t>
  </si>
  <si>
    <t>Day</t>
  </si>
  <si>
    <t>Aa1</t>
  </si>
  <si>
    <t>1FE</t>
  </si>
  <si>
    <t>T 2.75 11/15/2023</t>
  </si>
  <si>
    <t>T 2.25 11/15/2024</t>
  </si>
  <si>
    <t>T 6.5 11/15/2026</t>
  </si>
  <si>
    <t>T 6 2/15/2026</t>
  </si>
  <si>
    <t>CF09</t>
  </si>
  <si>
    <t>BAML 10+ Yr US Financials Index</t>
  </si>
  <si>
    <t>3Z</t>
  </si>
  <si>
    <t>Associa - Eurodollar Rate</t>
  </si>
  <si>
    <t>Associa - Base Rate</t>
  </si>
  <si>
    <t>fdfd</t>
  </si>
  <si>
    <t>Stated Rate</t>
  </si>
  <si>
    <t>prime</t>
  </si>
  <si>
    <t>T 2.375 12/31/2020</t>
  </si>
  <si>
    <t>US0001M</t>
  </si>
  <si>
    <t xml:space="preserve"> </t>
  </si>
  <si>
    <t>BAML BBB US Industrials Index</t>
  </si>
  <si>
    <t>C0D4</t>
  </si>
  <si>
    <t>DBRS</t>
  </si>
  <si>
    <t>Leveraged Loan Index</t>
  </si>
  <si>
    <t>Split-BBB</t>
  </si>
  <si>
    <t>Split-BB</t>
  </si>
  <si>
    <t>Split-B/CCC</t>
  </si>
  <si>
    <t>JPM Leveraged Loan Index</t>
  </si>
  <si>
    <t>JPM Leveraged Loan Index Split-B/CCC</t>
  </si>
  <si>
    <t>JPM Leveraged Loan Index NR</t>
  </si>
  <si>
    <t>JPM Leveraged Loan Index B</t>
  </si>
  <si>
    <t>JPM Leveraged Loan Index BB</t>
  </si>
  <si>
    <t>YLD_YTM_ASK</t>
  </si>
  <si>
    <t>Index 1</t>
  </si>
  <si>
    <t>Index 2</t>
  </si>
  <si>
    <t>BAML AAA Index</t>
  </si>
  <si>
    <t>C0A1</t>
  </si>
  <si>
    <t>Govt OAS</t>
  </si>
  <si>
    <t>BAML AA Index</t>
  </si>
  <si>
    <t>C0A2</t>
  </si>
  <si>
    <t>BAML A Index</t>
  </si>
  <si>
    <t>C0A3</t>
  </si>
  <si>
    <t>BAML BBB Index</t>
  </si>
  <si>
    <t>C0A4</t>
  </si>
  <si>
    <t>BAML BB Index</t>
  </si>
  <si>
    <t>BAML B Index</t>
  </si>
  <si>
    <t>BAML CCC Index</t>
  </si>
  <si>
    <t>Liquidity Premium</t>
  </si>
  <si>
    <t>C0J4</t>
  </si>
  <si>
    <t>Beta Index</t>
  </si>
  <si>
    <t>T 1 12/15/17</t>
  </si>
  <si>
    <t>US0003M Index</t>
  </si>
  <si>
    <t>BAML CCC HY Index</t>
  </si>
  <si>
    <t>Bank Loans</t>
  </si>
  <si>
    <t>Bonds/Securities</t>
  </si>
  <si>
    <t>BAML Index</t>
  </si>
  <si>
    <t>INACTIVE</t>
  </si>
  <si>
    <t>LIBOR Date</t>
  </si>
  <si>
    <t>Rating Agency</t>
  </si>
  <si>
    <t>Prior Month</t>
  </si>
  <si>
    <t>B-</t>
  </si>
  <si>
    <t>B+</t>
  </si>
  <si>
    <t>Call Price</t>
  </si>
  <si>
    <t>Call Schedule</t>
  </si>
  <si>
    <t>Current Call Price</t>
  </si>
  <si>
    <t>Kroll</t>
  </si>
  <si>
    <t>JPM Leveraged Loan Index BBB</t>
  </si>
  <si>
    <t>BAML B HY Index</t>
  </si>
  <si>
    <t>Float Rate</t>
  </si>
  <si>
    <t>BAML CCC Index (less Energy and Basic Consumer)</t>
  </si>
  <si>
    <t>H0A3</t>
  </si>
  <si>
    <t>H0A3-ExEnergy</t>
  </si>
  <si>
    <t>Liquidity Cap ---&gt;</t>
  </si>
  <si>
    <t>B1</t>
  </si>
  <si>
    <t>JPM Leveraged Loan Index Food and Beverage</t>
  </si>
  <si>
    <t>Model Inputs</t>
  </si>
  <si>
    <t>Valuation Date:</t>
  </si>
  <si>
    <t>LIBOR Date:</t>
  </si>
  <si>
    <t>Thomson Reuters Liquidity Premium (bps):</t>
  </si>
  <si>
    <t>BAML CCC Index (Retail Only)</t>
  </si>
  <si>
    <t>H0A3-Retail</t>
  </si>
  <si>
    <t>CUSIP</t>
  </si>
  <si>
    <t>B3</t>
  </si>
  <si>
    <t>Borrower</t>
  </si>
  <si>
    <t>Lender (1)</t>
  </si>
  <si>
    <t>Lender (2)</t>
  </si>
  <si>
    <t>Issue Date</t>
  </si>
  <si>
    <t>Spread (bps)</t>
  </si>
  <si>
    <t>Date Override</t>
  </si>
  <si>
    <t>Liquidity Override</t>
  </si>
  <si>
    <t>Fixed</t>
  </si>
  <si>
    <t>Final Price</t>
  </si>
  <si>
    <t>BofA Merrill Lynch BB US High Yield Index</t>
  </si>
  <si>
    <t>BofA Merrill Lynch BBB US Corporate Index</t>
  </si>
  <si>
    <t>BofA Merrill Lynch Single-A US Corporate Index</t>
  </si>
  <si>
    <t>T .75 10/31/17</t>
  </si>
  <si>
    <t>B 0 9/8/16</t>
  </si>
  <si>
    <t>B 0 11/25/16</t>
  </si>
  <si>
    <t>BAML B Index (Air Transportation Only)</t>
  </si>
  <si>
    <t>BAML B Index (Retail Only)</t>
  </si>
  <si>
    <t>H0A2-Retail</t>
  </si>
  <si>
    <t>H0A2-Air Transporation</t>
  </si>
  <si>
    <t>JPM Mark</t>
  </si>
  <si>
    <t>Prior</t>
  </si>
  <si>
    <t>Eurodollar Rate</t>
  </si>
  <si>
    <t>Base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</si>
</sst>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_);_(* \(#,##0\);_(* &quot;-&quot;??_);_(@_)"/>
    <numFmt numFmtId="165" formatCode="mm/dd/yy;@"/>
    <numFmt numFmtId="168" formatCode="m/d/yyyy;@"/>
    <numFmt numFmtId="169" formatCode="0.000%"/>
    <numFmt numFmtId="170" formatCode="#,##0.00_);\(#,##0.00\);\-_)"/>
    <numFmt numFmtId="171" formatCode="&quot;Year&quot;\ General"/>
    <numFmt numFmtId="172" formatCode="&quot;$&quot;#,##0.00"/>
  </numFmts>
  <fonts count="33"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rgb="FF0070C0"/>
      <name val="Calibri"/>
      <family val="2"/>
      <scheme val="minor"/>
    </font>
    <font>
      <sz val="11"/>
      <name val="Calibri"/>
      <family val="2"/>
      <scheme val="minor"/>
    </font>
    <font>
      <b/>
      <sz val="11"/>
      <color rgb="FF00B050"/>
      <name val="Calibri"/>
      <family val="2"/>
      <scheme val="minor"/>
    </font>
    <font>
      <sz val="11"/>
      <color rgb="FF00B050"/>
      <name val="Calibri"/>
      <family val="2"/>
      <scheme val="minor"/>
    </font>
    <font>
      <sz val="11"/>
      <color rgb="FF0070C0"/>
      <name val="Calibri"/>
      <family val="2"/>
      <scheme val="minor"/>
    </font>
    <font>
      <b/>
      <sz val="11"/>
      <color rgb="FFFFFFFF"/>
      <name val="Calibri"/>
      <family val="2"/>
      <scheme val="minor"/>
    </font>
    <font>
      <b/>
      <sz val="12"/>
      <color rgb="FFFFFFFF"/>
      <name val="Calibri"/>
      <family val="2"/>
      <scheme val="minor"/>
    </font>
    <font>
      <sz val="11"/>
      <color rgb="FFFFFFFF"/>
      <name val="Calibri"/>
      <family val="2"/>
      <scheme val="minor"/>
    </font>
    <font>
      <sz val="11"/>
      <color theme="9"/>
      <name val="Calibri"/>
      <family val="2"/>
      <scheme val="minor"/>
    </font>
    <font>
      <sz val="11"/>
      <color rgb="FFF79646"/>
      <name val="Calibri"/>
      <family val="2"/>
      <scheme val="minor"/>
    </font>
    <font>
      <sz val="11"/>
      <color rgb="FFFF0000"/>
      <name val="Calibri"/>
      <family val="2"/>
      <scheme val="minor"/>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s>
  <fills count="37">
    <fill>
      <patternFill patternType="none"/>
    </fill>
    <fill>
      <patternFill patternType="gray125"/>
    </fill>
    <fill>
      <patternFill patternType="solid">
        <fgColor theme="1"/>
        <bgColor indexed="64"/>
      </patternFill>
    </fill>
    <fill>
      <patternFill patternType="solid">
        <fgColor rgb="FF004165"/>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bottom/>
      <diagonal/>
    </border>
    <border>
      <left/>
      <right style="thick">
        <color auto="1"/>
      </right>
      <top/>
      <bottom/>
      <diagonal/>
    </border>
    <border>
      <left/>
      <right/>
      <top/>
      <bottom style="thick">
        <color auto="1"/>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8" borderId="12" applyNumberFormat="0" applyAlignment="0" applyProtection="0"/>
    <xf numFmtId="0" fontId="25" fillId="9" borderId="13" applyNumberFormat="0" applyAlignment="0" applyProtection="0"/>
    <xf numFmtId="0" fontId="26" fillId="9" borderId="12" applyNumberFormat="0" applyAlignment="0" applyProtection="0"/>
    <xf numFmtId="0" fontId="27" fillId="0" borderId="14" applyNumberFormat="0" applyFill="0" applyAlignment="0" applyProtection="0"/>
    <xf numFmtId="0" fontId="28" fillId="10" borderId="15" applyNumberFormat="0" applyAlignment="0" applyProtection="0"/>
    <xf numFmtId="0" fontId="15" fillId="0" borderId="0" applyNumberFormat="0" applyFill="0" applyBorder="0" applyAlignment="0" applyProtection="0"/>
    <xf numFmtId="0" fontId="1" fillId="11" borderId="16" applyNumberFormat="0" applyFont="0" applyAlignment="0" applyProtection="0"/>
    <xf numFmtId="0" fontId="29" fillId="0" borderId="0" applyNumberFormat="0" applyFill="0" applyBorder="0" applyAlignment="0" applyProtection="0"/>
    <xf numFmtId="0" fontId="4" fillId="0" borderId="17"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0" fillId="35" borderId="0" applyNumberFormat="0" applyBorder="0" applyAlignment="0" applyProtection="0"/>
    <xf numFmtId="0" fontId="31" fillId="0" borderId="0"/>
    <xf numFmtId="43" fontId="31" fillId="0" borderId="0" applyFont="0" applyFill="0" applyBorder="0" applyAlignment="0" applyProtection="0"/>
    <xf numFmtId="0" fontId="31" fillId="0" borderId="0"/>
    <xf numFmtId="0" fontId="32" fillId="0" borderId="0"/>
  </cellStyleXfs>
  <cellXfs count="287">
    <xf numFmtId="0" fontId="0" fillId="0" borderId="0" xfId="0"/>
    <xf numFmtId="49" fontId="0" fillId="0" borderId="0" xfId="0" applyNumberFormat="1"/>
    <xf numFmtId="14" fontId="0" fillId="0" borderId="0" xfId="0" applyNumberFormat="1"/>
    <xf numFmtId="164" fontId="0" fillId="0" borderId="0" xfId="1" applyNumberFormat="1" applyFont="1"/>
    <xf numFmtId="165" fontId="0" fillId="0" borderId="0" xfId="0" applyNumberFormat="1"/>
    <xf numFmtId="43" fontId="0" fillId="0" borderId="0" xfId="1"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49" fontId="0" fillId="0" borderId="4" xfId="0" applyNumberFormat="1" applyBorder="1"/>
    <xf numFmtId="49" fontId="0" fillId="0" borderId="6" xfId="0" applyNumberFormat="1" applyFill="1" applyBorder="1"/>
    <xf numFmtId="0" fontId="0" fillId="0" borderId="7" xfId="0" applyBorder="1"/>
    <xf numFmtId="0" fontId="0" fillId="0" borderId="8" xfId="0" applyBorder="1"/>
    <xf numFmtId="0" fontId="0" fillId="0" borderId="6" xfId="0" applyFill="1" applyBorder="1" applyAlignment="1">
      <alignment horizontal="center"/>
    </xf>
    <xf numFmtId="1" fontId="0" fillId="0" borderId="0" xfId="0" applyNumberFormat="1"/>
    <xf numFmtId="14" fontId="0" fillId="0" borderId="0" xfId="1" applyNumberFormat="1" applyFont="1"/>
    <xf numFmtId="0" fontId="0" fillId="0" borderId="0" xfId="0" applyAlignment="1">
      <alignment horizontal="center"/>
    </xf>
    <xf numFmtId="0" fontId="0" fillId="0" borderId="7" xfId="0" applyBorder="1" applyAlignment="1">
      <alignment horizontal="center"/>
    </xf>
    <xf numFmtId="43" fontId="0" fillId="0" borderId="7" xfId="1" applyFont="1" applyBorder="1"/>
    <xf numFmtId="43" fontId="0" fillId="0" borderId="0" xfId="1" applyFont="1" applyAlignment="1">
      <alignment horizontal="center"/>
    </xf>
    <xf numFmtId="43" fontId="0" fillId="0" borderId="7" xfId="1" applyFont="1" applyBorder="1" applyAlignment="1">
      <alignment horizontal="center"/>
    </xf>
    <xf numFmtId="44" fontId="0" fillId="0" borderId="0" xfId="2" applyFont="1"/>
    <xf numFmtId="10" fontId="0" fillId="0" borderId="0" xfId="3" applyNumberFormat="1" applyFont="1"/>
    <xf numFmtId="43" fontId="0" fillId="0" borderId="0" xfId="0" applyNumberFormat="1"/>
    <xf numFmtId="0" fontId="0" fillId="0" borderId="0" xfId="0" applyFill="1"/>
    <xf numFmtId="164" fontId="0" fillId="0" borderId="7" xfId="1" applyNumberFormat="1" applyFont="1" applyBorder="1"/>
    <xf numFmtId="49" fontId="0" fillId="0" borderId="0" xfId="0" applyNumberFormat="1" applyFill="1"/>
    <xf numFmtId="0" fontId="6" fillId="0" borderId="0" xfId="0" applyFont="1" applyFill="1"/>
    <xf numFmtId="0" fontId="0" fillId="0" borderId="0" xfId="0" applyFill="1" applyBorder="1"/>
    <xf numFmtId="49" fontId="0" fillId="0" borderId="0" xfId="0" applyNumberFormat="1" applyBorder="1"/>
    <xf numFmtId="9" fontId="0" fillId="0" borderId="0" xfId="0" applyNumberFormat="1" applyBorder="1"/>
    <xf numFmtId="0" fontId="0" fillId="0" borderId="0" xfId="0" applyBorder="1"/>
    <xf numFmtId="10" fontId="0" fillId="0" borderId="0" xfId="0" applyNumberFormat="1" applyBorder="1"/>
    <xf numFmtId="43" fontId="0" fillId="0" borderId="0" xfId="1" applyFont="1" applyBorder="1" applyAlignment="1">
      <alignment horizontal="center"/>
    </xf>
    <xf numFmtId="43" fontId="0" fillId="0" borderId="0" xfId="1" applyFont="1" applyBorder="1"/>
    <xf numFmtId="164" fontId="0" fillId="0" borderId="0" xfId="1" applyNumberFormat="1" applyFont="1" applyBorder="1"/>
    <xf numFmtId="9" fontId="0" fillId="0" borderId="0" xfId="0" applyNumberFormat="1"/>
    <xf numFmtId="10" fontId="0" fillId="0" borderId="0" xfId="0" applyNumberFormat="1"/>
    <xf numFmtId="10" fontId="0" fillId="0" borderId="0" xfId="3" applyNumberFormat="1" applyFont="1" applyFill="1"/>
    <xf numFmtId="0" fontId="0" fillId="0" borderId="0" xfId="0" applyAlignment="1">
      <alignment horizontal="left"/>
    </xf>
    <xf numFmtId="164" fontId="0" fillId="0" borderId="0" xfId="1" applyNumberFormat="1" applyFont="1" applyAlignment="1">
      <alignment horizontal="left"/>
    </xf>
    <xf numFmtId="165" fontId="0" fillId="0" borderId="0" xfId="0" applyNumberFormat="1" applyAlignment="1">
      <alignment horizontal="left"/>
    </xf>
    <xf numFmtId="43" fontId="0" fillId="0" borderId="0" xfId="1" applyFont="1" applyAlignment="1">
      <alignment horizontal="left"/>
    </xf>
    <xf numFmtId="10" fontId="0" fillId="0" borderId="0" xfId="0" applyNumberFormat="1" applyAlignment="1">
      <alignment horizontal="left"/>
    </xf>
    <xf numFmtId="10" fontId="0" fillId="0" borderId="0" xfId="3" applyNumberFormat="1" applyFont="1" applyAlignment="1">
      <alignment horizontal="left"/>
    </xf>
    <xf numFmtId="44" fontId="0" fillId="0" borderId="0" xfId="2" applyFont="1" applyAlignment="1">
      <alignment horizontal="left"/>
    </xf>
    <xf numFmtId="10" fontId="0" fillId="0" borderId="7" xfId="0" applyNumberFormat="1" applyBorder="1"/>
    <xf numFmtId="44" fontId="0" fillId="0" borderId="7" xfId="2" applyFont="1" applyBorder="1"/>
    <xf numFmtId="0" fontId="0" fillId="0" borderId="0" xfId="0" applyBorder="1" applyAlignment="1">
      <alignment horizontal="left"/>
    </xf>
    <xf numFmtId="164" fontId="0" fillId="0" borderId="0" xfId="1" applyNumberFormat="1" applyFont="1" applyBorder="1" applyAlignment="1">
      <alignment horizontal="left"/>
    </xf>
    <xf numFmtId="1" fontId="7" fillId="0" borderId="0" xfId="0" applyNumberFormat="1" applyFont="1" applyFill="1"/>
    <xf numFmtId="43" fontId="8" fillId="0" borderId="0" xfId="0" applyNumberFormat="1" applyFont="1" applyBorder="1"/>
    <xf numFmtId="10" fontId="5" fillId="0" borderId="0" xfId="3" applyNumberFormat="1" applyFont="1" applyFill="1"/>
    <xf numFmtId="0" fontId="0" fillId="2" borderId="0" xfId="0" applyFill="1" applyAlignment="1"/>
    <xf numFmtId="0" fontId="0" fillId="0" borderId="0" xfId="0" applyAlignment="1"/>
    <xf numFmtId="14" fontId="4" fillId="0" borderId="0" xfId="0" applyNumberFormat="1" applyFont="1" applyAlignment="1"/>
    <xf numFmtId="0" fontId="4" fillId="0" borderId="0" xfId="0" applyFont="1" applyAlignment="1"/>
    <xf numFmtId="0" fontId="4" fillId="2" borderId="0" xfId="0" applyFont="1" applyFill="1" applyAlignment="1"/>
    <xf numFmtId="43" fontId="0" fillId="0" borderId="0" xfId="1" applyFont="1" applyAlignment="1"/>
    <xf numFmtId="43" fontId="0" fillId="0" borderId="0" xfId="0" applyNumberFormat="1" applyAlignment="1"/>
    <xf numFmtId="0" fontId="0" fillId="0" borderId="0" xfId="0"/>
    <xf numFmtId="0" fontId="0" fillId="0" borderId="0" xfId="0" applyBorder="1"/>
    <xf numFmtId="0" fontId="0" fillId="0" borderId="0" xfId="0" applyAlignment="1"/>
    <xf numFmtId="14" fontId="0" fillId="0" borderId="0" xfId="0" applyNumberFormat="1"/>
    <xf numFmtId="10" fontId="0" fillId="0" borderId="0" xfId="3" applyNumberFormat="1" applyFont="1"/>
    <xf numFmtId="43" fontId="0" fillId="0" borderId="0" xfId="0" applyNumberFormat="1"/>
    <xf numFmtId="165" fontId="0" fillId="0" borderId="0" xfId="0" applyNumberFormat="1" applyAlignment="1">
      <alignment horizontal="left"/>
    </xf>
    <xf numFmtId="0" fontId="0" fillId="0" borderId="0" xfId="0" applyAlignment="1">
      <alignment horizontal="left"/>
    </xf>
    <xf numFmtId="43" fontId="0" fillId="0" borderId="0" xfId="1" applyFont="1" applyAlignment="1">
      <alignment horizontal="left"/>
    </xf>
    <xf numFmtId="43" fontId="0" fillId="0" borderId="0" xfId="1" applyFont="1" applyAlignment="1">
      <alignment horizontal="left"/>
    </xf>
    <xf numFmtId="10" fontId="0" fillId="0" borderId="0" xfId="3" applyNumberFormat="1" applyFont="1" applyAlignment="1">
      <alignment horizontal="left"/>
    </xf>
    <xf numFmtId="44" fontId="0" fillId="0" borderId="0" xfId="2" applyFont="1" applyAlignment="1">
      <alignment horizontal="left"/>
    </xf>
    <xf numFmtId="164" fontId="6" fillId="0" borderId="0" xfId="1" applyNumberFormat="1" applyFont="1" applyFill="1" applyAlignment="1">
      <alignment horizontal="left"/>
    </xf>
    <xf numFmtId="0" fontId="0" fillId="0" borderId="0" xfId="0" applyFill="1" applyAlignment="1">
      <alignment horizontal="left"/>
    </xf>
    <xf numFmtId="165" fontId="0" fillId="0" borderId="0" xfId="0" applyNumberFormat="1" applyFill="1" applyAlignment="1">
      <alignment horizontal="left"/>
    </xf>
    <xf numFmtId="43" fontId="0" fillId="0" borderId="0" xfId="1" applyFont="1" applyFill="1" applyAlignment="1">
      <alignment horizontal="left"/>
    </xf>
    <xf numFmtId="10" fontId="0" fillId="0" borderId="0" xfId="3" applyNumberFormat="1" applyFont="1" applyFill="1" applyAlignment="1">
      <alignment horizontal="left"/>
    </xf>
    <xf numFmtId="44" fontId="0" fillId="0" borderId="0" xfId="2" applyFont="1" applyFill="1" applyAlignment="1">
      <alignment horizontal="left"/>
    </xf>
    <xf numFmtId="14" fontId="4" fillId="0" borderId="0" xfId="0" applyNumberFormat="1" applyFont="1" applyFill="1" applyAlignment="1"/>
    <xf numFmtId="0" fontId="0" fillId="0" borderId="0" xfId="0" applyFill="1" applyAlignment="1"/>
    <xf numFmtId="0" fontId="0" fillId="0" borderId="0" xfId="0"/>
    <xf numFmtId="0" fontId="0" fillId="0" borderId="0" xfId="0" applyAlignment="1">
      <alignment horizontal="center"/>
    </xf>
    <xf numFmtId="43" fontId="0" fillId="0" borderId="0" xfId="1" applyFont="1" applyAlignment="1">
      <alignment horizontal="center"/>
    </xf>
    <xf numFmtId="0" fontId="0" fillId="0" borderId="0" xfId="0" applyFill="1"/>
    <xf numFmtId="0" fontId="0" fillId="0" borderId="0" xfId="0" applyAlignment="1">
      <alignment horizontal="left"/>
    </xf>
    <xf numFmtId="43" fontId="0" fillId="0" borderId="0" xfId="1" applyFont="1" applyAlignment="1">
      <alignment horizontal="left"/>
    </xf>
    <xf numFmtId="10" fontId="0" fillId="0" borderId="0" xfId="0" applyNumberFormat="1" applyAlignment="1">
      <alignment horizontal="left"/>
    </xf>
    <xf numFmtId="0" fontId="0" fillId="0" borderId="0" xfId="0" applyFill="1" applyAlignment="1">
      <alignment horizontal="center"/>
    </xf>
    <xf numFmtId="164" fontId="7" fillId="0" borderId="0" xfId="0" applyNumberFormat="1" applyFont="1" applyFill="1"/>
    <xf numFmtId="43" fontId="6" fillId="0" borderId="0" xfId="0" applyNumberFormat="1" applyFont="1" applyBorder="1"/>
    <xf numFmtId="43" fontId="6" fillId="0" borderId="2" xfId="0" applyNumberFormat="1" applyFont="1" applyBorder="1"/>
    <xf numFmtId="0" fontId="4" fillId="0" borderId="0" xfId="0" applyFont="1" applyAlignment="1">
      <alignment horizontal="left"/>
    </xf>
    <xf numFmtId="164" fontId="4" fillId="0" borderId="0" xfId="1" applyNumberFormat="1" applyFont="1" applyAlignment="1">
      <alignment horizontal="left"/>
    </xf>
    <xf numFmtId="0" fontId="10" fillId="3" borderId="0" xfId="0" applyFont="1" applyFill="1" applyAlignment="1">
      <alignment horizontal="left"/>
    </xf>
    <xf numFmtId="49" fontId="10" fillId="3" borderId="0" xfId="0" applyNumberFormat="1" applyFont="1" applyFill="1" applyAlignment="1">
      <alignment horizontal="left"/>
    </xf>
    <xf numFmtId="0" fontId="9" fillId="0" borderId="0" xfId="0" applyFont="1" applyBorder="1" applyAlignment="1">
      <alignment horizontal="left"/>
    </xf>
    <xf numFmtId="49" fontId="9" fillId="0" borderId="0" xfId="0" applyNumberFormat="1" applyFont="1"/>
    <xf numFmtId="14" fontId="9" fillId="0" borderId="0" xfId="0" applyNumberFormat="1" applyFont="1" applyBorder="1" applyAlignment="1">
      <alignment horizontal="left"/>
    </xf>
    <xf numFmtId="0" fontId="9" fillId="0" borderId="0" xfId="0" applyFont="1" applyAlignment="1">
      <alignment horizontal="left"/>
    </xf>
    <xf numFmtId="165" fontId="9" fillId="0" borderId="0" xfId="0" applyNumberFormat="1" applyFont="1"/>
    <xf numFmtId="165" fontId="9" fillId="0" borderId="0" xfId="0" applyNumberFormat="1" applyFont="1" applyAlignment="1">
      <alignment horizontal="left"/>
    </xf>
    <xf numFmtId="0" fontId="9" fillId="0" borderId="0" xfId="0" applyFont="1" applyFill="1" applyAlignment="1">
      <alignment horizontal="left"/>
    </xf>
    <xf numFmtId="49" fontId="9" fillId="0" borderId="0" xfId="0" applyNumberFormat="1" applyFont="1" applyFill="1"/>
    <xf numFmtId="165" fontId="9" fillId="0" borderId="0" xfId="0" applyNumberFormat="1" applyFont="1" applyFill="1"/>
    <xf numFmtId="14" fontId="9" fillId="0" borderId="0" xfId="0" applyNumberFormat="1" applyFont="1"/>
    <xf numFmtId="43" fontId="9" fillId="0" borderId="0" xfId="0" applyNumberFormat="1" applyFont="1" applyFill="1"/>
    <xf numFmtId="43" fontId="9" fillId="0" borderId="0" xfId="0" applyNumberFormat="1" applyFont="1"/>
    <xf numFmtId="10" fontId="9" fillId="0" borderId="0" xfId="3" applyNumberFormat="1" applyFont="1"/>
    <xf numFmtId="43" fontId="9" fillId="0" borderId="0" xfId="1" applyFont="1" applyAlignment="1">
      <alignment horizontal="left"/>
    </xf>
    <xf numFmtId="43" fontId="9" fillId="0" borderId="0" xfId="1" applyFont="1" applyAlignment="1">
      <alignment horizontal="center"/>
    </xf>
    <xf numFmtId="0" fontId="9" fillId="0" borderId="0" xfId="0" applyFont="1" applyAlignment="1">
      <alignment horizontal="center"/>
    </xf>
    <xf numFmtId="0" fontId="9" fillId="0" borderId="0" xfId="0" applyFont="1"/>
    <xf numFmtId="169" fontId="9" fillId="0" borderId="0" xfId="3" applyNumberFormat="1" applyFont="1" applyFill="1"/>
    <xf numFmtId="43" fontId="9" fillId="0" borderId="0" xfId="1" applyFont="1" applyFill="1" applyAlignment="1">
      <alignment horizontal="left"/>
    </xf>
    <xf numFmtId="43" fontId="9" fillId="0" borderId="0" xfId="1" applyFont="1" applyFill="1" applyAlignment="1">
      <alignment horizontal="center"/>
    </xf>
    <xf numFmtId="0" fontId="9" fillId="0" borderId="0" xfId="0" applyFont="1" applyFill="1" applyAlignment="1">
      <alignment horizontal="center"/>
    </xf>
    <xf numFmtId="0" fontId="9" fillId="0" borderId="0" xfId="0" applyFont="1" applyFill="1"/>
    <xf numFmtId="164" fontId="9" fillId="0" borderId="0" xfId="1" applyNumberFormat="1" applyFont="1"/>
    <xf numFmtId="10" fontId="9" fillId="0" borderId="0" xfId="3" applyNumberFormat="1" applyFont="1" applyFill="1"/>
    <xf numFmtId="0" fontId="9" fillId="0" borderId="0" xfId="0" applyFont="1" applyFill="1" applyBorder="1"/>
    <xf numFmtId="10" fontId="8" fillId="0" borderId="0" xfId="3" applyNumberFormat="1" applyFont="1" applyFill="1"/>
    <xf numFmtId="14" fontId="11" fillId="3" borderId="0" xfId="0" applyNumberFormat="1" applyFont="1" applyFill="1" applyAlignment="1">
      <alignment horizontal="centerContinuous"/>
    </xf>
    <xf numFmtId="0" fontId="12" fillId="3" borderId="0" xfId="0" applyFont="1" applyFill="1" applyAlignment="1">
      <alignment horizontal="centerContinuous"/>
    </xf>
    <xf numFmtId="14" fontId="10" fillId="3" borderId="0" xfId="0" applyNumberFormat="1" applyFont="1" applyFill="1" applyAlignment="1"/>
    <xf numFmtId="0" fontId="10" fillId="3" borderId="0" xfId="0" applyFont="1" applyFill="1" applyAlignment="1">
      <alignment wrapText="1"/>
    </xf>
    <xf numFmtId="0" fontId="10" fillId="3" borderId="0" xfId="0" applyFont="1" applyFill="1" applyAlignment="1"/>
    <xf numFmtId="0" fontId="12" fillId="3" borderId="0" xfId="0" applyFont="1" applyFill="1" applyAlignment="1"/>
    <xf numFmtId="14" fontId="10" fillId="3" borderId="0" xfId="0" applyNumberFormat="1" applyFont="1" applyFill="1" applyAlignment="1">
      <alignment horizontal="center" vertical="center"/>
    </xf>
    <xf numFmtId="0" fontId="12" fillId="3" borderId="0" xfId="0" applyFont="1" applyFill="1" applyBorder="1" applyAlignment="1">
      <alignment horizontal="left"/>
    </xf>
    <xf numFmtId="0" fontId="9" fillId="0" borderId="0" xfId="0" applyFont="1" applyAlignment="1"/>
    <xf numFmtId="43" fontId="9" fillId="0" borderId="0" xfId="1" applyFont="1" applyAlignment="1"/>
    <xf numFmtId="43" fontId="9" fillId="4" borderId="0" xfId="1" applyFont="1" applyFill="1" applyAlignment="1"/>
    <xf numFmtId="0" fontId="10" fillId="3" borderId="0" xfId="0" applyFont="1" applyFill="1"/>
    <xf numFmtId="49" fontId="12" fillId="3" borderId="0" xfId="0" applyNumberFormat="1" applyFont="1" applyFill="1"/>
    <xf numFmtId="0" fontId="12" fillId="3" borderId="0" xfId="0" applyFont="1" applyFill="1"/>
    <xf numFmtId="0" fontId="12" fillId="3" borderId="0" xfId="0" applyFont="1" applyFill="1" applyAlignment="1">
      <alignment horizontal="center"/>
    </xf>
    <xf numFmtId="0" fontId="12" fillId="3" borderId="7" xfId="0" applyFont="1" applyFill="1" applyBorder="1"/>
    <xf numFmtId="0" fontId="12" fillId="3" borderId="7" xfId="0" applyFont="1" applyFill="1" applyBorder="1" applyAlignment="1">
      <alignment horizontal="center"/>
    </xf>
    <xf numFmtId="0" fontId="5" fillId="4" borderId="0" xfId="0" applyFont="1" applyFill="1"/>
    <xf numFmtId="0" fontId="5" fillId="4" borderId="7" xfId="0" applyFont="1" applyFill="1" applyBorder="1"/>
    <xf numFmtId="43" fontId="13" fillId="0" borderId="0" xfId="1" applyFont="1"/>
    <xf numFmtId="14" fontId="13" fillId="0" borderId="0" xfId="1" applyNumberFormat="1" applyFont="1"/>
    <xf numFmtId="0" fontId="13" fillId="0" borderId="0" xfId="0" applyFont="1"/>
    <xf numFmtId="1" fontId="9" fillId="4" borderId="0" xfId="0" applyNumberFormat="1" applyFont="1" applyFill="1"/>
    <xf numFmtId="43" fontId="14" fillId="0" borderId="0" xfId="1" applyFont="1" applyAlignment="1">
      <alignment horizontal="left"/>
    </xf>
    <xf numFmtId="43" fontId="14" fillId="0" borderId="0" xfId="1" applyFont="1" applyFill="1" applyAlignment="1">
      <alignment horizontal="left"/>
    </xf>
    <xf numFmtId="43" fontId="14" fillId="0" borderId="0" xfId="1" applyFont="1"/>
    <xf numFmtId="43" fontId="9" fillId="0" borderId="0" xfId="1" applyFont="1"/>
    <xf numFmtId="0" fontId="0" fillId="3" borderId="7" xfId="0" applyFill="1" applyBorder="1"/>
    <xf numFmtId="49" fontId="10" fillId="3" borderId="0" xfId="0" applyNumberFormat="1" applyFont="1" applyFill="1"/>
    <xf numFmtId="14" fontId="9" fillId="0" borderId="0" xfId="3" applyNumberFormat="1" applyFont="1"/>
    <xf numFmtId="37" fontId="9" fillId="0" borderId="0" xfId="1" applyNumberFormat="1" applyFont="1"/>
    <xf numFmtId="49" fontId="9" fillId="0" borderId="0" xfId="0" applyNumberFormat="1" applyFont="1" applyBorder="1"/>
    <xf numFmtId="9" fontId="9" fillId="0" borderId="0" xfId="0" applyNumberFormat="1" applyFont="1" applyBorder="1"/>
    <xf numFmtId="0" fontId="9" fillId="0" borderId="0" xfId="0" applyFont="1" applyBorder="1"/>
    <xf numFmtId="10" fontId="9" fillId="0" borderId="0" xfId="0" applyNumberFormat="1" applyFont="1" applyBorder="1"/>
    <xf numFmtId="43" fontId="9" fillId="0" borderId="0" xfId="1" applyFont="1" applyBorder="1" applyAlignment="1">
      <alignment horizontal="center"/>
    </xf>
    <xf numFmtId="0" fontId="9" fillId="0" borderId="0" xfId="0" applyFont="1" applyBorder="1" applyAlignment="1">
      <alignment horizontal="center"/>
    </xf>
    <xf numFmtId="43" fontId="12" fillId="3" borderId="0" xfId="1" applyFont="1" applyFill="1" applyAlignment="1">
      <alignment horizontal="center"/>
    </xf>
    <xf numFmtId="14" fontId="12" fillId="3" borderId="0" xfId="1" applyNumberFormat="1" applyFont="1" applyFill="1"/>
    <xf numFmtId="43" fontId="12" fillId="3" borderId="0" xfId="1" applyFont="1" applyFill="1"/>
    <xf numFmtId="43" fontId="12" fillId="3" borderId="7" xfId="1" applyFont="1" applyFill="1" applyBorder="1" applyAlignment="1">
      <alignment horizontal="center"/>
    </xf>
    <xf numFmtId="43" fontId="12" fillId="3" borderId="7" xfId="1" applyFont="1" applyFill="1" applyBorder="1"/>
    <xf numFmtId="0" fontId="12" fillId="3" borderId="1" xfId="0" applyFont="1" applyFill="1" applyBorder="1"/>
    <xf numFmtId="0" fontId="12" fillId="3" borderId="2" xfId="0" applyFont="1" applyFill="1" applyBorder="1" applyAlignment="1">
      <alignment horizontal="center"/>
    </xf>
    <xf numFmtId="0" fontId="12" fillId="3" borderId="3" xfId="0" applyFont="1" applyFill="1" applyBorder="1" applyAlignment="1">
      <alignment horizontal="center"/>
    </xf>
    <xf numFmtId="165" fontId="9" fillId="0" borderId="0" xfId="3" applyNumberFormat="1" applyFont="1"/>
    <xf numFmtId="10" fontId="8" fillId="0" borderId="0" xfId="0" applyNumberFormat="1" applyFont="1" applyFill="1"/>
    <xf numFmtId="0" fontId="12" fillId="3" borderId="0" xfId="0" applyFont="1" applyFill="1" applyAlignment="1">
      <alignment horizontal="left"/>
    </xf>
    <xf numFmtId="0" fontId="12" fillId="3" borderId="7" xfId="0" applyFont="1" applyFill="1" applyBorder="1" applyAlignment="1">
      <alignment horizontal="left"/>
    </xf>
    <xf numFmtId="168" fontId="9" fillId="0" borderId="0" xfId="0" applyNumberFormat="1" applyFont="1"/>
    <xf numFmtId="14" fontId="9" fillId="0" borderId="0" xfId="0" applyNumberFormat="1" applyFont="1" applyBorder="1"/>
    <xf numFmtId="164" fontId="9" fillId="0" borderId="0" xfId="1" applyNumberFormat="1" applyFont="1" applyBorder="1"/>
    <xf numFmtId="0" fontId="9" fillId="0" borderId="7" xfId="0" applyFont="1" applyBorder="1"/>
    <xf numFmtId="14" fontId="9" fillId="0" borderId="7" xfId="0" applyNumberFormat="1" applyFont="1" applyBorder="1"/>
    <xf numFmtId="164" fontId="9" fillId="0" borderId="7" xfId="1" applyNumberFormat="1" applyFont="1" applyBorder="1"/>
    <xf numFmtId="0" fontId="9" fillId="0" borderId="7" xfId="0" applyFont="1" applyBorder="1" applyAlignment="1">
      <alignment horizontal="center"/>
    </xf>
    <xf numFmtId="43" fontId="14" fillId="0" borderId="7" xfId="1" applyFont="1" applyBorder="1"/>
    <xf numFmtId="0" fontId="10" fillId="3" borderId="0" xfId="0" applyFont="1" applyFill="1" applyAlignment="1">
      <alignment horizontal="centerContinuous"/>
    </xf>
    <xf numFmtId="165" fontId="9" fillId="0" borderId="0" xfId="0" applyNumberFormat="1" applyFont="1" applyFill="1" applyBorder="1"/>
    <xf numFmtId="43" fontId="9" fillId="0" borderId="0" xfId="0" applyNumberFormat="1" applyFont="1" applyBorder="1"/>
    <xf numFmtId="43" fontId="9" fillId="0" borderId="0" xfId="1" applyFont="1" applyBorder="1" applyAlignment="1">
      <alignment horizontal="left"/>
    </xf>
    <xf numFmtId="43" fontId="0" fillId="0" borderId="0" xfId="1" applyFont="1" applyFill="1" applyBorder="1" applyAlignment="1">
      <alignment horizontal="left"/>
    </xf>
    <xf numFmtId="43" fontId="14" fillId="0" borderId="0" xfId="1" applyFont="1" applyFill="1" applyBorder="1" applyAlignment="1">
      <alignment horizontal="left"/>
    </xf>
    <xf numFmtId="10" fontId="0" fillId="0" borderId="0" xfId="0" applyNumberFormat="1" applyBorder="1" applyAlignment="1">
      <alignment horizontal="left"/>
    </xf>
    <xf numFmtId="10" fontId="0" fillId="0" borderId="0" xfId="3" applyNumberFormat="1" applyFont="1" applyFill="1" applyBorder="1" applyAlignment="1">
      <alignment horizontal="left"/>
    </xf>
    <xf numFmtId="44" fontId="0" fillId="0" borderId="0" xfId="2" applyFont="1" applyFill="1" applyBorder="1" applyAlignment="1">
      <alignment horizontal="left"/>
    </xf>
    <xf numFmtId="14" fontId="9" fillId="0" borderId="0" xfId="0" applyNumberFormat="1" applyFont="1" applyFill="1" applyBorder="1"/>
    <xf numFmtId="165" fontId="0" fillId="0" borderId="0" xfId="0" applyNumberFormat="1" applyFill="1" applyBorder="1" applyAlignment="1">
      <alignment horizontal="left"/>
    </xf>
    <xf numFmtId="165" fontId="15" fillId="0" borderId="0" xfId="0" applyNumberFormat="1" applyFont="1" applyFill="1" applyBorder="1" applyAlignment="1">
      <alignment horizontal="left"/>
    </xf>
    <xf numFmtId="170" fontId="15" fillId="0" borderId="0" xfId="0" applyNumberFormat="1" applyFont="1" applyFill="1" applyBorder="1" applyAlignment="1">
      <alignment horizontal="left"/>
    </xf>
    <xf numFmtId="49" fontId="15" fillId="0" borderId="0" xfId="0" applyNumberFormat="1" applyFont="1"/>
    <xf numFmtId="0" fontId="15" fillId="0" borderId="0" xfId="0" applyFont="1"/>
    <xf numFmtId="1" fontId="15" fillId="4" borderId="0" xfId="0" applyNumberFormat="1" applyFont="1" applyFill="1"/>
    <xf numFmtId="1" fontId="6" fillId="0" borderId="0" xfId="0" applyNumberFormat="1" applyFont="1" applyFill="1"/>
    <xf numFmtId="10" fontId="9" fillId="0" borderId="0" xfId="3" applyNumberFormat="1" applyFont="1" applyFill="1" applyBorder="1"/>
    <xf numFmtId="43" fontId="9" fillId="0" borderId="0" xfId="1" applyFont="1" applyFill="1" applyBorder="1" applyAlignment="1">
      <alignment horizontal="left"/>
    </xf>
    <xf numFmtId="43" fontId="9" fillId="0" borderId="0" xfId="1" applyFont="1" applyFill="1" applyBorder="1" applyAlignment="1">
      <alignment horizontal="center"/>
    </xf>
    <xf numFmtId="0" fontId="9" fillId="0" borderId="0" xfId="0" applyFont="1" applyFill="1" applyBorder="1" applyAlignment="1">
      <alignment horizontal="center"/>
    </xf>
    <xf numFmtId="170" fontId="16" fillId="0" borderId="0" xfId="0" applyNumberFormat="1" applyFont="1" applyFill="1" applyBorder="1" applyAlignment="1">
      <alignment horizontal="left"/>
    </xf>
    <xf numFmtId="170" fontId="9" fillId="0" borderId="0" xfId="0" applyNumberFormat="1" applyFont="1" applyFill="1" applyBorder="1" applyAlignment="1">
      <alignment horizontal="left"/>
    </xf>
    <xf numFmtId="165" fontId="16" fillId="0" borderId="0" xfId="0" applyNumberFormat="1" applyFont="1" applyFill="1" applyBorder="1" applyAlignment="1">
      <alignment horizontal="left"/>
    </xf>
    <xf numFmtId="164" fontId="6" fillId="0" borderId="0" xfId="1" applyNumberFormat="1" applyFont="1" applyFill="1" applyBorder="1" applyAlignment="1">
      <alignment horizontal="left"/>
    </xf>
    <xf numFmtId="170" fontId="9" fillId="0" borderId="0" xfId="0" applyNumberFormat="1" applyFont="1" applyFill="1" applyAlignment="1">
      <alignment horizontal="right"/>
    </xf>
    <xf numFmtId="170" fontId="9" fillId="0" borderId="0" xfId="0" applyNumberFormat="1" applyFont="1" applyAlignment="1">
      <alignment horizontal="right"/>
    </xf>
    <xf numFmtId="0" fontId="6" fillId="0" borderId="0" xfId="0" applyFont="1" applyFill="1" applyAlignment="1"/>
    <xf numFmtId="16" fontId="0" fillId="0" borderId="0" xfId="0" applyNumberFormat="1"/>
    <xf numFmtId="10" fontId="0" fillId="0" borderId="0" xfId="0" applyNumberFormat="1" applyFill="1" applyBorder="1" applyAlignment="1">
      <alignment horizontal="left"/>
    </xf>
    <xf numFmtId="0" fontId="14" fillId="0" borderId="0" xfId="0" applyFont="1" applyBorder="1" applyAlignment="1">
      <alignment horizontal="left"/>
    </xf>
    <xf numFmtId="0" fontId="0" fillId="0" borderId="0" xfId="0" applyFill="1" applyBorder="1" applyAlignment="1">
      <alignment horizontal="left"/>
    </xf>
    <xf numFmtId="14" fontId="0" fillId="0" borderId="0" xfId="1" applyNumberFormat="1" applyFont="1" applyFill="1" applyBorder="1"/>
    <xf numFmtId="43" fontId="0" fillId="0" borderId="0" xfId="1" applyFont="1" applyBorder="1" applyAlignment="1">
      <alignment horizontal="left"/>
    </xf>
    <xf numFmtId="0" fontId="9" fillId="0" borderId="0" xfId="1" applyNumberFormat="1" applyFont="1" applyAlignment="1">
      <alignment horizontal="left"/>
    </xf>
    <xf numFmtId="0" fontId="9" fillId="0" borderId="0" xfId="1" applyNumberFormat="1" applyFont="1" applyFill="1" applyAlignment="1">
      <alignment horizontal="left"/>
    </xf>
    <xf numFmtId="0" fontId="9" fillId="0" borderId="0" xfId="1" applyNumberFormat="1" applyFont="1" applyBorder="1" applyAlignment="1">
      <alignment horizontal="left"/>
    </xf>
    <xf numFmtId="0" fontId="9" fillId="0" borderId="0" xfId="0" applyFont="1" applyFill="1" applyBorder="1" applyAlignment="1">
      <alignment horizontal="left"/>
    </xf>
    <xf numFmtId="0" fontId="10" fillId="3" borderId="7" xfId="0" applyFont="1" applyFill="1" applyBorder="1" applyAlignment="1">
      <alignment horizontal="left" wrapText="1"/>
    </xf>
    <xf numFmtId="171" fontId="10" fillId="3" borderId="7" xfId="0" applyNumberFormat="1" applyFont="1" applyFill="1" applyBorder="1" applyAlignment="1">
      <alignment horizontal="left" wrapText="1"/>
    </xf>
    <xf numFmtId="0" fontId="4" fillId="0" borderId="7" xfId="0" applyFont="1" applyBorder="1" applyAlignment="1">
      <alignment horizontal="left" wrapText="1"/>
    </xf>
    <xf numFmtId="164" fontId="4" fillId="0" borderId="7" xfId="1" applyNumberFormat="1" applyFont="1" applyBorder="1" applyAlignment="1">
      <alignment horizontal="left" wrapText="1"/>
    </xf>
    <xf numFmtId="170" fontId="0" fillId="0" borderId="18" xfId="0" applyNumberFormat="1" applyBorder="1" applyAlignment="1">
      <alignment horizontal="left"/>
    </xf>
    <xf numFmtId="4" fontId="0" fillId="0" borderId="19" xfId="0" applyNumberFormat="1" applyBorder="1" applyAlignment="1">
      <alignment horizontal="left"/>
    </xf>
    <xf numFmtId="4" fontId="13" fillId="0" borderId="19" xfId="0" applyNumberFormat="1" applyFont="1" applyBorder="1" applyAlignment="1">
      <alignment horizontal="left"/>
    </xf>
    <xf numFmtId="4" fontId="14" fillId="0" borderId="19" xfId="0" applyNumberFormat="1" applyFont="1" applyBorder="1" applyAlignment="1">
      <alignment horizontal="left"/>
    </xf>
    <xf numFmtId="0" fontId="10" fillId="3" borderId="20" xfId="0" applyFont="1" applyFill="1" applyBorder="1" applyAlignment="1">
      <alignment horizontal="left" wrapText="1"/>
    </xf>
    <xf numFmtId="170" fontId="0" fillId="0" borderId="0" xfId="0" applyNumberFormat="1" applyBorder="1" applyAlignment="1">
      <alignment horizontal="left"/>
    </xf>
    <xf numFmtId="0" fontId="9" fillId="0" borderId="19" xfId="0" applyFont="1" applyBorder="1" applyAlignment="1">
      <alignment horizontal="center"/>
    </xf>
    <xf numFmtId="4" fontId="0" fillId="0" borderId="0" xfId="0" applyNumberFormat="1" applyBorder="1" applyAlignment="1">
      <alignment horizontal="left"/>
    </xf>
    <xf numFmtId="10" fontId="0" fillId="0" borderId="0" xfId="3" applyNumberFormat="1" applyFont="1" applyBorder="1" applyAlignment="1">
      <alignment horizontal="left"/>
    </xf>
    <xf numFmtId="0" fontId="0" fillId="36" borderId="0" xfId="0" applyFill="1"/>
    <xf numFmtId="0" fontId="0" fillId="36" borderId="0" xfId="0" applyFill="1" applyAlignment="1">
      <alignment horizontal="centerContinuous"/>
    </xf>
    <xf numFmtId="14" fontId="9" fillId="4" borderId="0" xfId="0" applyNumberFormat="1" applyFont="1" applyFill="1"/>
    <xf numFmtId="14" fontId="7" fillId="3" borderId="0" xfId="0" applyNumberFormat="1" applyFont="1" applyFill="1"/>
    <xf numFmtId="2" fontId="7" fillId="3" borderId="0" xfId="0" applyNumberFormat="1" applyFont="1" applyFill="1" applyAlignment="1">
      <alignment horizontal="left"/>
    </xf>
    <xf numFmtId="0" fontId="4" fillId="36" borderId="0" xfId="0" applyFont="1" applyFill="1" applyAlignment="1">
      <alignment horizontal="centerContinuous" wrapText="1"/>
    </xf>
    <xf numFmtId="0" fontId="0" fillId="36" borderId="0" xfId="0" applyFill="1" applyAlignment="1">
      <alignment wrapText="1"/>
    </xf>
    <xf numFmtId="0" fontId="4" fillId="36" borderId="0" xfId="0" applyFont="1" applyFill="1" applyAlignment="1">
      <alignment wrapText="1"/>
    </xf>
    <xf numFmtId="0" fontId="0" fillId="0" borderId="0" xfId="0" applyAlignment="1">
      <alignment wrapText="1"/>
    </xf>
    <xf numFmtId="2" fontId="9" fillId="4" borderId="0" xfId="0" applyNumberFormat="1" applyFont="1" applyFill="1" applyAlignment="1">
      <alignment horizontal="center" vertical="center"/>
    </xf>
    <xf numFmtId="0" fontId="9" fillId="0" borderId="18" xfId="0" applyFont="1" applyFill="1" applyBorder="1" applyAlignment="1">
      <alignment horizontal="left"/>
    </xf>
    <xf numFmtId="165" fontId="9" fillId="0" borderId="0" xfId="0" applyNumberFormat="1" applyFont="1" applyAlignment="1">
      <alignment horizontal="right"/>
    </xf>
    <xf numFmtId="165" fontId="9" fillId="0" borderId="0" xfId="0" applyNumberFormat="1" applyFont="1" applyFill="1" applyAlignment="1">
      <alignment horizontal="right"/>
    </xf>
    <xf numFmtId="14" fontId="9" fillId="0" borderId="0" xfId="0" applyNumberFormat="1" applyFont="1" applyBorder="1" applyAlignment="1">
      <alignment horizontal="right"/>
    </xf>
    <xf numFmtId="10" fontId="0" fillId="0" borderId="0" xfId="3" applyNumberFormat="1" applyFont="1" applyBorder="1"/>
    <xf numFmtId="10" fontId="0" fillId="0" borderId="21" xfId="3" applyNumberFormat="1" applyFont="1" applyFill="1" applyBorder="1"/>
    <xf numFmtId="0" fontId="6" fillId="0" borderId="0" xfId="0" applyFont="1" applyAlignment="1"/>
    <xf numFmtId="49" fontId="9" fillId="0" borderId="0" xfId="0" applyNumberFormat="1" applyFont="1" applyFill="1" applyBorder="1"/>
    <xf numFmtId="0" fontId="12" fillId="3" borderId="0" xfId="0" applyFont="1" applyFill="1" applyBorder="1"/>
    <xf numFmtId="10" fontId="9" fillId="0" borderId="0" xfId="0" applyNumberFormat="1" applyFont="1"/>
    <xf numFmtId="170" fontId="0" fillId="0" borderId="0" xfId="0" applyNumberFormat="1" applyFill="1" applyBorder="1" applyAlignment="1">
      <alignment horizontal="left"/>
    </xf>
    <xf numFmtId="0" fontId="14" fillId="0" borderId="0" xfId="0" applyFont="1" applyFill="1" applyBorder="1" applyAlignment="1">
      <alignment horizontal="left"/>
    </xf>
    <xf numFmtId="4" fontId="0" fillId="0" borderId="0" xfId="0" applyNumberFormat="1" applyFill="1" applyBorder="1" applyAlignment="1">
      <alignment horizontal="left"/>
    </xf>
    <xf numFmtId="0" fontId="12" fillId="0" borderId="0" xfId="0" applyFont="1" applyFill="1" applyBorder="1"/>
    <xf numFmtId="4" fontId="13" fillId="0" borderId="0" xfId="0" applyNumberFormat="1" applyFont="1" applyBorder="1" applyAlignment="1">
      <alignment horizontal="left"/>
    </xf>
    <xf numFmtId="2" fontId="0" fillId="0" borderId="0" xfId="3" applyNumberFormat="1" applyFont="1"/>
    <xf numFmtId="2" fontId="9" fillId="4" borderId="0" xfId="3" applyNumberFormat="1" applyFont="1" applyFill="1"/>
    <xf numFmtId="10" fontId="0" fillId="0" borderId="0" xfId="1" applyNumberFormat="1" applyFont="1"/>
    <xf numFmtId="164" fontId="6" fillId="0" borderId="0" xfId="0" applyNumberFormat="1" applyFont="1" applyFill="1"/>
    <xf numFmtId="14" fontId="12" fillId="3" borderId="0" xfId="0" applyNumberFormat="1" applyFont="1" applyFill="1"/>
    <xf numFmtId="172" fontId="12" fillId="3" borderId="0" xfId="0" applyNumberFormat="1" applyFont="1" applyFill="1"/>
    <xf numFmtId="172" fontId="12" fillId="3" borderId="7" xfId="0" applyNumberFormat="1" applyFont="1" applyFill="1" applyBorder="1"/>
    <xf numFmtId="172" fontId="0" fillId="0" borderId="0" xfId="2" applyNumberFormat="1" applyFont="1"/>
    <xf numFmtId="172" fontId="0" fillId="0" borderId="0" xfId="0" applyNumberFormat="1"/>
    <xf numFmtId="0" fontId="10" fillId="3" borderId="0" xfId="0" applyFont="1" applyFill="1" applyBorder="1" applyAlignment="1">
      <alignment horizontal="left" wrapText="1"/>
    </xf>
    <xf numFmtId="165" fontId="6" fillId="0" borderId="0" xfId="0" applyNumberFormat="1" applyFont="1" applyAlignment="1">
      <alignment horizontal="left"/>
    </xf>
    <xf numFmtId="165" fontId="6" fillId="0" borderId="0" xfId="0" applyNumberFormat="1" applyFont="1" applyFill="1" applyAlignment="1">
      <alignment horizontal="left"/>
    </xf>
    <xf numFmtId="1" fontId="0" fillId="0" borderId="0" xfId="0" applyNumberFormat="1" applyFill="1" applyBorder="1"/>
    <xf numFmtId="43" fontId="13" fillId="0" borderId="0" xfId="1" applyFont="1" applyFill="1" applyBorder="1"/>
    <xf numFmtId="43" fontId="0" fillId="0" borderId="0" xfId="1" applyFont="1" applyFill="1" applyBorder="1" applyAlignment="1">
      <alignment horizontal="center"/>
    </xf>
    <xf numFmtId="0" fontId="8" fillId="0" borderId="0" xfId="0" applyFont="1" applyFill="1"/>
    <xf numFmtId="1" fontId="16" fillId="0" borderId="0" xfId="0" applyNumberFormat="1" applyFont="1" applyFill="1" applyBorder="1"/>
    <xf numFmtId="0" fontId="9" fillId="4" borderId="0" xfId="0" applyFont="1" applyFill="1" applyAlignment="1">
      <alignment horizontal="center"/>
    </xf>
    <xf numFmtId="0" fontId="9" fillId="4" borderId="0" xfId="0" applyFont="1" applyFill="1" applyBorder="1" applyAlignment="1">
      <alignment horizontal="center"/>
    </xf>
    <xf numFmtId="43" fontId="16" fillId="0" borderId="0" xfId="1" applyFont="1"/>
    <xf numFmtId="43" fontId="9" fillId="0" borderId="0" xfId="0" applyNumberFormat="1" applyFont="1" applyFill="1" applyBorder="1"/>
    <xf numFmtId="0" fontId="9" fillId="0" borderId="0" xfId="1" applyNumberFormat="1" applyFont="1" applyFill="1" applyBorder="1" applyAlignment="1">
      <alignment horizontal="left"/>
    </xf>
    <xf numFmtId="170" fontId="0" fillId="0" borderId="18" xfId="0" applyNumberFormat="1" applyFill="1" applyBorder="1" applyAlignment="1">
      <alignment horizontal="left"/>
    </xf>
    <xf numFmtId="4" fontId="0" fillId="0" borderId="19" xfId="0" applyNumberFormat="1" applyFill="1" applyBorder="1" applyAlignment="1">
      <alignment horizontal="left"/>
    </xf>
    <xf numFmtId="165" fontId="9" fillId="0" borderId="0" xfId="0" applyNumberFormat="1" applyFont="1" applyFill="1" applyBorder="1" applyAlignment="1">
      <alignment horizontal="left"/>
    </xf>
    <xf numFmtId="43" fontId="9" fillId="0" borderId="0" xfId="1" applyFont="1" applyFill="1" applyAlignment="1"/>
    <xf numFmtId="0" fontId="12" fillId="3" borderId="22" xfId="0" applyFont="1" applyFill="1" applyBorder="1"/>
    <xf numFmtId="0" fontId="12" fillId="3" borderId="23" xfId="0" applyFont="1" applyFill="1" applyBorder="1"/>
    <xf numFmtId="0" fontId="12" fillId="3" borderId="24" xfId="0" applyFont="1" applyFill="1" applyBorder="1"/>
    <xf numFmtId="165" fontId="0" fillId="0" borderId="0" xfId="0" applyNumberFormat="1" applyBorder="1"/>
  </cellXfs>
  <cellStyles count="49">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46"/>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11" xfId="47"/>
    <cellStyle name="Normal 2" xfId="45"/>
    <cellStyle name="Normal 3" xfId="48"/>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colors>
    <mruColors>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quidity%20Sprea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ity Spreads"/>
      <sheetName val="NAIC"/>
    </sheetNames>
    <sheetDataSet>
      <sheetData sheetId="0">
        <row r="3">
          <cell r="F3">
            <v>0.8</v>
          </cell>
          <cell r="H3">
            <v>0.82</v>
          </cell>
        </row>
        <row r="4">
          <cell r="F4">
            <v>0.82</v>
          </cell>
          <cell r="H4">
            <v>0.88</v>
          </cell>
        </row>
        <row r="5">
          <cell r="F5">
            <v>1.0900000000000001</v>
          </cell>
          <cell r="H5">
            <v>1.17</v>
          </cell>
        </row>
        <row r="6">
          <cell r="F6">
            <v>1.83</v>
          </cell>
          <cell r="G6">
            <v>0.74</v>
          </cell>
          <cell r="H6">
            <v>1.97</v>
          </cell>
        </row>
        <row r="7">
          <cell r="F7">
            <v>3.2</v>
          </cell>
          <cell r="H7">
            <v>3.53</v>
          </cell>
        </row>
        <row r="8">
          <cell r="F8">
            <v>5.0199999999999996</v>
          </cell>
          <cell r="H8">
            <v>5.68</v>
          </cell>
        </row>
        <row r="9">
          <cell r="F9">
            <v>12.38</v>
          </cell>
          <cell r="H9">
            <v>13.16</v>
          </cell>
        </row>
        <row r="10">
          <cell r="F10">
            <v>2.19</v>
          </cell>
          <cell r="H10">
            <v>2.31</v>
          </cell>
        </row>
        <row r="11">
          <cell r="F11">
            <v>2.0299999999999998</v>
          </cell>
          <cell r="H11">
            <v>2.17</v>
          </cell>
        </row>
        <row r="12">
          <cell r="F12">
            <v>1.82</v>
          </cell>
          <cell r="H12">
            <v>1.96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0" sqref="C10"/>
    </sheetView>
  </sheetViews>
  <sheetFormatPr defaultRowHeight="15" x14ac:dyDescent="0.25"/>
  <cols>
    <col min="1" max="1" width="1.140625" customWidth="1"/>
    <col min="2" max="2" width="20.85546875" style="240" customWidth="1"/>
    <col min="3" max="3" width="11" customWidth="1"/>
    <col min="4" max="4" width="1.140625" style="83" customWidth="1"/>
  </cols>
  <sheetData>
    <row r="1" spans="1:4" x14ac:dyDescent="0.25">
      <c r="A1" s="232"/>
      <c r="B1" s="237" t="s">
        <v>219</v>
      </c>
      <c r="C1" s="233"/>
      <c r="D1" s="232"/>
    </row>
    <row r="2" spans="1:4" x14ac:dyDescent="0.25">
      <c r="A2" s="232"/>
      <c r="B2" s="238"/>
      <c r="C2" s="232"/>
      <c r="D2" s="232"/>
    </row>
    <row r="3" spans="1:4" x14ac:dyDescent="0.25">
      <c r="A3" s="232"/>
      <c r="B3" s="239" t="s">
        <v>220</v>
      </c>
      <c r="C3" s="234">
        <v>42613</v>
      </c>
      <c r="D3" s="232"/>
    </row>
    <row r="4" spans="1:4" x14ac:dyDescent="0.25">
      <c r="A4" s="232"/>
      <c r="B4" s="238"/>
      <c r="C4" s="232"/>
      <c r="D4" s="232"/>
    </row>
    <row r="5" spans="1:4" x14ac:dyDescent="0.25">
      <c r="A5" s="232"/>
      <c r="B5" s="239" t="s">
        <v>221</v>
      </c>
      <c r="C5" s="234">
        <v>42613</v>
      </c>
      <c r="D5" s="232"/>
    </row>
    <row r="6" spans="1:4" x14ac:dyDescent="0.25">
      <c r="A6" s="232"/>
      <c r="B6" s="238"/>
      <c r="C6" s="232"/>
      <c r="D6" s="232"/>
    </row>
    <row r="7" spans="1:4" ht="45" x14ac:dyDescent="0.25">
      <c r="A7" s="232"/>
      <c r="B7" s="239" t="s">
        <v>222</v>
      </c>
      <c r="C7" s="241">
        <v>110</v>
      </c>
      <c r="D7" s="232"/>
    </row>
    <row r="8" spans="1:4" x14ac:dyDescent="0.25">
      <c r="A8" s="232"/>
      <c r="B8" s="238"/>
      <c r="C8" s="232"/>
      <c r="D8" s="2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2"/>
  <sheetViews>
    <sheetView workbookViewId="0">
      <selection activeCell="D3" sqref="D3"/>
    </sheetView>
  </sheetViews>
  <sheetFormatPr defaultRowHeight="15" outlineLevelCol="2" x14ac:dyDescent="0.25"/>
  <cols>
    <col min="1" max="1" width="13.28515625" style="83" customWidth="1"/>
    <col min="2" max="2" width="42.28515625" style="83" customWidth="1"/>
    <col min="3" max="3" width="26.7109375" style="83" customWidth="1"/>
    <col min="4" max="4" width="13.5703125" style="83" bestFit="1" customWidth="1"/>
    <col min="5" max="5" width="10.7109375" style="83" customWidth="1" outlineLevel="1"/>
    <col min="6" max="6" width="7.85546875" style="83" customWidth="1" outlineLevel="1"/>
    <col min="7" max="7" width="10.28515625" style="83" customWidth="1" outlineLevel="1"/>
    <col min="8" max="8" width="6.28515625" style="83" customWidth="1" outlineLevel="1"/>
    <col min="9" max="9" width="8.7109375" style="83" customWidth="1" outlineLevel="1"/>
    <col min="10" max="10" width="9" style="83" customWidth="1" outlineLevel="2"/>
    <col min="11" max="11" width="19.28515625" style="83" customWidth="1" outlineLevel="2"/>
    <col min="12" max="12" width="17" style="83" customWidth="1" outlineLevel="2"/>
    <col min="13" max="13" width="9" style="83" customWidth="1" outlineLevel="2"/>
    <col min="14" max="14" width="19.28515625" style="83" customWidth="1" outlineLevel="2"/>
    <col min="15" max="15" width="23.140625" style="83" customWidth="1" outlineLevel="2"/>
    <col min="16" max="16" width="10.85546875" style="83" customWidth="1" outlineLevel="1"/>
    <col min="17" max="17" width="17.28515625" style="83" bestFit="1" customWidth="1"/>
    <col min="18" max="18" width="8.7109375" style="83" bestFit="1" customWidth="1"/>
    <col min="19" max="19" width="10.5703125" style="83" bestFit="1" customWidth="1"/>
    <col min="20" max="20" width="15.85546875" style="265" customWidth="1"/>
    <col min="21" max="16384" width="9.140625" style="83"/>
  </cols>
  <sheetData>
    <row r="1" spans="1:21" x14ac:dyDescent="0.25">
      <c r="A1" s="135"/>
      <c r="B1" s="136" t="s">
        <v>77</v>
      </c>
      <c r="C1" s="235">
        <f>IF(E1,E1,Valuation_Date)</f>
        <v>42613</v>
      </c>
      <c r="D1" s="137" t="s">
        <v>232</v>
      </c>
      <c r="E1" s="261"/>
      <c r="F1" s="137"/>
      <c r="G1" s="138"/>
      <c r="H1" s="138" t="s">
        <v>146</v>
      </c>
      <c r="I1" s="138"/>
      <c r="J1" s="96"/>
      <c r="K1" s="96"/>
      <c r="L1" s="96"/>
      <c r="M1" s="96"/>
      <c r="N1" s="96"/>
      <c r="O1" s="96"/>
      <c r="P1" s="96" t="s">
        <v>68</v>
      </c>
      <c r="Q1" s="137" t="s">
        <v>233</v>
      </c>
      <c r="R1" s="137"/>
      <c r="S1" s="137"/>
      <c r="T1" s="262"/>
    </row>
    <row r="2" spans="1:21" x14ac:dyDescent="0.25">
      <c r="A2" s="139" t="s">
        <v>227</v>
      </c>
      <c r="B2" s="139" t="s">
        <v>228</v>
      </c>
      <c r="C2" s="139" t="s">
        <v>229</v>
      </c>
      <c r="D2" s="139" t="s">
        <v>230</v>
      </c>
      <c r="E2" s="139" t="s">
        <v>2</v>
      </c>
      <c r="F2" s="139" t="s">
        <v>3</v>
      </c>
      <c r="G2" s="140" t="s">
        <v>5</v>
      </c>
      <c r="H2" s="140" t="s">
        <v>106</v>
      </c>
      <c r="I2" s="140" t="s">
        <v>12</v>
      </c>
      <c r="J2" s="266" t="s">
        <v>130</v>
      </c>
      <c r="K2" s="266" t="s">
        <v>131</v>
      </c>
      <c r="L2" s="266" t="s">
        <v>100</v>
      </c>
      <c r="M2" s="266" t="s">
        <v>130</v>
      </c>
      <c r="N2" s="266" t="s">
        <v>131</v>
      </c>
      <c r="O2" s="266" t="s">
        <v>100</v>
      </c>
      <c r="P2" s="266" t="s">
        <v>212</v>
      </c>
      <c r="Q2" s="139" t="s">
        <v>231</v>
      </c>
      <c r="R2" s="139" t="s">
        <v>73</v>
      </c>
      <c r="S2" s="139" t="s">
        <v>75</v>
      </c>
      <c r="T2" s="263" t="s">
        <v>235</v>
      </c>
    </row>
    <row r="3" spans="1:21" x14ac:dyDescent="0.25">
      <c r="A3" s="99"/>
      <c r="B3" s="99"/>
      <c r="C3" s="99"/>
      <c r="D3" s="107">
        <v>41375</v>
      </c>
      <c r="E3" s="173">
        <v>43201</v>
      </c>
      <c r="F3" s="251">
        <v>0.05</v>
      </c>
      <c r="G3" s="113">
        <v>1</v>
      </c>
      <c r="H3" s="113">
        <v>1</v>
      </c>
      <c r="I3" s="85" t="e">
        <f ca="1">DURATION($C$1,E3,F3/100,S3/100,G3,H3)</f>
        <v>#NAME?</v>
      </c>
      <c r="J3" s="228" t="str">
        <f>"USSW"&amp;ROUNDDOWN(DAYS360($C$1,E3)/360,0)</f>
        <v>USSW1</v>
      </c>
      <c r="K3" s="51" t="str">
        <f t="shared" ref="K3:N12" si="0">+J3&amp;" index"</f>
        <v>USSW1 index</v>
      </c>
      <c r="L3" s="211" t="e">
        <f ca="1">IF(_xll.BDH(K3,$L$2,$C$1)="#N/A Invalid Security",0,_xll.BDH(K3,$L$2,$C$1))</f>
        <v>#NAME?</v>
      </c>
      <c r="M3" s="51" t="str">
        <f>"USSW"&amp;ROUNDUP(DAYS360($C$1,E3)/360,0)</f>
        <v>USSW2</v>
      </c>
      <c r="N3" s="51" t="str">
        <f t="shared" si="0"/>
        <v>USSW2 index</v>
      </c>
      <c r="O3" s="211" t="e">
        <f ca="1">_xll.BDH(N3,$O$2,$C$1)</f>
        <v>#NAME?</v>
      </c>
      <c r="P3" s="230" t="e">
        <f ca="1">(O3-L3)*((DAYS360($C$1,E3)/360)-ROUNDDOWN(DAYS360($C$1,E3)/360,0))+L3</f>
        <v>#NAME?</v>
      </c>
      <c r="Q3" s="258">
        <v>282.72000000000003</v>
      </c>
      <c r="R3" s="91">
        <f>IF(R1,R1,Reuters_Liquidity_Premium)</f>
        <v>110</v>
      </c>
      <c r="S3" s="259" t="e">
        <f ca="1">(P3*100+Q3+R3)/10000</f>
        <v>#NAME?</v>
      </c>
      <c r="T3" s="264" t="e">
        <f ca="1">+PRICE($C$1,E3,F3/100,S3/100,100,G3,0)</f>
        <v>#NAME?</v>
      </c>
      <c r="U3" s="68"/>
    </row>
    <row r="4" spans="1:21" x14ac:dyDescent="0.25">
      <c r="A4" s="99"/>
      <c r="B4" s="99"/>
      <c r="C4" s="99"/>
      <c r="D4" s="107">
        <v>41509</v>
      </c>
      <c r="E4" s="173">
        <v>43335</v>
      </c>
      <c r="F4" s="251">
        <v>0.05</v>
      </c>
      <c r="G4" s="113">
        <v>1</v>
      </c>
      <c r="H4" s="113">
        <v>1</v>
      </c>
      <c r="I4" s="85" t="e">
        <f ca="1">DURATION($C$1,E4,F4/100,S4/100,G4,H4)</f>
        <v>#NAME?</v>
      </c>
      <c r="J4" s="228" t="str">
        <f>"USSW"&amp;ROUNDDOWN(DAYS360($C$1,E4)/360,0)</f>
        <v>USSW1</v>
      </c>
      <c r="K4" s="51" t="str">
        <f t="shared" si="0"/>
        <v>USSW1 index</v>
      </c>
      <c r="L4" s="211" t="e">
        <f ca="1">IF(_xll.BDH(K4,$L$2,$C$1)="#N/A Invalid Security",0,_xll.BDH(K4,$L$2,$C$1))</f>
        <v>#NAME?</v>
      </c>
      <c r="M4" s="51" t="str">
        <f>"USSW"&amp;ROUNDUP(DAYS360($C$1,E4)/360,0)</f>
        <v>USSW2</v>
      </c>
      <c r="N4" s="51" t="str">
        <f t="shared" si="0"/>
        <v>USSW2 index</v>
      </c>
      <c r="O4" s="211" t="e">
        <f ca="1">_xll.BDH(N4,$O$2,$C$1)</f>
        <v>#NAME?</v>
      </c>
      <c r="P4" s="230" t="e">
        <f ca="1">(O4-L4)*((DAYS360($C$1,E4)/360)-ROUNDDOWN(DAYS360($C$1,E4)/360,0))+L4</f>
        <v>#NAME?</v>
      </c>
      <c r="Q4" s="257">
        <f>Q3</f>
        <v>282.72000000000003</v>
      </c>
      <c r="R4" s="260">
        <f>R3</f>
        <v>110</v>
      </c>
      <c r="S4" s="259" t="e">
        <f t="shared" ref="S4:S12" ca="1" si="1">(P4*100+Q4+R4)/10000</f>
        <v>#NAME?</v>
      </c>
      <c r="T4" s="264" t="e">
        <f ca="1">+PRICE($C$1,E4,F4/100,S4/100,100,G4,0)</f>
        <v>#NAME?</v>
      </c>
    </row>
    <row r="5" spans="1:21" x14ac:dyDescent="0.25">
      <c r="A5" s="99"/>
      <c r="B5" s="99"/>
      <c r="C5" s="99"/>
      <c r="D5" s="107">
        <v>42152</v>
      </c>
      <c r="E5" s="173">
        <v>43979</v>
      </c>
      <c r="F5" s="251">
        <v>0.05</v>
      </c>
      <c r="G5" s="113">
        <v>1</v>
      </c>
      <c r="H5" s="113">
        <v>1</v>
      </c>
      <c r="I5" s="85" t="e">
        <f ca="1">DURATION($C$1,E5,F5/100,S5/100,G5,H5)</f>
        <v>#NAME?</v>
      </c>
      <c r="J5" s="228" t="str">
        <f>"USSW"&amp;ROUNDDOWN(DAYS360($C$1,E5)/360,0)</f>
        <v>USSW3</v>
      </c>
      <c r="K5" s="51" t="str">
        <f t="shared" si="0"/>
        <v>USSW3 index</v>
      </c>
      <c r="L5" s="211" t="e">
        <f ca="1">IF(_xll.BDH(K5,$L$2,$C$1)="#N/A Invalid Security",0,_xll.BDH(K5,$L$2,$C$1))</f>
        <v>#NAME?</v>
      </c>
      <c r="M5" s="51" t="str">
        <f>"USSW"&amp;ROUNDUP(DAYS360($C$1,E5)/360,0)</f>
        <v>USSW4</v>
      </c>
      <c r="N5" s="51" t="str">
        <f t="shared" si="0"/>
        <v>USSW4 index</v>
      </c>
      <c r="O5" s="211" t="e">
        <f ca="1">_xll.BDH(N5,$O$2,$C$1)</f>
        <v>#NAME?</v>
      </c>
      <c r="P5" s="230" t="e">
        <f ca="1">(O5-L5)*((DAYS360($C$1,E5)/360)-ROUNDDOWN(DAYS360($C$1,E5)/360,0))+L5</f>
        <v>#NAME?</v>
      </c>
      <c r="Q5" s="257">
        <f t="shared" ref="Q5:R12" si="2">Q4</f>
        <v>282.72000000000003</v>
      </c>
      <c r="R5" s="260">
        <f t="shared" si="2"/>
        <v>110</v>
      </c>
      <c r="S5" s="259" t="e">
        <f t="shared" ca="1" si="1"/>
        <v>#NAME?</v>
      </c>
      <c r="T5" s="264" t="e">
        <f ca="1">+PRICE($C$1,E5,F5/100,S5/100,100,G5,0)</f>
        <v>#NAME?</v>
      </c>
    </row>
    <row r="6" spans="1:21" x14ac:dyDescent="0.25">
      <c r="A6" s="99"/>
      <c r="B6" s="99"/>
      <c r="C6" s="99"/>
      <c r="D6" s="107">
        <v>42180</v>
      </c>
      <c r="E6" s="173">
        <v>44007</v>
      </c>
      <c r="F6" s="251">
        <v>0.05</v>
      </c>
      <c r="G6" s="113">
        <v>1</v>
      </c>
      <c r="H6" s="113">
        <v>1</v>
      </c>
      <c r="I6" s="85" t="e">
        <f ca="1">DURATION($C$1,E6,F6/100,S6/100,G6,H6)</f>
        <v>#NAME?</v>
      </c>
      <c r="J6" s="228" t="str">
        <f>"USSW"&amp;ROUNDDOWN(DAYS360($C$1,E6)/360,0)</f>
        <v>USSW3</v>
      </c>
      <c r="K6" s="51" t="str">
        <f t="shared" si="0"/>
        <v>USSW3 index</v>
      </c>
      <c r="L6" s="211" t="e">
        <f ca="1">IF(_xll.BDH(K6,$L$2,$C$1)="#N/A Invalid Security",0,_xll.BDH(K6,$L$2,$C$1))</f>
        <v>#NAME?</v>
      </c>
      <c r="M6" s="51" t="str">
        <f>"USSW"&amp;ROUNDUP(DAYS360($C$1,E6)/360,0)</f>
        <v>USSW4</v>
      </c>
      <c r="N6" s="51" t="str">
        <f t="shared" si="0"/>
        <v>USSW4 index</v>
      </c>
      <c r="O6" s="211" t="e">
        <f ca="1">_xll.BDH(N6,$O$2,$C$1)</f>
        <v>#NAME?</v>
      </c>
      <c r="P6" s="230" t="e">
        <f ca="1">(O6-L6)*((DAYS360($C$1,E6)/360)-ROUNDDOWN(DAYS360($C$1,E6)/360,0))+L6</f>
        <v>#NAME?</v>
      </c>
      <c r="Q6" s="257">
        <f t="shared" si="2"/>
        <v>282.72000000000003</v>
      </c>
      <c r="R6" s="260">
        <f t="shared" si="2"/>
        <v>110</v>
      </c>
      <c r="S6" s="259" t="e">
        <f t="shared" ca="1" si="1"/>
        <v>#NAME?</v>
      </c>
      <c r="T6" s="264" t="e">
        <f ca="1">+PRICE($C$1,E6,F6/100,S6/100,100,G6,0)</f>
        <v>#NAME?</v>
      </c>
    </row>
    <row r="7" spans="1:21" x14ac:dyDescent="0.25">
      <c r="A7" s="99"/>
      <c r="B7" s="99"/>
      <c r="C7" s="99"/>
      <c r="D7" s="107">
        <v>42199</v>
      </c>
      <c r="E7" s="173">
        <v>44026</v>
      </c>
      <c r="F7" s="251">
        <v>0.05</v>
      </c>
      <c r="G7" s="113">
        <v>1</v>
      </c>
      <c r="H7" s="113">
        <v>1</v>
      </c>
      <c r="I7" s="85" t="e">
        <f ca="1">DURATION($C$1,E7,F7/100,S7/100,G7,H7)</f>
        <v>#NAME?</v>
      </c>
      <c r="J7" s="228" t="str">
        <f>"USSW"&amp;ROUNDDOWN(DAYS360($C$1,E7)/360,0)</f>
        <v>USSW3</v>
      </c>
      <c r="K7" s="51" t="str">
        <f t="shared" si="0"/>
        <v>USSW3 index</v>
      </c>
      <c r="L7" s="211" t="e">
        <f ca="1">IF(_xll.BDH(K7,$L$2,$C$1)="#N/A Invalid Security",0,_xll.BDH(K7,$L$2,$C$1))</f>
        <v>#NAME?</v>
      </c>
      <c r="M7" s="51" t="str">
        <f>"USSW"&amp;ROUNDUP(DAYS360($C$1,E7)/360,0)</f>
        <v>USSW4</v>
      </c>
      <c r="N7" s="51" t="str">
        <f t="shared" si="0"/>
        <v>USSW4 index</v>
      </c>
      <c r="O7" s="211" t="e">
        <f ca="1">_xll.BDH(N7,$O$2,$C$1)</f>
        <v>#NAME?</v>
      </c>
      <c r="P7" s="230" t="e">
        <f ca="1">(O7-L7)*((DAYS360($C$1,E7)/360)-ROUNDDOWN(DAYS360($C$1,E7)/360,0))+L7</f>
        <v>#NAME?</v>
      </c>
      <c r="Q7" s="257">
        <f t="shared" si="2"/>
        <v>282.72000000000003</v>
      </c>
      <c r="R7" s="260">
        <f t="shared" si="2"/>
        <v>110</v>
      </c>
      <c r="S7" s="259" t="e">
        <f t="shared" ca="1" si="1"/>
        <v>#NAME?</v>
      </c>
      <c r="T7" s="264" t="e">
        <f ca="1">+PRICE($C$1,E7,F7/100,S7/100,100,G7,0)</f>
        <v>#NAME?</v>
      </c>
    </row>
    <row r="8" spans="1:21" x14ac:dyDescent="0.25">
      <c r="A8" s="99"/>
      <c r="B8" s="99"/>
      <c r="C8" s="99"/>
      <c r="D8" s="107">
        <v>42244</v>
      </c>
      <c r="E8" s="173">
        <v>44071</v>
      </c>
      <c r="F8" s="251">
        <v>0.05</v>
      </c>
      <c r="G8" s="113">
        <v>1</v>
      </c>
      <c r="H8" s="113">
        <v>1</v>
      </c>
      <c r="I8" s="85" t="e">
        <f ca="1">DURATION($C$1,E8,F8/100,S8/100,G8,H8)</f>
        <v>#NAME?</v>
      </c>
      <c r="J8" s="228" t="str">
        <f>"USSW"&amp;ROUNDDOWN(DAYS360($C$1,E8)/360,0)</f>
        <v>USSW3</v>
      </c>
      <c r="K8" s="51" t="str">
        <f t="shared" si="0"/>
        <v>USSW3 index</v>
      </c>
      <c r="L8" s="211" t="e">
        <f ca="1">IF(_xll.BDH(K8,$L$2,$C$1)="#N/A Invalid Security",0,_xll.BDH(K8,$L$2,$C$1))</f>
        <v>#NAME?</v>
      </c>
      <c r="M8" s="51" t="str">
        <f>"USSW"&amp;ROUNDUP(DAYS360($C$1,E8)/360,0)</f>
        <v>USSW4</v>
      </c>
      <c r="N8" s="51" t="str">
        <f t="shared" si="0"/>
        <v>USSW4 index</v>
      </c>
      <c r="O8" s="211" t="e">
        <f ca="1">_xll.BDH(N8,$O$2,$C$1)</f>
        <v>#NAME?</v>
      </c>
      <c r="P8" s="230" t="e">
        <f ca="1">(O8-L8)*((DAYS360($C$1,E8)/360)-ROUNDDOWN(DAYS360($C$1,E8)/360,0))+L8</f>
        <v>#NAME?</v>
      </c>
      <c r="Q8" s="257">
        <f t="shared" si="2"/>
        <v>282.72000000000003</v>
      </c>
      <c r="R8" s="260">
        <f t="shared" si="2"/>
        <v>110</v>
      </c>
      <c r="S8" s="259" t="e">
        <f t="shared" ca="1" si="1"/>
        <v>#NAME?</v>
      </c>
      <c r="T8" s="264" t="e">
        <f ca="1">+PRICE($C$1,E8,F8/100,S8/100,100,G8,0)</f>
        <v>#NAME?</v>
      </c>
    </row>
    <row r="9" spans="1:21" x14ac:dyDescent="0.25">
      <c r="A9" s="99"/>
      <c r="B9" s="99"/>
      <c r="C9" s="99"/>
      <c r="D9" s="107">
        <v>42258</v>
      </c>
      <c r="E9" s="173">
        <v>44085</v>
      </c>
      <c r="F9" s="251">
        <v>0.05</v>
      </c>
      <c r="G9" s="113">
        <v>1</v>
      </c>
      <c r="H9" s="113">
        <v>1</v>
      </c>
      <c r="I9" s="85" t="e">
        <f ca="1">DURATION($C$1,E9,F9/100,S9/100,G9,H9)</f>
        <v>#NAME?</v>
      </c>
      <c r="J9" s="228" t="str">
        <f>"USSW"&amp;ROUNDDOWN(DAYS360($C$1,E9)/360,0)</f>
        <v>USSW4</v>
      </c>
      <c r="K9" s="51" t="str">
        <f t="shared" si="0"/>
        <v>USSW4 index</v>
      </c>
      <c r="L9" s="211" t="e">
        <f ca="1">IF(_xll.BDH(K9,$L$2,$C$1)="#N/A Invalid Security",0,_xll.BDH(K9,$L$2,$C$1))</f>
        <v>#NAME?</v>
      </c>
      <c r="M9" s="51" t="str">
        <f>"USSW"&amp;ROUNDUP(DAYS360($C$1,E9)/360,0)</f>
        <v>USSW5</v>
      </c>
      <c r="N9" s="51" t="str">
        <f t="shared" si="0"/>
        <v>USSW5 index</v>
      </c>
      <c r="O9" s="211" t="e">
        <f ca="1">_xll.BDH(N9,$O$2,$C$1)</f>
        <v>#NAME?</v>
      </c>
      <c r="P9" s="230" t="e">
        <f ca="1">(O9-L9)*((DAYS360($C$1,E9)/360)-ROUNDDOWN(DAYS360($C$1,E9)/360,0))+L9</f>
        <v>#NAME?</v>
      </c>
      <c r="Q9" s="257">
        <f t="shared" si="2"/>
        <v>282.72000000000003</v>
      </c>
      <c r="R9" s="260">
        <f t="shared" si="2"/>
        <v>110</v>
      </c>
      <c r="S9" s="259" t="e">
        <f t="shared" ca="1" si="1"/>
        <v>#NAME?</v>
      </c>
      <c r="T9" s="264" t="e">
        <f ca="1">+PRICE($C$1,E9,F9/100,S9/100,100,G9,0)</f>
        <v>#NAME?</v>
      </c>
    </row>
    <row r="10" spans="1:21" x14ac:dyDescent="0.25">
      <c r="A10" s="99"/>
      <c r="B10" s="99"/>
      <c r="C10" s="99"/>
      <c r="D10" s="107">
        <v>42275</v>
      </c>
      <c r="E10" s="173">
        <v>44102</v>
      </c>
      <c r="F10" s="251">
        <v>0.05</v>
      </c>
      <c r="G10" s="113">
        <v>1</v>
      </c>
      <c r="H10" s="113">
        <v>1</v>
      </c>
      <c r="I10" s="85" t="e">
        <f ca="1">DURATION($C$1,E10,F10/100,S10/100,G10,H10)</f>
        <v>#NAME?</v>
      </c>
      <c r="J10" s="228" t="str">
        <f>"USSW"&amp;ROUNDDOWN(DAYS360($C$1,E10)/360,0)</f>
        <v>USSW4</v>
      </c>
      <c r="K10" s="51" t="str">
        <f t="shared" si="0"/>
        <v>USSW4 index</v>
      </c>
      <c r="L10" s="211" t="e">
        <f ca="1">IF(_xll.BDH(K10,$L$2,$C$1)="#N/A Invalid Security",0,_xll.BDH(K10,$L$2,$C$1))</f>
        <v>#NAME?</v>
      </c>
      <c r="M10" s="51" t="str">
        <f>"USSW"&amp;ROUNDUP(DAYS360($C$1,E10)/360,0)</f>
        <v>USSW5</v>
      </c>
      <c r="N10" s="51" t="str">
        <f t="shared" si="0"/>
        <v>USSW5 index</v>
      </c>
      <c r="O10" s="211" t="e">
        <f ca="1">_xll.BDH(N10,$O$2,$C$1)</f>
        <v>#NAME?</v>
      </c>
      <c r="P10" s="230" t="e">
        <f ca="1">(O10-L10)*((DAYS360($C$1,E10)/360)-ROUNDDOWN(DAYS360($C$1,E10)/360,0))+L10</f>
        <v>#NAME?</v>
      </c>
      <c r="Q10" s="257">
        <f t="shared" si="2"/>
        <v>282.72000000000003</v>
      </c>
      <c r="R10" s="260">
        <f t="shared" si="2"/>
        <v>110</v>
      </c>
      <c r="S10" s="259" t="e">
        <f t="shared" ca="1" si="1"/>
        <v>#NAME?</v>
      </c>
      <c r="T10" s="264" t="e">
        <f ca="1">+PRICE($C$1,E10,F10/100,S10/100,100,G10,0)</f>
        <v>#NAME?</v>
      </c>
    </row>
    <row r="11" spans="1:21" x14ac:dyDescent="0.25">
      <c r="A11" s="99"/>
      <c r="B11" s="99"/>
      <c r="C11" s="99"/>
      <c r="D11" s="107">
        <v>42283</v>
      </c>
      <c r="E11" s="173">
        <v>44102</v>
      </c>
      <c r="F11" s="251">
        <v>0.05</v>
      </c>
      <c r="G11" s="113">
        <v>1</v>
      </c>
      <c r="H11" s="113">
        <v>1</v>
      </c>
      <c r="I11" s="85" t="e">
        <f ca="1">DURATION($C$1,E11,F11/100,S11/100,G11,H11)</f>
        <v>#NAME?</v>
      </c>
      <c r="J11" s="228" t="str">
        <f>"USSW"&amp;ROUNDDOWN(DAYS360($C$1,E11)/360,0)</f>
        <v>USSW4</v>
      </c>
      <c r="K11" s="51" t="str">
        <f t="shared" si="0"/>
        <v>USSW4 index</v>
      </c>
      <c r="L11" s="211" t="e">
        <f ca="1">IF(_xll.BDH(K11,$L$2,$C$1)="#N/A Invalid Security",0,_xll.BDH(K11,$L$2,$C$1))</f>
        <v>#NAME?</v>
      </c>
      <c r="M11" s="51" t="str">
        <f>"USSW"&amp;ROUNDUP(DAYS360($C$1,E11)/360,0)</f>
        <v>USSW5</v>
      </c>
      <c r="N11" s="51" t="str">
        <f t="shared" si="0"/>
        <v>USSW5 index</v>
      </c>
      <c r="O11" s="211" t="e">
        <f ca="1">_xll.BDH(N11,$O$2,$C$1)</f>
        <v>#NAME?</v>
      </c>
      <c r="P11" s="230" t="e">
        <f ca="1">(O11-L11)*((DAYS360($C$1,E11)/360)-ROUNDDOWN(DAYS360($C$1,E11)/360,0))+L11</f>
        <v>#NAME?</v>
      </c>
      <c r="Q11" s="257">
        <f t="shared" si="2"/>
        <v>282.72000000000003</v>
      </c>
      <c r="R11" s="260">
        <f t="shared" si="2"/>
        <v>110</v>
      </c>
      <c r="S11" s="259" t="e">
        <f t="shared" ca="1" si="1"/>
        <v>#NAME?</v>
      </c>
      <c r="T11" s="264" t="e">
        <f ca="1">+PRICE($C$1,E11,F11/100,S11/100,100,G11,0)</f>
        <v>#NAME?</v>
      </c>
    </row>
    <row r="12" spans="1:21" x14ac:dyDescent="0.25">
      <c r="A12" s="99"/>
      <c r="B12" s="99"/>
      <c r="C12" s="99"/>
      <c r="D12" s="107">
        <v>42353</v>
      </c>
      <c r="E12" s="173">
        <v>44180</v>
      </c>
      <c r="F12" s="251">
        <v>0.05</v>
      </c>
      <c r="G12" s="113">
        <v>1</v>
      </c>
      <c r="H12" s="113">
        <v>1</v>
      </c>
      <c r="I12" s="85" t="e">
        <f ca="1">DURATION($C$1,E12,F12/100,S12/100,G12,H12)</f>
        <v>#NAME?</v>
      </c>
      <c r="J12" s="228" t="str">
        <f>"USSW"&amp;ROUNDDOWN(DAYS360($C$1,E12)/360,0)</f>
        <v>USSW4</v>
      </c>
      <c r="K12" s="51" t="str">
        <f t="shared" si="0"/>
        <v>USSW4 index</v>
      </c>
      <c r="L12" s="211" t="e">
        <f ca="1">IF(_xll.BDH(K12,$L$2,$C$1)="#N/A Invalid Security",0,_xll.BDH(K12,$L$2,$C$1))</f>
        <v>#NAME?</v>
      </c>
      <c r="M12" s="51" t="str">
        <f>"USSW"&amp;ROUNDUP(DAYS360($C$1,E12)/360,0)</f>
        <v>USSW5</v>
      </c>
      <c r="N12" s="51" t="str">
        <f>+M12&amp;" index"</f>
        <v>USSW5 index</v>
      </c>
      <c r="O12" s="211" t="e">
        <f ca="1">_xll.BDH(N12,$O$2,$C$1)</f>
        <v>#NAME?</v>
      </c>
      <c r="P12" s="230" t="e">
        <f ca="1">(O12-L12)*((DAYS360($C$1,E12)/360)-ROUNDDOWN(DAYS360($C$1,E12)/360,0))+L12</f>
        <v>#NAME?</v>
      </c>
      <c r="Q12" s="257">
        <f t="shared" si="2"/>
        <v>282.72000000000003</v>
      </c>
      <c r="R12" s="260">
        <f t="shared" si="2"/>
        <v>110</v>
      </c>
      <c r="S12" s="259" t="e">
        <f t="shared" ca="1" si="1"/>
        <v>#NAME?</v>
      </c>
      <c r="T12" s="264" t="e">
        <f ca="1">+PRICE($C$1,E12,F12/100,S12/100,100,G12,0)</f>
        <v>#NAME?</v>
      </c>
    </row>
    <row r="13" spans="1:21" x14ac:dyDescent="0.25">
      <c r="G13" s="84"/>
      <c r="H13" s="84"/>
      <c r="I13" s="85"/>
      <c r="J13" s="228"/>
      <c r="K13" s="51"/>
      <c r="L13" s="211"/>
      <c r="M13" s="98"/>
      <c r="N13" s="212"/>
      <c r="O13" s="211"/>
      <c r="P13" s="256"/>
      <c r="S13" s="5"/>
    </row>
    <row r="14" spans="1:21" x14ac:dyDescent="0.25">
      <c r="J14" s="252"/>
      <c r="K14" s="212"/>
      <c r="L14" s="253"/>
      <c r="M14" s="212"/>
      <c r="N14" s="212"/>
      <c r="O14" s="253"/>
      <c r="P14" s="254"/>
    </row>
    <row r="15" spans="1:21" x14ac:dyDescent="0.25">
      <c r="A15" s="135"/>
      <c r="B15" s="136" t="s">
        <v>77</v>
      </c>
      <c r="C15" s="235">
        <f>IF(E15,E15,Valuation_Date)</f>
        <v>42369</v>
      </c>
      <c r="D15" s="137" t="s">
        <v>232</v>
      </c>
      <c r="E15" s="261">
        <v>42369</v>
      </c>
      <c r="F15" s="137"/>
      <c r="G15" s="138"/>
      <c r="H15" s="138" t="s">
        <v>146</v>
      </c>
      <c r="I15" s="138"/>
      <c r="J15" s="96"/>
      <c r="K15" s="96"/>
      <c r="L15" s="96"/>
      <c r="M15" s="96"/>
      <c r="N15" s="96"/>
      <c r="O15" s="96"/>
      <c r="P15" s="96" t="s">
        <v>68</v>
      </c>
      <c r="Q15" s="137" t="s">
        <v>233</v>
      </c>
      <c r="R15" s="137">
        <v>101</v>
      </c>
      <c r="S15" s="137"/>
      <c r="T15" s="262"/>
    </row>
    <row r="16" spans="1:21" x14ac:dyDescent="0.25">
      <c r="A16" s="139" t="s">
        <v>227</v>
      </c>
      <c r="B16" s="139" t="s">
        <v>228</v>
      </c>
      <c r="C16" s="139" t="s">
        <v>229</v>
      </c>
      <c r="D16" s="139" t="s">
        <v>230</v>
      </c>
      <c r="E16" s="139" t="s">
        <v>2</v>
      </c>
      <c r="F16" s="139" t="s">
        <v>3</v>
      </c>
      <c r="G16" s="140" t="s">
        <v>5</v>
      </c>
      <c r="H16" s="140" t="s">
        <v>106</v>
      </c>
      <c r="I16" s="140" t="s">
        <v>12</v>
      </c>
      <c r="J16" s="266" t="s">
        <v>130</v>
      </c>
      <c r="K16" s="266" t="s">
        <v>131</v>
      </c>
      <c r="L16" s="266" t="s">
        <v>100</v>
      </c>
      <c r="M16" s="266" t="s">
        <v>130</v>
      </c>
      <c r="N16" s="266" t="s">
        <v>131</v>
      </c>
      <c r="O16" s="266" t="s">
        <v>100</v>
      </c>
      <c r="P16" s="266" t="s">
        <v>212</v>
      </c>
      <c r="Q16" s="139" t="s">
        <v>231</v>
      </c>
      <c r="R16" s="139" t="s">
        <v>73</v>
      </c>
      <c r="S16" s="139" t="s">
        <v>75</v>
      </c>
      <c r="T16" s="263" t="s">
        <v>76</v>
      </c>
    </row>
    <row r="17" spans="1:21" x14ac:dyDescent="0.25">
      <c r="A17" s="99"/>
      <c r="B17" s="99"/>
      <c r="C17" s="99"/>
      <c r="D17" s="107">
        <v>41375</v>
      </c>
      <c r="E17" s="173">
        <v>43201</v>
      </c>
      <c r="F17" s="251">
        <v>0.05</v>
      </c>
      <c r="G17" s="113">
        <v>1</v>
      </c>
      <c r="H17" s="113">
        <v>1</v>
      </c>
      <c r="I17" s="85">
        <f>DURATION($C$1,E17,F17/100,S17/100,G17,H17)</f>
        <v>1.6104591459121829</v>
      </c>
      <c r="J17" s="228" t="str">
        <f>"USSW"&amp;ROUNDDOWN(DAYS360($C$1,E17)/360,0)</f>
        <v>USSW1</v>
      </c>
      <c r="K17" s="51" t="str">
        <f t="shared" ref="K17:K26" si="3">+J17&amp;" index"</f>
        <v>USSW1 index</v>
      </c>
      <c r="L17" s="211">
        <v>1.179</v>
      </c>
      <c r="M17" s="51" t="str">
        <f>"USSW"&amp;ROUNDUP(DAYS360($C$1,E17)/360,0)</f>
        <v>USSW2</v>
      </c>
      <c r="N17" s="51" t="str">
        <f t="shared" ref="N17:N25" si="4">+M17&amp;" index"</f>
        <v>USSW2 index</v>
      </c>
      <c r="O17" s="211">
        <v>1.4159999999999999</v>
      </c>
      <c r="P17" s="230">
        <f>(O17-L17)*((DAYS360($C$1,E17)/360)-ROUNDDOWN(DAYS360($C$1,E17)/360,0))+L17</f>
        <v>1.3244916666666666</v>
      </c>
      <c r="Q17" s="258">
        <v>282.72000000000003</v>
      </c>
      <c r="R17" s="91">
        <f>IF(R15,R15,Reuters_Liquidity_Premium)</f>
        <v>101</v>
      </c>
      <c r="S17" s="259">
        <f>(P17*100+Q17+R17)/10000</f>
        <v>5.1616916666666665E-2</v>
      </c>
      <c r="T17" s="264">
        <f>+PRICE($C$1,E17,F17/100,S17/100,100,G17,0)</f>
        <v>99.997393656105373</v>
      </c>
      <c r="U17" s="68"/>
    </row>
    <row r="18" spans="1:21" x14ac:dyDescent="0.25">
      <c r="A18" s="99"/>
      <c r="B18" s="99"/>
      <c r="C18" s="99"/>
      <c r="D18" s="107">
        <v>41509</v>
      </c>
      <c r="E18" s="173">
        <v>43335</v>
      </c>
      <c r="F18" s="251">
        <v>0.05</v>
      </c>
      <c r="G18" s="113">
        <v>1</v>
      </c>
      <c r="H18" s="113">
        <v>1</v>
      </c>
      <c r="I18" s="85">
        <f>DURATION($C$1,E18,F18/100,S18/100,G18,H18)</f>
        <v>1.9775824292449271</v>
      </c>
      <c r="J18" s="228" t="str">
        <f>"USSW"&amp;ROUNDDOWN(DAYS360($C$1,E18)/360,0)</f>
        <v>USSW1</v>
      </c>
      <c r="K18" s="51" t="str">
        <f t="shared" si="3"/>
        <v>USSW1 index</v>
      </c>
      <c r="L18" s="211">
        <v>1.179</v>
      </c>
      <c r="M18" s="51" t="str">
        <f>"USSW"&amp;ROUNDUP(DAYS360($C$1,E18)/360,0)</f>
        <v>USSW2</v>
      </c>
      <c r="N18" s="51" t="str">
        <f t="shared" si="4"/>
        <v>USSW2 index</v>
      </c>
      <c r="O18" s="211">
        <v>1.4159999999999999</v>
      </c>
      <c r="P18" s="230">
        <f>(O18-L18)*((DAYS360($C$1,E18)/360)-ROUNDDOWN(DAYS360($C$1,E18)/360,0))+L18</f>
        <v>1.4113916666666666</v>
      </c>
      <c r="Q18" s="257">
        <f>Q17</f>
        <v>282.72000000000003</v>
      </c>
      <c r="R18" s="260">
        <f>R17</f>
        <v>101</v>
      </c>
      <c r="S18" s="259">
        <f t="shared" ref="S18:S26" si="5">(P18*100+Q18+R18)/10000</f>
        <v>5.248591666666666E-2</v>
      </c>
      <c r="T18" s="264">
        <f>+PRICE($C$1,E18,F18/100,S18/100,100,G18,0)</f>
        <v>99.995086963681274</v>
      </c>
    </row>
    <row r="19" spans="1:21" x14ac:dyDescent="0.25">
      <c r="A19" s="99"/>
      <c r="B19" s="99"/>
      <c r="C19" s="99"/>
      <c r="D19" s="107">
        <v>42152</v>
      </c>
      <c r="E19" s="173">
        <v>43979</v>
      </c>
      <c r="F19" s="251">
        <v>0.05</v>
      </c>
      <c r="G19" s="113">
        <v>1</v>
      </c>
      <c r="H19" s="113">
        <v>1</v>
      </c>
      <c r="I19" s="85">
        <f>DURATION($C$1,E19,F19/100,S19/100,G19,H19)</f>
        <v>3.7367281509433719</v>
      </c>
      <c r="J19" s="228" t="str">
        <f>"USSW"&amp;ROUNDDOWN(DAYS360($C$1,E19)/360,0)</f>
        <v>USSW3</v>
      </c>
      <c r="K19" s="51" t="str">
        <f t="shared" si="3"/>
        <v>USSW3 index</v>
      </c>
      <c r="L19" s="211">
        <v>1.5895000000000001</v>
      </c>
      <c r="M19" s="51" t="str">
        <f>"USSW"&amp;ROUNDUP(DAYS360($C$1,E19)/360,0)</f>
        <v>USSW4</v>
      </c>
      <c r="N19" s="51" t="str">
        <f t="shared" si="4"/>
        <v>USSW4 index</v>
      </c>
      <c r="O19" s="211">
        <v>1.7368999999999999</v>
      </c>
      <c r="P19" s="230">
        <f>(O19-L19)*((DAYS360($C$1,E19)/360)-ROUNDDOWN(DAYS360($C$1,E19)/360,0))+L19</f>
        <v>1.6992311111111111</v>
      </c>
      <c r="Q19" s="257">
        <f t="shared" ref="Q19:R19" si="6">Q18</f>
        <v>282.72000000000003</v>
      </c>
      <c r="R19" s="260">
        <f t="shared" si="6"/>
        <v>101</v>
      </c>
      <c r="S19" s="259">
        <f t="shared" si="5"/>
        <v>5.5364311111111113E-2</v>
      </c>
      <c r="T19" s="264">
        <f>+PRICE($C$1,E19,F19/100,S19/100,100,G19,0)</f>
        <v>99.979952202690029</v>
      </c>
    </row>
    <row r="20" spans="1:21" x14ac:dyDescent="0.25">
      <c r="A20" s="99"/>
      <c r="B20" s="99"/>
      <c r="C20" s="99"/>
      <c r="D20" s="107">
        <v>42180</v>
      </c>
      <c r="E20" s="173">
        <v>44007</v>
      </c>
      <c r="F20" s="251">
        <v>0.05</v>
      </c>
      <c r="G20" s="113">
        <v>1</v>
      </c>
      <c r="H20" s="113">
        <v>1</v>
      </c>
      <c r="I20" s="85">
        <f>DURATION($C$1,E20,F20/100,S20/100,G20,H20)</f>
        <v>3.8134404719906549</v>
      </c>
      <c r="J20" s="228" t="str">
        <f>"USSW"&amp;ROUNDDOWN(DAYS360($C$1,E20)/360,0)</f>
        <v>USSW3</v>
      </c>
      <c r="K20" s="51" t="str">
        <f t="shared" si="3"/>
        <v>USSW3 index</v>
      </c>
      <c r="L20" s="211">
        <v>1.5895000000000001</v>
      </c>
      <c r="M20" s="51" t="str">
        <f>"USSW"&amp;ROUNDUP(DAYS360($C$1,E20)/360,0)</f>
        <v>USSW4</v>
      </c>
      <c r="N20" s="51" t="str">
        <f t="shared" si="4"/>
        <v>USSW4 index</v>
      </c>
      <c r="O20" s="211">
        <v>1.7368999999999999</v>
      </c>
      <c r="P20" s="230">
        <f>(O20-L20)*((DAYS360($C$1,E20)/360)-ROUNDDOWN(DAYS360($C$1,E20)/360,0))+L20</f>
        <v>1.7102861111111112</v>
      </c>
      <c r="Q20" s="257">
        <f t="shared" ref="Q20:R20" si="7">Q19</f>
        <v>282.72000000000003</v>
      </c>
      <c r="R20" s="260">
        <f t="shared" si="7"/>
        <v>101</v>
      </c>
      <c r="S20" s="259">
        <f t="shared" si="5"/>
        <v>5.5474861111111114E-2</v>
      </c>
      <c r="T20" s="264">
        <f>+PRICE($C$1,E20,F20/100,S20/100,100,G20,0)</f>
        <v>99.97913009142664</v>
      </c>
    </row>
    <row r="21" spans="1:21" x14ac:dyDescent="0.25">
      <c r="A21" s="99"/>
      <c r="B21" s="99"/>
      <c r="C21" s="99"/>
      <c r="D21" s="107">
        <v>42199</v>
      </c>
      <c r="E21" s="173">
        <v>44026</v>
      </c>
      <c r="F21" s="251">
        <v>0.05</v>
      </c>
      <c r="G21" s="113">
        <v>1</v>
      </c>
      <c r="H21" s="113">
        <v>1</v>
      </c>
      <c r="I21" s="85">
        <f>DURATION($C$1,E21,F21/100,S21/100,G21,H21)</f>
        <v>3.8654952610787165</v>
      </c>
      <c r="J21" s="228" t="str">
        <f>"USSW"&amp;ROUNDDOWN(DAYS360($C$1,E21)/360,0)</f>
        <v>USSW3</v>
      </c>
      <c r="K21" s="51" t="str">
        <f t="shared" si="3"/>
        <v>USSW3 index</v>
      </c>
      <c r="L21" s="211">
        <v>1.5895000000000001</v>
      </c>
      <c r="M21" s="51" t="str">
        <f>"USSW"&amp;ROUNDUP(DAYS360($C$1,E21)/360,0)</f>
        <v>USSW4</v>
      </c>
      <c r="N21" s="51" t="str">
        <f t="shared" si="4"/>
        <v>USSW4 index</v>
      </c>
      <c r="O21" s="211">
        <v>1.7368999999999999</v>
      </c>
      <c r="P21" s="230">
        <f>(O21-L21)*((DAYS360($C$1,E21)/360)-ROUNDDOWN(DAYS360($C$1,E21)/360,0))+L21</f>
        <v>1.7180655555555555</v>
      </c>
      <c r="Q21" s="257">
        <f t="shared" ref="Q21:R21" si="8">Q20</f>
        <v>282.72000000000003</v>
      </c>
      <c r="R21" s="260">
        <f t="shared" si="8"/>
        <v>101</v>
      </c>
      <c r="S21" s="259">
        <f t="shared" si="5"/>
        <v>5.5552655555555552E-2</v>
      </c>
      <c r="T21" s="264">
        <f>+PRICE($C$1,E21,F21/100,S21/100,100,G21,0)</f>
        <v>99.978541760876638</v>
      </c>
    </row>
    <row r="22" spans="1:21" x14ac:dyDescent="0.25">
      <c r="A22" s="99"/>
      <c r="B22" s="99"/>
      <c r="C22" s="99"/>
      <c r="D22" s="107">
        <v>42244</v>
      </c>
      <c r="E22" s="173">
        <v>44071</v>
      </c>
      <c r="F22" s="251">
        <v>0.05</v>
      </c>
      <c r="G22" s="113">
        <v>1</v>
      </c>
      <c r="H22" s="113">
        <v>1</v>
      </c>
      <c r="I22" s="85">
        <f>DURATION($C$1,E22,F22/100,S22/100,G22,H22)</f>
        <v>3.9887829197310714</v>
      </c>
      <c r="J22" s="228" t="str">
        <f>"USSW"&amp;ROUNDDOWN(DAYS360($C$1,E22)/360,0)</f>
        <v>USSW3</v>
      </c>
      <c r="K22" s="51" t="str">
        <f t="shared" si="3"/>
        <v>USSW3 index</v>
      </c>
      <c r="L22" s="211">
        <v>1.5895000000000001</v>
      </c>
      <c r="M22" s="51" t="str">
        <f>"USSW"&amp;ROUNDUP(DAYS360($C$1,E22)/360,0)</f>
        <v>USSW4</v>
      </c>
      <c r="N22" s="51" t="str">
        <f t="shared" si="4"/>
        <v>USSW4 index</v>
      </c>
      <c r="O22" s="211">
        <v>1.7368999999999999</v>
      </c>
      <c r="P22" s="230">
        <f>(O22-L22)*((DAYS360($C$1,E22)/360)-ROUNDDOWN(DAYS360($C$1,E22)/360,0))+L22</f>
        <v>1.736081111111111</v>
      </c>
      <c r="Q22" s="257">
        <f t="shared" ref="Q22:R22" si="9">Q21</f>
        <v>282.72000000000003</v>
      </c>
      <c r="R22" s="260">
        <f t="shared" si="9"/>
        <v>101</v>
      </c>
      <c r="S22" s="259">
        <f t="shared" si="5"/>
        <v>5.573281111111112E-2</v>
      </c>
      <c r="T22" s="264">
        <f>+PRICE($C$1,E22,F22/100,S22/100,100,G22,0)</f>
        <v>99.97714820934911</v>
      </c>
    </row>
    <row r="23" spans="1:21" x14ac:dyDescent="0.25">
      <c r="A23" s="99"/>
      <c r="B23" s="99"/>
      <c r="C23" s="99"/>
      <c r="D23" s="107">
        <v>42258</v>
      </c>
      <c r="E23" s="173">
        <v>44085</v>
      </c>
      <c r="F23" s="251">
        <v>0.05</v>
      </c>
      <c r="G23" s="113">
        <v>1</v>
      </c>
      <c r="H23" s="113">
        <v>1</v>
      </c>
      <c r="I23" s="85">
        <f>DURATION($C$1,E23,F23/100,S23/100,G23,H23)</f>
        <v>4.0250589955359892</v>
      </c>
      <c r="J23" s="228" t="str">
        <f>"USSW"&amp;ROUNDDOWN(DAYS360($C$1,E23)/360,0)</f>
        <v>USSW4</v>
      </c>
      <c r="K23" s="51" t="str">
        <f t="shared" si="3"/>
        <v>USSW4 index</v>
      </c>
      <c r="L23" s="211">
        <v>1.5895000000000001</v>
      </c>
      <c r="M23" s="51" t="str">
        <f>"USSW"&amp;ROUNDUP(DAYS360($C$1,E23)/360,0)</f>
        <v>USSW5</v>
      </c>
      <c r="N23" s="51" t="str">
        <f t="shared" si="4"/>
        <v>USSW5 index</v>
      </c>
      <c r="O23" s="211">
        <v>1.7368999999999999</v>
      </c>
      <c r="P23" s="230">
        <f>(O23-L23)*((DAYS360($C$1,E23)/360)-ROUNDDOWN(DAYS360($C$1,E23)/360,0))+L23</f>
        <v>1.594003888888889</v>
      </c>
      <c r="Q23" s="257">
        <f t="shared" ref="Q23:R23" si="10">Q22</f>
        <v>282.72000000000003</v>
      </c>
      <c r="R23" s="260">
        <f t="shared" si="10"/>
        <v>101</v>
      </c>
      <c r="S23" s="259">
        <f t="shared" si="5"/>
        <v>5.4312038888888893E-2</v>
      </c>
      <c r="T23" s="264">
        <f>+PRICE($C$1,E23,F23/100,S23/100,100,G23,0)</f>
        <v>99.982655386322193</v>
      </c>
    </row>
    <row r="24" spans="1:21" x14ac:dyDescent="0.25">
      <c r="A24" s="99"/>
      <c r="B24" s="99"/>
      <c r="C24" s="99"/>
      <c r="D24" s="107">
        <v>42275</v>
      </c>
      <c r="E24" s="173">
        <v>44102</v>
      </c>
      <c r="F24" s="251">
        <v>0.05</v>
      </c>
      <c r="G24" s="113">
        <v>1</v>
      </c>
      <c r="H24" s="113">
        <v>1</v>
      </c>
      <c r="I24" s="85">
        <f>DURATION($C$1,E24,F24/100,S24/100,G24,H24)</f>
        <v>4.071507072557063</v>
      </c>
      <c r="J24" s="228" t="str">
        <f>"USSW"&amp;ROUNDDOWN(DAYS360($C$1,E24)/360,0)</f>
        <v>USSW4</v>
      </c>
      <c r="K24" s="51" t="str">
        <f t="shared" si="3"/>
        <v>USSW4 index</v>
      </c>
      <c r="L24" s="211">
        <v>1.5895000000000001</v>
      </c>
      <c r="M24" s="51" t="str">
        <f>"USSW"&amp;ROUNDUP(DAYS360($C$1,E24)/360,0)</f>
        <v>USSW5</v>
      </c>
      <c r="N24" s="51" t="str">
        <f t="shared" si="4"/>
        <v>USSW5 index</v>
      </c>
      <c r="O24" s="211">
        <v>1.7368999999999999</v>
      </c>
      <c r="P24" s="230">
        <f>(O24-L24)*((DAYS360($C$1,E24)/360)-ROUNDDOWN(DAYS360($C$1,E24)/360,0))+L24</f>
        <v>1.6009644444444444</v>
      </c>
      <c r="Q24" s="257">
        <f t="shared" ref="Q24:R24" si="11">Q23</f>
        <v>282.72000000000003</v>
      </c>
      <c r="R24" s="260">
        <f t="shared" si="11"/>
        <v>101</v>
      </c>
      <c r="S24" s="259">
        <f t="shared" si="5"/>
        <v>5.4381644444444439E-2</v>
      </c>
      <c r="T24" s="264">
        <f>+PRICE($C$1,E24,F24/100,S24/100,100,G24,0)</f>
        <v>99.982168467787048</v>
      </c>
    </row>
    <row r="25" spans="1:21" x14ac:dyDescent="0.25">
      <c r="A25" s="99"/>
      <c r="B25" s="99"/>
      <c r="C25" s="99"/>
      <c r="D25" s="107">
        <v>42283</v>
      </c>
      <c r="E25" s="173">
        <v>44102</v>
      </c>
      <c r="F25" s="251">
        <v>0.05</v>
      </c>
      <c r="G25" s="113">
        <v>1</v>
      </c>
      <c r="H25" s="113">
        <v>1</v>
      </c>
      <c r="I25" s="85">
        <f>DURATION($C$1,E25,F25/100,S25/100,G25,H25)</f>
        <v>4.071507072557063</v>
      </c>
      <c r="J25" s="228" t="str">
        <f>"USSW"&amp;ROUNDDOWN(DAYS360($C$1,E25)/360,0)</f>
        <v>USSW4</v>
      </c>
      <c r="K25" s="51" t="str">
        <f t="shared" si="3"/>
        <v>USSW4 index</v>
      </c>
      <c r="L25" s="211">
        <v>1.5895000000000001</v>
      </c>
      <c r="M25" s="51" t="str">
        <f>"USSW"&amp;ROUNDUP(DAYS360($C$1,E25)/360,0)</f>
        <v>USSW5</v>
      </c>
      <c r="N25" s="51" t="str">
        <f t="shared" si="4"/>
        <v>USSW5 index</v>
      </c>
      <c r="O25" s="211">
        <v>1.7368999999999999</v>
      </c>
      <c r="P25" s="230">
        <f>(O25-L25)*((DAYS360($C$1,E25)/360)-ROUNDDOWN(DAYS360($C$1,E25)/360,0))+L25</f>
        <v>1.6009644444444444</v>
      </c>
      <c r="Q25" s="257">
        <f t="shared" ref="Q25:R25" si="12">Q24</f>
        <v>282.72000000000003</v>
      </c>
      <c r="R25" s="260">
        <f t="shared" si="12"/>
        <v>101</v>
      </c>
      <c r="S25" s="259">
        <f t="shared" si="5"/>
        <v>5.4381644444444439E-2</v>
      </c>
      <c r="T25" s="264">
        <f>+PRICE($C$1,E25,F25/100,S25/100,100,G25,0)</f>
        <v>99.982168467787048</v>
      </c>
    </row>
    <row r="26" spans="1:21" x14ac:dyDescent="0.25">
      <c r="A26" s="99"/>
      <c r="B26" s="99"/>
      <c r="C26" s="99"/>
      <c r="D26" s="107">
        <v>42353</v>
      </c>
      <c r="E26" s="173">
        <v>44180</v>
      </c>
      <c r="F26" s="251">
        <v>0.05</v>
      </c>
      <c r="G26" s="113">
        <v>1</v>
      </c>
      <c r="H26" s="113">
        <v>1</v>
      </c>
      <c r="I26" s="85">
        <f>DURATION($C$1,E26,F26/100,S26/100,G26,H26)</f>
        <v>4.284621779501232</v>
      </c>
      <c r="J26" s="228" t="str">
        <f>"USSW"&amp;ROUNDDOWN(DAYS360($C$1,E26)/360,0)</f>
        <v>USSW4</v>
      </c>
      <c r="K26" s="51" t="str">
        <f t="shared" si="3"/>
        <v>USSW4 index</v>
      </c>
      <c r="L26" s="211">
        <v>1.5895000000000001</v>
      </c>
      <c r="M26" s="51" t="str">
        <f>"USSW"&amp;ROUNDUP(DAYS360($C$1,E26)/360,0)</f>
        <v>USSW5</v>
      </c>
      <c r="N26" s="51" t="str">
        <f>+M26&amp;" index"</f>
        <v>USSW5 index</v>
      </c>
      <c r="O26" s="211">
        <v>1.7368999999999999</v>
      </c>
      <c r="P26" s="230">
        <f>(O26-L26)*((DAYS360($C$1,E26)/360)-ROUNDDOWN(DAYS360($C$1,E26)/360,0))+L26</f>
        <v>1.6324916666666667</v>
      </c>
      <c r="Q26" s="257">
        <f t="shared" ref="Q26:R26" si="13">Q25</f>
        <v>282.72000000000003</v>
      </c>
      <c r="R26" s="260">
        <f t="shared" si="13"/>
        <v>101</v>
      </c>
      <c r="S26" s="259">
        <f t="shared" si="5"/>
        <v>5.4696916666666678E-2</v>
      </c>
      <c r="T26" s="264">
        <f>+PRICE($C$1,E26,F26/100,S26/100,100,G26,0)</f>
        <v>99.979881742132577</v>
      </c>
    </row>
    <row r="27" spans="1:21" x14ac:dyDescent="0.25">
      <c r="G27" s="84"/>
      <c r="H27" s="84"/>
      <c r="I27" s="85"/>
      <c r="J27" s="228"/>
      <c r="K27" s="51"/>
      <c r="L27" s="211"/>
      <c r="M27" s="98"/>
      <c r="N27" s="212"/>
      <c r="O27" s="211"/>
      <c r="P27" s="256"/>
      <c r="S27" s="5"/>
    </row>
    <row r="28" spans="1:21" x14ac:dyDescent="0.25">
      <c r="J28" s="255"/>
      <c r="K28" s="255"/>
      <c r="L28" s="255"/>
      <c r="M28" s="255"/>
      <c r="N28" s="255"/>
      <c r="O28" s="255"/>
      <c r="P28" s="255"/>
    </row>
    <row r="29" spans="1:21" x14ac:dyDescent="0.25">
      <c r="J29" s="255"/>
      <c r="K29" s="255"/>
      <c r="L29" s="255"/>
      <c r="M29" s="255"/>
      <c r="N29" s="255"/>
      <c r="O29" s="255"/>
      <c r="P29" s="255"/>
    </row>
    <row r="30" spans="1:21" x14ac:dyDescent="0.25">
      <c r="J30" s="31"/>
      <c r="K30" s="31"/>
      <c r="L30" s="31"/>
      <c r="M30" s="31"/>
      <c r="N30" s="31"/>
      <c r="O30" s="31"/>
      <c r="P30" s="31"/>
    </row>
    <row r="44" spans="15:16" x14ac:dyDescent="0.25">
      <c r="O44" s="114" t="s">
        <v>156</v>
      </c>
    </row>
    <row r="45" spans="15:16" x14ac:dyDescent="0.25">
      <c r="P45" s="114" t="s">
        <v>159</v>
      </c>
    </row>
    <row r="46" spans="15:16" x14ac:dyDescent="0.25">
      <c r="P46" s="114" t="s">
        <v>135</v>
      </c>
    </row>
    <row r="47" spans="15:16" x14ac:dyDescent="0.25">
      <c r="P47" s="114"/>
    </row>
    <row r="48" spans="15:16" x14ac:dyDescent="0.25">
      <c r="O48" s="114" t="s">
        <v>157</v>
      </c>
      <c r="P48" s="114"/>
    </row>
    <row r="49" spans="16:16" x14ac:dyDescent="0.25">
      <c r="P49" s="114" t="s">
        <v>159</v>
      </c>
    </row>
    <row r="50" spans="16:16" x14ac:dyDescent="0.25">
      <c r="P50" s="114" t="s">
        <v>158</v>
      </c>
    </row>
    <row r="51" spans="16:16" x14ac:dyDescent="0.25">
      <c r="P51" s="114" t="s">
        <v>160</v>
      </c>
    </row>
    <row r="52" spans="16:16" x14ac:dyDescent="0.25">
      <c r="P52" s="114" t="s">
        <v>135</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AW36"/>
  <sheetViews>
    <sheetView zoomScaleNormal="100" workbookViewId="0">
      <selection activeCell="J28" sqref="J28"/>
    </sheetView>
  </sheetViews>
  <sheetFormatPr defaultRowHeight="15" x14ac:dyDescent="0.25"/>
  <cols>
    <col min="1" max="1" width="11.85546875" style="58" bestFit="1" customWidth="1"/>
    <col min="2" max="9" width="12.42578125" style="57" customWidth="1"/>
    <col min="10" max="10" width="12.42578125" style="65" customWidth="1"/>
    <col min="11" max="11" width="2.7109375" style="56" customWidth="1"/>
    <col min="12" max="12" width="41.28515625" style="57" bestFit="1" customWidth="1"/>
    <col min="13" max="13" width="14.42578125" style="57" bestFit="1" customWidth="1"/>
    <col min="14" max="14" width="10.7109375" style="57" bestFit="1" customWidth="1"/>
    <col min="15" max="15" width="13.42578125" style="57" bestFit="1" customWidth="1"/>
    <col min="16" max="16" width="17.5703125" style="57" bestFit="1" customWidth="1"/>
    <col min="17" max="16384" width="9.140625" style="57"/>
  </cols>
  <sheetData>
    <row r="1" spans="1:49" ht="15.75" x14ac:dyDescent="0.25">
      <c r="A1" s="124" t="s">
        <v>171</v>
      </c>
      <c r="B1" s="125"/>
      <c r="C1" s="125"/>
      <c r="D1" s="125"/>
      <c r="E1" s="125"/>
      <c r="F1" s="125"/>
      <c r="G1" s="125"/>
      <c r="H1" s="125"/>
      <c r="I1" s="125"/>
      <c r="J1" s="125"/>
      <c r="L1" s="129" t="s">
        <v>141</v>
      </c>
      <c r="M1" s="129"/>
      <c r="N1" s="129" t="s">
        <v>100</v>
      </c>
      <c r="O1" s="129" t="s">
        <v>176</v>
      </c>
      <c r="P1" s="129"/>
    </row>
    <row r="2" spans="1:49" s="59" customFormat="1" ht="75" x14ac:dyDescent="0.25">
      <c r="A2" s="126"/>
      <c r="B2" s="127" t="s">
        <v>167</v>
      </c>
      <c r="C2" s="127" t="str">
        <f t="shared" ref="C2:I2" si="0">$A$1&amp;" "&amp;C3</f>
        <v>JPM Leveraged Loan Index BBB</v>
      </c>
      <c r="D2" s="127" t="str">
        <f t="shared" si="0"/>
        <v>JPM Leveraged Loan Index Split-BBB</v>
      </c>
      <c r="E2" s="127" t="str">
        <f t="shared" si="0"/>
        <v>JPM Leveraged Loan Index BB</v>
      </c>
      <c r="F2" s="127" t="str">
        <f t="shared" si="0"/>
        <v>JPM Leveraged Loan Index Split-BB</v>
      </c>
      <c r="G2" s="127" t="str">
        <f t="shared" si="0"/>
        <v>JPM Leveraged Loan Index B</v>
      </c>
      <c r="H2" s="127" t="str">
        <f t="shared" si="0"/>
        <v>JPM Leveraged Loan Index Split-B/CCC</v>
      </c>
      <c r="I2" s="127" t="str">
        <f t="shared" si="0"/>
        <v>JPM Leveraged Loan Index NR</v>
      </c>
      <c r="J2" s="127" t="s">
        <v>218</v>
      </c>
      <c r="K2" s="60"/>
      <c r="L2" s="130">
        <f>Valuation_Date</f>
        <v>42613</v>
      </c>
      <c r="M2" s="128"/>
      <c r="N2" s="128"/>
      <c r="O2" s="128"/>
      <c r="P2" s="128"/>
    </row>
    <row r="3" spans="1:49" s="59" customFormat="1" x14ac:dyDescent="0.25">
      <c r="A3" s="126"/>
      <c r="B3" s="128"/>
      <c r="C3" s="128" t="s">
        <v>14</v>
      </c>
      <c r="D3" s="128" t="s">
        <v>168</v>
      </c>
      <c r="E3" s="128" t="s">
        <v>120</v>
      </c>
      <c r="F3" s="128" t="s">
        <v>169</v>
      </c>
      <c r="G3" s="128" t="s">
        <v>115</v>
      </c>
      <c r="H3" s="128" t="s">
        <v>170</v>
      </c>
      <c r="I3" s="128" t="s">
        <v>25</v>
      </c>
      <c r="J3" s="128"/>
      <c r="K3" s="60"/>
      <c r="L3" s="129" t="s">
        <v>6</v>
      </c>
      <c r="M3" s="131" t="s">
        <v>177</v>
      </c>
      <c r="N3" s="129" t="s">
        <v>177</v>
      </c>
      <c r="O3" s="129" t="s">
        <v>178</v>
      </c>
      <c r="P3" s="129" t="s">
        <v>191</v>
      </c>
      <c r="Q3" s="59" t="s">
        <v>247</v>
      </c>
      <c r="AW3" s="248">
        <f>Liquidity_Cap</f>
        <v>110</v>
      </c>
    </row>
    <row r="4" spans="1:49" ht="14.25" customHeight="1" x14ac:dyDescent="0.25">
      <c r="A4" s="58">
        <v>39813</v>
      </c>
      <c r="B4" s="57">
        <v>1967</v>
      </c>
      <c r="C4" s="57">
        <v>841</v>
      </c>
      <c r="D4" s="57">
        <v>929</v>
      </c>
      <c r="E4" s="57">
        <v>1415</v>
      </c>
      <c r="F4" s="57">
        <v>1947</v>
      </c>
      <c r="G4" s="57">
        <v>2412</v>
      </c>
      <c r="H4" s="57">
        <v>3630</v>
      </c>
      <c r="I4" s="57">
        <v>1963</v>
      </c>
      <c r="L4" s="132" t="s">
        <v>179</v>
      </c>
      <c r="M4" s="101" t="s">
        <v>180</v>
      </c>
      <c r="N4" s="133" t="s">
        <v>181</v>
      </c>
      <c r="O4" s="134">
        <f>'[1]Liquidity Spreads'!$F$3</f>
        <v>0.8</v>
      </c>
      <c r="Q4" s="62">
        <f>'[1]Liquidity Spreads'!$H$3</f>
        <v>0.82</v>
      </c>
      <c r="AW4" s="248">
        <f>AW3</f>
        <v>110</v>
      </c>
    </row>
    <row r="5" spans="1:49" x14ac:dyDescent="0.25">
      <c r="A5" s="58">
        <v>40178</v>
      </c>
      <c r="B5" s="57">
        <v>695</v>
      </c>
      <c r="C5" s="57">
        <v>305</v>
      </c>
      <c r="D5" s="57">
        <v>356</v>
      </c>
      <c r="E5" s="57">
        <v>426</v>
      </c>
      <c r="F5" s="57">
        <v>675</v>
      </c>
      <c r="G5" s="57">
        <v>679</v>
      </c>
      <c r="H5" s="57">
        <v>1163</v>
      </c>
      <c r="I5" s="57">
        <v>999</v>
      </c>
      <c r="L5" s="132" t="s">
        <v>182</v>
      </c>
      <c r="M5" s="101" t="s">
        <v>183</v>
      </c>
      <c r="N5" s="133" t="s">
        <v>181</v>
      </c>
      <c r="O5" s="134">
        <f>'[1]Liquidity Spreads'!$F$4</f>
        <v>0.82</v>
      </c>
      <c r="P5" s="62">
        <f t="shared" ref="P5:P10" si="1">+O5-O4</f>
        <v>1.9999999999999907E-2</v>
      </c>
      <c r="Q5" s="62">
        <f>'[1]Liquidity Spreads'!$H$4</f>
        <v>0.88</v>
      </c>
      <c r="AW5" s="248">
        <f t="shared" ref="AW5:AW36" si="2">AW4</f>
        <v>110</v>
      </c>
    </row>
    <row r="6" spans="1:49" x14ac:dyDescent="0.25">
      <c r="A6" s="58">
        <v>40543</v>
      </c>
      <c r="B6" s="57">
        <v>532</v>
      </c>
      <c r="C6" s="57">
        <v>231</v>
      </c>
      <c r="D6" s="57">
        <v>318</v>
      </c>
      <c r="E6" s="57">
        <v>365</v>
      </c>
      <c r="F6" s="57">
        <v>568</v>
      </c>
      <c r="G6" s="57">
        <v>555</v>
      </c>
      <c r="H6" s="57">
        <v>862</v>
      </c>
      <c r="I6" s="57">
        <v>734</v>
      </c>
      <c r="L6" s="132" t="s">
        <v>184</v>
      </c>
      <c r="M6" s="101" t="s">
        <v>185</v>
      </c>
      <c r="N6" s="133" t="s">
        <v>181</v>
      </c>
      <c r="O6" s="134">
        <f>'[1]Liquidity Spreads'!$F$5</f>
        <v>1.0900000000000001</v>
      </c>
      <c r="P6" s="62">
        <f t="shared" si="1"/>
        <v>0.27000000000000013</v>
      </c>
      <c r="Q6" s="62">
        <f>'[1]Liquidity Spreads'!$H$5</f>
        <v>1.17</v>
      </c>
      <c r="AW6" s="248">
        <f t="shared" si="2"/>
        <v>110</v>
      </c>
    </row>
    <row r="7" spans="1:49" x14ac:dyDescent="0.25">
      <c r="A7" s="58">
        <v>40907</v>
      </c>
      <c r="B7" s="57">
        <v>676</v>
      </c>
      <c r="C7" s="57">
        <v>261</v>
      </c>
      <c r="D7" s="57">
        <v>335</v>
      </c>
      <c r="E7" s="57">
        <v>446</v>
      </c>
      <c r="F7" s="57">
        <v>534</v>
      </c>
      <c r="G7" s="57">
        <v>811</v>
      </c>
      <c r="H7" s="57">
        <v>1745</v>
      </c>
      <c r="I7" s="57">
        <v>972</v>
      </c>
      <c r="L7" s="132" t="s">
        <v>186</v>
      </c>
      <c r="M7" s="101" t="s">
        <v>187</v>
      </c>
      <c r="N7" s="133" t="s">
        <v>181</v>
      </c>
      <c r="O7" s="134">
        <f>'[1]Liquidity Spreads'!$F$6</f>
        <v>1.83</v>
      </c>
      <c r="P7" s="62">
        <f t="shared" si="1"/>
        <v>0.74</v>
      </c>
      <c r="Q7" s="62">
        <f>'[1]Liquidity Spreads'!$H$6</f>
        <v>1.97</v>
      </c>
      <c r="AW7" s="248">
        <f t="shared" si="2"/>
        <v>110</v>
      </c>
    </row>
    <row r="8" spans="1:49" x14ac:dyDescent="0.25">
      <c r="A8" s="58">
        <v>41274</v>
      </c>
      <c r="B8" s="57">
        <v>563</v>
      </c>
      <c r="C8" s="57">
        <v>262</v>
      </c>
      <c r="D8" s="57">
        <v>302</v>
      </c>
      <c r="E8" s="57">
        <v>384</v>
      </c>
      <c r="F8" s="57">
        <v>477</v>
      </c>
      <c r="G8" s="57">
        <v>563</v>
      </c>
      <c r="H8" s="57">
        <v>1677</v>
      </c>
      <c r="I8" s="57">
        <v>747</v>
      </c>
      <c r="L8" s="132" t="s">
        <v>188</v>
      </c>
      <c r="M8" s="101" t="s">
        <v>119</v>
      </c>
      <c r="N8" s="133" t="s">
        <v>181</v>
      </c>
      <c r="O8" s="134">
        <f>'[1]Liquidity Spreads'!$F$7</f>
        <v>3.2</v>
      </c>
      <c r="P8" s="62">
        <f t="shared" si="1"/>
        <v>1.37</v>
      </c>
      <c r="Q8" s="62">
        <f>'[1]Liquidity Spreads'!$H$7</f>
        <v>3.53</v>
      </c>
      <c r="AW8" s="248">
        <f t="shared" si="2"/>
        <v>110</v>
      </c>
    </row>
    <row r="9" spans="1:49" x14ac:dyDescent="0.25">
      <c r="A9" s="58">
        <v>41639</v>
      </c>
      <c r="B9" s="57">
        <v>435</v>
      </c>
      <c r="C9" s="57">
        <v>285</v>
      </c>
      <c r="D9" s="57">
        <v>271</v>
      </c>
      <c r="E9" s="57">
        <v>312</v>
      </c>
      <c r="F9" s="57">
        <v>382</v>
      </c>
      <c r="G9" s="57">
        <v>464</v>
      </c>
      <c r="H9" s="57">
        <v>1271</v>
      </c>
      <c r="I9" s="57">
        <v>678</v>
      </c>
      <c r="L9" s="132" t="s">
        <v>189</v>
      </c>
      <c r="M9" s="101" t="s">
        <v>145</v>
      </c>
      <c r="N9" s="133" t="s">
        <v>181</v>
      </c>
      <c r="O9" s="134">
        <f>'[1]Liquidity Spreads'!$F$8</f>
        <v>5.0199999999999996</v>
      </c>
      <c r="P9" s="61">
        <f t="shared" si="1"/>
        <v>1.8199999999999994</v>
      </c>
      <c r="Q9" s="62">
        <f>'[1]Liquidity Spreads'!$H$8</f>
        <v>5.68</v>
      </c>
      <c r="AW9" s="248">
        <f t="shared" si="2"/>
        <v>110</v>
      </c>
    </row>
    <row r="10" spans="1:49" x14ac:dyDescent="0.25">
      <c r="A10" s="58">
        <v>42004</v>
      </c>
      <c r="B10" s="57">
        <v>491</v>
      </c>
      <c r="C10" s="57">
        <v>433</v>
      </c>
      <c r="D10" s="57">
        <v>326</v>
      </c>
      <c r="E10" s="57">
        <v>379</v>
      </c>
      <c r="F10" s="57">
        <v>454</v>
      </c>
      <c r="G10" s="57">
        <v>541</v>
      </c>
      <c r="H10" s="57">
        <v>1110</v>
      </c>
      <c r="I10" s="57">
        <v>724</v>
      </c>
      <c r="L10" s="132" t="s">
        <v>190</v>
      </c>
      <c r="M10" s="101" t="s">
        <v>214</v>
      </c>
      <c r="N10" s="133" t="s">
        <v>181</v>
      </c>
      <c r="O10" s="134">
        <f>'[1]Liquidity Spreads'!$F$9</f>
        <v>12.38</v>
      </c>
      <c r="P10" s="61">
        <f t="shared" si="1"/>
        <v>7.3600000000000012</v>
      </c>
      <c r="Q10" s="62">
        <f>'[1]Liquidity Spreads'!$H$9</f>
        <v>13.16</v>
      </c>
      <c r="AW10" s="248">
        <f t="shared" si="2"/>
        <v>110</v>
      </c>
    </row>
    <row r="11" spans="1:49" x14ac:dyDescent="0.25">
      <c r="A11" s="58">
        <v>42124</v>
      </c>
      <c r="B11" s="57">
        <v>427</v>
      </c>
      <c r="C11" s="57">
        <v>243</v>
      </c>
      <c r="D11" s="57">
        <v>268</v>
      </c>
      <c r="E11" s="57">
        <v>331</v>
      </c>
      <c r="F11" s="57">
        <v>389</v>
      </c>
      <c r="G11" s="57">
        <v>484</v>
      </c>
      <c r="H11" s="57">
        <v>1036</v>
      </c>
      <c r="I11" s="57">
        <v>549</v>
      </c>
      <c r="L11" s="132"/>
      <c r="M11" s="132"/>
      <c r="N11" s="132"/>
      <c r="O11" s="82"/>
      <c r="AW11" s="248">
        <f t="shared" si="2"/>
        <v>110</v>
      </c>
    </row>
    <row r="12" spans="1:49" x14ac:dyDescent="0.25">
      <c r="A12" s="58">
        <v>42153</v>
      </c>
      <c r="B12" s="65">
        <v>435</v>
      </c>
      <c r="C12" s="65">
        <v>235</v>
      </c>
      <c r="D12" s="65">
        <v>276</v>
      </c>
      <c r="E12" s="65">
        <v>335</v>
      </c>
      <c r="F12" s="65">
        <v>387</v>
      </c>
      <c r="G12" s="65">
        <v>487</v>
      </c>
      <c r="H12" s="65">
        <v>1174</v>
      </c>
      <c r="I12" s="65">
        <v>561</v>
      </c>
      <c r="L12" s="132" t="s">
        <v>154</v>
      </c>
      <c r="M12" s="101" t="s">
        <v>153</v>
      </c>
      <c r="N12" s="133" t="s">
        <v>181</v>
      </c>
      <c r="O12" s="134">
        <f>'[1]Liquidity Spreads'!$F$10</f>
        <v>2.19</v>
      </c>
      <c r="P12" s="57">
        <v>1.97</v>
      </c>
      <c r="Q12" s="62">
        <f>'[1]Liquidity Spreads'!$H$10</f>
        <v>2.31</v>
      </c>
      <c r="AW12" s="248">
        <f t="shared" si="2"/>
        <v>110</v>
      </c>
    </row>
    <row r="13" spans="1:49" x14ac:dyDescent="0.25">
      <c r="A13" s="58">
        <v>42185</v>
      </c>
      <c r="B13" s="65">
        <v>458</v>
      </c>
      <c r="C13" s="65">
        <v>246</v>
      </c>
      <c r="D13" s="65">
        <v>282</v>
      </c>
      <c r="E13" s="65">
        <v>346</v>
      </c>
      <c r="F13" s="65">
        <v>404</v>
      </c>
      <c r="G13" s="65">
        <v>513</v>
      </c>
      <c r="H13" s="65">
        <v>1303</v>
      </c>
      <c r="I13" s="65">
        <v>648</v>
      </c>
      <c r="L13" s="132" t="s">
        <v>113</v>
      </c>
      <c r="M13" s="101" t="s">
        <v>192</v>
      </c>
      <c r="N13" s="133" t="s">
        <v>181</v>
      </c>
      <c r="O13" s="134">
        <f>'[1]Liquidity Spreads'!$F$11</f>
        <v>2.0299999999999998</v>
      </c>
      <c r="P13" s="57">
        <v>1.87</v>
      </c>
      <c r="Q13" s="62">
        <f>'[1]Liquidity Spreads'!$H$11</f>
        <v>2.17</v>
      </c>
      <c r="AW13" s="248">
        <f t="shared" si="2"/>
        <v>110</v>
      </c>
    </row>
    <row r="14" spans="1:49" x14ac:dyDescent="0.25">
      <c r="A14" s="81">
        <v>42216</v>
      </c>
      <c r="B14" s="82">
        <v>461</v>
      </c>
      <c r="C14" s="82">
        <v>243</v>
      </c>
      <c r="D14" s="82">
        <v>283</v>
      </c>
      <c r="E14" s="82">
        <v>348</v>
      </c>
      <c r="F14" s="82">
        <v>406</v>
      </c>
      <c r="G14" s="82">
        <v>513</v>
      </c>
      <c r="H14" s="82">
        <v>1460</v>
      </c>
      <c r="I14" s="82">
        <v>719</v>
      </c>
      <c r="J14" s="82"/>
      <c r="L14" s="132" t="s">
        <v>164</v>
      </c>
      <c r="M14" s="101" t="s">
        <v>165</v>
      </c>
      <c r="N14" s="133" t="s">
        <v>181</v>
      </c>
      <c r="O14" s="134">
        <f>'[1]Liquidity Spreads'!$F$12</f>
        <v>1.82</v>
      </c>
      <c r="P14" s="57">
        <v>1.83</v>
      </c>
      <c r="Q14" s="62">
        <f>'[1]Liquidity Spreads'!$H$12</f>
        <v>1.96</v>
      </c>
      <c r="AW14" s="248">
        <f t="shared" si="2"/>
        <v>110</v>
      </c>
    </row>
    <row r="15" spans="1:49" x14ac:dyDescent="0.25">
      <c r="A15" s="81">
        <v>42247</v>
      </c>
      <c r="B15" s="208">
        <v>495</v>
      </c>
      <c r="C15" s="208">
        <v>250</v>
      </c>
      <c r="D15" s="208">
        <v>295</v>
      </c>
      <c r="E15" s="208">
        <v>372</v>
      </c>
      <c r="F15" s="208">
        <v>441</v>
      </c>
      <c r="G15" s="208">
        <v>547</v>
      </c>
      <c r="H15" s="208">
        <v>1672</v>
      </c>
      <c r="I15" s="208">
        <v>745</v>
      </c>
      <c r="J15" s="208"/>
      <c r="AW15" s="248">
        <f t="shared" si="2"/>
        <v>110</v>
      </c>
    </row>
    <row r="16" spans="1:49" x14ac:dyDescent="0.25">
      <c r="A16" s="58">
        <v>42277</v>
      </c>
      <c r="B16" s="82">
        <v>531</v>
      </c>
      <c r="C16" s="82">
        <v>251</v>
      </c>
      <c r="D16" s="82">
        <v>304</v>
      </c>
      <c r="E16" s="82">
        <v>389</v>
      </c>
      <c r="F16" s="82">
        <v>467</v>
      </c>
      <c r="G16" s="82">
        <v>587</v>
      </c>
      <c r="H16" s="82">
        <v>1918</v>
      </c>
      <c r="I16" s="82">
        <v>766</v>
      </c>
      <c r="J16" s="82"/>
      <c r="L16" s="132" t="s">
        <v>213</v>
      </c>
      <c r="M16" s="101" t="s">
        <v>215</v>
      </c>
      <c r="N16" s="133" t="s">
        <v>181</v>
      </c>
      <c r="O16" s="134">
        <f>1128.23078431701/100</f>
        <v>11.282307843170098</v>
      </c>
      <c r="Q16" s="57">
        <v>11.54551393</v>
      </c>
      <c r="AW16" s="248">
        <f t="shared" si="2"/>
        <v>110</v>
      </c>
    </row>
    <row r="17" spans="1:49" x14ac:dyDescent="0.25">
      <c r="A17" s="58">
        <v>42307</v>
      </c>
      <c r="B17" s="82">
        <v>542</v>
      </c>
      <c r="C17" s="82">
        <v>247</v>
      </c>
      <c r="D17" s="82">
        <v>295</v>
      </c>
      <c r="E17" s="82">
        <v>375</v>
      </c>
      <c r="F17" s="82">
        <v>501</v>
      </c>
      <c r="G17" s="82">
        <v>587</v>
      </c>
      <c r="H17" s="82">
        <v>2031</v>
      </c>
      <c r="I17" s="82">
        <v>792</v>
      </c>
      <c r="J17" s="82"/>
      <c r="L17" s="132" t="s">
        <v>223</v>
      </c>
      <c r="M17" s="101" t="s">
        <v>224</v>
      </c>
      <c r="N17" s="133" t="s">
        <v>181</v>
      </c>
      <c r="O17" s="134">
        <f>1832.65795265051/100</f>
        <v>18.3265795265051</v>
      </c>
      <c r="Q17" s="57">
        <v>18.289430660000001</v>
      </c>
      <c r="AW17" s="248">
        <f t="shared" si="2"/>
        <v>110</v>
      </c>
    </row>
    <row r="18" spans="1:49" x14ac:dyDescent="0.25">
      <c r="A18" s="58">
        <v>42338</v>
      </c>
      <c r="B18" s="82">
        <v>578</v>
      </c>
      <c r="C18" s="82">
        <v>261</v>
      </c>
      <c r="D18" s="82">
        <v>319</v>
      </c>
      <c r="E18" s="82">
        <v>407</v>
      </c>
      <c r="F18" s="82">
        <v>531</v>
      </c>
      <c r="G18" s="82">
        <v>629</v>
      </c>
      <c r="H18" s="82">
        <v>2388</v>
      </c>
      <c r="I18" s="82">
        <v>862</v>
      </c>
      <c r="J18" s="82"/>
      <c r="L18" s="132" t="s">
        <v>242</v>
      </c>
      <c r="M18" s="101" t="s">
        <v>245</v>
      </c>
      <c r="N18" s="133" t="s">
        <v>181</v>
      </c>
      <c r="O18" s="134">
        <f>486.18113473345/100</f>
        <v>4.8618113473345002</v>
      </c>
      <c r="Q18" s="57">
        <v>5.7123142210000006</v>
      </c>
      <c r="AW18" s="248">
        <f t="shared" si="2"/>
        <v>110</v>
      </c>
    </row>
    <row r="19" spans="1:49" x14ac:dyDescent="0.25">
      <c r="A19" s="58">
        <v>42369</v>
      </c>
      <c r="B19" s="82">
        <v>617</v>
      </c>
      <c r="C19" s="82">
        <v>285</v>
      </c>
      <c r="D19" s="82">
        <v>323</v>
      </c>
      <c r="E19" s="82">
        <v>429</v>
      </c>
      <c r="F19" s="82">
        <v>528</v>
      </c>
      <c r="G19" s="82">
        <v>705</v>
      </c>
      <c r="H19" s="82">
        <v>2496</v>
      </c>
      <c r="I19" s="82">
        <v>858</v>
      </c>
      <c r="J19" s="82"/>
      <c r="L19" s="132" t="s">
        <v>243</v>
      </c>
      <c r="M19" s="101" t="s">
        <v>244</v>
      </c>
      <c r="N19" s="133" t="s">
        <v>181</v>
      </c>
      <c r="O19" s="134">
        <f>452.191568596337/100</f>
        <v>4.5219156859633696</v>
      </c>
      <c r="Q19" s="57">
        <v>4.9416306470000002</v>
      </c>
      <c r="AW19" s="248">
        <f t="shared" si="2"/>
        <v>110</v>
      </c>
    </row>
    <row r="20" spans="1:49" x14ac:dyDescent="0.25">
      <c r="A20" s="58">
        <v>42398</v>
      </c>
      <c r="B20" s="82">
        <v>647</v>
      </c>
      <c r="C20" s="82">
        <v>284</v>
      </c>
      <c r="D20" s="82">
        <v>332</v>
      </c>
      <c r="E20" s="82">
        <v>457</v>
      </c>
      <c r="F20" s="82">
        <v>546</v>
      </c>
      <c r="G20" s="82">
        <v>746</v>
      </c>
      <c r="H20" s="82">
        <v>2557</v>
      </c>
      <c r="I20" s="82">
        <v>737</v>
      </c>
      <c r="J20" s="82">
        <v>454</v>
      </c>
      <c r="O20" s="282"/>
      <c r="AW20" s="248">
        <f t="shared" si="2"/>
        <v>110</v>
      </c>
    </row>
    <row r="21" spans="1:49" x14ac:dyDescent="0.25">
      <c r="A21" s="58">
        <v>42429</v>
      </c>
      <c r="B21" s="82">
        <v>680</v>
      </c>
      <c r="C21" s="82">
        <v>285</v>
      </c>
      <c r="D21" s="82">
        <v>336</v>
      </c>
      <c r="E21" s="82">
        <v>458</v>
      </c>
      <c r="F21" s="82">
        <v>578</v>
      </c>
      <c r="G21" s="82">
        <v>782</v>
      </c>
      <c r="H21" s="82">
        <v>2634</v>
      </c>
      <c r="I21" s="82">
        <v>783</v>
      </c>
      <c r="J21" s="82">
        <v>475</v>
      </c>
      <c r="AW21" s="248">
        <f t="shared" si="2"/>
        <v>110</v>
      </c>
    </row>
    <row r="22" spans="1:49" x14ac:dyDescent="0.25">
      <c r="A22" s="58">
        <v>42460</v>
      </c>
      <c r="B22" s="57">
        <v>601</v>
      </c>
      <c r="C22" s="57">
        <v>273</v>
      </c>
      <c r="D22" s="57">
        <v>326</v>
      </c>
      <c r="E22" s="57">
        <v>399</v>
      </c>
      <c r="F22" s="57">
        <v>491</v>
      </c>
      <c r="G22" s="57">
        <v>666</v>
      </c>
      <c r="H22" s="57">
        <v>2396</v>
      </c>
      <c r="I22" s="57">
        <v>781</v>
      </c>
      <c r="J22" s="65">
        <v>439</v>
      </c>
      <c r="AW22" s="248">
        <f t="shared" si="2"/>
        <v>110</v>
      </c>
    </row>
    <row r="23" spans="1:49" x14ac:dyDescent="0.25">
      <c r="A23" s="58">
        <v>42489</v>
      </c>
      <c r="B23" s="65">
        <v>559</v>
      </c>
      <c r="C23" s="65">
        <v>283</v>
      </c>
      <c r="D23" s="65">
        <v>313</v>
      </c>
      <c r="E23" s="65">
        <v>371</v>
      </c>
      <c r="F23" s="65">
        <v>450</v>
      </c>
      <c r="G23" s="65">
        <v>601</v>
      </c>
      <c r="H23" s="65">
        <v>2078</v>
      </c>
      <c r="I23" s="65">
        <v>859</v>
      </c>
      <c r="J23" s="65">
        <v>408</v>
      </c>
      <c r="AW23" s="248">
        <f t="shared" si="2"/>
        <v>110</v>
      </c>
    </row>
    <row r="24" spans="1:49" x14ac:dyDescent="0.25">
      <c r="A24" s="58">
        <v>42521</v>
      </c>
      <c r="B24" s="65">
        <v>539</v>
      </c>
      <c r="C24" s="65">
        <v>272</v>
      </c>
      <c r="D24" s="65">
        <v>309</v>
      </c>
      <c r="E24" s="65">
        <v>359</v>
      </c>
      <c r="F24" s="65">
        <v>433</v>
      </c>
      <c r="G24" s="65">
        <v>582</v>
      </c>
      <c r="H24" s="65">
        <v>1879</v>
      </c>
      <c r="I24" s="65">
        <v>845</v>
      </c>
      <c r="J24" s="65">
        <v>382</v>
      </c>
      <c r="AW24" s="248">
        <f t="shared" si="2"/>
        <v>110</v>
      </c>
    </row>
    <row r="25" spans="1:49" x14ac:dyDescent="0.25">
      <c r="A25" s="58">
        <v>42551</v>
      </c>
      <c r="B25" s="65">
        <v>571</v>
      </c>
      <c r="C25" s="65">
        <v>317</v>
      </c>
      <c r="D25" s="65">
        <v>328</v>
      </c>
      <c r="E25" s="65">
        <v>391</v>
      </c>
      <c r="F25" s="65">
        <v>477</v>
      </c>
      <c r="G25" s="65">
        <v>622</v>
      </c>
      <c r="H25" s="65">
        <v>1920</v>
      </c>
      <c r="I25" s="65">
        <v>877</v>
      </c>
      <c r="J25" s="65">
        <v>403</v>
      </c>
      <c r="AW25" s="248">
        <f t="shared" si="2"/>
        <v>110</v>
      </c>
    </row>
    <row r="26" spans="1:49" x14ac:dyDescent="0.25">
      <c r="A26" s="58">
        <v>42580</v>
      </c>
      <c r="B26" s="57">
        <v>533</v>
      </c>
      <c r="C26" s="57">
        <v>306</v>
      </c>
      <c r="D26" s="57">
        <v>321</v>
      </c>
      <c r="E26" s="57">
        <v>362</v>
      </c>
      <c r="F26" s="57">
        <v>435</v>
      </c>
      <c r="G26" s="57">
        <v>575</v>
      </c>
      <c r="H26" s="57">
        <v>1792</v>
      </c>
      <c r="I26" s="57">
        <v>781</v>
      </c>
      <c r="J26" s="65">
        <v>386</v>
      </c>
      <c r="AW26" s="248">
        <f t="shared" si="2"/>
        <v>110</v>
      </c>
    </row>
    <row r="27" spans="1:49" x14ac:dyDescent="0.25">
      <c r="A27" s="58">
        <v>42613</v>
      </c>
      <c r="B27" s="57">
        <v>517</v>
      </c>
      <c r="C27" s="57">
        <v>294</v>
      </c>
      <c r="D27" s="57">
        <v>289</v>
      </c>
      <c r="E27" s="57">
        <v>346</v>
      </c>
      <c r="F27" s="57">
        <v>433</v>
      </c>
      <c r="G27" s="57">
        <v>551</v>
      </c>
      <c r="H27" s="57">
        <v>1671</v>
      </c>
      <c r="I27" s="57">
        <v>774</v>
      </c>
      <c r="J27" s="65">
        <v>381</v>
      </c>
      <c r="AW27" s="248">
        <f t="shared" si="2"/>
        <v>110</v>
      </c>
    </row>
    <row r="28" spans="1:49" x14ac:dyDescent="0.25">
      <c r="AW28" s="248">
        <f t="shared" si="2"/>
        <v>110</v>
      </c>
    </row>
    <row r="29" spans="1:49" x14ac:dyDescent="0.25">
      <c r="AW29" s="248">
        <f t="shared" si="2"/>
        <v>110</v>
      </c>
    </row>
    <row r="30" spans="1:49" x14ac:dyDescent="0.25">
      <c r="AW30" s="248">
        <f t="shared" si="2"/>
        <v>110</v>
      </c>
    </row>
    <row r="31" spans="1:49" x14ac:dyDescent="0.25">
      <c r="AW31" s="248">
        <f t="shared" si="2"/>
        <v>110</v>
      </c>
    </row>
    <row r="32" spans="1:49" x14ac:dyDescent="0.25">
      <c r="AW32" s="248">
        <f t="shared" si="2"/>
        <v>110</v>
      </c>
    </row>
    <row r="33" spans="49:49" x14ac:dyDescent="0.25">
      <c r="AW33" s="248">
        <f t="shared" si="2"/>
        <v>110</v>
      </c>
    </row>
    <row r="34" spans="49:49" x14ac:dyDescent="0.25">
      <c r="AW34" s="248">
        <f t="shared" si="2"/>
        <v>110</v>
      </c>
    </row>
    <row r="35" spans="49:49" x14ac:dyDescent="0.25">
      <c r="AW35" s="248">
        <f t="shared" si="2"/>
        <v>110</v>
      </c>
    </row>
    <row r="36" spans="49:49" x14ac:dyDescent="0.25">
      <c r="AW36" s="248">
        <f t="shared" si="2"/>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2"/>
  <sheetViews>
    <sheetView tabSelected="1" workbookViewId="0">
      <selection activeCell="D21" sqref="D21"/>
    </sheetView>
  </sheetViews>
  <sheetFormatPr defaultRowHeight="15" outlineLevelCol="1" x14ac:dyDescent="0.25"/>
  <cols>
    <col min="1" max="1" width="29.42578125" bestFit="1" customWidth="1"/>
    <col min="2" max="2" width="14.28515625" bestFit="1" customWidth="1"/>
    <col min="3" max="3" width="11.7109375" bestFit="1" customWidth="1"/>
    <col min="4" max="4" width="10.7109375" customWidth="1" outlineLevel="1"/>
    <col min="5" max="5" width="8.5703125" customWidth="1" outlineLevel="1"/>
    <col min="6" max="6" width="12.7109375" customWidth="1" outlineLevel="1"/>
    <col min="7" max="7" width="10.28515625" customWidth="1" outlineLevel="1"/>
    <col min="8" max="8" width="9" customWidth="1" outlineLevel="1"/>
    <col min="9" max="9" width="10.140625" customWidth="1" outlineLevel="1"/>
    <col min="10" max="10" width="8" customWidth="1" outlineLevel="1"/>
    <col min="11" max="11" width="4.5703125" customWidth="1" outlineLevel="1"/>
    <col min="12" max="12" width="5.28515625" customWidth="1" outlineLevel="1"/>
    <col min="13" max="13" width="5.140625" customWidth="1" outlineLevel="1"/>
    <col min="14" max="14" width="5.42578125" customWidth="1" outlineLevel="1"/>
    <col min="15" max="15" width="17.42578125" bestFit="1" customWidth="1"/>
    <col min="16" max="16" width="22.140625" bestFit="1" customWidth="1"/>
    <col min="17" max="17" width="10.85546875" bestFit="1" customWidth="1"/>
    <col min="18" max="18" width="8.140625" bestFit="1" customWidth="1"/>
    <col min="19" max="19" width="8.7109375" bestFit="1" customWidth="1"/>
    <col min="20" max="20" width="8.42578125" bestFit="1" customWidth="1"/>
    <col min="21" max="21" width="10.140625" bestFit="1" customWidth="1"/>
  </cols>
  <sheetData>
    <row r="1" spans="1:32" x14ac:dyDescent="0.25">
      <c r="A1" s="135"/>
      <c r="B1" s="136" t="s">
        <v>77</v>
      </c>
      <c r="C1" s="235">
        <f>Valuation_Date</f>
        <v>42613</v>
      </c>
      <c r="D1" s="137"/>
      <c r="E1" s="137"/>
      <c r="F1" s="137"/>
      <c r="G1" s="138"/>
      <c r="H1" s="138" t="s">
        <v>146</v>
      </c>
      <c r="I1" s="138"/>
      <c r="J1" s="138"/>
      <c r="K1" s="138"/>
      <c r="L1" s="138"/>
      <c r="M1" s="138"/>
      <c r="N1" s="138"/>
      <c r="O1" s="137"/>
      <c r="P1" s="137"/>
      <c r="Q1" s="137"/>
      <c r="R1" s="137"/>
      <c r="S1" s="137"/>
      <c r="T1" s="137"/>
      <c r="U1" s="137"/>
    </row>
    <row r="2" spans="1:32" x14ac:dyDescent="0.25">
      <c r="A2" s="139" t="s">
        <v>0</v>
      </c>
      <c r="B2" s="139" t="s">
        <v>6</v>
      </c>
      <c r="C2" s="139" t="s">
        <v>1</v>
      </c>
      <c r="D2" s="139" t="s">
        <v>2</v>
      </c>
      <c r="E2" s="139" t="s">
        <v>3</v>
      </c>
      <c r="F2" s="139" t="s">
        <v>11</v>
      </c>
      <c r="G2" s="140" t="s">
        <v>5</v>
      </c>
      <c r="H2" s="140" t="s">
        <v>106</v>
      </c>
      <c r="I2" s="140" t="s">
        <v>12</v>
      </c>
      <c r="J2" s="140" t="s">
        <v>7</v>
      </c>
      <c r="K2" s="140" t="s">
        <v>8</v>
      </c>
      <c r="L2" s="140" t="s">
        <v>9</v>
      </c>
      <c r="M2" s="140" t="s">
        <v>28</v>
      </c>
      <c r="N2" s="140" t="s">
        <v>26</v>
      </c>
      <c r="O2" s="139" t="s">
        <v>66</v>
      </c>
      <c r="P2" s="139"/>
      <c r="Q2" s="139" t="s">
        <v>68</v>
      </c>
      <c r="R2" s="139" t="s">
        <v>74</v>
      </c>
      <c r="S2" s="139" t="s">
        <v>73</v>
      </c>
      <c r="T2" s="139" t="s">
        <v>75</v>
      </c>
      <c r="U2" s="139" t="s">
        <v>235</v>
      </c>
    </row>
    <row r="3" spans="1:32" x14ac:dyDescent="0.25">
      <c r="A3" s="99"/>
      <c r="B3" s="157"/>
      <c r="C3" s="157"/>
      <c r="D3" s="174">
        <v>45239</v>
      </c>
      <c r="E3" s="157">
        <v>4.375</v>
      </c>
      <c r="F3" s="175">
        <v>10000000</v>
      </c>
      <c r="G3" s="160">
        <v>2</v>
      </c>
      <c r="H3" s="160">
        <v>0</v>
      </c>
      <c r="I3" s="22" t="e">
        <f ca="1">DURATION($C$1,D3,E3/100,T3/100,G3,H3)</f>
        <v>#NAME?</v>
      </c>
      <c r="J3" s="10"/>
      <c r="K3" s="10"/>
      <c r="L3" s="10"/>
      <c r="M3" s="10"/>
      <c r="N3" s="10"/>
      <c r="O3" s="157" t="s">
        <v>149</v>
      </c>
      <c r="P3" t="str">
        <f t="shared" ref="P3:P8" si="0">O3&amp;" Govt"</f>
        <v>T 2.75 11/15/2023 Govt</v>
      </c>
      <c r="Q3" s="149" t="e">
        <f ca="1">_xll.BDH(P3,$Q$2,$C$1)</f>
        <v>#NAME?</v>
      </c>
      <c r="R3" s="35">
        <f>+R12</f>
        <v>2.1899999999999999E-2</v>
      </c>
      <c r="S3" s="54">
        <f>Indices!P6</f>
        <v>0.27000000000000013</v>
      </c>
      <c r="T3" s="25" t="e">
        <f ca="1">(+Q3/100+R3+S3/100)</f>
        <v>#NAME?</v>
      </c>
      <c r="U3" s="24" t="e">
        <f ca="1">+PRICE($C$1,D3,E3/100,T3,100,G3,H3)</f>
        <v>#NAME?</v>
      </c>
    </row>
    <row r="4" spans="1:32" x14ac:dyDescent="0.25">
      <c r="A4" s="157"/>
      <c r="B4" s="157"/>
      <c r="C4" s="157"/>
      <c r="D4" s="174">
        <v>45605</v>
      </c>
      <c r="E4" s="157">
        <v>4.375</v>
      </c>
      <c r="F4" s="175">
        <v>10000000</v>
      </c>
      <c r="G4" s="160">
        <v>2</v>
      </c>
      <c r="H4" s="160">
        <v>0</v>
      </c>
      <c r="I4" s="22" t="e">
        <f ca="1">DURATION($C$1,D4,E4/100,T4/100,G4,H4)</f>
        <v>#NAME?</v>
      </c>
      <c r="J4" s="10"/>
      <c r="K4" s="10"/>
      <c r="L4" s="10"/>
      <c r="M4" s="10"/>
      <c r="N4" s="10"/>
      <c r="O4" s="157" t="s">
        <v>150</v>
      </c>
      <c r="P4" t="str">
        <f t="shared" si="0"/>
        <v>T 2.25 11/15/2024 Govt</v>
      </c>
      <c r="Q4" s="149" t="e">
        <f ca="1">_xll.BDH(P4,$Q$2,$C$1)</f>
        <v>#NAME?</v>
      </c>
      <c r="R4" s="35">
        <f>+R3</f>
        <v>2.1899999999999999E-2</v>
      </c>
      <c r="S4" s="92">
        <f>S3</f>
        <v>0.27000000000000013</v>
      </c>
      <c r="T4" s="67" t="e">
        <f ca="1">(+Q4/100+R4+S4/100)</f>
        <v>#NAME?</v>
      </c>
      <c r="U4" s="24" t="e">
        <f ca="1">+PRICE($C$1,D4,E4/100,T4,100,G4,H4)</f>
        <v>#NAME?</v>
      </c>
    </row>
    <row r="5" spans="1:32" x14ac:dyDescent="0.25">
      <c r="A5" s="157"/>
      <c r="B5" s="157"/>
      <c r="C5" s="157"/>
      <c r="D5" s="174">
        <v>45970</v>
      </c>
      <c r="E5" s="157">
        <v>4.375</v>
      </c>
      <c r="F5" s="175">
        <v>10000000</v>
      </c>
      <c r="G5" s="160">
        <v>2</v>
      </c>
      <c r="H5" s="160">
        <v>0</v>
      </c>
      <c r="I5" s="22" t="e">
        <f ca="1">DURATION($C$1,D5,E5/100,T5/100,G5,H5)</f>
        <v>#NAME?</v>
      </c>
      <c r="J5" s="10"/>
      <c r="K5" s="10"/>
      <c r="L5" s="10"/>
      <c r="M5" s="10"/>
      <c r="N5" s="10"/>
      <c r="O5" s="122" t="s">
        <v>152</v>
      </c>
      <c r="P5" t="str">
        <f t="shared" si="0"/>
        <v>T 6 2/15/2026 Govt</v>
      </c>
      <c r="Q5" s="149" t="e">
        <f ca="1">_xll.BDH(P5,$Q$2,$C$1)</f>
        <v>#NAME?</v>
      </c>
      <c r="R5" s="35">
        <f>+R4</f>
        <v>2.1899999999999999E-2</v>
      </c>
      <c r="S5" s="92">
        <f>S4</f>
        <v>0.27000000000000013</v>
      </c>
      <c r="T5" s="67" t="e">
        <f ca="1">(+Q5/100+R5+S5/100)</f>
        <v>#NAME?</v>
      </c>
      <c r="U5" s="24" t="e">
        <f ca="1">+PRICE($C$1,D5,E5/100,T5,100,G5,H5)</f>
        <v>#NAME?</v>
      </c>
    </row>
    <row r="6" spans="1:32" x14ac:dyDescent="0.25">
      <c r="A6" s="157"/>
      <c r="B6" s="157"/>
      <c r="C6" s="157"/>
      <c r="D6" s="174">
        <v>46352</v>
      </c>
      <c r="E6" s="157">
        <v>4.375</v>
      </c>
      <c r="F6" s="175">
        <v>10000000</v>
      </c>
      <c r="G6" s="160">
        <v>2</v>
      </c>
      <c r="H6" s="160">
        <v>0</v>
      </c>
      <c r="I6" s="22" t="e">
        <f ca="1">DURATION($C$1,D6,E6/100,T6/100,G6,H6)</f>
        <v>#NAME?</v>
      </c>
      <c r="J6" s="10"/>
      <c r="K6" s="10"/>
      <c r="L6" s="10"/>
      <c r="M6" s="10"/>
      <c r="N6" s="10"/>
      <c r="O6" s="122" t="s">
        <v>151</v>
      </c>
      <c r="P6" t="str">
        <f t="shared" si="0"/>
        <v>T 6.5 11/15/2026 Govt</v>
      </c>
      <c r="Q6" s="149" t="e">
        <f ca="1">_xll.BDH(P6,$Q$2,$C$1)</f>
        <v>#NAME?</v>
      </c>
      <c r="R6" s="35">
        <f>+R5</f>
        <v>2.1899999999999999E-2</v>
      </c>
      <c r="S6" s="92">
        <f>S5</f>
        <v>0.27000000000000013</v>
      </c>
      <c r="T6" s="67" t="e">
        <f ca="1">(+Q6/100+R6+S6/100)</f>
        <v>#NAME?</v>
      </c>
      <c r="U6" s="24" t="e">
        <f ca="1">+PRICE($C$1,D6,E6/100,T6,100,G6,H6)</f>
        <v>#NAME?</v>
      </c>
    </row>
    <row r="7" spans="1:32" s="14" customFormat="1" x14ac:dyDescent="0.25">
      <c r="A7" s="176"/>
      <c r="B7" s="176"/>
      <c r="C7" s="176"/>
      <c r="D7" s="177">
        <v>46717</v>
      </c>
      <c r="E7" s="176">
        <v>4.375</v>
      </c>
      <c r="F7" s="178">
        <v>10000000</v>
      </c>
      <c r="G7" s="179">
        <v>2</v>
      </c>
      <c r="H7" s="179">
        <v>0</v>
      </c>
      <c r="I7" s="23" t="e">
        <f ca="1">DURATION($C$1,D7,E7/100,T7/100,G7,H7)</f>
        <v>#NAME?</v>
      </c>
      <c r="J7" s="20"/>
      <c r="K7" s="20"/>
      <c r="L7" s="20"/>
      <c r="M7" s="20"/>
      <c r="N7" s="20"/>
      <c r="O7" s="176" t="s">
        <v>67</v>
      </c>
      <c r="P7" s="14" t="str">
        <f t="shared" si="0"/>
        <v>T 6.125 11/15/2027 Govt</v>
      </c>
      <c r="Q7" s="180" t="e">
        <f ca="1">_xll.BDH(P7,$Q$2,$C$1)</f>
        <v>#NAME?</v>
      </c>
      <c r="R7" s="49">
        <f>+R6</f>
        <v>2.1899999999999999E-2</v>
      </c>
      <c r="S7" s="92">
        <f>S6</f>
        <v>0.27000000000000013</v>
      </c>
      <c r="T7" s="246" t="e">
        <f ca="1">(+Q7/100+R7+S7/100)</f>
        <v>#NAME?</v>
      </c>
      <c r="U7" s="50" t="e">
        <f ca="1">+PRICE($C$1,D7,E7/100,T7,100,G7,H7)</f>
        <v>#NAME?</v>
      </c>
    </row>
    <row r="8" spans="1:32" x14ac:dyDescent="0.25">
      <c r="A8" s="99"/>
      <c r="B8" s="99"/>
      <c r="C8" s="175"/>
      <c r="D8" s="173">
        <v>46700</v>
      </c>
      <c r="E8" s="122">
        <v>4.375</v>
      </c>
      <c r="F8" s="3">
        <f>SUM(F3:F7)</f>
        <v>50000000</v>
      </c>
      <c r="G8" s="113">
        <v>2</v>
      </c>
      <c r="H8" s="113">
        <v>0</v>
      </c>
      <c r="I8" s="22" t="e">
        <f ca="1">SUMPRODUCT(I3:I7,F3:F7)/F8</f>
        <v>#NAME?</v>
      </c>
      <c r="J8" s="113" t="s">
        <v>147</v>
      </c>
      <c r="K8" s="113" t="s">
        <v>59</v>
      </c>
      <c r="L8" s="113" t="s">
        <v>25</v>
      </c>
      <c r="M8" s="113" t="s">
        <v>25</v>
      </c>
      <c r="N8" s="113" t="s">
        <v>148</v>
      </c>
      <c r="O8" s="114" t="s">
        <v>67</v>
      </c>
      <c r="P8" t="str">
        <f t="shared" si="0"/>
        <v>T 6.125 11/15/2027 Govt</v>
      </c>
      <c r="Q8" s="149" t="e">
        <f ca="1">_xll.BDH(P8,$Q$2,$C$1)</f>
        <v>#NAME?</v>
      </c>
      <c r="R8" s="25">
        <f>+R12</f>
        <v>2.1899999999999999E-2</v>
      </c>
      <c r="S8" s="93">
        <f>S7</f>
        <v>0.27000000000000013</v>
      </c>
      <c r="T8" s="247" t="e">
        <f ca="1">SUMPRODUCT(T3:T7,F3:F7)/F8</f>
        <v>#NAME?</v>
      </c>
      <c r="U8" s="24" t="e">
        <f ca="1">SUMPRODUCT(U3:U7,F3:F7)/F8</f>
        <v>#NAME?</v>
      </c>
    </row>
    <row r="9" spans="1:32" x14ac:dyDescent="0.25">
      <c r="E9" s="64"/>
      <c r="G9" s="19"/>
      <c r="H9" s="19"/>
      <c r="I9" s="22"/>
      <c r="J9" s="19"/>
      <c r="K9" s="19"/>
      <c r="L9" s="19"/>
      <c r="M9" s="19"/>
      <c r="N9" s="19"/>
      <c r="Q9" s="18"/>
      <c r="T9" s="5"/>
    </row>
    <row r="10" spans="1:32" x14ac:dyDescent="0.25">
      <c r="A10" s="137" t="s">
        <v>29</v>
      </c>
      <c r="B10" s="137"/>
      <c r="C10" s="137"/>
      <c r="D10" s="137"/>
      <c r="E10" s="137"/>
      <c r="F10" s="137"/>
      <c r="G10" s="137"/>
      <c r="H10" s="137"/>
      <c r="I10" s="137"/>
      <c r="J10" s="138"/>
      <c r="K10" s="138"/>
      <c r="L10" s="138"/>
      <c r="M10" s="138"/>
      <c r="N10" s="161"/>
      <c r="O10" s="138"/>
      <c r="P10" s="138"/>
      <c r="Q10" s="138"/>
      <c r="R10" s="138"/>
      <c r="S10" s="137"/>
      <c r="T10" s="137"/>
      <c r="U10" s="137"/>
      <c r="V10" s="5"/>
      <c r="Z10" s="5"/>
      <c r="AF10" s="3"/>
    </row>
    <row r="11" spans="1:32" s="14" customFormat="1" x14ac:dyDescent="0.25">
      <c r="A11" s="139" t="s">
        <v>0</v>
      </c>
      <c r="B11" s="139" t="s">
        <v>6</v>
      </c>
      <c r="C11" s="139" t="s">
        <v>108</v>
      </c>
      <c r="D11" s="139" t="s">
        <v>109</v>
      </c>
      <c r="E11" s="139" t="s">
        <v>2</v>
      </c>
      <c r="F11" s="139" t="s">
        <v>110</v>
      </c>
      <c r="G11" s="139" t="s">
        <v>111</v>
      </c>
      <c r="H11" s="140" t="s">
        <v>112</v>
      </c>
      <c r="I11" s="164" t="s">
        <v>12</v>
      </c>
      <c r="J11" s="140" t="s">
        <v>7</v>
      </c>
      <c r="K11" s="140" t="s">
        <v>8</v>
      </c>
      <c r="L11" s="140" t="s">
        <v>9</v>
      </c>
      <c r="M11" s="140" t="s">
        <v>28</v>
      </c>
      <c r="N11" s="139" t="s">
        <v>26</v>
      </c>
      <c r="O11" s="139"/>
      <c r="P11" s="139"/>
      <c r="Q11" s="139" t="s">
        <v>68</v>
      </c>
      <c r="R11" s="139" t="s">
        <v>78</v>
      </c>
      <c r="S11" s="139"/>
      <c r="T11" s="139"/>
      <c r="U11" s="139"/>
      <c r="V11" s="21"/>
      <c r="Z11" s="21"/>
      <c r="AF11" s="28"/>
    </row>
    <row r="12" spans="1:32" s="34" customFormat="1" x14ac:dyDescent="0.25">
      <c r="A12" s="122" t="s">
        <v>154</v>
      </c>
      <c r="B12" s="122"/>
      <c r="C12" s="155" t="s">
        <v>153</v>
      </c>
      <c r="D12" s="33"/>
      <c r="H12" s="10"/>
      <c r="I12" s="36"/>
      <c r="J12" s="10"/>
      <c r="K12" s="160" t="s">
        <v>22</v>
      </c>
      <c r="L12" s="10"/>
      <c r="M12" s="10"/>
      <c r="N12" s="5"/>
      <c r="P12"/>
      <c r="Q12"/>
      <c r="R12" s="123">
        <f>INDEX(Indices!$O:$O,MATCH('Senior Bank Note'!C12,Indices!M:M,0))/100</f>
        <v>2.1899999999999999E-2</v>
      </c>
      <c r="V12" s="5"/>
      <c r="W12"/>
      <c r="Z12" s="37"/>
      <c r="AF12" s="3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27"/>
  <sheetViews>
    <sheetView workbookViewId="0">
      <selection activeCell="D3" sqref="D3"/>
    </sheetView>
  </sheetViews>
  <sheetFormatPr defaultRowHeight="15" outlineLevelCol="3" x14ac:dyDescent="0.25"/>
  <cols>
    <col min="1" max="1" width="38.85546875" customWidth="1"/>
    <col min="2" max="2" width="18.42578125" customWidth="1"/>
    <col min="3" max="3" width="10.85546875" bestFit="1" customWidth="1"/>
    <col min="4" max="4" width="10.7109375" bestFit="1" customWidth="1"/>
    <col min="5" max="5" width="7.85546875" bestFit="1" customWidth="1"/>
    <col min="6" max="6" width="10.28515625" style="19" customWidth="1" outlineLevel="1"/>
    <col min="7" max="7" width="8.7109375" style="19" customWidth="1" outlineLevel="1"/>
    <col min="8" max="8" width="8" style="19" customWidth="1" outlineLevel="3"/>
    <col min="9" max="9" width="5.42578125" style="19" customWidth="1" outlineLevel="3"/>
    <col min="10" max="10" width="8.140625" style="19" customWidth="1" outlineLevel="3"/>
    <col min="11" max="11" width="5.42578125" style="19" customWidth="1" outlineLevel="3"/>
    <col min="12" max="12" width="6.85546875" style="19" customWidth="1" outlineLevel="3"/>
    <col min="13" max="13" width="17.42578125" bestFit="1" customWidth="1"/>
    <col min="14" max="14" width="6.85546875" customWidth="1"/>
    <col min="15" max="15" width="10.85546875" bestFit="1" customWidth="1"/>
    <col min="16" max="16" width="7.7109375" bestFit="1" customWidth="1"/>
    <col min="18" max="18" width="19.85546875" customWidth="1"/>
    <col min="20" max="20" width="10.140625" bestFit="1" customWidth="1"/>
  </cols>
  <sheetData>
    <row r="1" spans="1:20" x14ac:dyDescent="0.25">
      <c r="A1" s="135"/>
      <c r="B1" s="136" t="s">
        <v>77</v>
      </c>
      <c r="C1" s="235">
        <f>Valuation_Date</f>
        <v>42613</v>
      </c>
      <c r="D1" s="137"/>
      <c r="E1" s="137"/>
      <c r="F1" s="138"/>
      <c r="G1" s="138"/>
      <c r="H1" s="138"/>
      <c r="I1" s="138"/>
      <c r="J1" s="138"/>
      <c r="K1" s="138"/>
      <c r="L1" s="138"/>
      <c r="M1" s="137"/>
      <c r="N1" s="137"/>
      <c r="O1" s="137"/>
      <c r="P1" s="137"/>
      <c r="Q1" s="137"/>
      <c r="R1" s="137"/>
      <c r="S1" s="137"/>
      <c r="T1" s="137"/>
    </row>
    <row r="2" spans="1:20" s="14" customFormat="1" x14ac:dyDescent="0.25">
      <c r="A2" s="139" t="s">
        <v>0</v>
      </c>
      <c r="B2" s="139" t="s">
        <v>6</v>
      </c>
      <c r="C2" s="139" t="s">
        <v>1</v>
      </c>
      <c r="D2" s="139" t="s">
        <v>2</v>
      </c>
      <c r="E2" s="139" t="s">
        <v>3</v>
      </c>
      <c r="F2" s="140" t="s">
        <v>5</v>
      </c>
      <c r="G2" s="140" t="s">
        <v>12</v>
      </c>
      <c r="H2" s="140" t="s">
        <v>7</v>
      </c>
      <c r="I2" s="140" t="s">
        <v>8</v>
      </c>
      <c r="J2" s="140" t="s">
        <v>9</v>
      </c>
      <c r="K2" s="140" t="s">
        <v>28</v>
      </c>
      <c r="L2" s="140" t="s">
        <v>26</v>
      </c>
      <c r="M2" s="139" t="s">
        <v>66</v>
      </c>
      <c r="N2" s="139"/>
      <c r="O2" s="139" t="s">
        <v>68</v>
      </c>
      <c r="P2" s="139" t="s">
        <v>74</v>
      </c>
      <c r="Q2" s="139" t="s">
        <v>72</v>
      </c>
      <c r="R2" s="139" t="s">
        <v>73</v>
      </c>
      <c r="S2" s="139" t="s">
        <v>75</v>
      </c>
      <c r="T2" s="139" t="s">
        <v>235</v>
      </c>
    </row>
    <row r="3" spans="1:20" x14ac:dyDescent="0.25">
      <c r="A3" s="99"/>
      <c r="B3" s="99"/>
      <c r="C3" s="114"/>
      <c r="D3" s="102">
        <v>46725</v>
      </c>
      <c r="E3" s="114">
        <v>9.25</v>
      </c>
      <c r="F3" s="113">
        <v>2</v>
      </c>
      <c r="G3" s="22" t="e">
        <f ca="1">DURATION($C$1,D3,E3/100,S3/100,F3,0)</f>
        <v>#NAME?</v>
      </c>
      <c r="H3" s="118" t="s">
        <v>21</v>
      </c>
      <c r="I3" s="118" t="s">
        <v>16</v>
      </c>
      <c r="J3" s="118"/>
      <c r="K3" s="118" t="s">
        <v>24</v>
      </c>
      <c r="L3" s="118" t="s">
        <v>155</v>
      </c>
      <c r="M3" s="119" t="s">
        <v>67</v>
      </c>
      <c r="N3" t="str">
        <f>M3&amp;" Govt"</f>
        <v>T 6.125 11/15/2027 Govt</v>
      </c>
      <c r="O3" s="143" t="e">
        <f ca="1">_xll.BDH(N3,$O$2,$C$1)</f>
        <v>#NAME?</v>
      </c>
      <c r="P3" s="17">
        <f>+$P$15</f>
        <v>269.5333333333333</v>
      </c>
      <c r="Q3" s="17">
        <f>+$P$15-$P$21</f>
        <v>80.666666666666657</v>
      </c>
      <c r="R3" s="53">
        <f>Indices!P6*100</f>
        <v>27.000000000000014</v>
      </c>
      <c r="S3" s="5" t="e">
        <f ca="1">(+O3*100+P3+Q3+R3)/100</f>
        <v>#NAME?</v>
      </c>
      <c r="T3" s="24" t="e">
        <f ca="1">+PRICE($C$1,D3,E3/100,S3/100,100,F3,0)</f>
        <v>#NAME?</v>
      </c>
    </row>
    <row r="4" spans="1:20" x14ac:dyDescent="0.25">
      <c r="A4" s="99"/>
      <c r="B4" s="114"/>
      <c r="C4" s="114"/>
      <c r="D4" s="102">
        <v>46755</v>
      </c>
      <c r="E4" s="114">
        <v>7.25</v>
      </c>
      <c r="F4" s="113">
        <v>2</v>
      </c>
      <c r="G4" s="22" t="e">
        <f ca="1">DURATION($C$1,D4,E4/100,S4/100,F4,0)</f>
        <v>#NAME?</v>
      </c>
      <c r="H4" s="118" t="s">
        <v>21</v>
      </c>
      <c r="I4" s="118" t="s">
        <v>16</v>
      </c>
      <c r="J4" s="118"/>
      <c r="K4" s="118" t="s">
        <v>24</v>
      </c>
      <c r="L4" s="118" t="s">
        <v>155</v>
      </c>
      <c r="M4" s="119" t="s">
        <v>67</v>
      </c>
      <c r="N4" t="str">
        <f>M4&amp;" Govt"</f>
        <v>T 6.125 11/15/2027 Govt</v>
      </c>
      <c r="O4" s="143" t="e">
        <f ca="1">_xll.BDH(N4,$O$2,$C$1)</f>
        <v>#NAME?</v>
      </c>
      <c r="P4" s="17">
        <f>+$P$15</f>
        <v>269.5333333333333</v>
      </c>
      <c r="Q4" s="17">
        <f>+$P$15-$P$21</f>
        <v>80.666666666666657</v>
      </c>
      <c r="R4" s="17">
        <f>+R3</f>
        <v>27.000000000000014</v>
      </c>
      <c r="S4" s="5" t="e">
        <f ca="1">(+O4*100+P4+Q4+R4)/100</f>
        <v>#NAME?</v>
      </c>
      <c r="T4" s="24" t="e">
        <f ca="1">+PRICE($C$1,D4,E4/100,S4/100,100,F4,0)</f>
        <v>#NAME?</v>
      </c>
    </row>
    <row r="5" spans="1:20" x14ac:dyDescent="0.25">
      <c r="A5" s="99"/>
      <c r="B5" s="114"/>
      <c r="C5" s="114"/>
      <c r="D5" s="102">
        <v>46755</v>
      </c>
      <c r="E5" s="114">
        <v>7.25</v>
      </c>
      <c r="F5" s="113">
        <v>2</v>
      </c>
      <c r="G5" s="22" t="e">
        <f ca="1">DURATION($C$1,D5,E5/100,S5/100,F5,0)</f>
        <v>#NAME?</v>
      </c>
      <c r="H5" s="118" t="s">
        <v>21</v>
      </c>
      <c r="I5" s="118" t="s">
        <v>16</v>
      </c>
      <c r="J5" s="118"/>
      <c r="K5" s="118" t="s">
        <v>24</v>
      </c>
      <c r="L5" s="118" t="s">
        <v>155</v>
      </c>
      <c r="M5" s="119" t="s">
        <v>67</v>
      </c>
      <c r="N5" t="str">
        <f>M5&amp;" Govt"</f>
        <v>T 6.125 11/15/2027 Govt</v>
      </c>
      <c r="O5" s="143" t="e">
        <f ca="1">_xll.BDH(N5,$O$2,$C$1)</f>
        <v>#NAME?</v>
      </c>
      <c r="P5" s="17">
        <f>+$P$15</f>
        <v>269.5333333333333</v>
      </c>
      <c r="Q5" s="17">
        <f>+$P$15-$P$21</f>
        <v>80.666666666666657</v>
      </c>
      <c r="R5" s="17">
        <f>+R3</f>
        <v>27.000000000000014</v>
      </c>
      <c r="S5" s="5" t="e">
        <f ca="1">(+O5*100+P5+Q5+R5)/100</f>
        <v>#NAME?</v>
      </c>
      <c r="T5" s="24" t="e">
        <f ca="1">+PRICE($C$1,D5,E5/100,S5/100,100,F5,0)</f>
        <v>#NAME?</v>
      </c>
    </row>
    <row r="6" spans="1:20" x14ac:dyDescent="0.25">
      <c r="G6" s="22"/>
      <c r="H6" s="90"/>
      <c r="I6" s="90"/>
      <c r="J6" s="90"/>
      <c r="K6" s="90"/>
      <c r="L6" s="90"/>
      <c r="O6" s="18"/>
      <c r="S6" s="5"/>
    </row>
    <row r="7" spans="1:20" x14ac:dyDescent="0.25">
      <c r="A7" s="137" t="s">
        <v>29</v>
      </c>
      <c r="B7" s="137"/>
      <c r="C7" s="137"/>
      <c r="D7" s="137"/>
      <c r="E7" s="137"/>
      <c r="F7" s="138"/>
      <c r="G7" s="161"/>
      <c r="H7" s="138"/>
      <c r="I7" s="138"/>
      <c r="J7" s="138"/>
      <c r="K7" s="138"/>
      <c r="L7" s="138"/>
      <c r="M7" s="137"/>
      <c r="N7" s="137"/>
      <c r="O7" s="162"/>
      <c r="P7" s="137"/>
      <c r="Q7" s="137"/>
      <c r="R7" s="137"/>
      <c r="S7" s="163"/>
      <c r="T7" s="137"/>
    </row>
    <row r="8" spans="1:20" s="14" customFormat="1" x14ac:dyDescent="0.25">
      <c r="A8" s="139" t="s">
        <v>0</v>
      </c>
      <c r="B8" s="139" t="s">
        <v>6</v>
      </c>
      <c r="C8" s="139" t="s">
        <v>1</v>
      </c>
      <c r="D8" s="139" t="s">
        <v>2</v>
      </c>
      <c r="E8" s="139" t="s">
        <v>3</v>
      </c>
      <c r="F8" s="140" t="s">
        <v>5</v>
      </c>
      <c r="G8" s="164" t="s">
        <v>12</v>
      </c>
      <c r="H8" s="140" t="s">
        <v>7</v>
      </c>
      <c r="I8" s="140" t="s">
        <v>8</v>
      </c>
      <c r="J8" s="140" t="s">
        <v>9</v>
      </c>
      <c r="K8" s="140" t="s">
        <v>28</v>
      </c>
      <c r="L8" s="140" t="s">
        <v>26</v>
      </c>
      <c r="M8" s="139" t="s">
        <v>66</v>
      </c>
      <c r="N8" s="139"/>
      <c r="O8" s="139" t="s">
        <v>68</v>
      </c>
      <c r="P8" s="139" t="s">
        <v>78</v>
      </c>
      <c r="Q8" s="139" t="s">
        <v>203</v>
      </c>
      <c r="R8" s="139"/>
      <c r="S8" s="165" t="s">
        <v>75</v>
      </c>
      <c r="T8" s="139" t="s">
        <v>246</v>
      </c>
    </row>
    <row r="9" spans="1:20" x14ac:dyDescent="0.25">
      <c r="A9" s="114" t="s">
        <v>30</v>
      </c>
      <c r="B9" s="114" t="s">
        <v>31</v>
      </c>
      <c r="C9" s="114" t="s">
        <v>32</v>
      </c>
      <c r="D9" s="107">
        <v>50936</v>
      </c>
      <c r="E9" s="114">
        <v>9.25</v>
      </c>
      <c r="F9" s="113">
        <v>2</v>
      </c>
      <c r="G9" s="22" t="e">
        <f ca="1">DURATION($C$1,D9,E9/100,S9/100,F9,0)</f>
        <v>#NAME?</v>
      </c>
      <c r="H9" s="118" t="s">
        <v>33</v>
      </c>
      <c r="I9" s="118" t="s">
        <v>22</v>
      </c>
      <c r="J9" s="118" t="s">
        <v>22</v>
      </c>
      <c r="K9" s="118" t="s">
        <v>34</v>
      </c>
      <c r="L9" s="118">
        <v>1</v>
      </c>
      <c r="M9" s="114" t="s">
        <v>69</v>
      </c>
      <c r="N9" t="str">
        <f t="shared" ref="N9:N14" si="0">M9&amp;" Govt"</f>
        <v>T 3 11/15/44 Govt</v>
      </c>
      <c r="O9" s="143" t="e">
        <f ca="1">_xll.BDH(N9,$O$2,$C$1)</f>
        <v>#NAME?</v>
      </c>
      <c r="P9" s="141">
        <v>274</v>
      </c>
      <c r="Q9">
        <v>284.8</v>
      </c>
      <c r="S9" s="5" t="e">
        <f t="shared" ref="S9:S14" ca="1" si="1">+O9+P9/100</f>
        <v>#NAME?</v>
      </c>
      <c r="T9">
        <v>156.49467999999999</v>
      </c>
    </row>
    <row r="10" spans="1:20" x14ac:dyDescent="0.25">
      <c r="A10" s="114" t="s">
        <v>35</v>
      </c>
      <c r="B10" s="114" t="s">
        <v>31</v>
      </c>
      <c r="C10" s="114" t="s">
        <v>36</v>
      </c>
      <c r="D10" s="107">
        <v>51028</v>
      </c>
      <c r="E10" s="114">
        <v>10.5</v>
      </c>
      <c r="F10" s="113">
        <v>2</v>
      </c>
      <c r="G10" s="22" t="e">
        <f ca="1">DURATION($C$1,D10,E10/100,S10/100,F10,0)</f>
        <v>#NAME?</v>
      </c>
      <c r="H10" s="118" t="s">
        <v>37</v>
      </c>
      <c r="I10" s="118" t="s">
        <v>38</v>
      </c>
      <c r="J10" s="118" t="s">
        <v>25</v>
      </c>
      <c r="K10" s="118" t="s">
        <v>39</v>
      </c>
      <c r="L10" s="118">
        <v>2</v>
      </c>
      <c r="M10" s="114" t="str">
        <f>+M9</f>
        <v>T 3 11/15/44</v>
      </c>
      <c r="N10" t="str">
        <f t="shared" si="0"/>
        <v>T 3 11/15/44 Govt</v>
      </c>
      <c r="O10" s="143" t="e">
        <f ca="1">_xll.BDH(N10,$O$2,$C$1)</f>
        <v>#NAME?</v>
      </c>
      <c r="P10" s="141"/>
      <c r="S10" s="5" t="e">
        <f t="shared" ca="1" si="1"/>
        <v>#NAME?</v>
      </c>
      <c r="T10">
        <v>157.02064999999999</v>
      </c>
    </row>
    <row r="11" spans="1:20" x14ac:dyDescent="0.25">
      <c r="A11" s="114" t="s">
        <v>40</v>
      </c>
      <c r="B11" s="114" t="s">
        <v>31</v>
      </c>
      <c r="C11" s="114" t="s">
        <v>41</v>
      </c>
      <c r="D11" s="107">
        <v>46461</v>
      </c>
      <c r="E11" s="114">
        <v>8.15</v>
      </c>
      <c r="F11" s="113">
        <v>2</v>
      </c>
      <c r="G11" s="22" t="e">
        <f ca="1">DURATION($C$1,D11,E11/100,S11/100,F11,0)</f>
        <v>#NAME?</v>
      </c>
      <c r="H11" s="118" t="s">
        <v>33</v>
      </c>
      <c r="I11" s="118" t="s">
        <v>42</v>
      </c>
      <c r="J11" s="118" t="s">
        <v>42</v>
      </c>
      <c r="K11" s="118" t="s">
        <v>43</v>
      </c>
      <c r="L11" s="118">
        <v>1</v>
      </c>
      <c r="M11" s="114" t="s">
        <v>71</v>
      </c>
      <c r="N11" t="str">
        <f t="shared" si="0"/>
        <v>T 6.125 11/15/27 Govt</v>
      </c>
      <c r="O11" s="143" t="e">
        <f ca="1">_xll.BDH(N11,$O$2,$C$1)</f>
        <v>#NAME?</v>
      </c>
      <c r="P11" s="141"/>
      <c r="R11" s="66"/>
      <c r="S11" s="5" t="e">
        <f t="shared" ca="1" si="1"/>
        <v>#NAME?</v>
      </c>
      <c r="T11">
        <v>136.04198</v>
      </c>
    </row>
    <row r="12" spans="1:20" x14ac:dyDescent="0.25">
      <c r="A12" s="114" t="s">
        <v>44</v>
      </c>
      <c r="B12" s="114" t="s">
        <v>31</v>
      </c>
      <c r="C12" s="114" t="s">
        <v>45</v>
      </c>
      <c r="D12" s="107">
        <v>49841</v>
      </c>
      <c r="E12" s="114">
        <v>6.8</v>
      </c>
      <c r="F12" s="113">
        <v>2</v>
      </c>
      <c r="G12" s="22" t="e">
        <f ca="1">DURATION($C$1,D12,E12/100,S12/100,F12,0)</f>
        <v>#NAME?</v>
      </c>
      <c r="H12" s="118" t="s">
        <v>33</v>
      </c>
      <c r="I12" s="118" t="s">
        <v>22</v>
      </c>
      <c r="J12" s="118" t="s">
        <v>25</v>
      </c>
      <c r="K12" s="118" t="s">
        <v>43</v>
      </c>
      <c r="L12" s="118">
        <v>1</v>
      </c>
      <c r="M12" s="114" t="str">
        <f>+M10</f>
        <v>T 3 11/15/44</v>
      </c>
      <c r="N12" t="str">
        <f t="shared" si="0"/>
        <v>T 3 11/15/44 Govt</v>
      </c>
      <c r="O12" s="143" t="e">
        <f ca="1">_xll.BDH(N12,$O$2,$C$1)</f>
        <v>#NAME?</v>
      </c>
      <c r="P12" s="141">
        <v>234.7</v>
      </c>
      <c r="Q12">
        <v>234.7</v>
      </c>
      <c r="S12" s="5" t="e">
        <f t="shared" ca="1" si="1"/>
        <v>#NAME?</v>
      </c>
      <c r="T12">
        <v>129</v>
      </c>
    </row>
    <row r="13" spans="1:20" x14ac:dyDescent="0.25">
      <c r="A13" s="114" t="s">
        <v>46</v>
      </c>
      <c r="B13" s="114" t="s">
        <v>31</v>
      </c>
      <c r="C13" s="114" t="s">
        <v>47</v>
      </c>
      <c r="D13" s="107">
        <v>52032</v>
      </c>
      <c r="E13" s="114">
        <v>6.875</v>
      </c>
      <c r="F13" s="113">
        <v>2</v>
      </c>
      <c r="G13" s="22" t="e">
        <f ca="1">DURATION($C$1,D13,E13/100,S13/100,F13,0)</f>
        <v>#NAME?</v>
      </c>
      <c r="H13" s="118" t="s">
        <v>33</v>
      </c>
      <c r="I13" s="118" t="s">
        <v>48</v>
      </c>
      <c r="J13" s="118" t="s">
        <v>25</v>
      </c>
      <c r="K13" s="118" t="s">
        <v>43</v>
      </c>
      <c r="L13" s="118">
        <v>1</v>
      </c>
      <c r="M13" s="114" t="str">
        <f>+M12</f>
        <v>T 3 11/15/44</v>
      </c>
      <c r="N13" t="str">
        <f t="shared" si="0"/>
        <v>T 3 11/15/44 Govt</v>
      </c>
      <c r="O13" s="143" t="e">
        <f ca="1">_xll.BDH(N13,$O$2,$C$1)</f>
        <v>#NAME?</v>
      </c>
      <c r="P13" s="141"/>
      <c r="S13" s="5" t="e">
        <f t="shared" ca="1" si="1"/>
        <v>#NAME?</v>
      </c>
      <c r="T13">
        <v>122.31359999999999</v>
      </c>
    </row>
    <row r="14" spans="1:20" x14ac:dyDescent="0.25">
      <c r="A14" s="114" t="s">
        <v>49</v>
      </c>
      <c r="B14" s="114" t="s">
        <v>31</v>
      </c>
      <c r="C14" s="114" t="s">
        <v>50</v>
      </c>
      <c r="D14" s="107">
        <v>46310</v>
      </c>
      <c r="E14" s="114">
        <v>7.875</v>
      </c>
      <c r="F14" s="113">
        <v>2</v>
      </c>
      <c r="G14" s="22" t="e">
        <f ca="1">DURATION($C$1,D14,E14/100,S14/100,F14,0)</f>
        <v>#NAME?</v>
      </c>
      <c r="H14" s="118" t="s">
        <v>19</v>
      </c>
      <c r="I14" s="118" t="s">
        <v>38</v>
      </c>
      <c r="J14" s="118" t="s">
        <v>14</v>
      </c>
      <c r="K14" s="118" t="s">
        <v>51</v>
      </c>
      <c r="L14" s="118">
        <v>2</v>
      </c>
      <c r="M14" s="114" t="s">
        <v>70</v>
      </c>
      <c r="N14" t="str">
        <f t="shared" si="0"/>
        <v>T 6.5 11/15/26 Govt</v>
      </c>
      <c r="O14" s="143" t="e">
        <f ca="1">_xll.BDH(N14,$O$2,$C$1)</f>
        <v>#NAME?</v>
      </c>
      <c r="P14" s="142">
        <v>299.89999999999998</v>
      </c>
      <c r="R14" s="209"/>
      <c r="S14" s="5" t="e">
        <f t="shared" ca="1" si="1"/>
        <v>#NAME?</v>
      </c>
      <c r="T14">
        <v>125.9648</v>
      </c>
    </row>
    <row r="15" spans="1:20" x14ac:dyDescent="0.25">
      <c r="A15" s="114"/>
      <c r="B15" s="114"/>
      <c r="C15" s="114"/>
      <c r="D15" s="114"/>
      <c r="E15" s="114"/>
      <c r="F15" s="113"/>
      <c r="G15" s="22"/>
      <c r="H15" s="90"/>
      <c r="I15" s="90"/>
      <c r="J15" s="90"/>
      <c r="K15" s="90"/>
      <c r="L15" s="90"/>
      <c r="M15" s="114"/>
      <c r="O15" s="144"/>
      <c r="P15" s="17">
        <f>AVERAGE(P9:P14)</f>
        <v>269.5333333333333</v>
      </c>
      <c r="Q15">
        <v>259.75</v>
      </c>
      <c r="S15" s="5"/>
    </row>
    <row r="16" spans="1:20" x14ac:dyDescent="0.25">
      <c r="A16" s="114"/>
      <c r="B16" s="114"/>
      <c r="C16" s="114"/>
      <c r="D16" s="114"/>
      <c r="E16" s="114"/>
      <c r="F16" s="113"/>
      <c r="G16" s="22"/>
      <c r="H16" s="90"/>
      <c r="I16" s="90"/>
      <c r="J16" s="90"/>
      <c r="K16" s="90"/>
      <c r="L16" s="90"/>
      <c r="M16" s="114"/>
      <c r="O16" s="144"/>
      <c r="S16" s="5"/>
    </row>
    <row r="17" spans="1:20" x14ac:dyDescent="0.25">
      <c r="A17" s="114" t="s">
        <v>52</v>
      </c>
      <c r="B17" s="114" t="s">
        <v>15</v>
      </c>
      <c r="C17" s="114" t="s">
        <v>65</v>
      </c>
      <c r="D17" s="107">
        <v>51043</v>
      </c>
      <c r="E17" s="114">
        <v>7.375</v>
      </c>
      <c r="F17" s="113">
        <v>2</v>
      </c>
      <c r="G17" s="22" t="e">
        <f ca="1">DURATION($C$1,D17,E17/100,S17/100,F17,0)</f>
        <v>#NAME?</v>
      </c>
      <c r="H17" s="118" t="s">
        <v>63</v>
      </c>
      <c r="I17" s="118" t="s">
        <v>58</v>
      </c>
      <c r="J17" s="118" t="s">
        <v>58</v>
      </c>
      <c r="K17" s="118" t="s">
        <v>64</v>
      </c>
      <c r="L17" s="118">
        <v>1</v>
      </c>
      <c r="M17" s="114" t="s">
        <v>69</v>
      </c>
      <c r="N17" t="str">
        <f>M17&amp;" Govt"</f>
        <v>T 3 11/15/44 Govt</v>
      </c>
      <c r="O17" s="143" t="e">
        <f ca="1">_xll.BDH(N17,$O$2,$C$1)</f>
        <v>#NAME?</v>
      </c>
      <c r="P17" s="141">
        <v>209.9</v>
      </c>
      <c r="Q17">
        <v>220</v>
      </c>
      <c r="R17" s="83"/>
      <c r="S17" s="5" t="e">
        <f ca="1">+O17+P17/100</f>
        <v>#NAME?</v>
      </c>
      <c r="T17">
        <v>143.03916000000001</v>
      </c>
    </row>
    <row r="18" spans="1:20" x14ac:dyDescent="0.25">
      <c r="A18" s="114" t="s">
        <v>53</v>
      </c>
      <c r="B18" s="114" t="s">
        <v>15</v>
      </c>
      <c r="C18" s="114" t="s">
        <v>62</v>
      </c>
      <c r="D18" s="107">
        <v>51836</v>
      </c>
      <c r="E18" s="114">
        <v>5.375</v>
      </c>
      <c r="F18" s="113">
        <v>2</v>
      </c>
      <c r="G18" s="22" t="e">
        <f ca="1">DURATION($C$1,D18,E18/100,S18/100,F18,0)</f>
        <v>#NAME?</v>
      </c>
      <c r="H18" s="118" t="s">
        <v>63</v>
      </c>
      <c r="I18" s="118" t="s">
        <v>58</v>
      </c>
      <c r="J18" s="118" t="s">
        <v>58</v>
      </c>
      <c r="K18" s="118" t="s">
        <v>64</v>
      </c>
      <c r="L18" s="118">
        <v>1</v>
      </c>
      <c r="M18" s="114" t="str">
        <f>+M17</f>
        <v>T 3 11/15/44</v>
      </c>
      <c r="N18" t="str">
        <f>M18&amp;" Govt"</f>
        <v>T 3 11/15/44 Govt</v>
      </c>
      <c r="O18" s="143" t="e">
        <f ca="1">_xll.BDH(N18,$O$2,$C$1)</f>
        <v>#NAME?</v>
      </c>
      <c r="P18" s="141"/>
      <c r="R18" s="209"/>
      <c r="S18" s="5" t="e">
        <f ca="1">+O18+P18/100</f>
        <v>#NAME?</v>
      </c>
      <c r="T18">
        <v>119.37316</v>
      </c>
    </row>
    <row r="19" spans="1:20" x14ac:dyDescent="0.25">
      <c r="A19" s="114" t="s">
        <v>54</v>
      </c>
      <c r="B19" s="114" t="s">
        <v>15</v>
      </c>
      <c r="C19" s="114" t="s">
        <v>61</v>
      </c>
      <c r="D19" s="107">
        <v>51225</v>
      </c>
      <c r="E19" s="114">
        <v>6.0629999999999997</v>
      </c>
      <c r="F19" s="113">
        <v>2</v>
      </c>
      <c r="G19" s="22" t="e">
        <f ca="1">DURATION($C$1,D19,E19/100,S19/100,F19,0)</f>
        <v>#NAME?</v>
      </c>
      <c r="H19" s="118" t="s">
        <v>57</v>
      </c>
      <c r="I19" s="118" t="s">
        <v>58</v>
      </c>
      <c r="J19" s="118" t="s">
        <v>59</v>
      </c>
      <c r="K19" s="118" t="s">
        <v>60</v>
      </c>
      <c r="L19" s="118">
        <v>1</v>
      </c>
      <c r="M19" s="114" t="str">
        <f>+M18</f>
        <v>T 3 11/15/44</v>
      </c>
      <c r="N19" t="str">
        <f>M19&amp;" Govt"</f>
        <v>T 3 11/15/44 Govt</v>
      </c>
      <c r="O19" s="143" t="e">
        <f ca="1">_xll.BDH(N19,$O$2,$C$1)</f>
        <v>#NAME?</v>
      </c>
      <c r="P19" s="141">
        <v>173</v>
      </c>
      <c r="Q19">
        <v>185</v>
      </c>
      <c r="R19" s="209"/>
      <c r="S19" s="5" t="e">
        <f ca="1">+O19+P19/100</f>
        <v>#NAME?</v>
      </c>
      <c r="T19">
        <v>130.73895999999999</v>
      </c>
    </row>
    <row r="20" spans="1:20" x14ac:dyDescent="0.25">
      <c r="A20" s="114" t="s">
        <v>55</v>
      </c>
      <c r="B20" s="114" t="s">
        <v>15</v>
      </c>
      <c r="C20" s="114" t="s">
        <v>56</v>
      </c>
      <c r="D20" s="107">
        <v>51089</v>
      </c>
      <c r="E20" s="114">
        <v>6.75</v>
      </c>
      <c r="F20" s="113">
        <v>2</v>
      </c>
      <c r="G20" s="22" t="e">
        <f ca="1">DURATION($C$1,D20,E20/100,S20/100,F20,0)</f>
        <v>#NAME?</v>
      </c>
      <c r="H20" s="118" t="s">
        <v>57</v>
      </c>
      <c r="I20" s="118" t="s">
        <v>58</v>
      </c>
      <c r="J20" s="118" t="s">
        <v>59</v>
      </c>
      <c r="K20" s="118" t="s">
        <v>60</v>
      </c>
      <c r="L20" s="118">
        <v>1</v>
      </c>
      <c r="M20" s="114" t="str">
        <f>+M19</f>
        <v>T 3 11/15/44</v>
      </c>
      <c r="N20" t="str">
        <f>M20&amp;" Govt"</f>
        <v>T 3 11/15/44 Govt</v>
      </c>
      <c r="O20" s="143" t="e">
        <f ca="1">_xll.BDH(N20,$O$2,$C$1)</f>
        <v>#NAME?</v>
      </c>
      <c r="P20" s="142">
        <v>183.7</v>
      </c>
      <c r="S20" s="5" t="e">
        <f ca="1">+O20+P20/100</f>
        <v>#NAME?</v>
      </c>
      <c r="T20">
        <v>137.94623999999999</v>
      </c>
    </row>
    <row r="21" spans="1:20" x14ac:dyDescent="0.25">
      <c r="O21" s="2"/>
      <c r="P21">
        <f>AVERAGE(P17:P20)</f>
        <v>188.86666666666665</v>
      </c>
      <c r="Q21">
        <v>202.5</v>
      </c>
    </row>
    <row r="22" spans="1:20" x14ac:dyDescent="0.25">
      <c r="A22" s="283"/>
      <c r="B22" s="284" t="s">
        <v>15</v>
      </c>
      <c r="C22" s="284" t="s">
        <v>13</v>
      </c>
      <c r="D22" s="285" t="s">
        <v>17</v>
      </c>
      <c r="O22" s="2"/>
    </row>
    <row r="23" spans="1:20" x14ac:dyDescent="0.25">
      <c r="A23" s="12" t="s">
        <v>7</v>
      </c>
      <c r="B23" s="6" t="s">
        <v>21</v>
      </c>
      <c r="C23" s="7" t="s">
        <v>19</v>
      </c>
      <c r="D23" s="8" t="s">
        <v>20</v>
      </c>
      <c r="O23" s="2"/>
    </row>
    <row r="24" spans="1:20" x14ac:dyDescent="0.25">
      <c r="A24" s="12" t="s">
        <v>8</v>
      </c>
      <c r="B24" s="9" t="s">
        <v>16</v>
      </c>
      <c r="C24" s="10" t="s">
        <v>14</v>
      </c>
      <c r="D24" s="11" t="s">
        <v>18</v>
      </c>
    </row>
    <row r="25" spans="1:20" x14ac:dyDescent="0.25">
      <c r="A25" s="12" t="s">
        <v>9</v>
      </c>
      <c r="B25" s="9"/>
      <c r="C25" s="10" t="s">
        <v>25</v>
      </c>
      <c r="D25" s="11"/>
      <c r="R25" s="5"/>
    </row>
    <row r="26" spans="1:20" x14ac:dyDescent="0.25">
      <c r="A26" s="12" t="s">
        <v>10</v>
      </c>
      <c r="B26" s="9" t="s">
        <v>24</v>
      </c>
      <c r="C26" s="10" t="s">
        <v>22</v>
      </c>
      <c r="D26" s="11" t="s">
        <v>23</v>
      </c>
      <c r="R26" s="5"/>
    </row>
    <row r="27" spans="1:20" x14ac:dyDescent="0.25">
      <c r="A27" s="13" t="s">
        <v>26</v>
      </c>
      <c r="B27" s="16" t="s">
        <v>27</v>
      </c>
      <c r="C27" s="14"/>
      <c r="D27" s="15"/>
      <c r="R27" s="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F24"/>
  <sheetViews>
    <sheetView workbookViewId="0">
      <selection activeCell="U3" sqref="U3"/>
    </sheetView>
  </sheetViews>
  <sheetFormatPr defaultRowHeight="15" outlineLevelCol="1" x14ac:dyDescent="0.25"/>
  <cols>
    <col min="1" max="1" width="28.42578125" customWidth="1"/>
    <col min="2" max="2" width="14.28515625" bestFit="1" customWidth="1"/>
    <col min="3" max="3" width="10.7109375" bestFit="1" customWidth="1"/>
    <col min="4" max="4" width="8.7109375" bestFit="1" customWidth="1"/>
    <col min="5" max="5" width="8.85546875" customWidth="1" outlineLevel="1"/>
    <col min="6" max="6" width="7.85546875" customWidth="1" outlineLevel="1"/>
    <col min="7" max="7" width="11.5703125" customWidth="1" outlineLevel="1"/>
    <col min="8" max="8" width="12.7109375" customWidth="1" outlineLevel="1"/>
    <col min="9" max="9" width="9.42578125" customWidth="1" outlineLevel="1"/>
    <col min="10" max="10" width="9" customWidth="1" outlineLevel="1"/>
    <col min="11" max="11" width="10.140625" customWidth="1" outlineLevel="1"/>
    <col min="12" max="12" width="8" customWidth="1" outlineLevel="1"/>
    <col min="13" max="13" width="4.5703125" customWidth="1" outlineLevel="1"/>
    <col min="14" max="14" width="5.28515625" customWidth="1" outlineLevel="1"/>
    <col min="15" max="15" width="5.140625" bestFit="1" customWidth="1"/>
    <col min="16" max="17" width="15.28515625" bestFit="1" customWidth="1"/>
    <col min="18" max="18" width="20" bestFit="1" customWidth="1"/>
    <col min="19" max="19" width="10.85546875" bestFit="1" customWidth="1"/>
    <col min="20" max="20" width="7" bestFit="1" customWidth="1"/>
    <col min="21" max="21" width="7.42578125" bestFit="1" customWidth="1"/>
    <col min="22" max="22" width="8.42578125" bestFit="1" customWidth="1"/>
    <col min="23" max="23" width="10.140625" bestFit="1" customWidth="1"/>
    <col min="24" max="24" width="9.7109375" bestFit="1" customWidth="1"/>
    <col min="25" max="25" width="14.28515625" bestFit="1" customWidth="1"/>
    <col min="26" max="26" width="13.28515625" bestFit="1" customWidth="1"/>
    <col min="28" max="28" width="12.5703125" bestFit="1" customWidth="1"/>
    <col min="31" max="31" width="9.7109375" bestFit="1" customWidth="1"/>
    <col min="32" max="32" width="14.28515625" style="3" bestFit="1" customWidth="1"/>
    <col min="33" max="33" width="10.5703125" bestFit="1" customWidth="1"/>
    <col min="35" max="35" width="11.5703125" bestFit="1" customWidth="1"/>
  </cols>
  <sheetData>
    <row r="1" spans="1:32" x14ac:dyDescent="0.25">
      <c r="A1" s="135"/>
      <c r="B1" s="136" t="s">
        <v>77</v>
      </c>
      <c r="C1" s="235">
        <f>Valuation_Date</f>
        <v>42613</v>
      </c>
      <c r="D1" s="152"/>
      <c r="E1" s="137"/>
      <c r="F1" s="137"/>
      <c r="G1" s="137"/>
      <c r="H1" s="137" t="s">
        <v>103</v>
      </c>
      <c r="I1" s="138"/>
      <c r="J1" s="138" t="s">
        <v>104</v>
      </c>
      <c r="K1" s="138"/>
      <c r="L1" s="138"/>
      <c r="M1" s="138"/>
      <c r="N1" s="138"/>
      <c r="O1" s="138"/>
      <c r="P1" s="138"/>
      <c r="Q1" s="138"/>
      <c r="R1" s="137"/>
      <c r="S1" s="137"/>
      <c r="T1" s="137"/>
      <c r="U1" s="137"/>
      <c r="V1" s="137"/>
      <c r="W1" s="137"/>
      <c r="AE1" s="3"/>
      <c r="AF1"/>
    </row>
    <row r="2" spans="1:32" s="14" customFormat="1" x14ac:dyDescent="0.25">
      <c r="A2" s="139" t="s">
        <v>0</v>
      </c>
      <c r="B2" s="139" t="s">
        <v>6</v>
      </c>
      <c r="C2" s="139" t="s">
        <v>1</v>
      </c>
      <c r="D2" s="139" t="s">
        <v>2</v>
      </c>
      <c r="E2" s="139" t="s">
        <v>105</v>
      </c>
      <c r="F2" s="139" t="s">
        <v>3</v>
      </c>
      <c r="G2" s="139" t="s">
        <v>5</v>
      </c>
      <c r="H2" s="139" t="s">
        <v>106</v>
      </c>
      <c r="I2" s="140" t="s">
        <v>12</v>
      </c>
      <c r="J2" s="140" t="s">
        <v>12</v>
      </c>
      <c r="K2" s="140" t="s">
        <v>7</v>
      </c>
      <c r="L2" s="140" t="s">
        <v>8</v>
      </c>
      <c r="M2" s="140" t="s">
        <v>9</v>
      </c>
      <c r="N2" s="140" t="s">
        <v>28</v>
      </c>
      <c r="O2" s="140" t="s">
        <v>26</v>
      </c>
      <c r="P2" s="140" t="s">
        <v>66</v>
      </c>
      <c r="Q2" s="140" t="s">
        <v>114</v>
      </c>
      <c r="R2" s="139" t="s">
        <v>68</v>
      </c>
      <c r="S2" s="139" t="s">
        <v>74</v>
      </c>
      <c r="T2" s="139" t="s">
        <v>72</v>
      </c>
      <c r="U2" s="139" t="s">
        <v>73</v>
      </c>
      <c r="V2" s="139" t="s">
        <v>75</v>
      </c>
      <c r="W2" s="139" t="s">
        <v>235</v>
      </c>
      <c r="AE2" s="28"/>
    </row>
    <row r="3" spans="1:32" x14ac:dyDescent="0.25">
      <c r="A3" s="105"/>
      <c r="B3" s="99"/>
      <c r="C3" s="99"/>
      <c r="D3" s="169">
        <v>44933</v>
      </c>
      <c r="E3" s="102" t="s">
        <v>107</v>
      </c>
      <c r="F3" s="150">
        <v>5.75</v>
      </c>
      <c r="G3" s="120">
        <v>2</v>
      </c>
      <c r="H3" s="154">
        <v>0</v>
      </c>
      <c r="I3" s="22" t="e">
        <f ca="1">DURATION($C$1,D3,F3/100,V3,G3,H3)</f>
        <v>#NAME?</v>
      </c>
      <c r="J3" s="19"/>
      <c r="K3" s="22"/>
      <c r="L3" s="22"/>
      <c r="M3" s="19"/>
      <c r="N3" s="113" t="s">
        <v>116</v>
      </c>
      <c r="O3" s="114" t="s">
        <v>117</v>
      </c>
      <c r="P3" s="113" t="s">
        <v>94</v>
      </c>
      <c r="Q3" s="19" t="str">
        <f>P3&amp;" Govt"</f>
        <v>T 1.625 11/15/22 Govt</v>
      </c>
      <c r="R3" s="149" t="e">
        <f ca="1">_xll.BDH(Q3,$R$2,$C$1)</f>
        <v>#NAME?</v>
      </c>
      <c r="S3" s="25">
        <f>+T10</f>
        <v>2.0299999999999999E-2</v>
      </c>
      <c r="T3" s="25">
        <f>+T12</f>
        <v>1.1700000000000002E-2</v>
      </c>
      <c r="U3" s="91">
        <f>Indices!P8*100</f>
        <v>137</v>
      </c>
      <c r="V3" s="25" t="e">
        <f ca="1">(+R3/100+S3+T3+U3/10000)</f>
        <v>#NAME?</v>
      </c>
      <c r="W3" s="24" t="e">
        <f ca="1">+PRICE($C$1,D3,F3/100,V3,100,G3,H3)</f>
        <v>#NAME?</v>
      </c>
      <c r="X3" s="24"/>
      <c r="AE3" s="3"/>
      <c r="AF3"/>
    </row>
    <row r="4" spans="1:32" x14ac:dyDescent="0.25">
      <c r="A4" s="105"/>
      <c r="B4" s="99"/>
      <c r="C4" s="99"/>
      <c r="D4" s="169">
        <v>45389</v>
      </c>
      <c r="E4" s="102" t="s">
        <v>107</v>
      </c>
      <c r="F4" s="150">
        <v>7</v>
      </c>
      <c r="G4" s="120">
        <v>2</v>
      </c>
      <c r="H4" s="154">
        <v>0</v>
      </c>
      <c r="I4" s="22" t="e">
        <f ca="1">DURATION($C$1,D4,F4/100,V4,G4,H4)</f>
        <v>#NAME?</v>
      </c>
      <c r="J4" s="19"/>
      <c r="K4" s="22"/>
      <c r="L4" s="22"/>
      <c r="M4" s="19"/>
      <c r="N4" s="113" t="s">
        <v>116</v>
      </c>
      <c r="O4" s="114" t="s">
        <v>117</v>
      </c>
      <c r="P4" s="113" t="s">
        <v>98</v>
      </c>
      <c r="Q4" s="19" t="str">
        <f>P4&amp;" Govt"</f>
        <v>T 2.5 5/15/24 Govt</v>
      </c>
      <c r="R4" s="149" t="e">
        <f ca="1">_xll.BDH(Q4,$R$2,$C$1)</f>
        <v>#NAME?</v>
      </c>
      <c r="S4" s="25">
        <f>+S3</f>
        <v>2.0299999999999999E-2</v>
      </c>
      <c r="T4" s="25">
        <f>+T3</f>
        <v>1.1700000000000002E-2</v>
      </c>
      <c r="U4" s="30">
        <f>+U3</f>
        <v>137</v>
      </c>
      <c r="V4" s="25" t="e">
        <f ca="1">(+R4/100+S4+T4+U4/10000)</f>
        <v>#NAME?</v>
      </c>
      <c r="W4" s="24" t="e">
        <f ca="1">+PRICE($C$1,D4,F4/100,V4,100,G4,H4)</f>
        <v>#NAME?</v>
      </c>
      <c r="X4" s="24"/>
      <c r="AE4" s="3"/>
      <c r="AF4"/>
    </row>
    <row r="5" spans="1:32" x14ac:dyDescent="0.25">
      <c r="A5" s="105"/>
      <c r="B5" s="99"/>
      <c r="C5" s="99"/>
      <c r="D5" s="169">
        <v>45448</v>
      </c>
      <c r="E5" s="102"/>
      <c r="F5" s="150">
        <v>7</v>
      </c>
      <c r="G5" s="120">
        <v>2</v>
      </c>
      <c r="H5" s="154">
        <v>0</v>
      </c>
      <c r="I5" s="22" t="e">
        <f ca="1">DURATION($C$1,D5,F5/100,V5,G5,H5)</f>
        <v>#NAME?</v>
      </c>
      <c r="J5" s="19"/>
      <c r="K5" s="22"/>
      <c r="L5" s="22"/>
      <c r="M5" s="19"/>
      <c r="N5" s="113" t="s">
        <v>116</v>
      </c>
      <c r="O5" s="114" t="s">
        <v>117</v>
      </c>
      <c r="P5" s="113" t="s">
        <v>98</v>
      </c>
      <c r="Q5" s="19" t="str">
        <f>P5&amp;" Govt"</f>
        <v>T 2.5 5/15/24 Govt</v>
      </c>
      <c r="R5" s="149" t="e">
        <f ca="1">_xll.BDH(Q5,$R$2,$C$1)</f>
        <v>#NAME?</v>
      </c>
      <c r="S5" s="25">
        <f>+S4</f>
        <v>2.0299999999999999E-2</v>
      </c>
      <c r="T5" s="25">
        <f>+T4</f>
        <v>1.1700000000000002E-2</v>
      </c>
      <c r="U5" s="30">
        <f>+U3</f>
        <v>137</v>
      </c>
      <c r="V5" s="25" t="e">
        <f ca="1">(+R5/100+S5+T5+U5/10000)</f>
        <v>#NAME?</v>
      </c>
      <c r="W5" s="24" t="e">
        <f ca="1">+PRICE($C$1,D5,F5/100,V5,100,G5,H5)</f>
        <v>#NAME?</v>
      </c>
      <c r="X5" s="24"/>
      <c r="AE5" s="3"/>
      <c r="AF5"/>
    </row>
    <row r="6" spans="1:32" x14ac:dyDescent="0.25">
      <c r="A6" s="105"/>
      <c r="B6" s="99"/>
      <c r="C6" s="99"/>
      <c r="D6" s="169">
        <v>45422</v>
      </c>
      <c r="E6" s="102"/>
      <c r="F6" s="150">
        <v>6.35</v>
      </c>
      <c r="G6" s="120">
        <v>2</v>
      </c>
      <c r="H6" s="154">
        <v>0</v>
      </c>
      <c r="I6" s="22" t="e">
        <f ca="1">DURATION($C$1,D6,F6/100,V6,G6,H6)</f>
        <v>#NAME?</v>
      </c>
      <c r="J6" s="19"/>
      <c r="K6" s="22"/>
      <c r="L6" s="22"/>
      <c r="M6" s="19"/>
      <c r="N6" s="113" t="s">
        <v>116</v>
      </c>
      <c r="O6" s="114" t="s">
        <v>117</v>
      </c>
      <c r="P6" s="113" t="s">
        <v>98</v>
      </c>
      <c r="Q6" s="19" t="str">
        <f>P6&amp;" Govt"</f>
        <v>T 2.5 5/15/24 Govt</v>
      </c>
      <c r="R6" s="149" t="e">
        <f ca="1">_xll.BDH(Q6,$R$2,$C$1)</f>
        <v>#NAME?</v>
      </c>
      <c r="S6" s="25">
        <f>+S5</f>
        <v>2.0299999999999999E-2</v>
      </c>
      <c r="T6" s="25">
        <f>+T5</f>
        <v>1.1700000000000002E-2</v>
      </c>
      <c r="U6" s="30">
        <f>+U4</f>
        <v>137</v>
      </c>
      <c r="V6" s="25" t="e">
        <f ca="1">(+R6/100+S6+T6+U6/10000)</f>
        <v>#NAME?</v>
      </c>
      <c r="W6" s="24" t="e">
        <f ca="1">+PRICE($C$1,D6,F6/100,V6,100,G6,H6)</f>
        <v>#NAME?</v>
      </c>
      <c r="X6" s="24"/>
      <c r="AE6" s="3"/>
      <c r="AF6"/>
    </row>
    <row r="7" spans="1:32" x14ac:dyDescent="0.25">
      <c r="A7" s="29"/>
      <c r="B7" s="1"/>
      <c r="C7" s="29"/>
      <c r="D7" s="1"/>
      <c r="E7" s="4"/>
      <c r="F7" s="26"/>
      <c r="G7" s="5"/>
      <c r="H7" s="3"/>
      <c r="I7" s="3"/>
      <c r="J7" s="19"/>
      <c r="K7" s="19"/>
      <c r="L7" s="22"/>
      <c r="M7" s="22"/>
      <c r="N7" s="19"/>
      <c r="O7" s="19"/>
      <c r="Q7" s="19"/>
      <c r="R7" s="19"/>
      <c r="S7" s="18"/>
      <c r="W7" s="5"/>
      <c r="X7" s="5"/>
      <c r="Y7" s="24"/>
    </row>
    <row r="8" spans="1:32" x14ac:dyDescent="0.25">
      <c r="A8" s="137" t="s">
        <v>29</v>
      </c>
      <c r="B8" s="137"/>
      <c r="C8" s="137"/>
      <c r="D8" s="137"/>
      <c r="E8" s="137"/>
      <c r="F8" s="137"/>
      <c r="G8" s="137"/>
      <c r="H8" s="137"/>
      <c r="I8" s="137"/>
      <c r="J8" s="138"/>
      <c r="K8" s="138"/>
      <c r="L8" s="138"/>
      <c r="M8" s="138"/>
      <c r="N8" s="161"/>
      <c r="O8" s="138"/>
      <c r="P8" s="138"/>
      <c r="Q8" s="138"/>
      <c r="R8" s="138"/>
      <c r="S8" s="162"/>
      <c r="T8" s="137"/>
      <c r="U8" s="137"/>
      <c r="V8" s="137"/>
      <c r="W8" s="163"/>
      <c r="Z8" s="5"/>
    </row>
    <row r="9" spans="1:32" s="14" customFormat="1" x14ac:dyDescent="0.25">
      <c r="A9" s="139" t="s">
        <v>0</v>
      </c>
      <c r="B9" s="139" t="s">
        <v>6</v>
      </c>
      <c r="C9" s="139" t="s">
        <v>108</v>
      </c>
      <c r="D9" s="139" t="s">
        <v>109</v>
      </c>
      <c r="E9" s="139" t="s">
        <v>2</v>
      </c>
      <c r="F9" s="139"/>
      <c r="G9" s="139" t="s">
        <v>3</v>
      </c>
      <c r="H9" s="139" t="s">
        <v>110</v>
      </c>
      <c r="I9" s="139" t="s">
        <v>111</v>
      </c>
      <c r="J9" s="140" t="s">
        <v>112</v>
      </c>
      <c r="K9" s="164" t="s">
        <v>12</v>
      </c>
      <c r="L9" s="140" t="s">
        <v>7</v>
      </c>
      <c r="M9" s="140" t="s">
        <v>8</v>
      </c>
      <c r="N9" s="140" t="s">
        <v>9</v>
      </c>
      <c r="O9" s="140" t="s">
        <v>28</v>
      </c>
      <c r="P9" s="139" t="s">
        <v>26</v>
      </c>
      <c r="Q9" s="151"/>
      <c r="R9" s="139"/>
      <c r="S9" s="139" t="s">
        <v>68</v>
      </c>
      <c r="T9" s="139" t="s">
        <v>78</v>
      </c>
      <c r="U9" s="139"/>
      <c r="V9" s="139"/>
      <c r="W9" s="165"/>
      <c r="Z9" s="21"/>
      <c r="AF9" s="28"/>
    </row>
    <row r="10" spans="1:32" s="34" customFormat="1" x14ac:dyDescent="0.25">
      <c r="A10" s="122" t="s">
        <v>113</v>
      </c>
      <c r="B10" s="122"/>
      <c r="C10" s="155" t="s">
        <v>192</v>
      </c>
      <c r="D10" s="156"/>
      <c r="E10" s="157"/>
      <c r="F10" s="157"/>
      <c r="G10" s="158">
        <v>5.4300000000000001E-2</v>
      </c>
      <c r="J10" s="10"/>
      <c r="K10" s="159">
        <v>6.72</v>
      </c>
      <c r="L10" s="160"/>
      <c r="M10" s="160" t="s">
        <v>14</v>
      </c>
      <c r="N10" s="10"/>
      <c r="O10" s="10"/>
      <c r="P10" s="5"/>
      <c r="R10"/>
      <c r="S10"/>
      <c r="T10" s="123">
        <f>INDEX(Indices!O:O,MATCH(IC_2!C10,Indices!M:M,0))/100</f>
        <v>2.0299999999999999E-2</v>
      </c>
      <c r="W10" s="5"/>
      <c r="Z10" s="37"/>
      <c r="AF10" s="38"/>
    </row>
    <row r="11" spans="1:32" x14ac:dyDescent="0.25">
      <c r="A11" s="105" t="s">
        <v>118</v>
      </c>
      <c r="B11" s="99"/>
      <c r="C11" s="114" t="s">
        <v>119</v>
      </c>
      <c r="D11" s="99"/>
      <c r="E11" s="102"/>
      <c r="F11" s="109"/>
      <c r="G11" s="150">
        <v>5.99</v>
      </c>
      <c r="H11" s="3"/>
      <c r="I11" s="3"/>
      <c r="J11" s="19"/>
      <c r="K11" s="112">
        <v>4.9000000000000004</v>
      </c>
      <c r="L11" s="112"/>
      <c r="M11" s="113" t="s">
        <v>120</v>
      </c>
      <c r="N11" s="19"/>
      <c r="O11" s="19"/>
      <c r="P11" s="19"/>
      <c r="R11" s="19"/>
      <c r="S11" s="5"/>
      <c r="T11" s="170">
        <f>INDEX(Indices!O:O,MATCH(IC_2!C11,Indices!M:M,0))/100</f>
        <v>3.2000000000000001E-2</v>
      </c>
      <c r="U11" s="64"/>
      <c r="V11" s="64"/>
      <c r="W11" s="5"/>
      <c r="X11" s="5"/>
      <c r="Y11" s="24"/>
    </row>
    <row r="12" spans="1:32" x14ac:dyDescent="0.25">
      <c r="A12" s="29"/>
      <c r="B12" s="1"/>
      <c r="C12" s="29"/>
      <c r="D12" s="1"/>
      <c r="E12" s="4"/>
      <c r="F12" s="26"/>
      <c r="G12" s="5"/>
      <c r="H12" s="3"/>
      <c r="I12" s="3"/>
      <c r="J12" s="19"/>
      <c r="K12" s="19"/>
      <c r="L12" s="22"/>
      <c r="M12" s="22"/>
      <c r="N12" s="19"/>
      <c r="O12" s="19"/>
      <c r="P12" s="19"/>
      <c r="Q12" s="19"/>
      <c r="R12" s="19"/>
      <c r="S12" s="5"/>
      <c r="T12" s="40">
        <f>+T11-T10</f>
        <v>1.1700000000000002E-2</v>
      </c>
      <c r="W12" s="5"/>
      <c r="X12" s="5"/>
      <c r="Y12" s="24"/>
    </row>
    <row r="13" spans="1:32" x14ac:dyDescent="0.25">
      <c r="A13" s="166" t="s">
        <v>202</v>
      </c>
      <c r="B13" s="167" t="s">
        <v>102</v>
      </c>
      <c r="C13" s="167" t="s">
        <v>13</v>
      </c>
      <c r="D13" s="168" t="s">
        <v>17</v>
      </c>
      <c r="E13" s="4"/>
      <c r="F13" s="26"/>
      <c r="G13" s="5"/>
      <c r="H13" s="3"/>
      <c r="I13" s="3"/>
      <c r="J13" s="19"/>
      <c r="K13" s="19"/>
      <c r="L13" s="22"/>
      <c r="M13" s="22"/>
      <c r="N13" s="19"/>
      <c r="O13" s="19"/>
      <c r="P13" s="19"/>
      <c r="Q13" s="19"/>
      <c r="R13" s="19"/>
      <c r="S13" s="5"/>
      <c r="W13" s="5"/>
      <c r="X13" s="5"/>
      <c r="Y13" s="24"/>
    </row>
    <row r="14" spans="1:32" x14ac:dyDescent="0.25">
      <c r="A14" s="12" t="s">
        <v>7</v>
      </c>
      <c r="B14" s="6"/>
      <c r="C14" s="7"/>
      <c r="D14" s="8"/>
      <c r="E14" s="4"/>
      <c r="F14" s="26"/>
      <c r="G14" s="5"/>
      <c r="H14" s="3"/>
      <c r="I14" s="3"/>
      <c r="J14" s="19"/>
      <c r="K14" s="19"/>
      <c r="L14" s="22"/>
      <c r="M14" s="22"/>
      <c r="N14" s="19"/>
      <c r="O14" s="19"/>
      <c r="P14" s="19"/>
      <c r="Q14" s="19"/>
      <c r="R14" s="19"/>
      <c r="S14" s="18"/>
      <c r="W14" s="5"/>
      <c r="X14" s="5"/>
      <c r="Y14" s="24"/>
    </row>
    <row r="15" spans="1:32" x14ac:dyDescent="0.25">
      <c r="A15" s="12" t="s">
        <v>8</v>
      </c>
      <c r="B15" s="9"/>
      <c r="C15" s="10"/>
      <c r="D15" s="11"/>
      <c r="J15" s="19"/>
      <c r="K15" s="19"/>
      <c r="L15" s="22"/>
      <c r="M15" s="22"/>
      <c r="N15" s="19"/>
      <c r="O15" s="19"/>
      <c r="P15" s="19"/>
      <c r="Q15" s="19"/>
      <c r="R15" s="19"/>
      <c r="S15" s="18"/>
      <c r="W15" s="5"/>
      <c r="X15" s="5"/>
    </row>
    <row r="16" spans="1:32" x14ac:dyDescent="0.25">
      <c r="A16" s="12" t="s">
        <v>9</v>
      </c>
      <c r="B16" s="9"/>
      <c r="C16" s="10"/>
      <c r="D16" s="11"/>
      <c r="J16" s="19"/>
      <c r="K16" s="19"/>
      <c r="L16" s="19"/>
      <c r="M16" s="19"/>
      <c r="N16" s="22"/>
      <c r="O16" s="19"/>
      <c r="P16" s="19"/>
      <c r="Q16" s="19"/>
      <c r="R16" s="19"/>
      <c r="S16" s="5"/>
      <c r="W16" s="5"/>
      <c r="Z16" s="5"/>
    </row>
    <row r="17" spans="1:32" s="34" customFormat="1" x14ac:dyDescent="0.25">
      <c r="A17" s="12" t="s">
        <v>10</v>
      </c>
      <c r="B17" s="9" t="s">
        <v>116</v>
      </c>
      <c r="C17" s="10" t="s">
        <v>115</v>
      </c>
      <c r="D17" s="11" t="s">
        <v>23</v>
      </c>
      <c r="J17" s="10"/>
      <c r="K17" s="10"/>
      <c r="L17" s="10"/>
      <c r="M17" s="10"/>
      <c r="N17" s="36"/>
      <c r="O17" s="10"/>
      <c r="P17" s="10"/>
      <c r="Q17" s="10"/>
      <c r="R17" s="10"/>
      <c r="S17" s="5"/>
      <c r="T17"/>
      <c r="U17"/>
      <c r="V17"/>
      <c r="W17" s="5"/>
      <c r="Z17" s="37"/>
      <c r="AF17" s="38"/>
    </row>
    <row r="18" spans="1:32" s="34" customFormat="1" x14ac:dyDescent="0.25">
      <c r="A18" s="13" t="s">
        <v>26</v>
      </c>
      <c r="B18" s="16">
        <v>3</v>
      </c>
      <c r="C18" s="14"/>
      <c r="D18" s="15"/>
      <c r="G18" s="35"/>
      <c r="I18" s="286"/>
      <c r="J18" s="10"/>
      <c r="K18" s="10"/>
      <c r="L18" s="10"/>
      <c r="M18" s="10"/>
      <c r="N18" s="36"/>
      <c r="O18" s="10"/>
      <c r="P18" s="10"/>
      <c r="Q18" s="10"/>
      <c r="R18" s="10"/>
      <c r="S18" s="5"/>
      <c r="T18"/>
      <c r="U18"/>
      <c r="V18"/>
      <c r="W18" s="5"/>
      <c r="Z18" s="37"/>
      <c r="AF18" s="38"/>
    </row>
    <row r="19" spans="1:32" x14ac:dyDescent="0.25">
      <c r="A19" s="31"/>
      <c r="B19" s="31"/>
      <c r="D19" s="39"/>
      <c r="H19" s="64"/>
      <c r="I19" s="286"/>
      <c r="J19" s="19"/>
      <c r="K19" s="19"/>
      <c r="L19" s="19"/>
      <c r="M19" s="19"/>
      <c r="N19" s="36"/>
      <c r="O19" s="10"/>
      <c r="P19" s="10"/>
      <c r="Q19" s="10"/>
      <c r="R19" s="10"/>
      <c r="S19" s="5"/>
      <c r="W19" s="5"/>
    </row>
    <row r="20" spans="1:32" x14ac:dyDescent="0.25">
      <c r="H20" s="64"/>
      <c r="I20" s="286"/>
      <c r="J20" s="19"/>
      <c r="K20" s="19"/>
      <c r="L20" s="19"/>
      <c r="M20" s="19"/>
      <c r="N20" s="19"/>
      <c r="O20" s="19"/>
      <c r="P20" s="19"/>
      <c r="Q20" s="19"/>
      <c r="R20" s="19"/>
      <c r="S20" s="2"/>
    </row>
    <row r="21" spans="1:32" x14ac:dyDescent="0.25">
      <c r="H21" s="64"/>
      <c r="I21" s="286"/>
      <c r="S21" s="2"/>
    </row>
    <row r="22" spans="1:32" x14ac:dyDescent="0.25">
      <c r="H22" s="64"/>
      <c r="I22" s="286"/>
      <c r="S22" s="2"/>
    </row>
    <row r="23" spans="1:32" x14ac:dyDescent="0.25">
      <c r="H23" s="64"/>
      <c r="I23" s="286"/>
    </row>
    <row r="24" spans="1:32" x14ac:dyDescent="0.25">
      <c r="H24" s="64"/>
      <c r="I24" s="28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31"/>
  <sheetViews>
    <sheetView workbookViewId="0">
      <selection activeCell="H25" sqref="H25"/>
    </sheetView>
  </sheetViews>
  <sheetFormatPr defaultRowHeight="15" outlineLevelCol="1" x14ac:dyDescent="0.25"/>
  <cols>
    <col min="1" max="1" width="35.140625" customWidth="1"/>
    <col min="2" max="2" width="14.28515625" bestFit="1" customWidth="1"/>
    <col min="3" max="3" width="11.28515625" bestFit="1" customWidth="1"/>
    <col min="4" max="4" width="10.7109375" bestFit="1" customWidth="1"/>
    <col min="5" max="6" width="8.7109375" customWidth="1" outlineLevel="1"/>
    <col min="7" max="7" width="11.5703125" customWidth="1" outlineLevel="1"/>
    <col min="8" max="8" width="12.7109375" customWidth="1" outlineLevel="1"/>
    <col min="9" max="9" width="9.42578125" customWidth="1" outlineLevel="1"/>
    <col min="10" max="10" width="9" customWidth="1" outlineLevel="1"/>
    <col min="11" max="11" width="8.85546875" customWidth="1" outlineLevel="1"/>
    <col min="12" max="13" width="8" customWidth="1" outlineLevel="1"/>
    <col min="14" max="14" width="5.28515625" customWidth="1" outlineLevel="1"/>
    <col min="15" max="15" width="8" customWidth="1" outlineLevel="1"/>
    <col min="16" max="16" width="5.28515625" customWidth="1" outlineLevel="1"/>
    <col min="17" max="17" width="15.28515625" bestFit="1" customWidth="1"/>
    <col min="18" max="18" width="12.28515625" customWidth="1"/>
    <col min="19" max="19" width="10.85546875" bestFit="1" customWidth="1"/>
    <col min="20" max="20" width="7.7109375" bestFit="1" customWidth="1"/>
    <col min="24" max="24" width="9.7109375" bestFit="1" customWidth="1"/>
    <col min="25" max="25" width="14.28515625" bestFit="1" customWidth="1"/>
    <col min="26" max="26" width="13.28515625" bestFit="1" customWidth="1"/>
    <col min="28" max="28" width="12.5703125" bestFit="1" customWidth="1"/>
    <col min="31" max="31" width="9.7109375" bestFit="1" customWidth="1"/>
    <col min="32" max="32" width="14.28515625" style="3" bestFit="1" customWidth="1"/>
    <col min="33" max="33" width="10.5703125" bestFit="1" customWidth="1"/>
    <col min="35" max="35" width="11.5703125" bestFit="1" customWidth="1"/>
  </cols>
  <sheetData>
    <row r="1" spans="1:32" x14ac:dyDescent="0.25">
      <c r="A1" s="135"/>
      <c r="B1" s="136" t="s">
        <v>77</v>
      </c>
      <c r="C1" s="235">
        <f>Valuation_Date</f>
        <v>42613</v>
      </c>
      <c r="D1" s="152"/>
      <c r="E1" s="137"/>
      <c r="F1" s="137"/>
      <c r="G1" s="137"/>
      <c r="H1" s="137"/>
      <c r="I1" s="137" t="s">
        <v>103</v>
      </c>
      <c r="J1" s="138"/>
      <c r="K1" s="138" t="s">
        <v>104</v>
      </c>
      <c r="L1" s="138"/>
      <c r="M1" s="138"/>
      <c r="N1" s="138"/>
      <c r="O1" s="138"/>
      <c r="P1" s="138"/>
      <c r="Q1" s="138"/>
      <c r="R1" s="138"/>
      <c r="S1" s="137"/>
      <c r="T1" s="137"/>
      <c r="U1" s="137"/>
      <c r="V1" s="137"/>
      <c r="W1" s="137"/>
    </row>
    <row r="2" spans="1:32" s="14" customFormat="1" x14ac:dyDescent="0.25">
      <c r="A2" s="139" t="s">
        <v>0</v>
      </c>
      <c r="B2" s="139" t="s">
        <v>6</v>
      </c>
      <c r="C2" s="139" t="s">
        <v>1</v>
      </c>
      <c r="D2" s="139" t="s">
        <v>2</v>
      </c>
      <c r="E2" s="139" t="s">
        <v>105</v>
      </c>
      <c r="F2" s="139" t="s">
        <v>3</v>
      </c>
      <c r="G2" s="139" t="s">
        <v>5</v>
      </c>
      <c r="H2" s="139" t="s">
        <v>106</v>
      </c>
      <c r="I2" s="140" t="s">
        <v>12</v>
      </c>
      <c r="J2" s="140" t="s">
        <v>12</v>
      </c>
      <c r="K2" s="140" t="s">
        <v>7</v>
      </c>
      <c r="L2" s="140" t="s">
        <v>8</v>
      </c>
      <c r="M2" s="140" t="s">
        <v>9</v>
      </c>
      <c r="N2" s="140" t="s">
        <v>28</v>
      </c>
      <c r="O2" s="140" t="s">
        <v>26</v>
      </c>
      <c r="P2" s="140" t="s">
        <v>66</v>
      </c>
      <c r="Q2" s="140" t="s">
        <v>114</v>
      </c>
      <c r="R2" s="139" t="s">
        <v>68</v>
      </c>
      <c r="S2" s="139" t="s">
        <v>74</v>
      </c>
      <c r="T2" s="139" t="s">
        <v>72</v>
      </c>
      <c r="U2" s="139" t="s">
        <v>73</v>
      </c>
      <c r="V2" s="139" t="s">
        <v>75</v>
      </c>
      <c r="W2" s="139" t="s">
        <v>235</v>
      </c>
      <c r="AE2" s="28"/>
    </row>
    <row r="3" spans="1:32" x14ac:dyDescent="0.25">
      <c r="A3" s="99"/>
      <c r="B3" s="99"/>
      <c r="C3" s="99"/>
      <c r="D3" s="153">
        <v>44848</v>
      </c>
      <c r="E3" s="102" t="s">
        <v>107</v>
      </c>
      <c r="F3" s="150">
        <v>8.3000000000000007</v>
      </c>
      <c r="G3" s="120">
        <v>2</v>
      </c>
      <c r="H3" s="154">
        <v>0</v>
      </c>
      <c r="I3" s="22" t="e">
        <f ca="1">DURATION($C$1,D3,F3/100,V3,G3,H3)</f>
        <v>#NAME?</v>
      </c>
      <c r="J3" s="19"/>
      <c r="K3" s="22"/>
      <c r="L3" s="22"/>
      <c r="M3" s="19"/>
      <c r="N3" s="113" t="s">
        <v>51</v>
      </c>
      <c r="O3" s="114" t="s">
        <v>80</v>
      </c>
      <c r="P3" s="113" t="s">
        <v>94</v>
      </c>
      <c r="Q3" s="19" t="str">
        <f t="shared" ref="Q3:Q9" si="0">P3&amp;" Govt"</f>
        <v>T 1.625 11/15/22 Govt</v>
      </c>
      <c r="R3" s="143" t="e">
        <f ca="1">_xll.BDH(Q3,$R$2,$C$1)</f>
        <v>#NAME?</v>
      </c>
      <c r="S3" s="25">
        <f>+T13</f>
        <v>2.0299999999999999E-2</v>
      </c>
      <c r="T3" s="17">
        <v>0</v>
      </c>
      <c r="U3" s="91">
        <f>Indices!P7*100</f>
        <v>74</v>
      </c>
      <c r="V3" s="25" t="e">
        <f ca="1">(+R3/100+S3+U3/10000)</f>
        <v>#NAME?</v>
      </c>
      <c r="W3" s="24" t="e">
        <f ca="1">+PRICE($C$1,D3,F3/100,V3,100,G3,H3)</f>
        <v>#NAME?</v>
      </c>
      <c r="X3" s="24"/>
      <c r="AE3" s="3"/>
      <c r="AF3"/>
    </row>
    <row r="4" spans="1:32" x14ac:dyDescent="0.25">
      <c r="A4" s="99"/>
      <c r="B4" s="99"/>
      <c r="C4" s="99"/>
      <c r="D4" s="153">
        <v>45356</v>
      </c>
      <c r="E4" s="102" t="s">
        <v>107</v>
      </c>
      <c r="F4" s="150">
        <v>7.95</v>
      </c>
      <c r="G4" s="120">
        <v>2</v>
      </c>
      <c r="H4" s="154">
        <v>0</v>
      </c>
      <c r="I4" s="22" t="e">
        <f ca="1">DURATION($C$1,D4,F4/100,V4,G4,H4)</f>
        <v>#NAME?</v>
      </c>
      <c r="J4" s="19"/>
      <c r="K4" s="22"/>
      <c r="L4" s="22"/>
      <c r="M4" s="19"/>
      <c r="N4" s="113" t="s">
        <v>51</v>
      </c>
      <c r="O4" s="114" t="s">
        <v>80</v>
      </c>
      <c r="P4" s="113" t="s">
        <v>121</v>
      </c>
      <c r="Q4" s="19" t="str">
        <f t="shared" si="0"/>
        <v>T 2.75 11/15/23 Govt</v>
      </c>
      <c r="R4" s="143" t="e">
        <f ca="1">_xll.BDH(Q4,$R$2,$C$1)</f>
        <v>#NAME?</v>
      </c>
      <c r="S4" s="25">
        <f t="shared" ref="S4:S9" si="1">+S3</f>
        <v>2.0299999999999999E-2</v>
      </c>
      <c r="T4" s="17">
        <v>0</v>
      </c>
      <c r="U4" s="30">
        <f t="shared" ref="U4:U9" si="2">+U3</f>
        <v>74</v>
      </c>
      <c r="V4" s="67" t="e">
        <f t="shared" ref="V4:V9" ca="1" si="3">(+R4/100+S4+U4/10000)</f>
        <v>#NAME?</v>
      </c>
      <c r="W4" s="24" t="e">
        <f ca="1">+PRICE($C$1,D4,F4/100,V4,100,G4,H4)</f>
        <v>#NAME?</v>
      </c>
      <c r="X4" s="24"/>
      <c r="AE4" s="3"/>
      <c r="AF4"/>
    </row>
    <row r="5" spans="1:32" x14ac:dyDescent="0.25">
      <c r="A5" s="99"/>
      <c r="B5" s="99"/>
      <c r="C5" s="99"/>
      <c r="D5" s="153">
        <v>45449</v>
      </c>
      <c r="E5" s="102" t="s">
        <v>107</v>
      </c>
      <c r="F5" s="150">
        <v>7.99</v>
      </c>
      <c r="G5" s="120">
        <v>2</v>
      </c>
      <c r="H5" s="154">
        <v>0</v>
      </c>
      <c r="I5" s="22" t="e">
        <f ca="1">DURATION($C$1,D5,F5/100,V5,G5,H5)</f>
        <v>#NAME?</v>
      </c>
      <c r="J5" s="19"/>
      <c r="K5" s="22"/>
      <c r="L5" s="22"/>
      <c r="M5" s="19"/>
      <c r="N5" s="113" t="s">
        <v>51</v>
      </c>
      <c r="O5" s="114" t="s">
        <v>80</v>
      </c>
      <c r="P5" s="113" t="s">
        <v>122</v>
      </c>
      <c r="Q5" s="19" t="str">
        <f t="shared" si="0"/>
        <v>T 2.75 2/15/24 Govt</v>
      </c>
      <c r="R5" s="143" t="e">
        <f ca="1">_xll.BDH(Q5,$R$2,$C$1)</f>
        <v>#NAME?</v>
      </c>
      <c r="S5" s="25">
        <f t="shared" si="1"/>
        <v>2.0299999999999999E-2</v>
      </c>
      <c r="T5" s="17">
        <v>0</v>
      </c>
      <c r="U5" s="30">
        <f t="shared" si="2"/>
        <v>74</v>
      </c>
      <c r="V5" s="67" t="e">
        <f t="shared" ca="1" si="3"/>
        <v>#NAME?</v>
      </c>
      <c r="W5" s="24" t="e">
        <f ca="1">+PRICE($C$1,D5,F5/100,V5,100,G5,H5)</f>
        <v>#NAME?</v>
      </c>
      <c r="X5" s="24"/>
      <c r="AE5" s="3"/>
      <c r="AF5"/>
    </row>
    <row r="6" spans="1:32" x14ac:dyDescent="0.25">
      <c r="A6" s="99"/>
      <c r="B6" s="99"/>
      <c r="C6" s="99"/>
      <c r="D6" s="153">
        <v>45808</v>
      </c>
      <c r="E6" s="102"/>
      <c r="F6" s="150">
        <v>7.4700000000000006</v>
      </c>
      <c r="G6" s="120">
        <v>2</v>
      </c>
      <c r="H6" s="154">
        <v>0</v>
      </c>
      <c r="I6" s="22" t="e">
        <f ca="1">DURATION($C$1,D6,F6/100,V6,G6,H6)</f>
        <v>#NAME?</v>
      </c>
      <c r="J6" s="19"/>
      <c r="K6" s="22"/>
      <c r="L6" s="22"/>
      <c r="M6" s="19"/>
      <c r="N6" s="113" t="s">
        <v>51</v>
      </c>
      <c r="O6" s="114" t="s">
        <v>80</v>
      </c>
      <c r="P6" s="113" t="s">
        <v>123</v>
      </c>
      <c r="Q6" s="19" t="str">
        <f t="shared" si="0"/>
        <v>T 2 2/15/25 Govt</v>
      </c>
      <c r="R6" s="143" t="e">
        <f ca="1">_xll.BDH(Q6,$R$2,$C$1)</f>
        <v>#NAME?</v>
      </c>
      <c r="S6" s="25">
        <f t="shared" si="1"/>
        <v>2.0299999999999999E-2</v>
      </c>
      <c r="T6" s="17">
        <v>0</v>
      </c>
      <c r="U6" s="30">
        <f t="shared" si="2"/>
        <v>74</v>
      </c>
      <c r="V6" s="67" t="e">
        <f t="shared" ca="1" si="3"/>
        <v>#NAME?</v>
      </c>
      <c r="W6" s="24" t="e">
        <f ca="1">+PRICE($C$1,D6,F6/100,V6,100,G6,H6)</f>
        <v>#NAME?</v>
      </c>
      <c r="X6" s="24"/>
      <c r="AE6" s="3"/>
      <c r="AF6"/>
    </row>
    <row r="7" spans="1:32" x14ac:dyDescent="0.25">
      <c r="A7" s="99"/>
      <c r="B7" s="99"/>
      <c r="C7" s="99"/>
      <c r="D7" s="153">
        <v>44862</v>
      </c>
      <c r="E7" s="102"/>
      <c r="F7" s="150">
        <v>3.24</v>
      </c>
      <c r="G7" s="120">
        <v>2</v>
      </c>
      <c r="H7" s="154">
        <v>0</v>
      </c>
      <c r="I7" s="22" t="e">
        <f ca="1">DURATION($C$1,D7,F7/100,V7,G7,H7)</f>
        <v>#NAME?</v>
      </c>
      <c r="J7" s="19"/>
      <c r="K7" s="22"/>
      <c r="L7" s="22"/>
      <c r="M7" s="19"/>
      <c r="N7" s="113" t="s">
        <v>51</v>
      </c>
      <c r="O7" s="114" t="s">
        <v>80</v>
      </c>
      <c r="P7" s="113" t="s">
        <v>123</v>
      </c>
      <c r="Q7" s="19" t="str">
        <f t="shared" si="0"/>
        <v>T 2 2/15/25 Govt</v>
      </c>
      <c r="R7" s="143" t="e">
        <f ca="1">_xll.BDH(Q7,$R$2,$C$1)</f>
        <v>#NAME?</v>
      </c>
      <c r="S7" s="25">
        <f t="shared" si="1"/>
        <v>2.0299999999999999E-2</v>
      </c>
      <c r="T7" s="17">
        <v>0</v>
      </c>
      <c r="U7" s="30">
        <f t="shared" si="2"/>
        <v>74</v>
      </c>
      <c r="V7" s="67" t="e">
        <f t="shared" ca="1" si="3"/>
        <v>#NAME?</v>
      </c>
      <c r="W7" s="24" t="e">
        <f ca="1">+PRICE($C$1,D7,F7/100,V7,100,G7,H7)</f>
        <v>#NAME?</v>
      </c>
      <c r="X7" s="24"/>
      <c r="AE7" s="3"/>
      <c r="AF7"/>
    </row>
    <row r="8" spans="1:32" x14ac:dyDescent="0.25">
      <c r="A8" s="99"/>
      <c r="B8" s="99"/>
      <c r="C8" s="99"/>
      <c r="D8" s="153">
        <v>45056</v>
      </c>
      <c r="E8" s="102"/>
      <c r="F8" s="150">
        <v>8.89</v>
      </c>
      <c r="G8" s="120">
        <v>2</v>
      </c>
      <c r="H8" s="154">
        <v>0</v>
      </c>
      <c r="I8" s="22" t="e">
        <f ca="1">DURATION($C$1,D8,F8/100,V8,G8,H8)</f>
        <v>#NAME?</v>
      </c>
      <c r="J8" s="19"/>
      <c r="K8" s="22"/>
      <c r="L8" s="22"/>
      <c r="M8" s="19"/>
      <c r="N8" s="113" t="s">
        <v>51</v>
      </c>
      <c r="O8" s="114" t="s">
        <v>80</v>
      </c>
      <c r="P8" s="113" t="s">
        <v>124</v>
      </c>
      <c r="Q8" s="19" t="str">
        <f t="shared" si="0"/>
        <v>T 2 2/15/23 Govt</v>
      </c>
      <c r="R8" s="143" t="e">
        <f ca="1">_xll.BDH(Q8,$R$2,$C$1)</f>
        <v>#NAME?</v>
      </c>
      <c r="S8" s="25">
        <f t="shared" si="1"/>
        <v>2.0299999999999999E-2</v>
      </c>
      <c r="T8" s="17">
        <v>0</v>
      </c>
      <c r="U8" s="30">
        <f t="shared" si="2"/>
        <v>74</v>
      </c>
      <c r="V8" s="67" t="e">
        <f t="shared" ca="1" si="3"/>
        <v>#NAME?</v>
      </c>
      <c r="W8" s="24" t="e">
        <f ca="1">+PRICE($C$1,D8,F8/100,V8,100,G8,H8)</f>
        <v>#NAME?</v>
      </c>
      <c r="X8" s="24"/>
      <c r="AE8" s="3"/>
      <c r="AF8"/>
    </row>
    <row r="9" spans="1:32" x14ac:dyDescent="0.25">
      <c r="A9" s="99"/>
      <c r="B9" s="99"/>
      <c r="C9" s="99"/>
      <c r="D9" s="153">
        <v>45198</v>
      </c>
      <c r="E9" s="102"/>
      <c r="F9" s="150">
        <v>4.33</v>
      </c>
      <c r="G9" s="120">
        <v>2</v>
      </c>
      <c r="H9" s="154">
        <v>0</v>
      </c>
      <c r="I9" s="22" t="e">
        <f ca="1">DURATION($C$1,D9,F9/100,V9,G9,H9)</f>
        <v>#NAME?</v>
      </c>
      <c r="J9" s="19"/>
      <c r="K9" s="22"/>
      <c r="L9" s="22"/>
      <c r="M9" s="19"/>
      <c r="N9" s="113" t="s">
        <v>51</v>
      </c>
      <c r="O9" s="114" t="s">
        <v>80</v>
      </c>
      <c r="P9" s="113" t="s">
        <v>121</v>
      </c>
      <c r="Q9" s="19" t="str">
        <f t="shared" si="0"/>
        <v>T 2.75 11/15/23 Govt</v>
      </c>
      <c r="R9" s="143" t="e">
        <f ca="1">_xll.BDH(Q9,$R$2,$C$1)</f>
        <v>#NAME?</v>
      </c>
      <c r="S9" s="25">
        <f t="shared" si="1"/>
        <v>2.0299999999999999E-2</v>
      </c>
      <c r="T9" s="17">
        <v>0</v>
      </c>
      <c r="U9" s="30">
        <f t="shared" si="2"/>
        <v>74</v>
      </c>
      <c r="V9" s="67" t="e">
        <f t="shared" ca="1" si="3"/>
        <v>#NAME?</v>
      </c>
      <c r="W9" s="24" t="e">
        <f ca="1">+PRICE($C$1,D9,F9/100,V9,100,G9,H9)</f>
        <v>#NAME?</v>
      </c>
      <c r="X9" s="24"/>
      <c r="AE9" s="3"/>
      <c r="AF9"/>
    </row>
    <row r="10" spans="1:32" x14ac:dyDescent="0.25">
      <c r="A10" s="29"/>
      <c r="B10" s="1"/>
      <c r="C10" s="29"/>
      <c r="D10" s="1"/>
      <c r="E10" s="4"/>
      <c r="F10" s="26"/>
      <c r="G10" s="5"/>
      <c r="H10" s="3"/>
      <c r="I10" s="3"/>
      <c r="J10" s="19"/>
      <c r="K10" s="19"/>
      <c r="L10" s="22"/>
      <c r="M10" s="22"/>
      <c r="N10" s="19"/>
      <c r="O10" s="19"/>
      <c r="Q10" s="19"/>
      <c r="R10" s="19"/>
      <c r="S10" s="18"/>
      <c r="W10" s="5"/>
      <c r="X10" s="5"/>
      <c r="Y10" s="24"/>
    </row>
    <row r="11" spans="1:32" x14ac:dyDescent="0.25">
      <c r="A11" s="137" t="s">
        <v>29</v>
      </c>
      <c r="B11" s="137"/>
      <c r="C11" s="137"/>
      <c r="D11" s="137"/>
      <c r="E11" s="137"/>
      <c r="F11" s="137"/>
      <c r="G11" s="137"/>
      <c r="H11" s="137"/>
      <c r="I11" s="137"/>
      <c r="J11" s="138"/>
      <c r="K11" s="138"/>
      <c r="L11" s="138"/>
      <c r="M11" s="138"/>
      <c r="N11" s="161"/>
      <c r="O11" s="138"/>
      <c r="P11" s="138"/>
      <c r="Q11" s="138"/>
      <c r="R11" s="138"/>
      <c r="S11" s="162"/>
      <c r="T11" s="137"/>
      <c r="U11" s="137"/>
      <c r="V11" s="137"/>
      <c r="W11" s="163"/>
      <c r="Z11" s="5"/>
    </row>
    <row r="12" spans="1:32" s="14" customFormat="1" x14ac:dyDescent="0.25">
      <c r="A12" s="139" t="s">
        <v>0</v>
      </c>
      <c r="B12" s="139" t="s">
        <v>6</v>
      </c>
      <c r="C12" s="139" t="s">
        <v>108</v>
      </c>
      <c r="D12" s="139" t="s">
        <v>109</v>
      </c>
      <c r="E12" s="139" t="s">
        <v>2</v>
      </c>
      <c r="F12" s="139"/>
      <c r="G12" s="139" t="s">
        <v>3</v>
      </c>
      <c r="H12" s="139" t="s">
        <v>110</v>
      </c>
      <c r="I12" s="139" t="s">
        <v>111</v>
      </c>
      <c r="J12" s="140" t="s">
        <v>112</v>
      </c>
      <c r="K12" s="164" t="s">
        <v>12</v>
      </c>
      <c r="L12" s="139" t="s">
        <v>7</v>
      </c>
      <c r="M12" s="140" t="s">
        <v>8</v>
      </c>
      <c r="N12" s="140" t="s">
        <v>9</v>
      </c>
      <c r="O12" s="140" t="s">
        <v>28</v>
      </c>
      <c r="P12" s="139" t="s">
        <v>26</v>
      </c>
      <c r="Q12" s="139"/>
      <c r="R12" s="139"/>
      <c r="S12" s="139" t="s">
        <v>68</v>
      </c>
      <c r="T12" s="139" t="s">
        <v>78</v>
      </c>
      <c r="U12" s="139"/>
      <c r="V12" s="139"/>
      <c r="W12" s="165"/>
      <c r="Z12" s="21"/>
      <c r="AF12" s="28"/>
    </row>
    <row r="13" spans="1:32" s="34" customFormat="1" x14ac:dyDescent="0.25">
      <c r="A13" s="122" t="s">
        <v>113</v>
      </c>
      <c r="B13" s="122"/>
      <c r="C13" s="155" t="s">
        <v>192</v>
      </c>
      <c r="D13" s="156"/>
      <c r="E13" s="157"/>
      <c r="F13" s="157"/>
      <c r="G13" s="158">
        <v>5.4300000000000001E-2</v>
      </c>
      <c r="H13" s="157"/>
      <c r="I13" s="157"/>
      <c r="J13" s="10"/>
      <c r="K13" s="159">
        <v>6.72</v>
      </c>
      <c r="M13" s="160" t="s">
        <v>14</v>
      </c>
      <c r="O13" s="10"/>
      <c r="P13" s="10"/>
      <c r="Q13" s="5"/>
      <c r="R13"/>
      <c r="S13"/>
      <c r="T13" s="123">
        <f>INDEX(Indices!O:O,MATCH(IC_3!C13,Indices!M:M,0))/100</f>
        <v>2.0299999999999999E-2</v>
      </c>
      <c r="U13" s="64"/>
      <c r="W13" s="5"/>
      <c r="Z13" s="37"/>
      <c r="AF13" s="38"/>
    </row>
    <row r="14" spans="1:32" x14ac:dyDescent="0.25">
      <c r="A14" s="29"/>
      <c r="B14" s="1"/>
      <c r="C14" s="29"/>
      <c r="D14" s="1"/>
      <c r="E14" s="4"/>
      <c r="F14" s="26"/>
      <c r="G14" s="5"/>
      <c r="H14" s="3"/>
      <c r="I14" s="3"/>
      <c r="J14" s="19"/>
      <c r="K14" s="19"/>
      <c r="L14" s="22"/>
      <c r="M14" s="22"/>
      <c r="N14" s="19"/>
      <c r="O14" s="19"/>
      <c r="P14" s="19"/>
      <c r="Q14" s="19"/>
      <c r="R14" s="19"/>
      <c r="S14" s="5"/>
      <c r="W14" s="5"/>
      <c r="X14" s="5"/>
      <c r="Y14" s="24"/>
    </row>
    <row r="15" spans="1:32" x14ac:dyDescent="0.25">
      <c r="A15" s="166" t="s">
        <v>202</v>
      </c>
      <c r="B15" s="167" t="s">
        <v>102</v>
      </c>
      <c r="C15" s="167" t="s">
        <v>13</v>
      </c>
      <c r="D15" s="168" t="s">
        <v>17</v>
      </c>
      <c r="E15" s="4"/>
      <c r="F15" s="26"/>
      <c r="G15" s="5"/>
      <c r="H15" s="3"/>
      <c r="I15" s="3"/>
      <c r="J15" s="19"/>
      <c r="K15" s="19"/>
      <c r="L15" s="22"/>
      <c r="M15" s="22"/>
      <c r="N15" s="19"/>
      <c r="O15" s="19"/>
      <c r="P15" s="19"/>
      <c r="Q15" s="19"/>
      <c r="R15" s="19"/>
      <c r="S15" s="5"/>
      <c r="W15" s="5"/>
      <c r="X15" s="5"/>
      <c r="Y15" s="24"/>
    </row>
    <row r="16" spans="1:32" x14ac:dyDescent="0.25">
      <c r="A16" s="12" t="s">
        <v>7</v>
      </c>
      <c r="B16" s="6"/>
      <c r="C16" s="7"/>
      <c r="D16" s="8"/>
      <c r="E16" s="4"/>
      <c r="F16" s="26"/>
      <c r="G16" s="5"/>
      <c r="H16" s="3"/>
      <c r="I16" s="3"/>
      <c r="J16" s="19"/>
      <c r="K16" s="19"/>
      <c r="L16" s="22"/>
      <c r="M16" s="22"/>
      <c r="N16" s="19"/>
      <c r="O16" s="19"/>
      <c r="P16" s="19"/>
      <c r="Q16" s="19"/>
      <c r="R16" s="19"/>
      <c r="S16" s="18"/>
      <c r="W16" s="5"/>
      <c r="X16" s="5"/>
      <c r="Y16" s="24"/>
    </row>
    <row r="17" spans="1:32" x14ac:dyDescent="0.25">
      <c r="A17" s="12" t="s">
        <v>8</v>
      </c>
      <c r="B17" s="9"/>
      <c r="C17" s="10"/>
      <c r="D17" s="11"/>
      <c r="J17" s="19"/>
      <c r="K17" s="19"/>
      <c r="L17" s="22"/>
      <c r="M17" s="22"/>
      <c r="N17" s="19"/>
      <c r="O17" s="19"/>
      <c r="P17" s="19"/>
      <c r="Q17" s="19"/>
      <c r="R17" s="19"/>
      <c r="S17" s="18"/>
      <c r="W17" s="5"/>
      <c r="X17" s="5"/>
    </row>
    <row r="18" spans="1:32" x14ac:dyDescent="0.25">
      <c r="A18" s="12" t="s">
        <v>9</v>
      </c>
      <c r="B18" s="9"/>
      <c r="C18" s="10"/>
      <c r="D18" s="11"/>
      <c r="J18" s="19"/>
      <c r="K18" s="19"/>
      <c r="L18" s="19"/>
      <c r="M18" s="19"/>
      <c r="N18" s="22"/>
      <c r="O18" s="19"/>
      <c r="P18" s="19"/>
      <c r="Q18" s="19"/>
      <c r="R18" s="19"/>
      <c r="S18" s="5"/>
      <c r="W18" s="5"/>
      <c r="Z18" s="5"/>
    </row>
    <row r="19" spans="1:32" s="34" customFormat="1" x14ac:dyDescent="0.25">
      <c r="A19" s="12" t="s">
        <v>10</v>
      </c>
      <c r="B19" s="9" t="s">
        <v>51</v>
      </c>
      <c r="C19" s="10" t="s">
        <v>101</v>
      </c>
      <c r="D19" s="11" t="s">
        <v>23</v>
      </c>
      <c r="J19" s="10"/>
      <c r="K19" s="10"/>
      <c r="L19" s="10"/>
      <c r="M19" s="10"/>
      <c r="N19" s="36"/>
      <c r="O19" s="10"/>
      <c r="P19" s="10"/>
      <c r="Q19" s="10"/>
      <c r="R19" s="10"/>
      <c r="S19" s="5"/>
      <c r="T19"/>
      <c r="U19"/>
      <c r="V19"/>
      <c r="W19" s="5"/>
      <c r="Z19" s="37"/>
      <c r="AF19" s="38"/>
    </row>
    <row r="20" spans="1:32" s="34" customFormat="1" x14ac:dyDescent="0.25">
      <c r="A20" s="13" t="s">
        <v>26</v>
      </c>
      <c r="B20" s="16">
        <v>2</v>
      </c>
      <c r="C20" s="14"/>
      <c r="D20" s="15"/>
      <c r="G20" s="35"/>
      <c r="J20" s="10"/>
      <c r="K20" s="10"/>
      <c r="L20" s="10"/>
      <c r="M20" s="10"/>
      <c r="N20" s="36"/>
      <c r="O20" s="10"/>
      <c r="P20" s="10"/>
      <c r="Q20" s="10"/>
      <c r="R20" s="10"/>
      <c r="S20" s="5"/>
      <c r="T20"/>
      <c r="U20"/>
      <c r="V20"/>
      <c r="W20" s="5"/>
      <c r="Z20" s="37"/>
      <c r="AF20" s="38"/>
    </row>
    <row r="21" spans="1:32" x14ac:dyDescent="0.25">
      <c r="A21" s="31"/>
      <c r="B21" s="31"/>
      <c r="D21" s="39"/>
      <c r="H21" s="64"/>
      <c r="J21" s="10"/>
      <c r="K21" s="10"/>
      <c r="L21" s="19"/>
      <c r="M21" s="10"/>
      <c r="N21" s="36"/>
      <c r="O21" s="10"/>
      <c r="P21" s="10"/>
      <c r="Q21" s="10"/>
      <c r="R21" s="10"/>
      <c r="S21" s="5"/>
      <c r="W21" s="5"/>
    </row>
    <row r="22" spans="1:32" x14ac:dyDescent="0.25">
      <c r="H22" s="64"/>
      <c r="J22" s="10"/>
      <c r="K22" s="10"/>
      <c r="L22" s="19"/>
      <c r="M22" s="10"/>
      <c r="N22" s="19"/>
      <c r="O22" s="19"/>
      <c r="P22" s="19"/>
      <c r="Q22" s="19"/>
      <c r="R22" s="19"/>
      <c r="S22" s="2"/>
    </row>
    <row r="23" spans="1:32" x14ac:dyDescent="0.25">
      <c r="H23" s="64"/>
      <c r="J23" s="10"/>
      <c r="K23" s="10"/>
      <c r="M23" s="10"/>
      <c r="S23" s="2"/>
    </row>
    <row r="24" spans="1:32" x14ac:dyDescent="0.25">
      <c r="H24" s="64"/>
      <c r="J24" s="10"/>
      <c r="K24" s="10"/>
      <c r="M24" s="10"/>
      <c r="S24" s="2"/>
    </row>
    <row r="25" spans="1:32" x14ac:dyDescent="0.25">
      <c r="H25" s="64"/>
      <c r="J25" s="10"/>
      <c r="K25" s="10"/>
      <c r="M25" s="10"/>
    </row>
    <row r="26" spans="1:32" x14ac:dyDescent="0.25">
      <c r="H26" s="64"/>
      <c r="J26" s="10"/>
      <c r="K26" s="10"/>
      <c r="M26" s="10"/>
    </row>
    <row r="27" spans="1:32" x14ac:dyDescent="0.25">
      <c r="H27" s="64"/>
      <c r="J27" s="10"/>
      <c r="K27" s="10"/>
    </row>
    <row r="28" spans="1:32" x14ac:dyDescent="0.25">
      <c r="J28" s="10"/>
      <c r="K28" s="10"/>
    </row>
    <row r="29" spans="1:32" x14ac:dyDescent="0.25">
      <c r="J29" s="10"/>
      <c r="K29" s="10"/>
    </row>
    <row r="30" spans="1:32" x14ac:dyDescent="0.25">
      <c r="J30" s="10"/>
      <c r="K30" s="10"/>
    </row>
    <row r="31" spans="1:32" x14ac:dyDescent="0.25">
      <c r="J31" s="10"/>
      <c r="K31" s="1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19"/>
  <sheetViews>
    <sheetView workbookViewId="0">
      <selection activeCell="E5" sqref="E5"/>
    </sheetView>
  </sheetViews>
  <sheetFormatPr defaultRowHeight="15" outlineLevelCol="1" x14ac:dyDescent="0.25"/>
  <cols>
    <col min="1" max="1" width="40.42578125" customWidth="1"/>
    <col min="2" max="2" width="14.28515625" bestFit="1" customWidth="1"/>
    <col min="3" max="3" width="10.85546875" bestFit="1" customWidth="1"/>
    <col min="4" max="4" width="10.7109375" bestFit="1" customWidth="1"/>
    <col min="5" max="5" width="7.85546875" bestFit="1" customWidth="1"/>
    <col min="6" max="6" width="13.140625" hidden="1" customWidth="1" outlineLevel="1"/>
    <col min="7" max="7" width="14.28515625" hidden="1" customWidth="1" outlineLevel="1"/>
    <col min="8" max="8" width="10.28515625" hidden="1" customWidth="1" outlineLevel="1"/>
    <col min="9" max="9" width="10.140625" hidden="1" customWidth="1" outlineLevel="1"/>
    <col min="10" max="10" width="8" hidden="1" customWidth="1" outlineLevel="1"/>
    <col min="11" max="11" width="5.42578125" hidden="1" customWidth="1" outlineLevel="1"/>
    <col min="12" max="12" width="5.28515625" hidden="1" customWidth="1" outlineLevel="1"/>
    <col min="13" max="13" width="5.42578125" hidden="1" customWidth="1" outlineLevel="1"/>
    <col min="14" max="14" width="5.42578125" style="83" hidden="1" customWidth="1" outlineLevel="1"/>
    <col min="15" max="15" width="5.42578125" hidden="1" customWidth="1" outlineLevel="1"/>
    <col min="16" max="16" width="17.42578125" bestFit="1" customWidth="1" collapsed="1"/>
    <col min="17" max="17" width="21" bestFit="1" customWidth="1"/>
    <col min="18" max="18" width="16.85546875" customWidth="1"/>
    <col min="19" max="19" width="7.7109375" bestFit="1" customWidth="1"/>
    <col min="20" max="20" width="7.42578125" bestFit="1" customWidth="1"/>
    <col min="21" max="21" width="13.28515625" bestFit="1" customWidth="1"/>
    <col min="22" max="22" width="9" bestFit="1" customWidth="1"/>
    <col min="23" max="23" width="10.140625" bestFit="1" customWidth="1"/>
  </cols>
  <sheetData>
    <row r="1" spans="1:23" x14ac:dyDescent="0.25">
      <c r="A1" s="135"/>
      <c r="B1" s="136" t="s">
        <v>77</v>
      </c>
      <c r="C1" s="235">
        <f>Valuation_Date</f>
        <v>42613</v>
      </c>
      <c r="D1" s="137"/>
      <c r="E1" s="137"/>
      <c r="F1" s="137"/>
      <c r="G1" s="137"/>
      <c r="H1" s="138"/>
      <c r="I1" s="138"/>
      <c r="J1" s="138"/>
      <c r="K1" s="138"/>
      <c r="L1" s="138"/>
      <c r="M1" s="138"/>
      <c r="N1" s="138"/>
      <c r="O1" s="138"/>
      <c r="P1" s="137"/>
      <c r="Q1" s="137"/>
      <c r="R1" s="137"/>
      <c r="S1" s="137"/>
      <c r="T1" s="137"/>
      <c r="U1" s="137"/>
      <c r="V1" s="137"/>
      <c r="W1" s="137"/>
    </row>
    <row r="2" spans="1:23" x14ac:dyDescent="0.25">
      <c r="A2" s="139" t="s">
        <v>0</v>
      </c>
      <c r="B2" s="139" t="s">
        <v>6</v>
      </c>
      <c r="C2" s="139" t="s">
        <v>1</v>
      </c>
      <c r="D2" s="139" t="s">
        <v>2</v>
      </c>
      <c r="E2" s="139" t="s">
        <v>3</v>
      </c>
      <c r="F2" s="139" t="s">
        <v>4</v>
      </c>
      <c r="G2" s="139" t="s">
        <v>11</v>
      </c>
      <c r="H2" s="140" t="s">
        <v>5</v>
      </c>
      <c r="I2" s="140" t="s">
        <v>12</v>
      </c>
      <c r="J2" s="140" t="s">
        <v>7</v>
      </c>
      <c r="K2" s="140" t="s">
        <v>8</v>
      </c>
      <c r="L2" s="140" t="s">
        <v>9</v>
      </c>
      <c r="M2" s="140" t="s">
        <v>28</v>
      </c>
      <c r="N2" s="140" t="s">
        <v>209</v>
      </c>
      <c r="O2" s="140" t="s">
        <v>26</v>
      </c>
      <c r="P2" s="139" t="s">
        <v>66</v>
      </c>
      <c r="Q2" s="139"/>
      <c r="R2" s="139" t="s">
        <v>68</v>
      </c>
      <c r="S2" s="139" t="s">
        <v>74</v>
      </c>
      <c r="T2" s="139" t="s">
        <v>72</v>
      </c>
      <c r="U2" s="139" t="s">
        <v>73</v>
      </c>
      <c r="V2" s="139" t="s">
        <v>75</v>
      </c>
      <c r="W2" s="139" t="s">
        <v>235</v>
      </c>
    </row>
    <row r="3" spans="1:23" x14ac:dyDescent="0.25">
      <c r="A3" s="99"/>
      <c r="B3" s="99"/>
      <c r="C3" s="114"/>
      <c r="D3" s="102">
        <v>45475</v>
      </c>
      <c r="E3" s="114">
        <v>7.25</v>
      </c>
      <c r="F3" s="120">
        <v>85000000</v>
      </c>
      <c r="G3" s="120">
        <v>250000000</v>
      </c>
      <c r="H3" s="113">
        <v>2</v>
      </c>
      <c r="I3" s="22" t="e">
        <f ca="1">DURATION($C$1,D3,E3/100,V3/100,H3,0)</f>
        <v>#NAME?</v>
      </c>
      <c r="J3" s="113" t="s">
        <v>25</v>
      </c>
      <c r="K3" s="113" t="s">
        <v>25</v>
      </c>
      <c r="L3" s="113" t="s">
        <v>25</v>
      </c>
      <c r="M3" s="113" t="s">
        <v>79</v>
      </c>
      <c r="N3" s="113" t="s">
        <v>25</v>
      </c>
      <c r="O3" s="113" t="s">
        <v>80</v>
      </c>
      <c r="P3" s="114" t="s">
        <v>98</v>
      </c>
      <c r="Q3" t="str">
        <f>P3&amp;" Govt"</f>
        <v>T 2.5 5/15/24 Govt</v>
      </c>
      <c r="R3" s="149" t="e">
        <f ca="1">_xll.BDH(Q3,$R$2,$C$1)</f>
        <v>#NAME?</v>
      </c>
      <c r="S3" s="17">
        <f>+$S$12</f>
        <v>302.39999999999998</v>
      </c>
      <c r="T3" s="146">
        <v>0</v>
      </c>
      <c r="U3" s="53">
        <f>Indices!P7*100</f>
        <v>74</v>
      </c>
      <c r="V3" s="5" t="e">
        <f ca="1">(+R3*100+S3+T3+U3)/100</f>
        <v>#NAME?</v>
      </c>
      <c r="W3" s="24" t="e">
        <f ca="1">+PRICE($C$1,D3,E3/100,V3/100,100,H3,0)</f>
        <v>#NAME?</v>
      </c>
    </row>
    <row r="4" spans="1:23" s="83" customFormat="1" x14ac:dyDescent="0.25">
      <c r="A4" s="194"/>
      <c r="B4" s="194"/>
      <c r="C4" s="195"/>
      <c r="D4" s="102">
        <v>45475</v>
      </c>
      <c r="E4" s="114">
        <v>7.25</v>
      </c>
      <c r="F4" s="120">
        <v>44000000</v>
      </c>
      <c r="G4" s="120"/>
      <c r="H4" s="113">
        <v>2</v>
      </c>
      <c r="I4" s="85" t="e">
        <f ca="1">DURATION($C$1,D4,E4/100,V4/100,H4,0)</f>
        <v>#NAME?</v>
      </c>
      <c r="J4" s="113" t="s">
        <v>25</v>
      </c>
      <c r="K4" s="113" t="s">
        <v>25</v>
      </c>
      <c r="L4" s="113" t="s">
        <v>25</v>
      </c>
      <c r="M4" s="113" t="s">
        <v>25</v>
      </c>
      <c r="N4" s="113" t="s">
        <v>86</v>
      </c>
      <c r="O4" s="113"/>
      <c r="P4" s="114" t="s">
        <v>98</v>
      </c>
      <c r="Q4" s="83" t="str">
        <f>P4&amp;" Govt"</f>
        <v>T 2.5 5/15/24 Govt</v>
      </c>
      <c r="R4" s="149" t="e">
        <f ca="1">_xll.BDH(Q4,$R$2,$C$1)</f>
        <v>#NAME?</v>
      </c>
      <c r="S4" s="17">
        <f>+$S$12</f>
        <v>302.39999999999998</v>
      </c>
      <c r="T4" s="196"/>
      <c r="U4" s="197">
        <f>U3</f>
        <v>74</v>
      </c>
      <c r="V4" s="5" t="e">
        <f ca="1">(+R4*100+S4+T4+U4)/100</f>
        <v>#NAME?</v>
      </c>
      <c r="W4" s="24" t="e">
        <f ca="1">+PRICE($C$1,D4,E4/100,V4/100,100,H4,0)</f>
        <v>#NAME?</v>
      </c>
    </row>
    <row r="5" spans="1:23" x14ac:dyDescent="0.25">
      <c r="H5" s="19"/>
      <c r="I5" s="22"/>
      <c r="J5" s="19"/>
      <c r="K5" s="19"/>
      <c r="L5" s="19"/>
      <c r="M5" s="19"/>
      <c r="N5" s="84"/>
      <c r="O5" s="19"/>
      <c r="R5" s="18"/>
      <c r="V5" s="5"/>
    </row>
    <row r="6" spans="1:23" x14ac:dyDescent="0.25">
      <c r="A6" s="137" t="s">
        <v>29</v>
      </c>
      <c r="B6" s="137"/>
      <c r="C6" s="137"/>
      <c r="D6" s="137"/>
      <c r="E6" s="137"/>
      <c r="F6" s="137"/>
      <c r="G6" s="137"/>
      <c r="H6" s="138"/>
      <c r="I6" s="161"/>
      <c r="J6" s="138"/>
      <c r="K6" s="138"/>
      <c r="L6" s="138"/>
      <c r="M6" s="138"/>
      <c r="N6" s="138"/>
      <c r="O6" s="138"/>
      <c r="P6" s="137"/>
      <c r="Q6" s="137"/>
      <c r="R6" s="162"/>
      <c r="S6" s="137"/>
      <c r="T6" s="137"/>
      <c r="U6" s="137"/>
      <c r="V6" s="163"/>
      <c r="W6" s="137"/>
    </row>
    <row r="7" spans="1:23" x14ac:dyDescent="0.25">
      <c r="A7" s="139" t="s">
        <v>0</v>
      </c>
      <c r="B7" s="139" t="s">
        <v>6</v>
      </c>
      <c r="C7" s="139" t="s">
        <v>1</v>
      </c>
      <c r="D7" s="139" t="s">
        <v>2</v>
      </c>
      <c r="E7" s="139" t="s">
        <v>3</v>
      </c>
      <c r="F7" s="139" t="s">
        <v>4</v>
      </c>
      <c r="G7" s="139" t="s">
        <v>11</v>
      </c>
      <c r="H7" s="140" t="s">
        <v>5</v>
      </c>
      <c r="I7" s="164" t="s">
        <v>12</v>
      </c>
      <c r="J7" s="140" t="s">
        <v>7</v>
      </c>
      <c r="K7" s="140" t="s">
        <v>8</v>
      </c>
      <c r="L7" s="140" t="s">
        <v>9</v>
      </c>
      <c r="M7" s="140" t="s">
        <v>28</v>
      </c>
      <c r="N7" s="140"/>
      <c r="O7" s="140" t="s">
        <v>26</v>
      </c>
      <c r="P7" s="139" t="s">
        <v>66</v>
      </c>
      <c r="Q7" s="139"/>
      <c r="R7" s="139" t="s">
        <v>68</v>
      </c>
      <c r="S7" s="139" t="s">
        <v>78</v>
      </c>
      <c r="T7" s="139"/>
      <c r="U7" s="139"/>
      <c r="V7" s="165" t="s">
        <v>75</v>
      </c>
      <c r="W7" s="139"/>
    </row>
    <row r="8" spans="1:23" x14ac:dyDescent="0.25">
      <c r="A8" s="114" t="s">
        <v>82</v>
      </c>
      <c r="B8" s="114" t="s">
        <v>83</v>
      </c>
      <c r="C8" s="114" t="s">
        <v>84</v>
      </c>
      <c r="D8" s="107">
        <v>45517</v>
      </c>
      <c r="E8" s="114">
        <v>4.875</v>
      </c>
      <c r="F8" s="114" t="s">
        <v>200</v>
      </c>
      <c r="G8" s="120">
        <v>300000000</v>
      </c>
      <c r="H8" s="113">
        <v>2</v>
      </c>
      <c r="I8" s="22" t="e">
        <f ca="1">DURATION($C$1,D8,E8/100,V8/100,H8,0)</f>
        <v>#NAME?</v>
      </c>
      <c r="J8" s="113" t="s">
        <v>85</v>
      </c>
      <c r="K8" s="113" t="s">
        <v>86</v>
      </c>
      <c r="L8" s="113"/>
      <c r="M8" s="113"/>
      <c r="N8" s="113"/>
      <c r="O8" s="113">
        <v>2</v>
      </c>
      <c r="P8" s="114" t="s">
        <v>87</v>
      </c>
      <c r="Q8" t="str">
        <f>P8&amp;" Govt"</f>
        <v>T 2.375 8/15/24 Govt</v>
      </c>
      <c r="R8" s="149" t="e">
        <f ca="1">_xll.BDH(Q8,$R$2,$C$1)</f>
        <v>#NAME?</v>
      </c>
      <c r="S8" s="141">
        <v>302.39999999999998</v>
      </c>
      <c r="T8">
        <v>320</v>
      </c>
      <c r="V8" s="5" t="e">
        <f ca="1">+R8+S8/100</f>
        <v>#NAME?</v>
      </c>
    </row>
    <row r="9" spans="1:23" x14ac:dyDescent="0.25">
      <c r="A9" s="114" t="s">
        <v>88</v>
      </c>
      <c r="B9" s="114" t="s">
        <v>83</v>
      </c>
      <c r="C9" s="114" t="s">
        <v>89</v>
      </c>
      <c r="D9" s="107">
        <v>44362</v>
      </c>
      <c r="E9" s="114">
        <v>6.375</v>
      </c>
      <c r="F9" s="114" t="s">
        <v>200</v>
      </c>
      <c r="G9" s="120">
        <v>300000000</v>
      </c>
      <c r="H9" s="113">
        <v>2</v>
      </c>
      <c r="I9" s="22" t="e">
        <f ca="1">DURATION($C$1,D9,E9/100,V9/100,H9,0)</f>
        <v>#NAME?</v>
      </c>
      <c r="J9" s="113" t="s">
        <v>85</v>
      </c>
      <c r="K9" s="113" t="s">
        <v>14</v>
      </c>
      <c r="L9" s="113" t="s">
        <v>86</v>
      </c>
      <c r="M9" s="113" t="s">
        <v>90</v>
      </c>
      <c r="N9" s="113"/>
      <c r="O9" s="113">
        <v>2</v>
      </c>
      <c r="P9" s="114" t="s">
        <v>91</v>
      </c>
      <c r="Q9" t="str">
        <f>P9&amp;" Govt"</f>
        <v>T 2.125 6/30/2021 Govt</v>
      </c>
      <c r="R9" s="149" t="e">
        <f ca="1">_xll.BDH(Q9,$R$2,$C$1)</f>
        <v>#NAME?</v>
      </c>
      <c r="S9" s="141"/>
      <c r="V9" s="5" t="e">
        <f ca="1">+R9+S9/100</f>
        <v>#NAME?</v>
      </c>
    </row>
    <row r="10" spans="1:23" x14ac:dyDescent="0.25">
      <c r="A10" s="114" t="s">
        <v>92</v>
      </c>
      <c r="B10" s="114" t="s">
        <v>83</v>
      </c>
      <c r="C10" s="114" t="s">
        <v>93</v>
      </c>
      <c r="D10" s="107">
        <v>44874</v>
      </c>
      <c r="E10" s="114">
        <v>4.5999999999999996</v>
      </c>
      <c r="F10" s="114"/>
      <c r="G10" s="120">
        <v>275000000</v>
      </c>
      <c r="H10" s="113">
        <v>2</v>
      </c>
      <c r="I10" s="22" t="e">
        <f ca="1">DURATION($C$1,D10,E10/100,V10/100,H10,0)</f>
        <v>#NAME?</v>
      </c>
      <c r="J10" s="113" t="s">
        <v>85</v>
      </c>
      <c r="K10" s="113" t="s">
        <v>86</v>
      </c>
      <c r="L10" s="113" t="s">
        <v>14</v>
      </c>
      <c r="M10" s="113" t="s">
        <v>24</v>
      </c>
      <c r="N10" s="113"/>
      <c r="O10" s="113">
        <v>2</v>
      </c>
      <c r="P10" s="114" t="s">
        <v>94</v>
      </c>
      <c r="Q10" t="str">
        <f>P10&amp;" Govt"</f>
        <v>T 1.625 11/15/22 Govt</v>
      </c>
      <c r="R10" s="149" t="e">
        <f ca="1">_xll.BDH(Q10,$R$2,$C$1)</f>
        <v>#NAME?</v>
      </c>
      <c r="S10" s="141"/>
      <c r="U10" s="209"/>
      <c r="V10" s="5" t="e">
        <f ca="1">+R10+S10/100</f>
        <v>#NAME?</v>
      </c>
    </row>
    <row r="11" spans="1:23" x14ac:dyDescent="0.25">
      <c r="A11" s="114" t="s">
        <v>95</v>
      </c>
      <c r="B11" s="114" t="s">
        <v>83</v>
      </c>
      <c r="C11" s="114" t="s">
        <v>96</v>
      </c>
      <c r="D11" s="107">
        <v>45703</v>
      </c>
      <c r="E11" s="114">
        <v>4.3499999999999996</v>
      </c>
      <c r="F11" s="114" t="s">
        <v>200</v>
      </c>
      <c r="G11" s="120">
        <v>250000000</v>
      </c>
      <c r="H11" s="113">
        <v>2</v>
      </c>
      <c r="I11" s="22" t="e">
        <f ca="1">DURATION($C$1,D11,E11/100,V11/100,H11,0)</f>
        <v>#NAME?</v>
      </c>
      <c r="J11" s="113" t="s">
        <v>85</v>
      </c>
      <c r="K11" s="113" t="s">
        <v>86</v>
      </c>
      <c r="L11" s="113" t="s">
        <v>86</v>
      </c>
      <c r="M11" s="113" t="s">
        <v>79</v>
      </c>
      <c r="N11" s="113"/>
      <c r="O11" s="113">
        <v>2</v>
      </c>
      <c r="P11" s="114" t="s">
        <v>97</v>
      </c>
      <c r="Q11" t="str">
        <f>P11&amp;" Govt"</f>
        <v>T 2 2/15/2025 Govt</v>
      </c>
      <c r="R11" s="149" t="e">
        <f ca="1">_xll.BDH(Q11,$R$2,$C$1)</f>
        <v>#NAME?</v>
      </c>
      <c r="S11" s="142"/>
      <c r="T11">
        <v>253.7</v>
      </c>
      <c r="V11" s="5" t="e">
        <f ca="1">+R11+S11/100</f>
        <v>#NAME?</v>
      </c>
    </row>
    <row r="12" spans="1:23" x14ac:dyDescent="0.25">
      <c r="H12" s="19"/>
      <c r="I12" s="22"/>
      <c r="J12" s="19"/>
      <c r="K12" s="19"/>
      <c r="L12" s="19"/>
      <c r="M12" s="19"/>
      <c r="N12" s="84"/>
      <c r="O12" s="19"/>
      <c r="R12" s="18"/>
      <c r="S12" s="17">
        <f>AVERAGE(S8:S11)</f>
        <v>302.39999999999998</v>
      </c>
      <c r="T12">
        <v>286.85000000000002</v>
      </c>
      <c r="V12" s="5"/>
    </row>
    <row r="13" spans="1:23" x14ac:dyDescent="0.25">
      <c r="A13" s="283"/>
      <c r="B13" s="284" t="s">
        <v>81</v>
      </c>
      <c r="C13" s="284" t="s">
        <v>13</v>
      </c>
      <c r="D13" s="285" t="s">
        <v>17</v>
      </c>
      <c r="H13" s="19"/>
      <c r="I13" s="19"/>
      <c r="J13" s="19"/>
      <c r="K13" s="19"/>
      <c r="L13" s="19"/>
      <c r="M13" s="19"/>
      <c r="N13" s="84"/>
      <c r="O13" s="19"/>
      <c r="R13" s="2"/>
    </row>
    <row r="14" spans="1:23" x14ac:dyDescent="0.25">
      <c r="A14" s="12" t="s">
        <v>7</v>
      </c>
      <c r="B14" s="6"/>
      <c r="C14" s="7"/>
      <c r="D14" s="8"/>
      <c r="H14" s="19"/>
      <c r="I14" s="19"/>
      <c r="J14" s="19"/>
      <c r="K14" s="19"/>
      <c r="L14" s="19"/>
      <c r="M14" s="19"/>
      <c r="N14" s="84"/>
      <c r="O14" s="19"/>
      <c r="R14" s="2"/>
    </row>
    <row r="15" spans="1:23" x14ac:dyDescent="0.25">
      <c r="A15" s="12" t="s">
        <v>8</v>
      </c>
      <c r="B15" s="9"/>
      <c r="C15" s="10"/>
      <c r="D15" s="11"/>
      <c r="H15" s="19"/>
      <c r="I15" s="19"/>
      <c r="J15" s="19"/>
      <c r="K15" s="19"/>
      <c r="L15" s="19"/>
      <c r="M15" s="19"/>
      <c r="N15" s="84"/>
      <c r="O15" s="19"/>
    </row>
    <row r="16" spans="1:23" x14ac:dyDescent="0.25">
      <c r="A16" s="12" t="s">
        <v>9</v>
      </c>
      <c r="B16" s="9"/>
      <c r="C16" s="10"/>
      <c r="D16" s="11"/>
      <c r="H16" s="19"/>
      <c r="I16" s="19"/>
      <c r="J16" s="19"/>
      <c r="K16" s="19"/>
      <c r="L16" s="19"/>
      <c r="M16" s="19"/>
      <c r="N16" s="84"/>
      <c r="O16" s="19"/>
    </row>
    <row r="17" spans="1:21" x14ac:dyDescent="0.25">
      <c r="A17" s="12" t="s">
        <v>10</v>
      </c>
      <c r="B17" s="9" t="s">
        <v>79</v>
      </c>
      <c r="C17" s="10"/>
      <c r="D17" s="11" t="s">
        <v>23</v>
      </c>
      <c r="H17" s="19"/>
      <c r="I17" s="19"/>
      <c r="J17" s="19"/>
      <c r="K17" s="19"/>
      <c r="L17" s="19"/>
      <c r="M17" s="19"/>
      <c r="N17" s="84"/>
      <c r="O17" s="19"/>
    </row>
    <row r="18" spans="1:21" x14ac:dyDescent="0.25">
      <c r="A18" s="13" t="s">
        <v>26</v>
      </c>
      <c r="B18" s="16" t="s">
        <v>80</v>
      </c>
      <c r="C18" s="14"/>
      <c r="D18" s="15"/>
      <c r="H18" s="19"/>
      <c r="I18" s="19"/>
      <c r="J18" s="19"/>
      <c r="K18" s="19"/>
      <c r="L18" s="19"/>
      <c r="M18" s="19"/>
      <c r="N18" s="84"/>
      <c r="O18" s="19"/>
    </row>
    <row r="19" spans="1:21" x14ac:dyDescent="0.25">
      <c r="H19" s="19"/>
      <c r="I19" s="19"/>
      <c r="J19" s="19"/>
      <c r="K19" s="19"/>
      <c r="L19" s="19"/>
      <c r="M19" s="19"/>
      <c r="N19" s="84"/>
      <c r="O19" s="19"/>
      <c r="U19" s="14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A13" sqref="A13"/>
    </sheetView>
  </sheetViews>
  <sheetFormatPr defaultRowHeight="15" outlineLevelCol="3" x14ac:dyDescent="0.25"/>
  <cols>
    <col min="1" max="1" width="25.28515625" style="83" customWidth="1"/>
    <col min="2" max="2" width="14.28515625" style="83" customWidth="1"/>
    <col min="3" max="3" width="11.42578125" style="83" bestFit="1" customWidth="1"/>
    <col min="4" max="4" width="10.7109375" style="83" bestFit="1" customWidth="1"/>
    <col min="5" max="5" width="7.85546875" style="64" bestFit="1" customWidth="1"/>
    <col min="6" max="6" width="10.28515625" style="84" customWidth="1" outlineLevel="1"/>
    <col min="7" max="7" width="8.7109375" style="84" customWidth="1" outlineLevel="1"/>
    <col min="8" max="8" width="5.42578125" style="84" customWidth="1" outlineLevel="3"/>
    <col min="9" max="9" width="13.28515625" style="83" customWidth="1"/>
    <col min="10" max="10" width="18" style="83" customWidth="1"/>
    <col min="11" max="11" width="10.85546875" style="83" bestFit="1" customWidth="1"/>
    <col min="12" max="12" width="45" style="83" bestFit="1" customWidth="1"/>
    <col min="13" max="13" width="7" style="83" bestFit="1" customWidth="1"/>
    <col min="14" max="14" width="8.7109375" style="83" customWidth="1"/>
    <col min="15" max="15" width="8.42578125" style="83" customWidth="1"/>
    <col min="16" max="16" width="10.140625" style="83" bestFit="1" customWidth="1"/>
    <col min="17" max="16384" width="9.140625" style="83"/>
  </cols>
  <sheetData>
    <row r="1" spans="1:16" x14ac:dyDescent="0.25">
      <c r="A1" s="135"/>
      <c r="B1" s="136" t="s">
        <v>77</v>
      </c>
      <c r="C1" s="235">
        <f>Valuation_Date</f>
        <v>42613</v>
      </c>
      <c r="D1" s="137"/>
      <c r="E1" s="250"/>
      <c r="F1" s="138"/>
      <c r="G1" s="138"/>
      <c r="H1" s="138"/>
      <c r="I1" s="137"/>
      <c r="J1" s="137"/>
      <c r="K1" s="137"/>
      <c r="L1" s="137"/>
      <c r="M1" s="137"/>
      <c r="N1" s="137"/>
      <c r="O1" s="137"/>
      <c r="P1" s="137"/>
    </row>
    <row r="2" spans="1:16" s="14" customFormat="1" x14ac:dyDescent="0.25">
      <c r="A2" s="139" t="s">
        <v>0</v>
      </c>
      <c r="B2" s="139" t="s">
        <v>6</v>
      </c>
      <c r="C2" s="139" t="s">
        <v>1</v>
      </c>
      <c r="D2" s="139" t="s">
        <v>2</v>
      </c>
      <c r="E2" s="250" t="s">
        <v>3</v>
      </c>
      <c r="F2" s="140" t="s">
        <v>5</v>
      </c>
      <c r="G2" s="140" t="s">
        <v>12</v>
      </c>
      <c r="H2" s="140" t="s">
        <v>26</v>
      </c>
      <c r="I2" s="139" t="s">
        <v>66</v>
      </c>
      <c r="J2" s="139"/>
      <c r="K2" s="139" t="s">
        <v>68</v>
      </c>
      <c r="L2" s="139" t="s">
        <v>193</v>
      </c>
      <c r="M2" s="139" t="s">
        <v>74</v>
      </c>
      <c r="N2" s="139" t="s">
        <v>73</v>
      </c>
      <c r="O2" s="139" t="s">
        <v>75</v>
      </c>
      <c r="P2" s="139" t="s">
        <v>235</v>
      </c>
    </row>
    <row r="3" spans="1:16" x14ac:dyDescent="0.25">
      <c r="A3" s="99"/>
      <c r="B3" s="99"/>
      <c r="C3" s="114"/>
      <c r="D3" s="107">
        <v>42691</v>
      </c>
      <c r="E3" s="157">
        <v>3.23999999999999</v>
      </c>
      <c r="F3" s="113">
        <v>2</v>
      </c>
      <c r="G3" s="85" t="e">
        <f ca="1">DURATION($C$1,D3,E3/100,O3/100,F3,0)</f>
        <v>#NAME?</v>
      </c>
      <c r="H3" s="274">
        <v>1</v>
      </c>
      <c r="I3" s="119" t="s">
        <v>241</v>
      </c>
      <c r="J3" s="83" t="str">
        <f>I3&amp;" Govt"</f>
        <v>B 0 11/25/16 Govt</v>
      </c>
      <c r="K3" s="143" t="e">
        <f ca="1">_xll.BDH(J3,$K$2,$C$1)</f>
        <v>#NAME?</v>
      </c>
      <c r="L3" s="276" t="str">
        <f>INDEX($A$12:$A$31,MATCH(H3,$H$12:$H$31,0))</f>
        <v>BofA Merrill Lynch Single-A US Corporate Index</v>
      </c>
      <c r="M3" s="17">
        <f>INDEX(M:M,MATCH(L3,A:A,0))</f>
        <v>109.00000000000001</v>
      </c>
      <c r="N3" s="53">
        <f>Indices!P6*100</f>
        <v>27.000000000000014</v>
      </c>
      <c r="O3" s="5" t="e">
        <f ca="1">(+K3*100+M3+N3)/100</f>
        <v>#NAME?</v>
      </c>
      <c r="P3" s="24" t="e">
        <f ca="1">+PRICE($C$1,D3,E3/100,O3/100,100,F3,0)</f>
        <v>#NAME?</v>
      </c>
    </row>
    <row r="4" spans="1:16" x14ac:dyDescent="0.25">
      <c r="A4" s="99"/>
      <c r="B4" s="114"/>
      <c r="C4" s="114"/>
      <c r="D4" s="107">
        <v>42701</v>
      </c>
      <c r="E4" s="157">
        <v>6.1399999999999899</v>
      </c>
      <c r="F4" s="113">
        <v>2</v>
      </c>
      <c r="G4" s="85" t="e">
        <f ca="1">DURATION($C$1,D4,E4/100,O4/100,F4,0)</f>
        <v>#NAME?</v>
      </c>
      <c r="H4" s="274">
        <v>1</v>
      </c>
      <c r="I4" s="119" t="s">
        <v>241</v>
      </c>
      <c r="J4" s="83" t="str">
        <f>I4&amp;" Govt"</f>
        <v>B 0 11/25/16 Govt</v>
      </c>
      <c r="K4" s="143" t="e">
        <f ca="1">_xll.BDH(J4,$K$2,$C$1)</f>
        <v>#NAME?</v>
      </c>
      <c r="L4" s="276" t="str">
        <f>INDEX($A$12:$A$31,MATCH(H4,$H$12:$H$31,0))</f>
        <v>BofA Merrill Lynch Single-A US Corporate Index</v>
      </c>
      <c r="M4" s="17">
        <f>INDEX(M:M,MATCH(L4,A:A,0))</f>
        <v>109.00000000000001</v>
      </c>
      <c r="N4" s="17">
        <f>+N3</f>
        <v>27.000000000000014</v>
      </c>
      <c r="O4" s="5" t="e">
        <f t="shared" ref="O4:O7" ca="1" si="0">(+K4*100+M4+N4)/100</f>
        <v>#NAME?</v>
      </c>
      <c r="P4" s="24" t="e">
        <f ca="1">+PRICE($C$1,D4,E4/100,O4/100,100,F4,0)</f>
        <v>#NAME?</v>
      </c>
    </row>
    <row r="5" spans="1:16" x14ac:dyDescent="0.25">
      <c r="A5" s="99"/>
      <c r="B5" s="114"/>
      <c r="C5" s="114"/>
      <c r="D5" s="107">
        <v>42737</v>
      </c>
      <c r="E5" s="157">
        <v>8.06</v>
      </c>
      <c r="F5" s="113">
        <v>2</v>
      </c>
      <c r="G5" s="85" t="e">
        <f ca="1">DURATION($C$1,D5,E5/100,O5/100,F5,0)</f>
        <v>#NAME?</v>
      </c>
      <c r="H5" s="274">
        <v>2</v>
      </c>
      <c r="I5" s="119" t="s">
        <v>241</v>
      </c>
      <c r="J5" s="83" t="str">
        <f>I5&amp;" Govt"</f>
        <v>B 0 11/25/16 Govt</v>
      </c>
      <c r="K5" s="143" t="e">
        <f ca="1">_xll.BDH(J5,$K$2,$C$1)</f>
        <v>#NAME?</v>
      </c>
      <c r="L5" s="276" t="str">
        <f>INDEX($A$12:$A$31,MATCH(H5,$H$12:$H$31,0))</f>
        <v>BofA Merrill Lynch BBB US Corporate Index</v>
      </c>
      <c r="M5" s="17">
        <f>INDEX(M:M,MATCH(L5,A:A,0))</f>
        <v>183</v>
      </c>
      <c r="N5" s="17">
        <f>+N4</f>
        <v>27.000000000000014</v>
      </c>
      <c r="O5" s="5" t="e">
        <f t="shared" ca="1" si="0"/>
        <v>#NAME?</v>
      </c>
      <c r="P5" s="24" t="e">
        <f ca="1">+PRICE($C$1,D5,E5/100,O5/100,100,F5,0)</f>
        <v>#NAME?</v>
      </c>
    </row>
    <row r="6" spans="1:16" x14ac:dyDescent="0.25">
      <c r="A6" s="99"/>
      <c r="B6" s="114"/>
      <c r="C6" s="114"/>
      <c r="D6" s="107">
        <v>42614</v>
      </c>
      <c r="E6" s="157">
        <v>6.36</v>
      </c>
      <c r="F6" s="113">
        <v>2</v>
      </c>
      <c r="G6" s="85" t="e">
        <f ca="1">DURATION($C$1,D6,E6/100,O6/100,F6,0)</f>
        <v>#NAME?</v>
      </c>
      <c r="H6" s="274">
        <v>2</v>
      </c>
      <c r="I6" s="119" t="s">
        <v>240</v>
      </c>
      <c r="J6" s="83" t="str">
        <f>I6&amp;" Govt"</f>
        <v>B 0 9/8/16 Govt</v>
      </c>
      <c r="K6" s="143" t="e">
        <f ca="1">_xll.BDH(J6,$K$2,$C$1)</f>
        <v>#NAME?</v>
      </c>
      <c r="L6" s="276" t="str">
        <f>INDEX($A$12:$A$31,MATCH(H6,$H$12:$H$31,0))</f>
        <v>BofA Merrill Lynch BBB US Corporate Index</v>
      </c>
      <c r="M6" s="83">
        <f>INDEX(M:M,MATCH(L6,A:A,0))</f>
        <v>183</v>
      </c>
      <c r="N6" s="17">
        <f>+N5</f>
        <v>27.000000000000014</v>
      </c>
      <c r="O6" s="5" t="e">
        <f t="shared" ca="1" si="0"/>
        <v>#NAME?</v>
      </c>
      <c r="P6" s="24" t="e">
        <f ca="1">+PRICE($C$1,D6,E6/100,O6/100,100,F6,0)</f>
        <v>#NAME?</v>
      </c>
    </row>
    <row r="7" spans="1:16" x14ac:dyDescent="0.25">
      <c r="A7" s="99"/>
      <c r="B7" s="249"/>
      <c r="C7" s="122"/>
      <c r="D7" s="190">
        <v>43072</v>
      </c>
      <c r="E7" s="122">
        <v>9.27</v>
      </c>
      <c r="F7" s="201">
        <v>2</v>
      </c>
      <c r="G7" s="271" t="e">
        <f ca="1">DURATION($C$1,D7,E7/100,O7/100,F7,0)</f>
        <v>#NAME?</v>
      </c>
      <c r="H7" s="275">
        <v>3</v>
      </c>
      <c r="I7" s="122" t="s">
        <v>239</v>
      </c>
      <c r="J7" s="31" t="str">
        <f>I7&amp;" Govt"</f>
        <v>T .75 10/31/17 Govt</v>
      </c>
      <c r="K7" s="270" t="e">
        <f ca="1">_xll.BDH(J7,$K$2,$C$1)</f>
        <v>#NAME?</v>
      </c>
      <c r="L7" s="276" t="str">
        <f>INDEX($A$12:$A$31,MATCH(H7,$H$12:$H$31,0))</f>
        <v>BofA Merrill Lynch BB US High Yield Index</v>
      </c>
      <c r="M7" s="269">
        <f>INDEX(M:M,MATCH(L7,A:A,0))</f>
        <v>320</v>
      </c>
      <c r="N7" s="273">
        <f>N6</f>
        <v>27.000000000000014</v>
      </c>
      <c r="O7" s="5" t="e">
        <f t="shared" ca="1" si="0"/>
        <v>#NAME?</v>
      </c>
      <c r="P7" s="24" t="e">
        <f ca="1">+PRICE($C$1,D7,E7/100,O7/100,100,F7,0)</f>
        <v>#NAME?</v>
      </c>
    </row>
    <row r="8" spans="1:16" x14ac:dyDescent="0.25">
      <c r="G8" s="85"/>
      <c r="H8" s="90"/>
      <c r="K8" s="18"/>
      <c r="L8" s="18"/>
      <c r="O8" s="5"/>
    </row>
    <row r="9" spans="1:16" x14ac:dyDescent="0.25">
      <c r="G9" s="85"/>
      <c r="H9" s="90"/>
      <c r="K9" s="18"/>
      <c r="L9" s="18"/>
      <c r="O9" s="5"/>
    </row>
    <row r="10" spans="1:16" x14ac:dyDescent="0.25">
      <c r="G10" s="85"/>
      <c r="H10" s="90"/>
      <c r="K10" s="18"/>
      <c r="L10" s="18"/>
      <c r="O10" s="5"/>
    </row>
    <row r="11" spans="1:16" x14ac:dyDescent="0.25">
      <c r="A11" s="137" t="s">
        <v>29</v>
      </c>
      <c r="B11" s="137"/>
      <c r="C11" s="137"/>
      <c r="D11" s="137"/>
      <c r="E11" s="250"/>
      <c r="F11" s="138"/>
      <c r="G11" s="161"/>
      <c r="H11" s="138"/>
      <c r="I11" s="137"/>
      <c r="J11" s="137"/>
      <c r="K11" s="162"/>
      <c r="L11" s="162"/>
      <c r="M11" s="137"/>
      <c r="N11" s="137"/>
      <c r="O11" s="163"/>
      <c r="P11" s="137"/>
    </row>
    <row r="12" spans="1:16" s="14" customFormat="1" x14ac:dyDescent="0.25">
      <c r="A12" s="139" t="s">
        <v>0</v>
      </c>
      <c r="B12" s="139" t="s">
        <v>6</v>
      </c>
      <c r="C12" s="139" t="s">
        <v>1</v>
      </c>
      <c r="D12" s="139" t="s">
        <v>2</v>
      </c>
      <c r="E12" s="250" t="s">
        <v>3</v>
      </c>
      <c r="F12" s="140" t="s">
        <v>5</v>
      </c>
      <c r="G12" s="164" t="s">
        <v>12</v>
      </c>
      <c r="H12" s="140" t="s">
        <v>26</v>
      </c>
      <c r="I12" s="139" t="s">
        <v>66</v>
      </c>
      <c r="J12" s="139"/>
      <c r="K12" s="139" t="s">
        <v>68</v>
      </c>
      <c r="L12" s="139"/>
      <c r="M12" s="139" t="s">
        <v>78</v>
      </c>
      <c r="N12" s="139"/>
      <c r="O12" s="165" t="s">
        <v>75</v>
      </c>
      <c r="P12" s="139"/>
    </row>
    <row r="13" spans="1:16" x14ac:dyDescent="0.25">
      <c r="A13" s="114" t="s">
        <v>238</v>
      </c>
      <c r="B13" s="114" t="s">
        <v>184</v>
      </c>
      <c r="C13" s="114" t="s">
        <v>185</v>
      </c>
      <c r="D13" s="107" t="s">
        <v>181</v>
      </c>
      <c r="E13" s="157"/>
      <c r="F13" s="113"/>
      <c r="G13" s="85"/>
      <c r="H13" s="118">
        <v>1</v>
      </c>
      <c r="I13" s="114"/>
      <c r="K13" s="143"/>
      <c r="L13" s="143"/>
      <c r="M13" s="272">
        <f>INDEX(Indices!O:O,MATCH(IC_5!C13,Indices!M:M,0))*100</f>
        <v>109.00000000000001</v>
      </c>
      <c r="O13" s="5"/>
    </row>
    <row r="14" spans="1:16" x14ac:dyDescent="0.25">
      <c r="A14" s="114" t="s">
        <v>237</v>
      </c>
      <c r="B14" s="114" t="s">
        <v>186</v>
      </c>
      <c r="C14" s="114" t="s">
        <v>187</v>
      </c>
      <c r="D14" s="107" t="s">
        <v>181</v>
      </c>
      <c r="E14" s="157"/>
      <c r="F14" s="113"/>
      <c r="G14" s="85"/>
      <c r="H14" s="118">
        <v>2</v>
      </c>
      <c r="I14" s="114"/>
      <c r="K14" s="143"/>
      <c r="L14" s="143"/>
      <c r="M14" s="272">
        <f>INDEX(Indices!O:O,MATCH(IC_5!C14,Indices!M:M,0))*100</f>
        <v>183</v>
      </c>
      <c r="O14" s="5"/>
    </row>
    <row r="15" spans="1:16" x14ac:dyDescent="0.25">
      <c r="A15" s="114" t="s">
        <v>236</v>
      </c>
      <c r="B15" s="114" t="s">
        <v>188</v>
      </c>
      <c r="C15" s="114" t="s">
        <v>119</v>
      </c>
      <c r="D15" s="107" t="s">
        <v>181</v>
      </c>
      <c r="E15" s="157"/>
      <c r="F15" s="113"/>
      <c r="G15" s="85"/>
      <c r="H15" s="118">
        <v>3</v>
      </c>
      <c r="I15" s="114"/>
      <c r="K15" s="143"/>
      <c r="L15" s="143"/>
      <c r="M15" s="272">
        <f>INDEX(Indices!O:O,MATCH(IC_5!C15,Indices!M:M,0))*100</f>
        <v>320</v>
      </c>
      <c r="N15" s="66"/>
      <c r="O15"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14"/>
  <sheetViews>
    <sheetView workbookViewId="0">
      <selection activeCell="H3" sqref="H3"/>
    </sheetView>
  </sheetViews>
  <sheetFormatPr defaultRowHeight="15" outlineLevelCol="1" x14ac:dyDescent="0.25"/>
  <cols>
    <col min="1" max="1" width="40.7109375" bestFit="1" customWidth="1"/>
    <col min="2" max="2" width="14.28515625" bestFit="1" customWidth="1"/>
    <col min="3" max="3" width="10.5703125" bestFit="1" customWidth="1"/>
    <col min="4" max="4" width="10.7109375" customWidth="1" outlineLevel="1"/>
    <col min="5" max="5" width="7.85546875" customWidth="1" outlineLevel="1"/>
    <col min="6" max="6" width="11.5703125" customWidth="1" outlineLevel="1"/>
    <col min="7" max="7" width="12.5703125" customWidth="1" outlineLevel="1"/>
    <col min="8" max="9" width="10.28515625" customWidth="1" outlineLevel="1"/>
    <col min="10" max="10" width="10.140625" customWidth="1" outlineLevel="1"/>
    <col min="11" max="11" width="8" customWidth="1" outlineLevel="1"/>
    <col min="12" max="12" width="5.140625" customWidth="1" outlineLevel="1"/>
    <col min="13" max="14" width="5.28515625" customWidth="1" outlineLevel="1"/>
    <col min="15" max="15" width="5.42578125" customWidth="1" outlineLevel="1"/>
    <col min="16" max="17" width="16.28515625" bestFit="1" customWidth="1"/>
    <col min="18" max="18" width="10.85546875" bestFit="1" customWidth="1"/>
    <col min="19" max="19" width="8.42578125" bestFit="1" customWidth="1"/>
    <col min="20" max="20" width="8.7109375" bestFit="1" customWidth="1"/>
  </cols>
  <sheetData>
    <row r="1" spans="1:31" x14ac:dyDescent="0.25">
      <c r="A1" s="135"/>
      <c r="B1" s="136" t="s">
        <v>77</v>
      </c>
      <c r="C1" s="235">
        <f>Valuation_Date</f>
        <v>42613</v>
      </c>
      <c r="D1" s="137"/>
      <c r="E1" s="137"/>
      <c r="F1" s="138"/>
      <c r="G1" s="138" t="s">
        <v>146</v>
      </c>
      <c r="H1" s="138"/>
      <c r="I1" s="138"/>
      <c r="J1" s="138"/>
      <c r="K1" s="138"/>
      <c r="L1" s="138"/>
      <c r="M1" s="138"/>
      <c r="N1" s="137"/>
      <c r="O1" s="137"/>
      <c r="P1" s="137"/>
      <c r="Q1" s="137"/>
      <c r="R1" s="137"/>
      <c r="S1" s="137"/>
      <c r="T1" s="137"/>
    </row>
    <row r="2" spans="1:31" x14ac:dyDescent="0.25">
      <c r="A2" s="139" t="s">
        <v>0</v>
      </c>
      <c r="B2" s="139" t="s">
        <v>6</v>
      </c>
      <c r="C2" s="139" t="s">
        <v>1</v>
      </c>
      <c r="D2" s="139" t="s">
        <v>2</v>
      </c>
      <c r="E2" s="139" t="s">
        <v>3</v>
      </c>
      <c r="F2" s="140" t="s">
        <v>5</v>
      </c>
      <c r="G2" s="140" t="s">
        <v>106</v>
      </c>
      <c r="H2" s="140" t="s">
        <v>12</v>
      </c>
      <c r="I2" s="140" t="s">
        <v>7</v>
      </c>
      <c r="J2" s="140" t="s">
        <v>8</v>
      </c>
      <c r="K2" s="140" t="s">
        <v>9</v>
      </c>
      <c r="L2" s="140" t="s">
        <v>28</v>
      </c>
      <c r="M2" s="140" t="s">
        <v>26</v>
      </c>
      <c r="N2" s="139" t="s">
        <v>66</v>
      </c>
      <c r="O2" s="139"/>
      <c r="P2" s="139" t="s">
        <v>68</v>
      </c>
      <c r="Q2" s="139" t="s">
        <v>74</v>
      </c>
      <c r="R2" s="139" t="s">
        <v>73</v>
      </c>
      <c r="S2" s="139" t="s">
        <v>75</v>
      </c>
      <c r="T2" s="139" t="s">
        <v>235</v>
      </c>
    </row>
    <row r="3" spans="1:31" x14ac:dyDescent="0.25">
      <c r="A3" s="99"/>
      <c r="B3" s="99"/>
      <c r="C3" s="114"/>
      <c r="D3" s="173">
        <v>52885</v>
      </c>
      <c r="E3" s="114">
        <v>5.5</v>
      </c>
      <c r="F3" s="113">
        <v>2</v>
      </c>
      <c r="G3" s="113">
        <v>0</v>
      </c>
      <c r="H3" s="22" t="e">
        <f ca="1">DURATION($C$1,D3,E3/100,S3/100,F3,G3)</f>
        <v>#NAME?</v>
      </c>
      <c r="I3" s="113" t="s">
        <v>25</v>
      </c>
      <c r="J3" s="113" t="s">
        <v>38</v>
      </c>
      <c r="K3" s="113" t="s">
        <v>25</v>
      </c>
      <c r="L3" s="113" t="s">
        <v>39</v>
      </c>
      <c r="M3" s="113" t="s">
        <v>80</v>
      </c>
      <c r="N3" s="114" t="s">
        <v>69</v>
      </c>
      <c r="O3" t="str">
        <f>N3&amp;" Govt"</f>
        <v>T 3 11/15/44 Govt</v>
      </c>
      <c r="P3" s="149" t="e">
        <f ca="1">_xll.BDH(O3,$P$2,$C$1)</f>
        <v>#NAME?</v>
      </c>
      <c r="Q3" s="25">
        <f>+S7</f>
        <v>2.0299999999999999E-2</v>
      </c>
      <c r="R3" s="91">
        <f>'[1]Liquidity Spreads'!$G$6*100</f>
        <v>74</v>
      </c>
      <c r="S3" s="5" t="e">
        <f ca="1">(+P3+Q3*100+R3/100)</f>
        <v>#NAME?</v>
      </c>
      <c r="T3" s="24" t="e">
        <f ca="1">+PRICE($C$1,D3,E3/100,S3/100,100,F3,0)</f>
        <v>#NAME?</v>
      </c>
    </row>
    <row r="4" spans="1:31" x14ac:dyDescent="0.25">
      <c r="H4" s="19"/>
      <c r="I4" s="19"/>
      <c r="J4" s="22"/>
      <c r="K4" s="19"/>
      <c r="L4" s="19"/>
      <c r="M4" s="19"/>
      <c r="N4" s="19"/>
      <c r="O4" s="19"/>
      <c r="R4" s="18"/>
    </row>
    <row r="5" spans="1:31" x14ac:dyDescent="0.25">
      <c r="A5" s="137" t="s">
        <v>29</v>
      </c>
      <c r="B5" s="137"/>
      <c r="C5" s="137"/>
      <c r="D5" s="137"/>
      <c r="E5" s="137"/>
      <c r="F5" s="137"/>
      <c r="G5" s="137"/>
      <c r="H5" s="137"/>
      <c r="I5" s="137"/>
      <c r="J5" s="137"/>
      <c r="K5" s="138"/>
      <c r="L5" s="138"/>
      <c r="M5" s="138"/>
      <c r="N5" s="138"/>
      <c r="O5" s="161"/>
      <c r="P5" s="138"/>
      <c r="Q5" s="138"/>
      <c r="R5" s="138"/>
      <c r="S5" s="138"/>
      <c r="T5" s="137"/>
      <c r="U5" s="5"/>
      <c r="Y5" s="5"/>
      <c r="AE5" s="3"/>
    </row>
    <row r="6" spans="1:31" s="14" customFormat="1" x14ac:dyDescent="0.25">
      <c r="A6" s="139" t="s">
        <v>0</v>
      </c>
      <c r="B6" s="139" t="s">
        <v>6</v>
      </c>
      <c r="C6" s="139" t="s">
        <v>108</v>
      </c>
      <c r="D6" s="139" t="s">
        <v>109</v>
      </c>
      <c r="E6" s="139" t="s">
        <v>2</v>
      </c>
      <c r="F6" s="139" t="s">
        <v>3</v>
      </c>
      <c r="G6" s="139" t="s">
        <v>110</v>
      </c>
      <c r="H6" s="139" t="s">
        <v>111</v>
      </c>
      <c r="I6" s="140" t="s">
        <v>112</v>
      </c>
      <c r="J6" s="164" t="s">
        <v>12</v>
      </c>
      <c r="K6" s="140" t="s">
        <v>7</v>
      </c>
      <c r="L6" s="140" t="s">
        <v>8</v>
      </c>
      <c r="M6" s="140" t="s">
        <v>9</v>
      </c>
      <c r="N6" s="140" t="s">
        <v>28</v>
      </c>
      <c r="O6" s="139" t="s">
        <v>26</v>
      </c>
      <c r="P6" s="139"/>
      <c r="Q6" s="139"/>
      <c r="R6" s="139" t="s">
        <v>68</v>
      </c>
      <c r="S6" s="139" t="s">
        <v>78</v>
      </c>
      <c r="T6" s="139"/>
      <c r="U6" s="21"/>
      <c r="Y6" s="21"/>
      <c r="AE6" s="28"/>
    </row>
    <row r="7" spans="1:31" s="34" customFormat="1" x14ac:dyDescent="0.25">
      <c r="A7" s="122" t="s">
        <v>113</v>
      </c>
      <c r="B7" s="122"/>
      <c r="C7" s="155" t="s">
        <v>192</v>
      </c>
      <c r="D7" s="156"/>
      <c r="E7" s="157"/>
      <c r="F7" s="158">
        <v>5.4300000000000001E-2</v>
      </c>
      <c r="G7" s="157"/>
      <c r="H7" s="157"/>
      <c r="I7" s="160"/>
      <c r="J7" s="159">
        <v>6.72</v>
      </c>
      <c r="K7" s="160"/>
      <c r="L7" s="160" t="s">
        <v>14</v>
      </c>
      <c r="M7" s="160"/>
      <c r="N7" s="160"/>
      <c r="O7" s="5"/>
      <c r="Q7"/>
      <c r="R7"/>
      <c r="S7" s="123">
        <f>INDEX(Indices!O:O,MATCH(Bond_1!C7,Indices!M:M,0))/100</f>
        <v>2.0299999999999999E-2</v>
      </c>
      <c r="U7" s="5"/>
      <c r="V7"/>
      <c r="Y7" s="37"/>
      <c r="AE7" s="38"/>
    </row>
    <row r="8" spans="1:31" s="34" customFormat="1" x14ac:dyDescent="0.25">
      <c r="A8" s="31"/>
      <c r="B8" s="31"/>
      <c r="C8" s="32"/>
      <c r="D8" s="33"/>
      <c r="F8" s="35"/>
      <c r="I8" s="10"/>
      <c r="J8" s="10"/>
      <c r="K8" s="36"/>
      <c r="L8" s="10"/>
      <c r="M8" s="10"/>
      <c r="N8" s="10"/>
      <c r="O8" s="10"/>
      <c r="P8" s="5"/>
      <c r="Q8"/>
      <c r="R8"/>
      <c r="S8" s="41"/>
      <c r="U8" s="5"/>
      <c r="V8"/>
      <c r="Y8" s="37"/>
      <c r="AE8" s="38"/>
    </row>
    <row r="9" spans="1:31" x14ac:dyDescent="0.25">
      <c r="A9" s="166" t="s">
        <v>202</v>
      </c>
      <c r="B9" s="167" t="s">
        <v>81</v>
      </c>
      <c r="C9" s="167" t="s">
        <v>13</v>
      </c>
      <c r="D9" s="168" t="s">
        <v>17</v>
      </c>
      <c r="H9" s="19"/>
      <c r="I9" s="19"/>
      <c r="J9" s="19"/>
      <c r="K9" s="19"/>
      <c r="L9" s="19"/>
      <c r="M9" s="19"/>
      <c r="N9" s="19"/>
      <c r="O9" s="19"/>
      <c r="R9" s="2"/>
    </row>
    <row r="10" spans="1:31" x14ac:dyDescent="0.25">
      <c r="A10" s="12" t="s">
        <v>7</v>
      </c>
      <c r="B10" s="6"/>
      <c r="C10" s="7"/>
      <c r="D10" s="8"/>
      <c r="H10" s="19"/>
      <c r="I10" s="19"/>
      <c r="J10" s="19"/>
      <c r="K10" s="19"/>
      <c r="L10" s="19"/>
      <c r="M10" s="19"/>
      <c r="N10" s="19"/>
      <c r="O10" s="19"/>
      <c r="R10" s="2"/>
    </row>
    <row r="11" spans="1:31" x14ac:dyDescent="0.25">
      <c r="A11" s="12" t="s">
        <v>8</v>
      </c>
      <c r="B11" s="9" t="s">
        <v>38</v>
      </c>
      <c r="C11" s="10"/>
      <c r="D11" s="11" t="s">
        <v>23</v>
      </c>
      <c r="H11" s="19"/>
      <c r="I11" s="19"/>
      <c r="J11" s="19"/>
      <c r="K11" s="19"/>
      <c r="L11" s="19"/>
      <c r="M11" s="19"/>
      <c r="N11" s="19"/>
      <c r="O11" s="19"/>
    </row>
    <row r="12" spans="1:31" x14ac:dyDescent="0.25">
      <c r="A12" s="12" t="s">
        <v>9</v>
      </c>
      <c r="B12" s="9"/>
      <c r="C12" s="10"/>
      <c r="D12" s="11"/>
      <c r="H12" s="19"/>
      <c r="I12" s="19"/>
      <c r="J12" s="19"/>
      <c r="K12" s="19"/>
      <c r="L12" s="19"/>
      <c r="M12" s="19"/>
      <c r="N12" s="19"/>
      <c r="O12" s="19"/>
    </row>
    <row r="13" spans="1:31" x14ac:dyDescent="0.25">
      <c r="A13" s="12" t="s">
        <v>10</v>
      </c>
      <c r="B13" s="9" t="s">
        <v>39</v>
      </c>
      <c r="C13" s="10"/>
      <c r="D13" s="11" t="s">
        <v>23</v>
      </c>
      <c r="H13" s="19"/>
      <c r="I13" s="19"/>
      <c r="J13" s="19"/>
      <c r="K13" s="19"/>
      <c r="L13" s="19"/>
      <c r="M13" s="19"/>
      <c r="N13" s="19"/>
      <c r="O13" s="19"/>
    </row>
    <row r="14" spans="1:31" x14ac:dyDescent="0.25">
      <c r="A14" s="13" t="s">
        <v>26</v>
      </c>
      <c r="B14" s="16" t="s">
        <v>80</v>
      </c>
      <c r="C14" s="14"/>
      <c r="D14" s="15"/>
      <c r="H14" s="19"/>
      <c r="I14" s="19"/>
      <c r="J14" s="19"/>
      <c r="K14" s="19"/>
      <c r="L14" s="19"/>
      <c r="M14" s="19"/>
      <c r="N14" s="19"/>
      <c r="O14" s="1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D62"/>
  <sheetViews>
    <sheetView zoomScale="85" zoomScaleNormal="85" workbookViewId="0">
      <pane ySplit="2" topLeftCell="A3" activePane="bottomLeft" state="frozen"/>
      <selection pane="bottomLeft" activeCell="C39" sqref="C39"/>
    </sheetView>
  </sheetViews>
  <sheetFormatPr defaultRowHeight="15" outlineLevelCol="3" x14ac:dyDescent="0.25"/>
  <cols>
    <col min="1" max="1" width="19.28515625" customWidth="1"/>
    <col min="2" max="2" width="15.85546875" customWidth="1"/>
    <col min="3" max="3" width="9.85546875" bestFit="1" customWidth="1"/>
    <col min="4" max="4" width="9.85546875" hidden="1" customWidth="1" outlineLevel="1"/>
    <col min="5" max="5" width="10.85546875" hidden="1" customWidth="1" outlineLevel="1"/>
    <col min="6" max="6" width="12" hidden="1" customWidth="1" outlineLevel="1"/>
    <col min="7" max="7" width="8.85546875" style="83" hidden="1" customWidth="1" outlineLevel="2"/>
    <col min="8" max="8" width="9.140625" style="83" hidden="1" customWidth="1" outlineLevel="2"/>
    <col min="9" max="9" width="8.85546875" style="83" hidden="1" customWidth="1" outlineLevel="2"/>
    <col min="10" max="10" width="9.140625" style="83" hidden="1" customWidth="1" outlineLevel="2"/>
    <col min="11" max="11" width="8.85546875" style="83" hidden="1" customWidth="1" outlineLevel="2"/>
    <col min="12" max="12" width="9.140625" style="83" hidden="1" customWidth="1" outlineLevel="2"/>
    <col min="13" max="13" width="8.85546875" style="83" hidden="1" customWidth="1" outlineLevel="2"/>
    <col min="14" max="14" width="9.140625" style="83" hidden="1" customWidth="1" outlineLevel="2"/>
    <col min="15" max="15" width="8.85546875" style="83" hidden="1" customWidth="1" outlineLevel="2"/>
    <col min="16" max="16" width="9.140625" style="83" hidden="1" customWidth="1" outlineLevel="2"/>
    <col min="17" max="17" width="8.85546875" style="83" hidden="1" customWidth="1" outlineLevel="2"/>
    <col min="18" max="18" width="9.140625" style="83" hidden="1" customWidth="1" outlineLevel="2"/>
    <col min="19" max="19" width="22" style="83" hidden="1" customWidth="1" outlineLevel="2"/>
    <col min="20" max="20" width="7.85546875" hidden="1" customWidth="1" outlineLevel="1" collapsed="1"/>
    <col min="21" max="21" width="10" hidden="1" customWidth="1" outlineLevel="1"/>
    <col min="22" max="22" width="10.28515625" hidden="1" customWidth="1" outlineLevel="1"/>
    <col min="23" max="23" width="6.28515625" hidden="1" customWidth="1" outlineLevel="1"/>
    <col min="24" max="24" width="8.7109375" hidden="1" customWidth="1" outlineLevel="1"/>
    <col min="25" max="25" width="8.85546875" hidden="1" customWidth="1" outlineLevel="1"/>
    <col min="26" max="27" width="5.85546875" hidden="1" customWidth="1" outlineLevel="3"/>
    <col min="28" max="28" width="8.140625" hidden="1" customWidth="1" outlineLevel="3"/>
    <col min="29" max="29" width="4.7109375" hidden="1" customWidth="1" outlineLevel="3"/>
    <col min="30" max="31" width="5.28515625" hidden="1" customWidth="1" outlineLevel="3"/>
    <col min="32" max="32" width="5.42578125" hidden="1" customWidth="1" outlineLevel="1" collapsed="1"/>
    <col min="33" max="33" width="9" style="83" hidden="1" customWidth="1" outlineLevel="1"/>
    <col min="34" max="34" width="19.28515625" style="83" hidden="1" customWidth="1" outlineLevel="1"/>
    <col min="35" max="35" width="8.42578125" style="83" hidden="1" customWidth="1" outlineLevel="1"/>
    <col min="36" max="36" width="17.85546875" style="83" hidden="1" customWidth="1" outlineLevel="1"/>
    <col min="37" max="37" width="22.140625" style="83" hidden="1" customWidth="1" outlineLevel="1"/>
    <col min="38" max="38" width="8.42578125" style="83" hidden="1" customWidth="1" outlineLevel="1"/>
    <col min="39" max="39" width="10.85546875" style="83" customWidth="1" collapsed="1"/>
    <col min="40" max="40" width="10.7109375" bestFit="1" customWidth="1"/>
    <col min="41" max="41" width="20" bestFit="1" customWidth="1"/>
    <col min="42" max="42" width="11.140625" bestFit="1" customWidth="1"/>
    <col min="43" max="43" width="8.42578125" bestFit="1" customWidth="1"/>
    <col min="44" max="44" width="10.28515625" bestFit="1" customWidth="1"/>
    <col min="45" max="45" width="35.85546875" style="63" customWidth="1"/>
    <col min="46" max="46" width="16.140625" bestFit="1" customWidth="1"/>
    <col min="47" max="47" width="8.7109375" bestFit="1" customWidth="1"/>
    <col min="48" max="48" width="8.42578125" bestFit="1" customWidth="1"/>
    <col min="49" max="49" width="8.42578125" customWidth="1"/>
    <col min="50" max="50" width="10.140625" bestFit="1" customWidth="1"/>
    <col min="51" max="51" width="12.140625" bestFit="1" customWidth="1"/>
    <col min="52" max="52" width="10.140625" bestFit="1" customWidth="1"/>
    <col min="54" max="54" width="24.28515625" bestFit="1" customWidth="1"/>
  </cols>
  <sheetData>
    <row r="1" spans="1:56" s="94" customFormat="1" x14ac:dyDescent="0.25">
      <c r="A1" s="96"/>
      <c r="B1" s="97" t="s">
        <v>77</v>
      </c>
      <c r="C1" s="235">
        <f>Valuation_Date</f>
        <v>42613</v>
      </c>
      <c r="D1" s="97" t="s">
        <v>140</v>
      </c>
      <c r="E1" s="97"/>
      <c r="F1" s="96"/>
      <c r="G1" s="181" t="s">
        <v>207</v>
      </c>
      <c r="H1" s="181"/>
      <c r="I1" s="181"/>
      <c r="J1" s="181"/>
      <c r="K1" s="181"/>
      <c r="L1" s="181"/>
      <c r="M1" s="181"/>
      <c r="N1" s="181"/>
      <c r="O1" s="181"/>
      <c r="P1" s="181"/>
      <c r="Q1" s="181"/>
      <c r="R1" s="181"/>
      <c r="S1" s="181"/>
      <c r="T1" s="96" t="s">
        <v>125</v>
      </c>
      <c r="U1" s="96" t="s">
        <v>126</v>
      </c>
      <c r="V1" s="96"/>
      <c r="W1" s="96" t="s">
        <v>103</v>
      </c>
      <c r="X1" s="96"/>
      <c r="Y1" s="96" t="s">
        <v>127</v>
      </c>
      <c r="Z1" s="96"/>
      <c r="AA1" s="96"/>
      <c r="AB1" s="96"/>
      <c r="AC1" s="96"/>
      <c r="AD1" s="96"/>
      <c r="AE1" s="96"/>
      <c r="AF1" s="96"/>
      <c r="AG1" s="96"/>
      <c r="AH1" s="96"/>
      <c r="AI1" s="96"/>
      <c r="AJ1" s="96"/>
      <c r="AK1" s="96"/>
      <c r="AL1" s="96"/>
      <c r="AM1" s="96" t="s">
        <v>68</v>
      </c>
      <c r="AN1" s="97" t="s">
        <v>201</v>
      </c>
      <c r="AO1" s="235">
        <f>LIBOR_Date</f>
        <v>42613</v>
      </c>
      <c r="AP1" s="96" t="s">
        <v>142</v>
      </c>
      <c r="AQ1" s="96" t="s">
        <v>136</v>
      </c>
      <c r="AR1" s="96" t="s">
        <v>143</v>
      </c>
      <c r="AS1" s="96"/>
      <c r="AT1" s="96" t="s">
        <v>216</v>
      </c>
      <c r="AU1" s="236">
        <f>Reuters_Liquidity_Premium</f>
        <v>110</v>
      </c>
      <c r="AV1" s="96" t="s">
        <v>234</v>
      </c>
      <c r="AW1" s="96" t="s">
        <v>128</v>
      </c>
      <c r="AX1" s="96" t="s">
        <v>234</v>
      </c>
      <c r="AY1" s="96" t="s">
        <v>129</v>
      </c>
      <c r="AZ1" s="96"/>
      <c r="BD1" s="95"/>
    </row>
    <row r="2" spans="1:56" s="221" customFormat="1" ht="15" customHeight="1" thickBot="1" x14ac:dyDescent="0.3">
      <c r="A2" s="219" t="s">
        <v>0</v>
      </c>
      <c r="B2" s="219" t="s">
        <v>6</v>
      </c>
      <c r="C2" s="219" t="s">
        <v>225</v>
      </c>
      <c r="D2" s="219" t="s">
        <v>141</v>
      </c>
      <c r="E2" s="219" t="s">
        <v>2</v>
      </c>
      <c r="F2" s="219" t="s">
        <v>105</v>
      </c>
      <c r="G2" s="220">
        <v>1</v>
      </c>
      <c r="H2" s="219" t="s">
        <v>206</v>
      </c>
      <c r="I2" s="220">
        <v>2</v>
      </c>
      <c r="J2" s="219" t="s">
        <v>206</v>
      </c>
      <c r="K2" s="220">
        <v>3</v>
      </c>
      <c r="L2" s="219" t="s">
        <v>206</v>
      </c>
      <c r="M2" s="220">
        <v>4</v>
      </c>
      <c r="N2" s="219" t="s">
        <v>206</v>
      </c>
      <c r="O2" s="220">
        <v>5</v>
      </c>
      <c r="P2" s="219" t="s">
        <v>206</v>
      </c>
      <c r="Q2" s="220">
        <v>6</v>
      </c>
      <c r="R2" s="219" t="s">
        <v>206</v>
      </c>
      <c r="S2" s="219" t="s">
        <v>208</v>
      </c>
      <c r="T2" s="219" t="s">
        <v>3</v>
      </c>
      <c r="U2" s="219" t="s">
        <v>3</v>
      </c>
      <c r="V2" s="219" t="s">
        <v>5</v>
      </c>
      <c r="W2" s="219" t="s">
        <v>106</v>
      </c>
      <c r="X2" s="219" t="s">
        <v>12</v>
      </c>
      <c r="Y2" s="219" t="s">
        <v>12</v>
      </c>
      <c r="Z2" s="219" t="s">
        <v>99</v>
      </c>
      <c r="AA2" s="219" t="s">
        <v>166</v>
      </c>
      <c r="AB2" s="219" t="s">
        <v>7</v>
      </c>
      <c r="AC2" s="219" t="s">
        <v>8</v>
      </c>
      <c r="AD2" s="219" t="s">
        <v>9</v>
      </c>
      <c r="AE2" s="219" t="s">
        <v>28</v>
      </c>
      <c r="AF2" s="219" t="s">
        <v>26</v>
      </c>
      <c r="AG2" s="227" t="s">
        <v>130</v>
      </c>
      <c r="AH2" s="227" t="s">
        <v>131</v>
      </c>
      <c r="AI2" s="227" t="s">
        <v>100</v>
      </c>
      <c r="AJ2" s="227" t="s">
        <v>130</v>
      </c>
      <c r="AK2" s="227" t="s">
        <v>131</v>
      </c>
      <c r="AL2" s="227" t="s">
        <v>100</v>
      </c>
      <c r="AM2" s="227" t="s">
        <v>212</v>
      </c>
      <c r="AN2" s="219" t="s">
        <v>132</v>
      </c>
      <c r="AO2" s="219" t="s">
        <v>133</v>
      </c>
      <c r="AP2" s="219" t="s">
        <v>3</v>
      </c>
      <c r="AQ2" s="219" t="s">
        <v>138</v>
      </c>
      <c r="AR2" s="219" t="s">
        <v>3</v>
      </c>
      <c r="AS2" s="219" t="s">
        <v>193</v>
      </c>
      <c r="AT2" s="219" t="s">
        <v>74</v>
      </c>
      <c r="AU2" s="219" t="s">
        <v>73</v>
      </c>
      <c r="AV2" s="219" t="s">
        <v>75</v>
      </c>
      <c r="AW2" s="219" t="s">
        <v>75</v>
      </c>
      <c r="AX2" s="219" t="s">
        <v>76</v>
      </c>
      <c r="AY2" s="219" t="s">
        <v>134</v>
      </c>
      <c r="AZ2" s="219" t="s">
        <v>235</v>
      </c>
      <c r="BD2" s="222"/>
    </row>
    <row r="3" spans="1:56" s="51" customFormat="1" ht="15.75" thickTop="1" x14ac:dyDescent="0.25">
      <c r="A3" s="98"/>
      <c r="B3" s="98"/>
      <c r="C3" s="99"/>
      <c r="D3" s="100">
        <v>41863</v>
      </c>
      <c r="E3" s="245">
        <v>44428</v>
      </c>
      <c r="F3" s="44">
        <f>+C1+3</f>
        <v>42616</v>
      </c>
      <c r="G3" s="192"/>
      <c r="H3" s="203"/>
      <c r="I3" s="192"/>
      <c r="J3" s="193"/>
      <c r="K3" s="192"/>
      <c r="L3" s="193"/>
      <c r="M3" s="192"/>
      <c r="N3" s="193"/>
      <c r="O3" s="192"/>
      <c r="P3" s="203"/>
      <c r="Q3" s="192"/>
      <c r="R3" s="203"/>
      <c r="S3" s="202">
        <f>IF(G3&gt;$C$1,H3,IF(I3&gt;$C$1,J3,IF(K3&gt;$C$1,L3,IF(M3&gt;$C$1,N3,IF(O3&gt;$C$1,P3,IF(Q3&gt;$C$1,R3,100))))))</f>
        <v>100</v>
      </c>
      <c r="U3" s="110">
        <v>0.04</v>
      </c>
      <c r="V3" s="98">
        <v>4</v>
      </c>
      <c r="W3" s="98">
        <v>2</v>
      </c>
      <c r="X3" s="111" t="e">
        <f ca="1">DURATION($C$1,E3,T3/100,AV3,V3,W3)</f>
        <v>#NAME?</v>
      </c>
      <c r="Y3" s="111" t="e">
        <f ca="1">DURATION($C$1,F3,U3/100,AV3,V3,W3)</f>
        <v>#NAME?</v>
      </c>
      <c r="Z3" s="98" t="s">
        <v>14</v>
      </c>
      <c r="AA3" s="98"/>
      <c r="AB3" s="98"/>
      <c r="AC3" s="98"/>
      <c r="AD3" s="98"/>
      <c r="AE3" s="98"/>
      <c r="AF3" s="98"/>
      <c r="AG3" s="223" t="str">
        <f>"USSW"&amp;ROUNDDOWN(DAYS360($C$1,E3)/360,0)</f>
        <v>USSW4</v>
      </c>
      <c r="AH3" s="51" t="str">
        <f t="shared" ref="AH3:AK12" si="0">+AG3&amp;" index"</f>
        <v>USSW4 index</v>
      </c>
      <c r="AI3" s="211" t="e">
        <f ca="1">IF(_xll.BDH(AH3,$AI$2,$C$1)="#N/A Invalid Security",0,_xll.BDH(AH3,$AI$2,$C$1))</f>
        <v>#NAME?</v>
      </c>
      <c r="AJ3" s="51" t="str">
        <f>"USSW"&amp;ROUNDUP(DAYS360($C$1,E3)/360,0)</f>
        <v>USSW5</v>
      </c>
      <c r="AK3" s="51" t="str">
        <f t="shared" si="0"/>
        <v>USSW5 index</v>
      </c>
      <c r="AL3" s="211" t="e">
        <f ca="1">_xll.BDH(AK3,$AL$2,$C$1)</f>
        <v>#NAME?</v>
      </c>
      <c r="AM3" s="224" t="e">
        <f ca="1">(AL3-AI3)*((DAYS360($C$1,E3)/360)-ROUNDDOWN(DAYS360($C$1,E3)/360,0))+AI3</f>
        <v>#NAME?</v>
      </c>
      <c r="AN3" s="104" t="s">
        <v>162</v>
      </c>
      <c r="AO3" s="42" t="str">
        <f t="shared" ref="AO3:AO17" si="1">+AN3&amp;" Index"</f>
        <v>US0001M Index</v>
      </c>
      <c r="AP3" s="45" t="e">
        <f ca="1">+AM3+U3*100</f>
        <v>#NAME?</v>
      </c>
      <c r="AQ3" s="147" t="e">
        <f ca="1">MAX(_xll.BDH(AO3,$AQ$39,$AO$1),1)</f>
        <v>#NAME?</v>
      </c>
      <c r="AR3" s="45" t="e">
        <f ca="1">+AQ3+U3*100</f>
        <v>#NAME?</v>
      </c>
      <c r="AS3" s="111" t="s">
        <v>164</v>
      </c>
      <c r="AT3" s="46">
        <f>INDEX(AT:AT,MATCH(AS3,A:A,0))</f>
        <v>1.8200000000000001E-2</v>
      </c>
      <c r="AU3" s="75">
        <f t="shared" ref="AU3:AU36" si="2">Liquidity_Cap</f>
        <v>110</v>
      </c>
      <c r="AV3" s="47" t="e">
        <f t="shared" ref="AV3:AV35" ca="1" si="3">(+AM3/100+AT3+AU3/10000)</f>
        <v>#NAME?</v>
      </c>
      <c r="AW3" s="47" t="e">
        <f t="shared" ref="AW3:AW35" ca="1" si="4">(+AQ3/100+AT3+AU3/10000)</f>
        <v>#NAME?</v>
      </c>
      <c r="AX3" s="48" t="e">
        <f ca="1">PRICE($C$1,E3,AP3/100,AV3,100,V3,W3)</f>
        <v>#NAME?</v>
      </c>
      <c r="AY3" s="74" t="e">
        <f ca="1">+PRICE($C$1,F3,AR3/100,AW3,S3,V3,W3)</f>
        <v>#NAME?</v>
      </c>
      <c r="AZ3" s="48" t="e">
        <f ca="1">+MIN(AX3,AY3)</f>
        <v>#NAME?</v>
      </c>
      <c r="BD3" s="52"/>
    </row>
    <row r="4" spans="1:56" s="42" customFormat="1" x14ac:dyDescent="0.25">
      <c r="A4" s="101"/>
      <c r="B4" s="101"/>
      <c r="C4" s="99"/>
      <c r="D4" s="102">
        <v>41914</v>
      </c>
      <c r="E4" s="243">
        <v>44192</v>
      </c>
      <c r="F4" s="44">
        <f>+C1+2</f>
        <v>42615</v>
      </c>
      <c r="G4" s="204">
        <f t="shared" ref="G4:G9" si="5">EDATE($D4,12*$G$2)</f>
        <v>42279</v>
      </c>
      <c r="H4" s="203">
        <v>103</v>
      </c>
      <c r="I4" s="204">
        <f t="shared" ref="I4:I9" si="6">EDATE($D4,12*$I$2)</f>
        <v>42645</v>
      </c>
      <c r="J4" s="203">
        <v>102</v>
      </c>
      <c r="K4" s="204">
        <f>EDATE($D4,12*$K$2)</f>
        <v>43010</v>
      </c>
      <c r="L4" s="203">
        <v>101</v>
      </c>
      <c r="M4" s="204">
        <f>E4</f>
        <v>44192</v>
      </c>
      <c r="N4" s="203">
        <v>100</v>
      </c>
      <c r="O4" s="204"/>
      <c r="P4" s="203"/>
      <c r="Q4" s="204"/>
      <c r="R4" s="203"/>
      <c r="S4" s="202">
        <f t="shared" ref="S4:S36" si="7">IF(G4&gt;$C$1,H4,IF(I4&gt;$C$1,J4,IF(K4&gt;$C$1,L4,IF(M4&gt;$C$1,N4,IF(O4&gt;$C$1,P4,IF(Q4&gt;$C$1,R4,100))))))</f>
        <v>102</v>
      </c>
      <c r="U4" s="110">
        <v>0.09</v>
      </c>
      <c r="V4" s="101">
        <v>4</v>
      </c>
      <c r="W4" s="101">
        <v>2</v>
      </c>
      <c r="X4" s="111" t="e">
        <f ca="1">DURATION($C$1,E4,T4/100,AV4,V4,W4)</f>
        <v>#NAME?</v>
      </c>
      <c r="Y4" s="111" t="e">
        <f ca="1">DURATION($C$1,F4,U4/100,AV4,V4,W4)</f>
        <v>#NAME?</v>
      </c>
      <c r="Z4" s="111"/>
      <c r="AA4" s="111"/>
      <c r="AB4" s="111" t="s">
        <v>163</v>
      </c>
      <c r="AC4" s="111"/>
      <c r="AD4" s="101"/>
      <c r="AE4" s="101"/>
      <c r="AF4" s="101"/>
      <c r="AG4" s="223" t="str">
        <f>"USSW"&amp;ROUNDDOWN(DAYS360($C$1,E4)/360,0)</f>
        <v>USSW4</v>
      </c>
      <c r="AH4" s="51" t="str">
        <f t="shared" si="0"/>
        <v>USSW4 index</v>
      </c>
      <c r="AI4" s="211" t="e">
        <f ca="1">IF(_xll.BDH(AH4,$AI$2,$C$1)="#N/A Invalid Security",0,_xll.BDH(AH4,$AI$2,$C$1))</f>
        <v>#NAME?</v>
      </c>
      <c r="AJ4" s="51" t="str">
        <f>"USSW"&amp;ROUNDUP(DAYS360($C$1,E4)/360,0)</f>
        <v>USSW5</v>
      </c>
      <c r="AK4" s="51" t="str">
        <f t="shared" si="0"/>
        <v>USSW5 index</v>
      </c>
      <c r="AL4" s="211" t="e">
        <f ca="1">_xll.BDH(AK4,$AL$2,$C$1)</f>
        <v>#NAME?</v>
      </c>
      <c r="AM4" s="224" t="e">
        <f ca="1">(AL4-AI4)*((DAYS360($C$1,E4)/360)-ROUNDDOWN(DAYS360($C$1,E4)/360,0))+AI4</f>
        <v>#NAME?</v>
      </c>
      <c r="AN4" s="104" t="s">
        <v>135</v>
      </c>
      <c r="AO4" s="42" t="str">
        <f t="shared" si="1"/>
        <v>US0003M Index</v>
      </c>
      <c r="AP4" s="88" t="e">
        <f ca="1">+AM4+U4*100</f>
        <v>#NAME?</v>
      </c>
      <c r="AQ4" s="147" t="e">
        <f ca="1">MAX(_xll.BDH(AO4,$AQ$39,$AO$1),1)</f>
        <v>#NAME?</v>
      </c>
      <c r="AR4" s="45" t="e">
        <f ca="1">+AQ4+U4*100</f>
        <v>#NAME?</v>
      </c>
      <c r="AS4" s="111" t="s">
        <v>174</v>
      </c>
      <c r="AT4" s="89">
        <f>INDEX(AT:AT,MATCH(AS4,A:A,0))</f>
        <v>5.5100000000000003E-2</v>
      </c>
      <c r="AU4" s="75">
        <f t="shared" si="2"/>
        <v>110</v>
      </c>
      <c r="AV4" s="73" t="e">
        <f t="shared" ca="1" si="3"/>
        <v>#NAME?</v>
      </c>
      <c r="AW4" s="73" t="e">
        <f t="shared" ca="1" si="4"/>
        <v>#NAME?</v>
      </c>
      <c r="AX4" s="48" t="e">
        <f ca="1">+MIN(103,PRICE($C$1,E4,AP4/100,AV4,100,V4,W4))</f>
        <v>#NAME?</v>
      </c>
      <c r="AY4" s="74" t="e">
        <f ca="1">+PRICE($C$1,F4,AR4/100,AW4,S4,V4,W4)</f>
        <v>#NAME?</v>
      </c>
      <c r="AZ4" s="48" t="e">
        <f t="shared" ref="AZ4:AZ11" ca="1" si="8">+MIN(AX4,AY4)</f>
        <v>#NAME?</v>
      </c>
      <c r="BD4" s="43"/>
    </row>
    <row r="5" spans="1:56" x14ac:dyDescent="0.25">
      <c r="A5" s="101"/>
      <c r="B5" s="101"/>
      <c r="C5" s="99"/>
      <c r="D5" s="102">
        <v>42067</v>
      </c>
      <c r="E5" s="243">
        <v>44255</v>
      </c>
      <c r="F5" s="44">
        <f>+C1+2</f>
        <v>42615</v>
      </c>
      <c r="G5" s="204">
        <f t="shared" si="5"/>
        <v>42433</v>
      </c>
      <c r="H5" s="203">
        <v>103</v>
      </c>
      <c r="I5" s="204">
        <f t="shared" si="6"/>
        <v>42798</v>
      </c>
      <c r="J5" s="203">
        <v>102</v>
      </c>
      <c r="K5" s="204">
        <f>EDATE($D5,12*$K$2)</f>
        <v>43163</v>
      </c>
      <c r="L5" s="203">
        <v>101</v>
      </c>
      <c r="M5" s="204">
        <f>E5</f>
        <v>44255</v>
      </c>
      <c r="N5" s="203">
        <v>100</v>
      </c>
      <c r="O5" s="204"/>
      <c r="P5" s="203"/>
      <c r="Q5" s="204"/>
      <c r="R5" s="203"/>
      <c r="S5" s="202">
        <f t="shared" si="7"/>
        <v>102</v>
      </c>
      <c r="T5" s="42"/>
      <c r="U5" s="110">
        <v>9.5000000000000001E-2</v>
      </c>
      <c r="V5" s="101">
        <v>4</v>
      </c>
      <c r="W5" s="101">
        <v>2</v>
      </c>
      <c r="X5" s="111" t="e">
        <f ca="1">DURATION($C$1,E5,T5/100,AV5,V5,W5)</f>
        <v>#NAME?</v>
      </c>
      <c r="Y5" s="111" t="e">
        <f ca="1">DURATION($C$1,F5,U5/100,AV5,V5,W5)</f>
        <v>#NAME?</v>
      </c>
      <c r="Z5" s="111"/>
      <c r="AA5" s="111"/>
      <c r="AB5" s="111"/>
      <c r="AC5" s="111"/>
      <c r="AD5" s="101"/>
      <c r="AE5" s="101"/>
      <c r="AF5" s="101"/>
      <c r="AG5" s="223" t="str">
        <f>"USSW"&amp;ROUNDDOWN(DAYS360($C$1,E5)/360,0)</f>
        <v>USSW4</v>
      </c>
      <c r="AH5" s="51" t="str">
        <f t="shared" si="0"/>
        <v>USSW4 index</v>
      </c>
      <c r="AI5" s="211" t="e">
        <f ca="1">IF(_xll.BDH(AH5,$AI$2,$C$1)="#N/A Invalid Security",0,_xll.BDH(AH5,$AI$2,$C$1))</f>
        <v>#NAME?</v>
      </c>
      <c r="AJ5" s="51" t="str">
        <f>"USSW"&amp;ROUNDUP(DAYS360($C$1,E5)/360,0)</f>
        <v>USSW5</v>
      </c>
      <c r="AK5" s="51" t="str">
        <f t="shared" si="0"/>
        <v>USSW5 index</v>
      </c>
      <c r="AL5" s="211" t="e">
        <f ca="1">_xll.BDH(AK5,$AL$2,$C$1)</f>
        <v>#NAME?</v>
      </c>
      <c r="AM5" s="224" t="e">
        <f ca="1">(AL5-AI5)*((DAYS360($C$1,E5)/360)-ROUNDDOWN(DAYS360($C$1,E5)/360,0))+AI5</f>
        <v>#NAME?</v>
      </c>
      <c r="AN5" s="104" t="s">
        <v>135</v>
      </c>
      <c r="AO5" s="42" t="str">
        <f t="shared" si="1"/>
        <v>US0003M Index</v>
      </c>
      <c r="AP5" s="88" t="e">
        <f ca="1">+AM5+U5*100</f>
        <v>#NAME?</v>
      </c>
      <c r="AQ5" s="111">
        <v>3.25</v>
      </c>
      <c r="AR5" s="45">
        <f>+AQ5+U5*100</f>
        <v>12.75</v>
      </c>
      <c r="AS5" s="111" t="s">
        <v>243</v>
      </c>
      <c r="AT5" s="89">
        <f>INDEX(AT:AT,MATCH(AS5,A:A,0))</f>
        <v>4.5219156859633694E-2</v>
      </c>
      <c r="AU5" s="75">
        <f t="shared" si="2"/>
        <v>110</v>
      </c>
      <c r="AV5" s="73" t="e">
        <f t="shared" ca="1" si="3"/>
        <v>#NAME?</v>
      </c>
      <c r="AW5" s="73">
        <f t="shared" si="4"/>
        <v>8.8719156859633691E-2</v>
      </c>
      <c r="AX5" s="48" t="e">
        <f ca="1">+MIN(103,PRICE($C$1,E5,AP5/100,AV5,100,V5,W5))</f>
        <v>#NAME?</v>
      </c>
      <c r="AY5" s="74">
        <f>+PRICE($C$1,F5,AR5/100,AW5,S5,V5,W5)</f>
        <v>102</v>
      </c>
      <c r="AZ5" s="48" t="e">
        <f t="shared" ca="1" si="8"/>
        <v>#NAME?</v>
      </c>
    </row>
    <row r="6" spans="1:56" s="83" customFormat="1" x14ac:dyDescent="0.25">
      <c r="A6" s="101"/>
      <c r="B6" s="101"/>
      <c r="C6" s="99"/>
      <c r="D6" s="102">
        <v>42522</v>
      </c>
      <c r="E6" s="243">
        <v>44255</v>
      </c>
      <c r="F6" s="69">
        <f>Valuation_Date+2</f>
        <v>42615</v>
      </c>
      <c r="G6" s="204">
        <f t="shared" si="5"/>
        <v>42887</v>
      </c>
      <c r="H6" s="203">
        <v>103</v>
      </c>
      <c r="I6" s="204">
        <f t="shared" si="6"/>
        <v>43252</v>
      </c>
      <c r="J6" s="203">
        <v>102</v>
      </c>
      <c r="K6" s="204">
        <f>EDATE($D6,12*$K$2)</f>
        <v>43617</v>
      </c>
      <c r="L6" s="203">
        <v>101</v>
      </c>
      <c r="M6" s="204">
        <f>E6</f>
        <v>44255</v>
      </c>
      <c r="N6" s="203">
        <v>100</v>
      </c>
      <c r="O6" s="204"/>
      <c r="P6" s="203"/>
      <c r="Q6" s="204"/>
      <c r="R6" s="203"/>
      <c r="S6" s="202">
        <f t="shared" si="7"/>
        <v>103</v>
      </c>
      <c r="T6" s="87"/>
      <c r="U6" s="121">
        <v>8.5000000000000006E-2</v>
      </c>
      <c r="V6" s="101">
        <v>4</v>
      </c>
      <c r="W6" s="101">
        <v>2</v>
      </c>
      <c r="X6" s="111" t="e">
        <f ca="1">DURATION($C$1,E6,T6/100,AV6,V6,W6)</f>
        <v>#NAME?</v>
      </c>
      <c r="Y6" s="111" t="e">
        <f ca="1">DURATION($C$1,F6,U6/100,AV6,V6,W6)</f>
        <v>#NAME?</v>
      </c>
      <c r="Z6" s="116"/>
      <c r="AA6" s="116"/>
      <c r="AB6" s="116"/>
      <c r="AC6" s="116"/>
      <c r="AD6" s="104"/>
      <c r="AE6" s="104"/>
      <c r="AF6" s="104"/>
      <c r="AG6" s="223" t="str">
        <f>"USSW"&amp;ROUNDDOWN(DAYS360($C$1,E6)/360,0)</f>
        <v>USSW4</v>
      </c>
      <c r="AH6" s="51" t="str">
        <f t="shared" si="0"/>
        <v>USSW4 index</v>
      </c>
      <c r="AI6" s="211" t="e">
        <f ca="1">IF(_xll.BDH(AH6,$AI$2,$C$1)="#N/A Invalid Security",0,_xll.BDH(AH6,$AI$2,$C$1))</f>
        <v>#NAME?</v>
      </c>
      <c r="AJ6" s="51" t="str">
        <f>"USSW"&amp;ROUNDUP(DAYS360($C$1,E6)/360,0)</f>
        <v>USSW5</v>
      </c>
      <c r="AK6" s="51" t="str">
        <f t="shared" si="0"/>
        <v>USSW5 index</v>
      </c>
      <c r="AL6" s="211" t="e">
        <f ca="1">_xll.BDH(AK6,$AL$2,$C$1)</f>
        <v>#NAME?</v>
      </c>
      <c r="AM6" s="224" t="e">
        <f ca="1">(AL6-AI6)*((DAYS360($C$1,E6)/360)-ROUNDDOWN(DAYS360($C$1,E6)/360,0))+AI6</f>
        <v>#NAME?</v>
      </c>
      <c r="AN6" s="104" t="s">
        <v>135</v>
      </c>
      <c r="AO6" s="87" t="str">
        <f t="shared" si="1"/>
        <v>US0003M Index</v>
      </c>
      <c r="AP6" s="88" t="e">
        <f ca="1">+AM6+U6*100</f>
        <v>#NAME?</v>
      </c>
      <c r="AQ6" s="111">
        <v>3.25</v>
      </c>
      <c r="AR6" s="88">
        <f>+AQ6+U6*100</f>
        <v>11.75</v>
      </c>
      <c r="AS6" s="111" t="s">
        <v>243</v>
      </c>
      <c r="AT6" s="89">
        <f>INDEX(AT:AT,MATCH(AS6,A:A,0))</f>
        <v>4.5219156859633694E-2</v>
      </c>
      <c r="AU6" s="75">
        <f t="shared" si="2"/>
        <v>110</v>
      </c>
      <c r="AV6" s="73" t="e">
        <f t="shared" ca="1" si="3"/>
        <v>#NAME?</v>
      </c>
      <c r="AW6" s="73">
        <f t="shared" si="4"/>
        <v>8.8719156859633691E-2</v>
      </c>
      <c r="AX6" s="74" t="e">
        <f ca="1">+MIN(103,PRICE($C$1,E6,AP6/100,AV6,100,V6,W6))</f>
        <v>#NAME?</v>
      </c>
      <c r="AY6" s="74">
        <f>+PRICE($C$1,F6,AR6/100,AW6,S6,V6,W6)</f>
        <v>103</v>
      </c>
      <c r="AZ6" s="74" t="e">
        <f t="shared" ca="1" si="8"/>
        <v>#NAME?</v>
      </c>
    </row>
    <row r="7" spans="1:56" x14ac:dyDescent="0.25">
      <c r="A7" s="101"/>
      <c r="B7" s="101"/>
      <c r="C7" s="99"/>
      <c r="D7" s="102">
        <v>42062</v>
      </c>
      <c r="E7" s="243">
        <v>44297</v>
      </c>
      <c r="F7" s="44">
        <f>+C1+2</f>
        <v>42615</v>
      </c>
      <c r="G7" s="204">
        <f t="shared" si="5"/>
        <v>42427</v>
      </c>
      <c r="H7" s="203">
        <v>103</v>
      </c>
      <c r="I7" s="204">
        <f t="shared" si="6"/>
        <v>42793</v>
      </c>
      <c r="J7" s="203">
        <v>102</v>
      </c>
      <c r="K7" s="204">
        <f>EDATE($D7,12*$K$2)</f>
        <v>43158</v>
      </c>
      <c r="L7" s="203">
        <v>101</v>
      </c>
      <c r="M7" s="204">
        <f>E7</f>
        <v>44297</v>
      </c>
      <c r="N7" s="203">
        <v>100</v>
      </c>
      <c r="O7" s="204"/>
      <c r="P7" s="203"/>
      <c r="Q7" s="204"/>
      <c r="R7" s="203"/>
      <c r="S7" s="202">
        <f t="shared" si="7"/>
        <v>102</v>
      </c>
      <c r="T7" s="42"/>
      <c r="U7" s="110">
        <v>8.7499999999999994E-2</v>
      </c>
      <c r="V7" s="101">
        <v>4</v>
      </c>
      <c r="W7" s="101">
        <v>2</v>
      </c>
      <c r="X7" s="111" t="e">
        <f ca="1">DURATION($C$1,E7,T7/100,AV7,V7,W7)</f>
        <v>#NAME?</v>
      </c>
      <c r="Y7" s="111" t="e">
        <f ca="1">DURATION($C$1,F7,U7/100,AV7,V7,W7)</f>
        <v>#NAME?</v>
      </c>
      <c r="Z7" s="111"/>
      <c r="AA7" s="111"/>
      <c r="AB7" s="112"/>
      <c r="AC7" s="113"/>
      <c r="AD7" s="113"/>
      <c r="AE7" s="114"/>
      <c r="AF7" s="113"/>
      <c r="AG7" s="223" t="str">
        <f>"USSW"&amp;ROUNDDOWN(DAYS360($C$1,E7)/360,0)</f>
        <v>USSW4</v>
      </c>
      <c r="AH7" s="51" t="str">
        <f t="shared" si="0"/>
        <v>USSW4 index</v>
      </c>
      <c r="AI7" s="211" t="e">
        <f ca="1">IF(_xll.BDH(AH7,$AI$2,$C$1)="#N/A Invalid Security",0,_xll.BDH(AH7,$AI$2,$C$1))</f>
        <v>#NAME?</v>
      </c>
      <c r="AJ7" s="51" t="str">
        <f>"USSW"&amp;ROUNDUP(DAYS360($C$1,E7)/360,0)</f>
        <v>USSW5</v>
      </c>
      <c r="AK7" s="51" t="str">
        <f t="shared" si="0"/>
        <v>USSW5 index</v>
      </c>
      <c r="AL7" s="211" t="e">
        <f ca="1">_xll.BDH(AK7,$AL$2,$C$1)</f>
        <v>#NAME?</v>
      </c>
      <c r="AM7" s="224" t="e">
        <f ca="1">(AL7-AI7)*((DAYS360($C$1,E7)/360)-ROUNDDOWN(DAYS360($C$1,E7)/360,0))+AI7</f>
        <v>#NAME?</v>
      </c>
      <c r="AN7" s="104" t="s">
        <v>135</v>
      </c>
      <c r="AO7" s="42" t="str">
        <f t="shared" si="1"/>
        <v>US0003M Index</v>
      </c>
      <c r="AP7" s="88" t="e">
        <f ca="1">+AM7+U7*100</f>
        <v>#NAME?</v>
      </c>
      <c r="AQ7" s="147" t="e">
        <f ca="1">MAX(_xll.BDH(AO7,$AQ$39,$AO$1),1)</f>
        <v>#NAME?</v>
      </c>
      <c r="AR7" s="45" t="e">
        <f ca="1">+AQ7+U7*100</f>
        <v>#NAME?</v>
      </c>
      <c r="AS7" s="111" t="s">
        <v>174</v>
      </c>
      <c r="AT7" s="89">
        <f>INDEX(AT:AT,MATCH(AS7,A:A,0))</f>
        <v>5.5100000000000003E-2</v>
      </c>
      <c r="AU7" s="75">
        <f t="shared" si="2"/>
        <v>110</v>
      </c>
      <c r="AV7" s="73" t="e">
        <f t="shared" ca="1" si="3"/>
        <v>#NAME?</v>
      </c>
      <c r="AW7" s="73" t="e">
        <f t="shared" ca="1" si="4"/>
        <v>#NAME?</v>
      </c>
      <c r="AX7" s="48" t="e">
        <f ca="1">+MIN(103,PRICE($C$1,E7,AP7/100,AV7,100,V7,W7))</f>
        <v>#NAME?</v>
      </c>
      <c r="AY7" s="74" t="e">
        <f ca="1">+PRICE($C$1,F7,AR7/100,AW7,S7,V7,W7)</f>
        <v>#NAME?</v>
      </c>
      <c r="AZ7" s="48" t="e">
        <f t="shared" ca="1" si="8"/>
        <v>#NAME?</v>
      </c>
    </row>
    <row r="8" spans="1:56" x14ac:dyDescent="0.25">
      <c r="A8" s="101"/>
      <c r="B8" s="101"/>
      <c r="C8" s="99"/>
      <c r="D8" s="102">
        <v>42353</v>
      </c>
      <c r="E8" s="243">
        <v>44180</v>
      </c>
      <c r="F8" s="44">
        <f>+C1+2</f>
        <v>42615</v>
      </c>
      <c r="G8" s="204">
        <f t="shared" si="5"/>
        <v>42719</v>
      </c>
      <c r="H8" s="203">
        <v>102</v>
      </c>
      <c r="I8" s="204">
        <f t="shared" si="6"/>
        <v>43084</v>
      </c>
      <c r="J8" s="203">
        <v>101</v>
      </c>
      <c r="K8" s="204">
        <f>E8</f>
        <v>44180</v>
      </c>
      <c r="L8" s="203">
        <v>100</v>
      </c>
      <c r="M8" s="204"/>
      <c r="N8" s="203"/>
      <c r="O8" s="204"/>
      <c r="P8" s="203"/>
      <c r="Q8" s="204"/>
      <c r="R8" s="203"/>
      <c r="S8" s="202">
        <f t="shared" si="7"/>
        <v>102</v>
      </c>
      <c r="T8" s="42"/>
      <c r="U8" s="110">
        <v>5.5E-2</v>
      </c>
      <c r="V8" s="101">
        <v>4</v>
      </c>
      <c r="W8" s="101">
        <v>2</v>
      </c>
      <c r="X8" s="111" t="e">
        <f ca="1">DURATION($C$1,E8,T8/100,AV8,V8,W8)</f>
        <v>#NAME?</v>
      </c>
      <c r="Y8" s="111" t="e">
        <f ca="1">DURATION($C$1,F8,U8/100,AV8,V8,W8)</f>
        <v>#NAME?</v>
      </c>
      <c r="Z8" s="111"/>
      <c r="AA8" s="111" t="s">
        <v>120</v>
      </c>
      <c r="AB8" s="112"/>
      <c r="AC8" s="113"/>
      <c r="AD8" s="113"/>
      <c r="AE8" s="114"/>
      <c r="AF8" s="113"/>
      <c r="AG8" s="223" t="str">
        <f>"USSW"&amp;ROUNDDOWN(DAYS360($C$1,E8)/360,0)</f>
        <v>USSW4</v>
      </c>
      <c r="AH8" s="51" t="str">
        <f t="shared" si="0"/>
        <v>USSW4 index</v>
      </c>
      <c r="AI8" s="211" t="e">
        <f ca="1">IF(_xll.BDH(AH8,$AI$2,$C$1)="#N/A Invalid Security",0,_xll.BDH(AH8,$AI$2,$C$1))</f>
        <v>#NAME?</v>
      </c>
      <c r="AJ8" s="51" t="str">
        <f>"USSW"&amp;ROUNDUP(DAYS360($C$1,E8)/360,0)</f>
        <v>USSW5</v>
      </c>
      <c r="AK8" s="51" t="str">
        <f t="shared" si="0"/>
        <v>USSW5 index</v>
      </c>
      <c r="AL8" s="211" t="e">
        <f ca="1">_xll.BDH(AK8,$AL$2,$C$1)</f>
        <v>#NAME?</v>
      </c>
      <c r="AM8" s="224" t="e">
        <f ca="1">(AL8-AI8)*((DAYS360($C$1,E8)/360)-ROUNDDOWN(DAYS360($C$1,E8)/360,0))+AI8</f>
        <v>#NAME?</v>
      </c>
      <c r="AN8" s="104" t="s">
        <v>135</v>
      </c>
      <c r="AO8" s="42" t="str">
        <f t="shared" si="1"/>
        <v>US0003M Index</v>
      </c>
      <c r="AP8" s="88" t="e">
        <f ca="1">+AM8+U8*100</f>
        <v>#NAME?</v>
      </c>
      <c r="AQ8" s="147" t="e">
        <f ca="1">MAX(_xll.BDH(AO8,$AQ$39,$AO$1),1)</f>
        <v>#NAME?</v>
      </c>
      <c r="AR8" s="45" t="e">
        <f ca="1">+AQ8+U8*100</f>
        <v>#NAME?</v>
      </c>
      <c r="AS8" s="111" t="s">
        <v>175</v>
      </c>
      <c r="AT8" s="89">
        <f>INDEX(AT:AT,MATCH(AS8,A:A,0))</f>
        <v>3.4599999999999999E-2</v>
      </c>
      <c r="AU8" s="75">
        <f t="shared" si="2"/>
        <v>110</v>
      </c>
      <c r="AV8" s="73" t="e">
        <f t="shared" ca="1" si="3"/>
        <v>#NAME?</v>
      </c>
      <c r="AW8" s="73" t="e">
        <f t="shared" ca="1" si="4"/>
        <v>#NAME?</v>
      </c>
      <c r="AX8" s="48" t="e">
        <f ca="1">+MIN(103,PRICE($C$1,E8,AP8/100,AV8,100,V8,W8))</f>
        <v>#NAME?</v>
      </c>
      <c r="AY8" s="74" t="e">
        <f ca="1">+PRICE($C$1,F8,AR8/100,AW8,S8,V8,W8)</f>
        <v>#NAME?</v>
      </c>
      <c r="AZ8" s="48" t="e">
        <f t="shared" ca="1" si="8"/>
        <v>#NAME?</v>
      </c>
    </row>
    <row r="9" spans="1:56" x14ac:dyDescent="0.25">
      <c r="A9" s="101"/>
      <c r="B9" s="101"/>
      <c r="C9" s="99"/>
      <c r="D9" s="102">
        <v>41995</v>
      </c>
      <c r="E9" s="243">
        <v>43821</v>
      </c>
      <c r="F9" s="44">
        <f>+C1+2</f>
        <v>42615</v>
      </c>
      <c r="G9" s="204">
        <f t="shared" si="5"/>
        <v>42360</v>
      </c>
      <c r="H9" s="203">
        <v>103</v>
      </c>
      <c r="I9" s="204">
        <f t="shared" si="6"/>
        <v>42726</v>
      </c>
      <c r="J9" s="203">
        <v>102</v>
      </c>
      <c r="K9" s="204">
        <f>EDATE($D9,12*$K$2)</f>
        <v>43091</v>
      </c>
      <c r="L9" s="203">
        <v>101</v>
      </c>
      <c r="M9" s="204">
        <f>E9</f>
        <v>43821</v>
      </c>
      <c r="N9" s="203">
        <v>100</v>
      </c>
      <c r="O9" s="204"/>
      <c r="P9" s="203"/>
      <c r="Q9" s="204"/>
      <c r="R9" s="203"/>
      <c r="S9" s="202">
        <f t="shared" si="7"/>
        <v>102</v>
      </c>
      <c r="T9" s="42"/>
      <c r="U9" s="110">
        <v>7.0000000000000007E-2</v>
      </c>
      <c r="V9" s="101">
        <v>4</v>
      </c>
      <c r="W9" s="101">
        <v>2</v>
      </c>
      <c r="X9" s="111" t="e">
        <f ca="1">DURATION($C$1,E9,T9/100,AV9,V9,W9)</f>
        <v>#NAME?</v>
      </c>
      <c r="Y9" s="111" t="e">
        <f ca="1">DURATION($C$1,F9,U9/100,AV9,V9,W9)</f>
        <v>#NAME?</v>
      </c>
      <c r="Z9" s="111"/>
      <c r="AA9" s="111"/>
      <c r="AB9" s="112"/>
      <c r="AC9" s="113"/>
      <c r="AD9" s="113" t="s">
        <v>120</v>
      </c>
      <c r="AE9" s="114"/>
      <c r="AF9" s="113"/>
      <c r="AG9" s="223" t="str">
        <f>"USSW"&amp;ROUNDDOWN(DAYS360($C$1,E9)/360,0)</f>
        <v>USSW3</v>
      </c>
      <c r="AH9" s="51" t="str">
        <f t="shared" si="0"/>
        <v>USSW3 index</v>
      </c>
      <c r="AI9" s="211" t="e">
        <f ca="1">IF(_xll.BDH(AH9,$AI$2,$C$1)="#N/A Invalid Security",0,_xll.BDH(AH9,$AI$2,$C$1))</f>
        <v>#NAME?</v>
      </c>
      <c r="AJ9" s="51" t="str">
        <f>"USSW"&amp;ROUNDUP(DAYS360($C$1,E9)/360,0)</f>
        <v>USSW4</v>
      </c>
      <c r="AK9" s="51" t="str">
        <f t="shared" si="0"/>
        <v>USSW4 index</v>
      </c>
      <c r="AL9" s="211" t="e">
        <f ca="1">_xll.BDH(AK9,$AL$2,$C$1)</f>
        <v>#NAME?</v>
      </c>
      <c r="AM9" s="224" t="e">
        <f ca="1">(AL9-AI9)*((DAYS360($C$1,E9)/360)-ROUNDDOWN(DAYS360($C$1,E9)/360,0))+AI9</f>
        <v>#NAME?</v>
      </c>
      <c r="AN9" s="104" t="s">
        <v>135</v>
      </c>
      <c r="AO9" s="42" t="str">
        <f t="shared" si="1"/>
        <v>US0003M Index</v>
      </c>
      <c r="AP9" s="88" t="e">
        <f ca="1">+AM9+U9*100</f>
        <v>#NAME?</v>
      </c>
      <c r="AQ9" s="147" t="e">
        <f ca="1">MAX(_xll.BDH(AO9,$AQ$39,$AO$1),1)</f>
        <v>#NAME?</v>
      </c>
      <c r="AR9" s="45" t="e">
        <f ca="1">+AQ9+U9*100</f>
        <v>#NAME?</v>
      </c>
      <c r="AS9" s="111" t="s">
        <v>175</v>
      </c>
      <c r="AT9" s="89">
        <f>INDEX(AT:AT,MATCH(AS9,A:A,0))</f>
        <v>3.4599999999999999E-2</v>
      </c>
      <c r="AU9" s="75">
        <f t="shared" si="2"/>
        <v>110</v>
      </c>
      <c r="AV9" s="73" t="e">
        <f t="shared" ca="1" si="3"/>
        <v>#NAME?</v>
      </c>
      <c r="AW9" s="73" t="e">
        <f t="shared" ca="1" si="4"/>
        <v>#NAME?</v>
      </c>
      <c r="AX9" s="48" t="e">
        <f ca="1">+MIN(103,PRICE($C$1,E9,AP9/100,AV9,100,V9,W9))</f>
        <v>#NAME?</v>
      </c>
      <c r="AY9" s="74" t="e">
        <f ca="1">+PRICE($C$1,F9,AR9/100,AW9,S9,V9,W9)</f>
        <v>#NAME?</v>
      </c>
      <c r="AZ9" s="48" t="e">
        <f t="shared" ca="1" si="8"/>
        <v>#NAME?</v>
      </c>
    </row>
    <row r="10" spans="1:56" x14ac:dyDescent="0.25">
      <c r="A10" s="101"/>
      <c r="B10" s="101"/>
      <c r="C10" s="99"/>
      <c r="D10" s="102">
        <v>41967</v>
      </c>
      <c r="E10" s="243">
        <v>43801</v>
      </c>
      <c r="F10" s="267">
        <f>C1+2</f>
        <v>42615</v>
      </c>
      <c r="G10" s="204"/>
      <c r="H10" s="203"/>
      <c r="I10" s="204"/>
      <c r="J10" s="203"/>
      <c r="K10" s="204"/>
      <c r="L10" s="203"/>
      <c r="M10" s="204"/>
      <c r="N10" s="203"/>
      <c r="O10" s="204"/>
      <c r="P10" s="203"/>
      <c r="Q10" s="204"/>
      <c r="R10" s="203"/>
      <c r="S10" s="202">
        <f t="shared" si="7"/>
        <v>100</v>
      </c>
      <c r="T10" s="42"/>
      <c r="U10" s="110">
        <v>6.7500000000000004E-2</v>
      </c>
      <c r="V10" s="101">
        <v>4</v>
      </c>
      <c r="W10" s="101">
        <v>2</v>
      </c>
      <c r="X10" s="111" t="e">
        <f ca="1">DURATION($C$1,E10,T10/100,AV10,V10,W10)</f>
        <v>#NAME?</v>
      </c>
      <c r="Y10" s="111" t="e">
        <f ca="1">DURATION($C$1,F10,U10/100,AV10,V10,W10)</f>
        <v>#NAME?</v>
      </c>
      <c r="Z10" s="111"/>
      <c r="AA10" s="111"/>
      <c r="AB10" s="112" t="s">
        <v>144</v>
      </c>
      <c r="AC10" s="113"/>
      <c r="AD10" s="113"/>
      <c r="AE10" s="114"/>
      <c r="AF10" s="113"/>
      <c r="AG10" s="223" t="str">
        <f>"USSW"&amp;ROUNDDOWN(DAYS360($C$1,E10)/360,0)</f>
        <v>USSW3</v>
      </c>
      <c r="AH10" s="51" t="str">
        <f t="shared" si="0"/>
        <v>USSW3 index</v>
      </c>
      <c r="AI10" s="211" t="e">
        <f ca="1">IF(_xll.BDH(AH10,$AI$2,$C$1)="#N/A Invalid Security",0,_xll.BDH(AH10,$AI$2,$C$1))</f>
        <v>#NAME?</v>
      </c>
      <c r="AJ10" s="51" t="str">
        <f>"USSW"&amp;ROUNDUP(DAYS360($C$1,E10)/360,0)</f>
        <v>USSW4</v>
      </c>
      <c r="AK10" s="51" t="str">
        <f t="shared" si="0"/>
        <v>USSW4 index</v>
      </c>
      <c r="AL10" s="211" t="e">
        <f ca="1">_xll.BDH(AK10,$AL$2,$C$1)</f>
        <v>#NAME?</v>
      </c>
      <c r="AM10" s="224" t="e">
        <f ca="1">(AL10-AI10)*((DAYS360($C$1,E10)/360)-ROUNDDOWN(DAYS360($C$1,E10)/360,0))+AI10</f>
        <v>#NAME?</v>
      </c>
      <c r="AN10" s="104" t="s">
        <v>135</v>
      </c>
      <c r="AO10" s="42" t="str">
        <f t="shared" si="1"/>
        <v>US0003M Index</v>
      </c>
      <c r="AP10" s="88" t="e">
        <f ca="1">+AM10+U10*100</f>
        <v>#NAME?</v>
      </c>
      <c r="AQ10" s="147" t="e">
        <f ca="1">MAX(_xll.BDH(AO10,$AQ$39,$AO$1),1)</f>
        <v>#NAME?</v>
      </c>
      <c r="AR10" s="45" t="e">
        <f ca="1">+AQ10+U10*100</f>
        <v>#NAME?</v>
      </c>
      <c r="AS10" s="111" t="s">
        <v>174</v>
      </c>
      <c r="AT10" s="89">
        <f>INDEX(AT:AT,MATCH(AS10,A:A,0))</f>
        <v>5.5100000000000003E-2</v>
      </c>
      <c r="AU10" s="75">
        <f t="shared" si="2"/>
        <v>110</v>
      </c>
      <c r="AV10" s="73" t="e">
        <f t="shared" ca="1" si="3"/>
        <v>#NAME?</v>
      </c>
      <c r="AW10" s="73" t="e">
        <f t="shared" ca="1" si="4"/>
        <v>#NAME?</v>
      </c>
      <c r="AX10" s="48" t="e">
        <f ca="1">+MIN(103,PRICE($C$1,E10,AP10/100,AV10,100,V10,W10))</f>
        <v>#NAME?</v>
      </c>
      <c r="AY10" s="74" t="e">
        <f ca="1">+PRICE($C$1,F10,AR10/100,AW10,S10,V10,W10)</f>
        <v>#NAME?</v>
      </c>
      <c r="AZ10" s="48" t="e">
        <f t="shared" ca="1" si="8"/>
        <v>#NAME?</v>
      </c>
    </row>
    <row r="11" spans="1:56" s="83" customFormat="1" x14ac:dyDescent="0.25">
      <c r="A11" s="101"/>
      <c r="B11" s="101"/>
      <c r="C11" s="99"/>
      <c r="D11" s="102">
        <v>42459</v>
      </c>
      <c r="E11" s="243">
        <v>43801</v>
      </c>
      <c r="F11" s="267">
        <f>C1+2</f>
        <v>42615</v>
      </c>
      <c r="G11" s="204"/>
      <c r="H11" s="203"/>
      <c r="I11" s="204"/>
      <c r="J11" s="203"/>
      <c r="K11" s="204"/>
      <c r="L11" s="203"/>
      <c r="M11" s="204"/>
      <c r="N11" s="203"/>
      <c r="O11" s="204"/>
      <c r="P11" s="203"/>
      <c r="Q11" s="204"/>
      <c r="R11" s="203"/>
      <c r="S11" s="202">
        <f t="shared" si="7"/>
        <v>100</v>
      </c>
      <c r="T11" s="87"/>
      <c r="U11" s="110">
        <v>6.7500000000000004E-2</v>
      </c>
      <c r="V11" s="101">
        <v>4</v>
      </c>
      <c r="W11" s="101">
        <v>2</v>
      </c>
      <c r="X11" s="111" t="e">
        <f ca="1">DURATION($C$1,E11,T11/100,AV11,V11,W11)</f>
        <v>#NAME?</v>
      </c>
      <c r="Y11" s="111" t="e">
        <f ca="1">DURATION($C$1,F11,U11/100,AV11,V11,W11)</f>
        <v>#NAME?</v>
      </c>
      <c r="Z11" s="111"/>
      <c r="AA11" s="111"/>
      <c r="AB11" s="112"/>
      <c r="AC11" s="113"/>
      <c r="AD11" s="113"/>
      <c r="AE11" s="114"/>
      <c r="AF11" s="113"/>
      <c r="AG11" s="223" t="str">
        <f>"USSW"&amp;ROUNDDOWN(DAYS360($C$1,E11)/360,0)</f>
        <v>USSW3</v>
      </c>
      <c r="AH11" s="51" t="str">
        <f t="shared" si="0"/>
        <v>USSW3 index</v>
      </c>
      <c r="AI11" s="211" t="e">
        <f ca="1">IF(_xll.BDH(AH11,$AI$2,$C$1)="#N/A Invalid Security",0,_xll.BDH(AH11,$AI$2,$C$1))</f>
        <v>#NAME?</v>
      </c>
      <c r="AJ11" s="51" t="str">
        <f>"USSW"&amp;ROUNDUP(DAYS360($C$1,E11)/360,0)</f>
        <v>USSW4</v>
      </c>
      <c r="AK11" s="51" t="str">
        <f t="shared" si="0"/>
        <v>USSW4 index</v>
      </c>
      <c r="AL11" s="211" t="e">
        <f ca="1">_xll.BDH(AK11,$AL$2,$C$1)</f>
        <v>#NAME?</v>
      </c>
      <c r="AM11" s="224" t="e">
        <f ca="1">(AL11-AI11)*((DAYS360($C$1,E11)/360)-ROUNDDOWN(DAYS360($C$1,E11)/360,0))+AI11</f>
        <v>#NAME?</v>
      </c>
      <c r="AN11" s="104" t="s">
        <v>135</v>
      </c>
      <c r="AO11" s="87" t="str">
        <f t="shared" si="1"/>
        <v>US0003M Index</v>
      </c>
      <c r="AP11" s="88" t="e">
        <f ca="1">+AM11+U11*100</f>
        <v>#NAME?</v>
      </c>
      <c r="AQ11" s="147" t="e">
        <f ca="1">MAX(_xll.BDH(AO11,$AQ$39,$AO$1),1)</f>
        <v>#NAME?</v>
      </c>
      <c r="AR11" s="88" t="e">
        <f ca="1">+AQ11+U11*100</f>
        <v>#NAME?</v>
      </c>
      <c r="AS11" s="111" t="s">
        <v>174</v>
      </c>
      <c r="AT11" s="89">
        <f>INDEX(AT:AT,MATCH(AS11,A:A,0))</f>
        <v>5.5100000000000003E-2</v>
      </c>
      <c r="AU11" s="75">
        <f t="shared" si="2"/>
        <v>110</v>
      </c>
      <c r="AV11" s="73" t="e">
        <f t="shared" ca="1" si="3"/>
        <v>#NAME?</v>
      </c>
      <c r="AW11" s="73" t="e">
        <f t="shared" ca="1" si="4"/>
        <v>#NAME?</v>
      </c>
      <c r="AX11" s="74" t="e">
        <f ca="1">+MIN(103,PRICE($C$1,E11,AP11/100,AV11,100,V11,W11))</f>
        <v>#NAME?</v>
      </c>
      <c r="AY11" s="74" t="e">
        <f ca="1">+PRICE($C$1,F11,AR11/100,AW11,S11,V11,W11)</f>
        <v>#NAME?</v>
      </c>
      <c r="AZ11" s="74" t="e">
        <f t="shared" ca="1" si="8"/>
        <v>#NAME?</v>
      </c>
    </row>
    <row r="12" spans="1:56" s="27" customFormat="1" x14ac:dyDescent="0.25">
      <c r="A12" s="104"/>
      <c r="B12" s="104"/>
      <c r="C12" s="105"/>
      <c r="D12" s="106">
        <v>41975</v>
      </c>
      <c r="E12" s="244">
        <v>43984</v>
      </c>
      <c r="F12" s="77">
        <f>+F10</f>
        <v>42615</v>
      </c>
      <c r="G12" s="204"/>
      <c r="H12" s="203"/>
      <c r="I12" s="204"/>
      <c r="J12" s="203"/>
      <c r="K12" s="204"/>
      <c r="L12" s="203"/>
      <c r="M12" s="204"/>
      <c r="N12" s="203"/>
      <c r="O12" s="204"/>
      <c r="P12" s="203"/>
      <c r="Q12" s="204"/>
      <c r="R12" s="203"/>
      <c r="S12" s="202">
        <f t="shared" si="7"/>
        <v>100</v>
      </c>
      <c r="T12" s="76"/>
      <c r="U12" s="115">
        <v>0.11125</v>
      </c>
      <c r="V12" s="104">
        <v>2</v>
      </c>
      <c r="W12" s="104">
        <v>2</v>
      </c>
      <c r="X12" s="116" t="e">
        <f ca="1">DURATION($C$1,E12,T12/100,AV12,V12,W12)</f>
        <v>#NAME?</v>
      </c>
      <c r="Y12" s="116" t="e">
        <f ca="1">DURATION($C$1,F12,U12/100,AV12,V12,W12)</f>
        <v>#NAME?</v>
      </c>
      <c r="Z12" s="116"/>
      <c r="AA12" s="116"/>
      <c r="AB12" s="117"/>
      <c r="AC12" s="118"/>
      <c r="AD12" s="118"/>
      <c r="AE12" s="119"/>
      <c r="AF12" s="118"/>
      <c r="AG12" s="223" t="str">
        <f>"USSW"&amp;ROUNDDOWN(DAYS360($C$1,E12)/360,0)</f>
        <v>USSW3</v>
      </c>
      <c r="AH12" s="212" t="str">
        <f t="shared" si="0"/>
        <v>USSW3 index</v>
      </c>
      <c r="AI12" s="211" t="e">
        <f ca="1">IF(_xll.BDH(AH12,$AI$2,$C$1)="#N/A Invalid Security",0,_xll.BDH(AH12,$AI$2,$C$1))</f>
        <v>#NAME?</v>
      </c>
      <c r="AJ12" s="51" t="str">
        <f>"USSW"&amp;ROUNDUP(DAYS360($C$1,E12)/360,0)</f>
        <v>USSW4</v>
      </c>
      <c r="AK12" s="212" t="str">
        <f t="shared" si="0"/>
        <v>USSW4 index</v>
      </c>
      <c r="AL12" s="211" t="e">
        <f ca="1">_xll.BDH(AK12,$AL$2,$C$1)</f>
        <v>#NAME?</v>
      </c>
      <c r="AM12" s="224" t="e">
        <f ca="1">(AL12-AI12)*((DAYS360($C$1,E12)/360)-ROUNDDOWN(DAYS360($C$1,E12)/360,0))+AI12</f>
        <v>#NAME?</v>
      </c>
      <c r="AN12" s="104" t="s">
        <v>135</v>
      </c>
      <c r="AO12" s="76" t="str">
        <f t="shared" si="1"/>
        <v>US0003M Index</v>
      </c>
      <c r="AP12" s="88" t="e">
        <f ca="1">+AM12+U12*100</f>
        <v>#NAME?</v>
      </c>
      <c r="AQ12" s="148" t="e">
        <f ca="1">MAX(_xll.BDH(AO12,$AQ$39,$AO$1),1)</f>
        <v>#NAME?</v>
      </c>
      <c r="AR12" s="78" t="e">
        <f ca="1">+AQ12+U12*100</f>
        <v>#NAME?</v>
      </c>
      <c r="AS12" s="116" t="s">
        <v>173</v>
      </c>
      <c r="AT12" s="89">
        <f>INDEX(AT:AT,MATCH(AS12,A:A,0))</f>
        <v>7.7399999999999997E-2</v>
      </c>
      <c r="AU12" s="75">
        <f t="shared" si="2"/>
        <v>110</v>
      </c>
      <c r="AV12" s="73" t="e">
        <f t="shared" ca="1" si="3"/>
        <v>#NAME?</v>
      </c>
      <c r="AW12" s="73" t="e">
        <f t="shared" ca="1" si="4"/>
        <v>#NAME?</v>
      </c>
      <c r="AX12" s="80" t="e">
        <f ca="1">+MIN(103,PRICE($C$1,E12,AP12/100,AV12,100,V12,W12))</f>
        <v>#NAME?</v>
      </c>
      <c r="AY12" s="80" t="e">
        <f ca="1">+PRICE($C$1,F12,AR12/100,AW12,S12,V12,W12)</f>
        <v>#NAME?</v>
      </c>
      <c r="AZ12" s="80" t="e">
        <f t="shared" ref="AZ12:AZ18" ca="1" si="9">+MIN(AX12,AY12)</f>
        <v>#NAME?</v>
      </c>
    </row>
    <row r="13" spans="1:56" s="86" customFormat="1" x14ac:dyDescent="0.25">
      <c r="A13" s="104"/>
      <c r="B13" s="104"/>
      <c r="C13" s="105"/>
      <c r="D13" s="106">
        <v>41995</v>
      </c>
      <c r="E13" s="244">
        <v>44187</v>
      </c>
      <c r="F13" s="268">
        <f>C1+2</f>
        <v>42615</v>
      </c>
      <c r="G13" s="204"/>
      <c r="H13" s="203"/>
      <c r="I13" s="204"/>
      <c r="J13" s="203"/>
      <c r="K13" s="204">
        <f>EDATE($D13,12*$K$2)</f>
        <v>43091</v>
      </c>
      <c r="L13" s="203">
        <v>115</v>
      </c>
      <c r="M13" s="204">
        <f>EDATE($D13,12*$M$2)</f>
        <v>43456</v>
      </c>
      <c r="N13" s="203">
        <v>115</v>
      </c>
      <c r="O13" s="204">
        <f>EDATE($D13,12*$M$2)</f>
        <v>43456</v>
      </c>
      <c r="P13" s="203">
        <v>107.5</v>
      </c>
      <c r="Q13" s="204">
        <f>E13</f>
        <v>44187</v>
      </c>
      <c r="R13" s="203">
        <v>100</v>
      </c>
      <c r="S13" s="202">
        <f t="shared" si="7"/>
        <v>115</v>
      </c>
      <c r="T13" s="206">
        <v>15</v>
      </c>
      <c r="U13" s="121"/>
      <c r="V13" s="104">
        <v>4</v>
      </c>
      <c r="W13" s="104">
        <v>2</v>
      </c>
      <c r="X13" s="116" t="e">
        <f ca="1">DURATION($C$1,E13,T13/100,AV13,V13,W13)</f>
        <v>#NAME?</v>
      </c>
      <c r="Y13" s="116" t="e">
        <f ca="1">DURATION($C$1,E13,T13/100,AV13,V13,W13)</f>
        <v>#NAME?</v>
      </c>
      <c r="Z13" s="116"/>
      <c r="AA13" s="116"/>
      <c r="AB13" s="117"/>
      <c r="AC13" s="118"/>
      <c r="AD13" s="118" t="s">
        <v>115</v>
      </c>
      <c r="AE13" s="119"/>
      <c r="AF13" s="118"/>
      <c r="AG13" s="223"/>
      <c r="AH13" s="212"/>
      <c r="AI13" s="211"/>
      <c r="AJ13" s="98" t="s">
        <v>161</v>
      </c>
      <c r="AK13" s="212" t="str">
        <f>+AJ13&amp;" govt"</f>
        <v>T 2.375 12/31/2020 govt</v>
      </c>
      <c r="AL13" s="211"/>
      <c r="AM13" s="225" t="e">
        <f ca="1">_xll.BDH(AK13,$AM$1,$C$1)</f>
        <v>#NAME?</v>
      </c>
      <c r="AN13" s="104" t="s">
        <v>135</v>
      </c>
      <c r="AO13" s="76" t="str">
        <f t="shared" si="1"/>
        <v>US0003M Index</v>
      </c>
      <c r="AP13" s="78">
        <f>+T13</f>
        <v>15</v>
      </c>
      <c r="AQ13" s="148" t="e">
        <f ca="1">MAX(_xll.BDH(AO13,$AQ$39,$AO$1),1)</f>
        <v>#NAME?</v>
      </c>
      <c r="AR13" s="78"/>
      <c r="AS13" s="116" t="s">
        <v>213</v>
      </c>
      <c r="AT13" s="89">
        <f>INDEX(AT:AT,MATCH(AS13,A:A,0))</f>
        <v>0.11282307843170099</v>
      </c>
      <c r="AU13" s="75">
        <f t="shared" si="2"/>
        <v>110</v>
      </c>
      <c r="AV13" s="73" t="e">
        <f t="shared" ca="1" si="3"/>
        <v>#NAME?</v>
      </c>
      <c r="AW13" s="73" t="e">
        <f t="shared" ca="1" si="4"/>
        <v>#NAME?</v>
      </c>
      <c r="AX13" s="80" t="e">
        <f ca="1">PRICE($C$1,E13,AP13/100,AV13,100,V13,W13)</f>
        <v>#NAME?</v>
      </c>
      <c r="AY13" s="80" t="e">
        <f ca="1">+PRICE($C$1,F13,AR13/100,AW13,S13,V13,W13)</f>
        <v>#NAME?</v>
      </c>
      <c r="AZ13" s="80" t="e">
        <f t="shared" ca="1" si="9"/>
        <v>#NAME?</v>
      </c>
    </row>
    <row r="14" spans="1:56" s="63" customFormat="1" x14ac:dyDescent="0.25">
      <c r="A14" s="101"/>
      <c r="B14" s="101"/>
      <c r="C14" s="99"/>
      <c r="D14" s="102">
        <v>42156</v>
      </c>
      <c r="E14" s="243">
        <v>43821</v>
      </c>
      <c r="F14" s="69">
        <f>+C1+2</f>
        <v>42615</v>
      </c>
      <c r="G14" s="204"/>
      <c r="H14" s="203"/>
      <c r="I14" s="204"/>
      <c r="J14" s="203"/>
      <c r="K14" s="204"/>
      <c r="L14" s="203"/>
      <c r="M14" s="204"/>
      <c r="N14" s="203"/>
      <c r="O14" s="204"/>
      <c r="P14" s="203"/>
      <c r="Q14" s="204"/>
      <c r="R14" s="203"/>
      <c r="S14" s="202">
        <f t="shared" si="7"/>
        <v>100</v>
      </c>
      <c r="T14" s="207">
        <v>15</v>
      </c>
      <c r="U14" s="110"/>
      <c r="V14" s="101">
        <v>4</v>
      </c>
      <c r="W14" s="101">
        <v>2</v>
      </c>
      <c r="X14" s="111" t="e">
        <f ca="1">DURATION($C$1,E14,T14/100,AV14,V14,W14)</f>
        <v>#NAME?</v>
      </c>
      <c r="Y14" s="111" t="e">
        <f ca="1">DURATION($C$1,E14,T14/100,AV14,V14,W14)</f>
        <v>#NAME?</v>
      </c>
      <c r="Z14" s="111"/>
      <c r="AA14" s="111"/>
      <c r="AB14" s="112"/>
      <c r="AC14" s="113"/>
      <c r="AD14" s="113"/>
      <c r="AE14" s="114"/>
      <c r="AF14" s="113"/>
      <c r="AG14" s="223"/>
      <c r="AH14" s="51"/>
      <c r="AI14" s="211"/>
      <c r="AJ14" s="98" t="s">
        <v>161</v>
      </c>
      <c r="AK14" s="212" t="str">
        <f>+AJ14&amp;" govt"</f>
        <v>T 2.375 12/31/2020 govt</v>
      </c>
      <c r="AL14" s="211"/>
      <c r="AM14" s="225" t="e">
        <f ca="1">_xll.BDH(AK14,$AM$1,$C$1)</f>
        <v>#NAME?</v>
      </c>
      <c r="AN14" s="104" t="s">
        <v>135</v>
      </c>
      <c r="AO14" s="70" t="str">
        <f t="shared" si="1"/>
        <v>US0003M Index</v>
      </c>
      <c r="AP14" s="72">
        <f>+T14</f>
        <v>15</v>
      </c>
      <c r="AQ14" s="147" t="e">
        <f ca="1">MAX(_xll.BDH(AO14,$AQ$39,$AO$1),1)</f>
        <v>#NAME?</v>
      </c>
      <c r="AR14" s="72"/>
      <c r="AS14" s="116" t="s">
        <v>213</v>
      </c>
      <c r="AT14" s="89">
        <f>AT13</f>
        <v>0.11282307843170099</v>
      </c>
      <c r="AU14" s="75">
        <f t="shared" si="2"/>
        <v>110</v>
      </c>
      <c r="AV14" s="73" t="e">
        <f t="shared" ca="1" si="3"/>
        <v>#NAME?</v>
      </c>
      <c r="AW14" s="73" t="e">
        <f t="shared" ca="1" si="4"/>
        <v>#NAME?</v>
      </c>
      <c r="AX14" s="74" t="e">
        <f ca="1">PRICE($C$1,E14,AP14/100,AV14,100,V14,W14)</f>
        <v>#NAME?</v>
      </c>
      <c r="AY14" s="74" t="e">
        <f ca="1">+PRICE($C$1,F14,AR14/100,AW14,S14,V14,W14)</f>
        <v>#NAME?</v>
      </c>
      <c r="AZ14" s="74" t="e">
        <f t="shared" ca="1" si="9"/>
        <v>#NAME?</v>
      </c>
    </row>
    <row r="15" spans="1:56" x14ac:dyDescent="0.25">
      <c r="A15" s="101"/>
      <c r="B15" s="101"/>
      <c r="C15" s="99"/>
      <c r="D15" s="102">
        <v>42034</v>
      </c>
      <c r="E15" s="243">
        <v>44226</v>
      </c>
      <c r="F15" s="44">
        <f>+$C$1+3</f>
        <v>42616</v>
      </c>
      <c r="G15" s="204"/>
      <c r="H15" s="203"/>
      <c r="I15" s="204"/>
      <c r="J15" s="203"/>
      <c r="K15" s="204"/>
      <c r="L15" s="203"/>
      <c r="M15" s="204"/>
      <c r="N15" s="203"/>
      <c r="O15" s="204"/>
      <c r="P15" s="203"/>
      <c r="Q15" s="204"/>
      <c r="R15" s="203"/>
      <c r="S15" s="202">
        <f t="shared" si="7"/>
        <v>100</v>
      </c>
      <c r="T15" s="101"/>
      <c r="U15" s="110">
        <v>4.4999999999999998E-2</v>
      </c>
      <c r="V15" s="215">
        <v>4</v>
      </c>
      <c r="W15" s="101">
        <v>2</v>
      </c>
      <c r="X15" s="111" t="e">
        <f ca="1">DURATION($C$1,E15,T15/100,AV15,V15,W15)</f>
        <v>#NAME?</v>
      </c>
      <c r="Y15" s="111" t="e">
        <f ca="1">DURATION($C$1,E15,T15/100,AV15,V15,W15)</f>
        <v>#NAME?</v>
      </c>
      <c r="Z15" s="111"/>
      <c r="AA15" s="118" t="s">
        <v>120</v>
      </c>
      <c r="AB15" s="112"/>
      <c r="AC15" s="114"/>
      <c r="AD15" s="113"/>
      <c r="AE15" s="114"/>
      <c r="AF15" s="113"/>
      <c r="AG15" s="223" t="str">
        <f>"USSW"&amp;ROUNDDOWN(DAYS360($C$1,E15)/360,0)</f>
        <v>USSW4</v>
      </c>
      <c r="AH15" s="212" t="str">
        <f>+AG15&amp;" index"</f>
        <v>USSW4 index</v>
      </c>
      <c r="AI15" s="211" t="e">
        <f ca="1">IF(_xll.BDH(AH15,$AI$2,$C$1)="#N/A Invalid Security",0,_xll.BDH(AH15,$AI$2,$C$1))</f>
        <v>#NAME?</v>
      </c>
      <c r="AJ15" s="51" t="str">
        <f>"USSW"&amp;ROUNDUP(DAYS360($C$1,E15)/360,0)</f>
        <v>USSW5</v>
      </c>
      <c r="AK15" s="212" t="str">
        <f>+AJ15&amp;" index"</f>
        <v>USSW5 index</v>
      </c>
      <c r="AL15" s="211" t="e">
        <f ca="1">_xll.BDH(AK15,$AL$2,$C$1)</f>
        <v>#NAME?</v>
      </c>
      <c r="AM15" s="224" t="e">
        <f ca="1">(AL15-AI15)*((DAYS360($C$1,E15)/360)-ROUNDDOWN(DAYS360($C$1,E15)/360,0))+AI15</f>
        <v>#NAME?</v>
      </c>
      <c r="AN15" s="104" t="s">
        <v>135</v>
      </c>
      <c r="AO15" s="76" t="str">
        <f t="shared" si="1"/>
        <v>US0003M Index</v>
      </c>
      <c r="AP15" s="88" t="e">
        <f ca="1">+AM15+U15*100</f>
        <v>#NAME?</v>
      </c>
      <c r="AQ15" s="147" t="e">
        <f ca="1">MAX(_xll.BDH(AO15,$AQ$39,$AO$1),1)</f>
        <v>#NAME?</v>
      </c>
      <c r="AR15" s="45" t="e">
        <f ca="1">+AQ15+U15*100</f>
        <v>#NAME?</v>
      </c>
      <c r="AS15" s="111" t="s">
        <v>175</v>
      </c>
      <c r="AT15" s="89">
        <f>INDEX(AT:AT,MATCH(AS15,A:A,0))</f>
        <v>3.4599999999999999E-2</v>
      </c>
      <c r="AU15" s="75">
        <f t="shared" si="2"/>
        <v>110</v>
      </c>
      <c r="AV15" s="73" t="e">
        <f t="shared" ca="1" si="3"/>
        <v>#NAME?</v>
      </c>
      <c r="AW15" s="73" t="e">
        <f t="shared" ca="1" si="4"/>
        <v>#NAME?</v>
      </c>
      <c r="AX15" s="48" t="e">
        <f ca="1">PRICE($C$1,E15,AP15/100,AV15,100,V15,W15)</f>
        <v>#NAME?</v>
      </c>
      <c r="AY15" s="74" t="e">
        <f ca="1">+PRICE($C$1,F15,AR15/100,AW15,S15,V15,W15)</f>
        <v>#NAME?</v>
      </c>
      <c r="AZ15" s="48" t="e">
        <f t="shared" ca="1" si="9"/>
        <v>#NAME?</v>
      </c>
    </row>
    <row r="16" spans="1:56" s="27" customFormat="1" x14ac:dyDescent="0.25">
      <c r="A16" s="104"/>
      <c r="B16" s="104"/>
      <c r="C16" s="105"/>
      <c r="D16" s="106">
        <v>42034</v>
      </c>
      <c r="E16" s="244">
        <v>44226</v>
      </c>
      <c r="F16" s="77">
        <f>+$C$1+3</f>
        <v>42616</v>
      </c>
      <c r="G16" s="204"/>
      <c r="H16" s="203"/>
      <c r="I16" s="204"/>
      <c r="J16" s="203"/>
      <c r="K16" s="204"/>
      <c r="L16" s="203"/>
      <c r="M16" s="204"/>
      <c r="N16" s="203"/>
      <c r="O16" s="204"/>
      <c r="P16" s="203"/>
      <c r="Q16" s="204"/>
      <c r="R16" s="203"/>
      <c r="S16" s="202">
        <f t="shared" si="7"/>
        <v>100</v>
      </c>
      <c r="T16" s="108"/>
      <c r="U16" s="121">
        <v>0.09</v>
      </c>
      <c r="V16" s="216">
        <v>4</v>
      </c>
      <c r="W16" s="104">
        <v>2</v>
      </c>
      <c r="X16" s="116" t="e">
        <f ca="1">DURATION($C$1,E16,T16/100,AV16,V16,W16)</f>
        <v>#NAME?</v>
      </c>
      <c r="Y16" s="116" t="e">
        <f ca="1">DURATION($C$1,E16,T16/100,AV16,V16,W16)</f>
        <v>#NAME?</v>
      </c>
      <c r="Z16" s="117"/>
      <c r="AA16" s="118" t="s">
        <v>115</v>
      </c>
      <c r="AB16" s="117"/>
      <c r="AC16" s="119"/>
      <c r="AD16" s="118"/>
      <c r="AE16" s="119"/>
      <c r="AF16" s="118"/>
      <c r="AG16" s="223" t="str">
        <f>"USSW"&amp;ROUNDDOWN(DAYS360($C$1,E16)/360,0)</f>
        <v>USSW4</v>
      </c>
      <c r="AH16" s="213" t="str">
        <f>+AG16&amp;" index"</f>
        <v>USSW4 index</v>
      </c>
      <c r="AI16" s="211" t="e">
        <f ca="1">IF(_xll.BDH(AH16,$AI$2,$C$1)="#N/A Invalid Security",0,_xll.BDH(AH16,$AI$2,$C$1))</f>
        <v>#NAME?</v>
      </c>
      <c r="AJ16" s="51" t="str">
        <f>"USSW"&amp;ROUNDUP(DAYS360($C$1,E16)/360,0)</f>
        <v>USSW5</v>
      </c>
      <c r="AK16" s="213" t="str">
        <f>+AJ16&amp;" index"</f>
        <v>USSW5 index</v>
      </c>
      <c r="AL16" s="211" t="e">
        <f ca="1">_xll.BDH(AK16,$AL$2,$C$1)</f>
        <v>#NAME?</v>
      </c>
      <c r="AM16" s="224" t="e">
        <f ca="1">(AL16-AI16)*((DAYS360($C$1,E16)/360)-ROUNDDOWN(DAYS360($C$1,E16)/360,0))+AI16</f>
        <v>#NAME?</v>
      </c>
      <c r="AN16" s="119" t="s">
        <v>135</v>
      </c>
      <c r="AO16" s="27" t="str">
        <f t="shared" si="1"/>
        <v>US0003M Index</v>
      </c>
      <c r="AP16" s="88" t="e">
        <f ca="1">+AM16+U16*100</f>
        <v>#NAME?</v>
      </c>
      <c r="AQ16" s="148" t="e">
        <f ca="1">MAX(_xll.BDH(AO16,$AQ$39,$AO$1),1)</f>
        <v>#NAME?</v>
      </c>
      <c r="AR16" s="78" t="e">
        <f ca="1">+AQ16+U16*100</f>
        <v>#NAME?</v>
      </c>
      <c r="AS16" s="116" t="s">
        <v>174</v>
      </c>
      <c r="AT16" s="89">
        <f>INDEX(AT:AT,MATCH(AS16,A:A,0))</f>
        <v>5.5100000000000003E-2</v>
      </c>
      <c r="AU16" s="75">
        <f t="shared" si="2"/>
        <v>110</v>
      </c>
      <c r="AV16" s="73" t="e">
        <f t="shared" ca="1" si="3"/>
        <v>#NAME?</v>
      </c>
      <c r="AW16" s="73" t="e">
        <f t="shared" ca="1" si="4"/>
        <v>#NAME?</v>
      </c>
      <c r="AX16" s="80" t="e">
        <f ca="1">PRICE($C$1,E16,AP16/100,AV16,100,V16,W16)</f>
        <v>#NAME?</v>
      </c>
      <c r="AY16" s="80" t="e">
        <f ca="1">+PRICE($C$1,F16,AR16/100,AW16,S16,V16,W16)</f>
        <v>#NAME?</v>
      </c>
      <c r="AZ16" s="80" t="e">
        <f t="shared" ca="1" si="9"/>
        <v>#NAME?</v>
      </c>
    </row>
    <row r="17" spans="1:52" x14ac:dyDescent="0.25">
      <c r="A17" s="101"/>
      <c r="B17" s="101"/>
      <c r="C17" s="105"/>
      <c r="D17" s="102">
        <v>42034</v>
      </c>
      <c r="E17" s="243">
        <v>43860</v>
      </c>
      <c r="F17" s="44">
        <f>+$C$1+3</f>
        <v>42616</v>
      </c>
      <c r="G17" s="204"/>
      <c r="H17" s="203"/>
      <c r="I17" s="204"/>
      <c r="J17" s="203"/>
      <c r="K17" s="204"/>
      <c r="L17" s="203"/>
      <c r="M17" s="204"/>
      <c r="N17" s="203"/>
      <c r="O17" s="204"/>
      <c r="P17" s="203"/>
      <c r="Q17" s="204"/>
      <c r="R17" s="203"/>
      <c r="S17" s="202">
        <f t="shared" si="7"/>
        <v>100</v>
      </c>
      <c r="T17" s="109"/>
      <c r="U17" s="110">
        <v>0.06</v>
      </c>
      <c r="V17" s="215">
        <v>4</v>
      </c>
      <c r="W17" s="101">
        <v>2</v>
      </c>
      <c r="X17" s="111" t="e">
        <f ca="1">DURATION($C$1,E17,T17/100,AV17,V17,W17)</f>
        <v>#NAME?</v>
      </c>
      <c r="Y17" s="111" t="e">
        <f ca="1">DURATION($C$1,E17,T17/100,AV17,V17,W17)</f>
        <v>#NAME?</v>
      </c>
      <c r="Z17" s="112"/>
      <c r="AA17" s="118" t="s">
        <v>120</v>
      </c>
      <c r="AB17" s="112"/>
      <c r="AC17" s="114"/>
      <c r="AD17" s="113"/>
      <c r="AE17" s="114"/>
      <c r="AF17" s="113"/>
      <c r="AG17" s="223" t="str">
        <f>"USSW"&amp;ROUNDDOWN(DAYS360($C$1,E17)/360,0)</f>
        <v>USSW3</v>
      </c>
      <c r="AH17" s="213" t="str">
        <f>+AG17&amp;" index"</f>
        <v>USSW3 index</v>
      </c>
      <c r="AI17" s="211" t="e">
        <f ca="1">IF(_xll.BDH(AH17,$AI$2,$C$1)="#N/A Invalid Security",0,_xll.BDH(AH17,$AI$2,$C$1))</f>
        <v>#NAME?</v>
      </c>
      <c r="AJ17" s="51" t="str">
        <f>"USSW"&amp;ROUNDUP(DAYS360($C$1,E17)/360,0)</f>
        <v>USSW4</v>
      </c>
      <c r="AK17" s="213" t="str">
        <f>+AJ17&amp;" index"</f>
        <v>USSW4 index</v>
      </c>
      <c r="AL17" s="211" t="e">
        <f ca="1">_xll.BDH(AK17,$AL$2,$C$1)</f>
        <v>#NAME?</v>
      </c>
      <c r="AM17" s="224" t="e">
        <f ca="1">(AL17-AI17)*((DAYS360($C$1,E17)/360)-ROUNDDOWN(DAYS360($C$1,E17)/360,0))+AI17</f>
        <v>#NAME?</v>
      </c>
      <c r="AN17" s="119" t="s">
        <v>135</v>
      </c>
      <c r="AO17" s="86" t="str">
        <f t="shared" si="1"/>
        <v>US0003M Index</v>
      </c>
      <c r="AP17" s="88" t="e">
        <f ca="1">+AM17+U17*100</f>
        <v>#NAME?</v>
      </c>
      <c r="AQ17" s="147" t="e">
        <f ca="1">MAX(_xll.BDH(AO17,$AQ$39,$AO$1),1)</f>
        <v>#NAME?</v>
      </c>
      <c r="AR17" s="45" t="e">
        <f ca="1">+AQ17+U17*100</f>
        <v>#NAME?</v>
      </c>
      <c r="AS17" s="111" t="s">
        <v>175</v>
      </c>
      <c r="AT17" s="89">
        <f>INDEX(AT:AT,MATCH(AS17,A:A,0))</f>
        <v>3.4599999999999999E-2</v>
      </c>
      <c r="AU17" s="75">
        <f t="shared" si="2"/>
        <v>110</v>
      </c>
      <c r="AV17" s="73" t="e">
        <f t="shared" ca="1" si="3"/>
        <v>#NAME?</v>
      </c>
      <c r="AW17" s="73" t="e">
        <f t="shared" ca="1" si="4"/>
        <v>#NAME?</v>
      </c>
      <c r="AX17" s="48" t="e">
        <f ca="1">PRICE($C$1,E17,AP17/100,AV17,100,V17,W17)</f>
        <v>#NAME?</v>
      </c>
      <c r="AY17" s="74" t="e">
        <f ca="1">+PRICE($C$1,F17,AR17/100,AW17,S17,V17,W17)</f>
        <v>#NAME?</v>
      </c>
      <c r="AZ17" s="48" t="e">
        <f t="shared" ca="1" si="9"/>
        <v>#NAME?</v>
      </c>
    </row>
    <row r="18" spans="1:52" x14ac:dyDescent="0.25">
      <c r="A18" s="101"/>
      <c r="B18" s="101"/>
      <c r="C18" s="99"/>
      <c r="D18" s="102">
        <v>41612</v>
      </c>
      <c r="E18" s="107">
        <v>43073</v>
      </c>
      <c r="F18" s="103">
        <v>43073</v>
      </c>
      <c r="G18" s="204"/>
      <c r="H18" s="203"/>
      <c r="I18" s="204"/>
      <c r="J18" s="203"/>
      <c r="K18" s="204"/>
      <c r="L18" s="203"/>
      <c r="M18" s="204"/>
      <c r="N18" s="203"/>
      <c r="O18" s="204"/>
      <c r="P18" s="203"/>
      <c r="Q18" s="204"/>
      <c r="R18" s="203"/>
      <c r="S18" s="202">
        <f t="shared" si="7"/>
        <v>100</v>
      </c>
      <c r="T18" s="109">
        <v>12</v>
      </c>
      <c r="U18" s="110"/>
      <c r="V18" s="215">
        <v>4</v>
      </c>
      <c r="W18" s="101">
        <v>2</v>
      </c>
      <c r="X18" s="111" t="e">
        <f ca="1">DURATION($C$1,E18,T18/100,AV18,V18,W18)</f>
        <v>#NAME?</v>
      </c>
      <c r="Y18" s="111" t="e">
        <f ca="1">DURATION($C$1,E18,T18/100,AV18,V18,W18)</f>
        <v>#NAME?</v>
      </c>
      <c r="Z18" s="112"/>
      <c r="AA18" s="112"/>
      <c r="AB18" s="112"/>
      <c r="AC18" s="113"/>
      <c r="AD18" s="113"/>
      <c r="AE18" s="114"/>
      <c r="AF18" s="113"/>
      <c r="AG18" s="223"/>
      <c r="AH18" s="51"/>
      <c r="AI18" s="211"/>
      <c r="AJ18" s="98" t="s">
        <v>194</v>
      </c>
      <c r="AK18" s="212" t="str">
        <f>+AJ18&amp;" govt"</f>
        <v>T 1 12/15/17 govt</v>
      </c>
      <c r="AL18" s="211"/>
      <c r="AM18" s="226" t="e">
        <f ca="1">_xll.BDH(AK18,$AM$1,$C$1)</f>
        <v>#NAME?</v>
      </c>
      <c r="AN18" s="104" t="s">
        <v>135</v>
      </c>
      <c r="AO18" s="70" t="s">
        <v>195</v>
      </c>
      <c r="AP18" s="88">
        <f>+T18</f>
        <v>12</v>
      </c>
      <c r="AQ18" s="147" t="e">
        <f ca="1">MAX(_xll.BDH(AO18,$AQ$39,$AO$1),1)</f>
        <v>#NAME?</v>
      </c>
      <c r="AR18" s="71"/>
      <c r="AS18" s="111" t="s">
        <v>173</v>
      </c>
      <c r="AT18" s="89">
        <f>INDEX(AT:AT,MATCH(AS18,A:A,0))</f>
        <v>7.7399999999999997E-2</v>
      </c>
      <c r="AU18" s="75">
        <f t="shared" si="2"/>
        <v>110</v>
      </c>
      <c r="AV18" s="73" t="e">
        <f t="shared" ca="1" si="3"/>
        <v>#NAME?</v>
      </c>
      <c r="AW18" s="73" t="e">
        <f t="shared" ca="1" si="4"/>
        <v>#NAME?</v>
      </c>
      <c r="AX18" s="74" t="e">
        <f ca="1">PRICE($C$1,E18,T18/100,AV18,100,V18,W18)</f>
        <v>#NAME?</v>
      </c>
      <c r="AY18" s="74" t="e">
        <f ca="1">+PRICE($C$1,F18,T18/100,AW18,S18,V18,W18)</f>
        <v>#NAME?</v>
      </c>
      <c r="AZ18" s="74" t="e">
        <f t="shared" ca="1" si="9"/>
        <v>#NAME?</v>
      </c>
    </row>
    <row r="19" spans="1:52" s="195" customFormat="1" x14ac:dyDescent="0.25">
      <c r="A19" s="101"/>
      <c r="B19" s="101"/>
      <c r="C19" s="99"/>
      <c r="D19" s="102">
        <v>42138</v>
      </c>
      <c r="E19" s="107">
        <v>43689</v>
      </c>
      <c r="F19" s="267">
        <f>+C1+2</f>
        <v>42615</v>
      </c>
      <c r="G19" s="204">
        <v>42229</v>
      </c>
      <c r="H19" s="203">
        <v>102</v>
      </c>
      <c r="I19" s="204">
        <v>42595</v>
      </c>
      <c r="J19" s="203">
        <v>101</v>
      </c>
      <c r="K19" s="204">
        <v>42960</v>
      </c>
      <c r="L19" s="203">
        <v>100</v>
      </c>
      <c r="M19" s="204"/>
      <c r="N19" s="203"/>
      <c r="O19" s="204"/>
      <c r="P19" s="203"/>
      <c r="Q19" s="204"/>
      <c r="R19" s="203"/>
      <c r="S19" s="202">
        <f t="shared" ref="S19" si="10">IF(G19&gt;$C$1,H19,IF(I19&gt;$C$1,J19,IF(K19&gt;$C$1,L19,IF(M19&gt;$C$1,N19,IF(O19&gt;$C$1,P19,IF(Q19&gt;$C$1,R19,100))))))</f>
        <v>100</v>
      </c>
      <c r="T19" s="109">
        <v>4.5</v>
      </c>
      <c r="U19" s="110"/>
      <c r="V19" s="215">
        <v>4</v>
      </c>
      <c r="W19" s="101">
        <v>2</v>
      </c>
      <c r="X19" s="111" t="e">
        <f ca="1">DURATION($C$1,E19,T19/100,AV19,V19,W19)</f>
        <v>#NAME?</v>
      </c>
      <c r="Y19" s="111" t="e">
        <f ca="1">DURATION($C$1,E19,T19/100,AV19,V19,W19)</f>
        <v>#NAME?</v>
      </c>
      <c r="Z19" s="117"/>
      <c r="AA19" s="117"/>
      <c r="AB19" s="117"/>
      <c r="AC19" s="118"/>
      <c r="AD19" s="118" t="s">
        <v>14</v>
      </c>
      <c r="AE19" s="119"/>
      <c r="AF19" s="113"/>
      <c r="AG19" s="223" t="str">
        <f>"USSW"&amp;ROUNDDOWN(DAYS360($C$1,E19)/360,0)</f>
        <v>USSW2</v>
      </c>
      <c r="AH19" s="51" t="str">
        <f t="shared" ref="AH19:AK19" si="11">+AG19&amp;" index"</f>
        <v>USSW2 index</v>
      </c>
      <c r="AI19" s="211" t="e">
        <f ca="1">IF(_xll.BDH(AH19,$AI$2,$C$1)="#N/A Invalid Security",0,_xll.BDH(AH19,$AI$2,$C$1))</f>
        <v>#NAME?</v>
      </c>
      <c r="AJ19" s="51" t="str">
        <f>"USSW"&amp;ROUNDUP(DAYS360($C$1,E19)/360,0)</f>
        <v>USSW3</v>
      </c>
      <c r="AK19" s="51" t="str">
        <f t="shared" si="11"/>
        <v>USSW3 index</v>
      </c>
      <c r="AL19" s="211" t="e">
        <f ca="1">_xll.BDH(AK19,$AL$2,$C$1)</f>
        <v>#NAME?</v>
      </c>
      <c r="AM19" s="224" t="e">
        <f ca="1">(AL19-AI19)*((DAYS360($C$1,E19)/360)-ROUNDDOWN(DAYS360($C$1,E19)/360,0))+AI19</f>
        <v>#NAME?</v>
      </c>
      <c r="AN19" s="104" t="s">
        <v>135</v>
      </c>
      <c r="AO19" s="87" t="s">
        <v>195</v>
      </c>
      <c r="AP19" s="88">
        <f>+T19</f>
        <v>4.5</v>
      </c>
      <c r="AQ19" s="147" t="e">
        <f ca="1">MAX(_xll.BDH(AO19,$AQ$39,$AO$1),1)</f>
        <v>#NAME?</v>
      </c>
      <c r="AR19" s="88"/>
      <c r="AS19" s="111" t="s">
        <v>210</v>
      </c>
      <c r="AT19" s="89">
        <f>INDEX(AT:AT,MATCH(AS19,A:A,0))</f>
        <v>2.9399999999999999E-2</v>
      </c>
      <c r="AU19" s="75">
        <f t="shared" si="2"/>
        <v>110</v>
      </c>
      <c r="AV19" s="73" t="e">
        <f t="shared" ca="1" si="3"/>
        <v>#NAME?</v>
      </c>
      <c r="AW19" s="73" t="e">
        <f t="shared" ca="1" si="4"/>
        <v>#NAME?</v>
      </c>
      <c r="AX19" s="74" t="e">
        <f ca="1">PRICE($C$1,E19,T19/100,AV19,100,V19,W19)</f>
        <v>#NAME?</v>
      </c>
      <c r="AY19" s="74" t="e">
        <f ca="1">+PRICE($C$1,F19,T19/100,AW19,S19,V19,W19)</f>
        <v>#NAME?</v>
      </c>
      <c r="AZ19" s="74" t="e">
        <f t="shared" ref="AZ19" ca="1" si="12">+MIN(AX19,AY19)</f>
        <v>#NAME?</v>
      </c>
    </row>
    <row r="20" spans="1:52" s="83" customFormat="1" x14ac:dyDescent="0.25">
      <c r="A20" s="101"/>
      <c r="B20" s="101"/>
      <c r="C20" s="99"/>
      <c r="D20" s="102">
        <v>42163</v>
      </c>
      <c r="E20" s="107">
        <v>43137</v>
      </c>
      <c r="F20" s="69">
        <f>C1+3</f>
        <v>42616</v>
      </c>
      <c r="G20" s="204"/>
      <c r="H20" s="203"/>
      <c r="I20" s="204"/>
      <c r="J20" s="203"/>
      <c r="K20" s="204"/>
      <c r="L20" s="203"/>
      <c r="M20" s="204"/>
      <c r="N20" s="203"/>
      <c r="O20" s="204"/>
      <c r="P20" s="203"/>
      <c r="Q20" s="204"/>
      <c r="R20" s="203"/>
      <c r="S20" s="202">
        <f t="shared" si="7"/>
        <v>100</v>
      </c>
      <c r="T20" s="109"/>
      <c r="U20" s="110">
        <v>0.09</v>
      </c>
      <c r="V20" s="215">
        <v>4</v>
      </c>
      <c r="W20" s="101">
        <v>2</v>
      </c>
      <c r="X20" s="111" t="e">
        <f ca="1">DURATION($C$1,E20,T20/100,AV20,V20,W20)</f>
        <v>#NAME?</v>
      </c>
      <c r="Y20" s="111" t="e">
        <f ca="1">DURATION($C$1,E20,T20/100,AV20,V20,W20)</f>
        <v>#NAME?</v>
      </c>
      <c r="Z20" s="112"/>
      <c r="AA20" s="112" t="s">
        <v>205</v>
      </c>
      <c r="AB20" s="112"/>
      <c r="AC20" s="113" t="s">
        <v>204</v>
      </c>
      <c r="AD20" s="113"/>
      <c r="AE20" s="114"/>
      <c r="AF20" s="113"/>
      <c r="AG20" s="223" t="str">
        <f>"USSW"&amp;ROUNDDOWN(DAYS360($C$1,E20)/360,0)</f>
        <v>USSW1</v>
      </c>
      <c r="AH20" s="51" t="str">
        <f t="shared" ref="AH20:AK35" si="13">+AG20&amp;" index"</f>
        <v>USSW1 index</v>
      </c>
      <c r="AI20" s="211" t="e">
        <f ca="1">IF(_xll.BDH(AH20,$AI$2,$C$1)="#N/A Invalid Security",0,_xll.BDH(AH20,$AI$2,$C$1))</f>
        <v>#NAME?</v>
      </c>
      <c r="AJ20" s="51" t="str">
        <f>"USSW"&amp;ROUNDUP(DAYS360($C$1,E20)/360,0)</f>
        <v>USSW2</v>
      </c>
      <c r="AK20" s="51" t="str">
        <f t="shared" si="13"/>
        <v>USSW2 index</v>
      </c>
      <c r="AL20" s="211" t="e">
        <f ca="1">_xll.BDH(AK20,$AL$2,$C$1)</f>
        <v>#NAME?</v>
      </c>
      <c r="AM20" s="224" t="e">
        <f ca="1">(AL20-AI20)*((DAYS360($C$1,E20)/360)-ROUNDDOWN(DAYS360($C$1,E20)/360,0))+AI20</f>
        <v>#NAME?</v>
      </c>
      <c r="AN20" s="104" t="s">
        <v>135</v>
      </c>
      <c r="AO20" s="87" t="s">
        <v>195</v>
      </c>
      <c r="AP20" s="88" t="e">
        <f ca="1">+AM20+U20*100</f>
        <v>#NAME?</v>
      </c>
      <c r="AQ20" s="148" t="e">
        <f ca="1">MAX(_xll.BDH(AO20,$AQ$39,$AO$1),1)</f>
        <v>#NAME?</v>
      </c>
      <c r="AR20" s="78" t="e">
        <f ca="1">+AQ20+U20*100</f>
        <v>#NAME?</v>
      </c>
      <c r="AS20" s="111" t="s">
        <v>174</v>
      </c>
      <c r="AT20" s="89">
        <f>INDEX(AT:AT,MATCH(AS20,A:A,0))</f>
        <v>5.5100000000000003E-2</v>
      </c>
      <c r="AU20" s="75">
        <f t="shared" si="2"/>
        <v>110</v>
      </c>
      <c r="AV20" s="73" t="e">
        <f t="shared" ca="1" si="3"/>
        <v>#NAME?</v>
      </c>
      <c r="AW20" s="73" t="e">
        <f t="shared" ca="1" si="4"/>
        <v>#NAME?</v>
      </c>
      <c r="AX20" s="80" t="e">
        <f ca="1">PRICE($C$1,E20,AP20/100,AV20,100,V20,W20)</f>
        <v>#NAME?</v>
      </c>
      <c r="AY20" s="80" t="e">
        <f ca="1">+PRICE($C$1,F20,AR20/100,AW20,S20,V20,W20)</f>
        <v>#NAME?</v>
      </c>
      <c r="AZ20" s="80" t="e">
        <f t="shared" ref="AZ20:AZ21" ca="1" si="14">+MIN(AX20,AY20)</f>
        <v>#NAME?</v>
      </c>
    </row>
    <row r="21" spans="1:52" s="83" customFormat="1" x14ac:dyDescent="0.25">
      <c r="A21" s="101"/>
      <c r="B21" s="101"/>
      <c r="C21" s="99"/>
      <c r="D21" s="102">
        <v>42163</v>
      </c>
      <c r="E21" s="107">
        <v>43137</v>
      </c>
      <c r="F21" s="69">
        <f>C1+3</f>
        <v>42616</v>
      </c>
      <c r="G21" s="204"/>
      <c r="H21" s="203"/>
      <c r="I21" s="204"/>
      <c r="J21" s="203"/>
      <c r="K21" s="204"/>
      <c r="L21" s="203"/>
      <c r="M21" s="204"/>
      <c r="N21" s="203"/>
      <c r="O21" s="204"/>
      <c r="P21" s="203"/>
      <c r="Q21" s="204"/>
      <c r="R21" s="203"/>
      <c r="S21" s="202">
        <f t="shared" si="7"/>
        <v>100</v>
      </c>
      <c r="T21" s="109"/>
      <c r="U21" s="110">
        <v>0.09</v>
      </c>
      <c r="V21" s="215">
        <v>4</v>
      </c>
      <c r="W21" s="101">
        <v>2</v>
      </c>
      <c r="X21" s="111" t="e">
        <f ca="1">DURATION($C$1,E21,T21/100,AV21,V21,W21)</f>
        <v>#NAME?</v>
      </c>
      <c r="Y21" s="111" t="e">
        <f ca="1">DURATION($C$1,E21,T21/100,AV21,V21,W21)</f>
        <v>#NAME?</v>
      </c>
      <c r="Z21" s="112"/>
      <c r="AA21" s="112" t="s">
        <v>205</v>
      </c>
      <c r="AB21" s="112"/>
      <c r="AC21" s="113" t="s">
        <v>204</v>
      </c>
      <c r="AD21" s="113"/>
      <c r="AE21" s="114"/>
      <c r="AF21" s="113"/>
      <c r="AG21" s="223" t="str">
        <f>"USSW"&amp;ROUNDDOWN(DAYS360($C$1,E21)/360,0)</f>
        <v>USSW1</v>
      </c>
      <c r="AH21" s="51" t="str">
        <f t="shared" si="13"/>
        <v>USSW1 index</v>
      </c>
      <c r="AI21" s="211" t="e">
        <f ca="1">IF(_xll.BDH(AH21,$AI$2,$C$1)="#N/A Invalid Security",0,_xll.BDH(AH21,$AI$2,$C$1))</f>
        <v>#NAME?</v>
      </c>
      <c r="AJ21" s="51" t="str">
        <f>"USSW"&amp;ROUNDUP(DAYS360($C$1,E21)/360,0)</f>
        <v>USSW2</v>
      </c>
      <c r="AK21" s="51" t="str">
        <f t="shared" si="13"/>
        <v>USSW2 index</v>
      </c>
      <c r="AL21" s="211" t="e">
        <f ca="1">_xll.BDH(AK21,$AL$2,$C$1)</f>
        <v>#NAME?</v>
      </c>
      <c r="AM21" s="224" t="e">
        <f ca="1">(AL21-AI21)*((DAYS360($C$1,E21)/360)-ROUNDDOWN(DAYS360($C$1,E21)/360,0))+AI21</f>
        <v>#NAME?</v>
      </c>
      <c r="AN21" s="104" t="s">
        <v>135</v>
      </c>
      <c r="AO21" s="87" t="s">
        <v>195</v>
      </c>
      <c r="AP21" s="88" t="e">
        <f ca="1">+AM21+U21*100</f>
        <v>#NAME?</v>
      </c>
      <c r="AQ21" s="148" t="e">
        <f ca="1">MAX(_xll.BDH(AO21,$AQ$39,$AO$1),1)</f>
        <v>#NAME?</v>
      </c>
      <c r="AR21" s="78" t="e">
        <f ca="1">+AQ21+U21*100</f>
        <v>#NAME?</v>
      </c>
      <c r="AS21" s="111" t="s">
        <v>174</v>
      </c>
      <c r="AT21" s="89">
        <f>INDEX(AT:AT,MATCH(AS21,A:A,0))</f>
        <v>5.5100000000000003E-2</v>
      </c>
      <c r="AU21" s="75">
        <f t="shared" si="2"/>
        <v>110</v>
      </c>
      <c r="AV21" s="73" t="e">
        <f t="shared" ca="1" si="3"/>
        <v>#NAME?</v>
      </c>
      <c r="AW21" s="79" t="e">
        <f t="shared" ca="1" si="4"/>
        <v>#NAME?</v>
      </c>
      <c r="AX21" s="80" t="e">
        <f ca="1">PRICE($C$1,E21,AP21/100,AV21,100,V21,W21)</f>
        <v>#NAME?</v>
      </c>
      <c r="AY21" s="80" t="e">
        <f ca="1">+PRICE($C$1,F21,AR21/100,AW21,S21,V21,W21)</f>
        <v>#NAME?</v>
      </c>
      <c r="AZ21" s="80" t="e">
        <f t="shared" ca="1" si="14"/>
        <v>#NAME?</v>
      </c>
    </row>
    <row r="22" spans="1:52" s="64" customFormat="1" x14ac:dyDescent="0.25">
      <c r="A22" s="98"/>
      <c r="B22" s="98"/>
      <c r="C22" s="155"/>
      <c r="D22" s="182">
        <v>42271</v>
      </c>
      <c r="E22" s="190">
        <v>44463</v>
      </c>
      <c r="F22" s="191">
        <f>$C$1+3</f>
        <v>42616</v>
      </c>
      <c r="G22" s="204">
        <f>EDATE($D22,12*$G$2)</f>
        <v>42637</v>
      </c>
      <c r="H22" s="203">
        <v>102</v>
      </c>
      <c r="I22" s="204">
        <f>EDATE($D22,12*$I$2)</f>
        <v>43002</v>
      </c>
      <c r="J22" s="203">
        <v>101</v>
      </c>
      <c r="K22" s="204">
        <f>EDATE($D22,12*$K$2)</f>
        <v>43367</v>
      </c>
      <c r="L22" s="203">
        <v>100</v>
      </c>
      <c r="M22" s="204"/>
      <c r="N22" s="203"/>
      <c r="O22" s="204"/>
      <c r="P22" s="203"/>
      <c r="Q22" s="204"/>
      <c r="R22" s="203"/>
      <c r="S22" s="202">
        <f t="shared" si="7"/>
        <v>102</v>
      </c>
      <c r="T22" s="183"/>
      <c r="U22" s="198">
        <v>7.0000000000000007E-2</v>
      </c>
      <c r="V22" s="217">
        <v>4</v>
      </c>
      <c r="W22" s="98">
        <v>2</v>
      </c>
      <c r="X22" s="184" t="e">
        <f ca="1">DURATION($C$1,E22,T22/100,AV22,V22,W22)</f>
        <v>#NAME?</v>
      </c>
      <c r="Y22" s="184" t="e">
        <f ca="1">DURATION($C$1,E22,T22/100,AV22,V22,W22)</f>
        <v>#NAME?</v>
      </c>
      <c r="Z22" s="200"/>
      <c r="AA22" s="200" t="s">
        <v>115</v>
      </c>
      <c r="AB22" s="200"/>
      <c r="AC22" s="201"/>
      <c r="AD22" s="201"/>
      <c r="AE22" s="122"/>
      <c r="AF22" s="160"/>
      <c r="AG22" s="223" t="str">
        <f>"USSW"&amp;ROUNDDOWN(DAYS360($C$1,E22)/360,0)</f>
        <v>USSW5</v>
      </c>
      <c r="AH22" s="51" t="str">
        <f t="shared" si="13"/>
        <v>USSW5 index</v>
      </c>
      <c r="AI22" s="211" t="e">
        <f ca="1">IF(_xll.BDH(AH22,$AI$2,$C$1)="#N/A Invalid Security",0,_xll.BDH(AH22,$AI$2,$C$1))</f>
        <v>#NAME?</v>
      </c>
      <c r="AJ22" s="51" t="str">
        <f>"USSW"&amp;ROUNDUP(DAYS360($C$1,E22)/360,0)</f>
        <v>USSW6</v>
      </c>
      <c r="AK22" s="51" t="str">
        <f t="shared" si="13"/>
        <v>USSW6 index</v>
      </c>
      <c r="AL22" s="211" t="e">
        <f ca="1">_xll.BDH(AK22,$AL$2,$C$1)</f>
        <v>#NAME?</v>
      </c>
      <c r="AM22" s="224" t="e">
        <f ca="1">(AL22-AI22)*((DAYS360($C$1,E22)/360)-ROUNDDOWN(DAYS360($C$1,E22)/360,0))+AI22</f>
        <v>#NAME?</v>
      </c>
      <c r="AN22" s="218" t="s">
        <v>135</v>
      </c>
      <c r="AO22" s="51" t="s">
        <v>195</v>
      </c>
      <c r="AP22" s="88" t="e">
        <f ca="1">+AM22+U22*100</f>
        <v>#NAME?</v>
      </c>
      <c r="AQ22" s="186" t="e">
        <f ca="1">MAX(_xll.BDH(AO22,$AQ$39,$AO$1),1)</f>
        <v>#NAME?</v>
      </c>
      <c r="AR22" s="185" t="e">
        <f ca="1">+AQ22+U22*100</f>
        <v>#NAME?</v>
      </c>
      <c r="AS22" s="111" t="s">
        <v>174</v>
      </c>
      <c r="AT22" s="187">
        <f>INDEX(AT:AT,MATCH(AS22,A:A,0))</f>
        <v>5.5100000000000003E-2</v>
      </c>
      <c r="AU22" s="75">
        <f t="shared" si="2"/>
        <v>110</v>
      </c>
      <c r="AV22" s="73" t="e">
        <f t="shared" ca="1" si="3"/>
        <v>#NAME?</v>
      </c>
      <c r="AW22" s="188" t="e">
        <f t="shared" ca="1" si="4"/>
        <v>#NAME?</v>
      </c>
      <c r="AX22" s="189" t="e">
        <f ca="1">PRICE($C$1,E22,AP22/100,AV22,100,V22,W22)</f>
        <v>#NAME?</v>
      </c>
      <c r="AY22" s="189" t="e">
        <f ca="1">+PRICE($C$1,F22,AR22/100,AW22,S22,V22,W22)</f>
        <v>#NAME?</v>
      </c>
      <c r="AZ22" s="189" t="e">
        <f t="shared" ref="AZ22:AZ35" ca="1" si="15">+MIN(AX22,AY22)</f>
        <v>#NAME?</v>
      </c>
    </row>
    <row r="23" spans="1:52" s="64" customFormat="1" x14ac:dyDescent="0.25">
      <c r="A23" s="98"/>
      <c r="B23" s="98"/>
      <c r="C23" s="155"/>
      <c r="D23" s="182">
        <v>42271</v>
      </c>
      <c r="E23" s="190">
        <v>44463</v>
      </c>
      <c r="F23" s="191">
        <f>$C$1+3</f>
        <v>42616</v>
      </c>
      <c r="G23" s="204">
        <f>EDATE($D23,12*$G$2)</f>
        <v>42637</v>
      </c>
      <c r="H23" s="203">
        <v>102</v>
      </c>
      <c r="I23" s="204">
        <f>EDATE($D23,12*$I$2)</f>
        <v>43002</v>
      </c>
      <c r="J23" s="203">
        <v>101</v>
      </c>
      <c r="K23" s="204">
        <f>EDATE($D23,12*$K$2)</f>
        <v>43367</v>
      </c>
      <c r="L23" s="203">
        <v>100</v>
      </c>
      <c r="M23" s="204"/>
      <c r="N23" s="203"/>
      <c r="O23" s="204"/>
      <c r="P23" s="203"/>
      <c r="Q23" s="204"/>
      <c r="R23" s="203"/>
      <c r="S23" s="202">
        <f t="shared" ref="S23:S24" si="16">IF(G23&gt;$C$1,H23,IF(I23&gt;$C$1,J23,IF(K23&gt;$C$1,L23,IF(M23&gt;$C$1,N23,IF(O23&gt;$C$1,P23,IF(Q23&gt;$C$1,R23,100))))))</f>
        <v>102</v>
      </c>
      <c r="T23" s="183"/>
      <c r="U23" s="198">
        <v>7.0000000000000007E-2</v>
      </c>
      <c r="V23" s="217">
        <v>4</v>
      </c>
      <c r="W23" s="98">
        <v>2</v>
      </c>
      <c r="X23" s="184" t="e">
        <f ca="1">DURATION($C$1,E23,T23/100,AV23,V23,W23)</f>
        <v>#NAME?</v>
      </c>
      <c r="Y23" s="184" t="e">
        <f ca="1">DURATION($C$1,E23,T23/100,AV23,V23,W23)</f>
        <v>#NAME?</v>
      </c>
      <c r="Z23" s="200"/>
      <c r="AA23" s="200" t="s">
        <v>115</v>
      </c>
      <c r="AB23" s="200"/>
      <c r="AC23" s="201"/>
      <c r="AD23" s="201"/>
      <c r="AE23" s="122"/>
      <c r="AF23" s="160"/>
      <c r="AG23" s="223" t="str">
        <f>"USSW"&amp;ROUNDDOWN(DAYS360($C$1,E23)/360,0)</f>
        <v>USSW5</v>
      </c>
      <c r="AH23" s="51" t="str">
        <f t="shared" ref="AH23:AK24" si="17">+AG23&amp;" index"</f>
        <v>USSW5 index</v>
      </c>
      <c r="AI23" s="211" t="e">
        <f ca="1">IF(_xll.BDH(AH23,$AI$2,$C$1)="#N/A Invalid Security",0,_xll.BDH(AH23,$AI$2,$C$1))</f>
        <v>#NAME?</v>
      </c>
      <c r="AJ23" s="51" t="str">
        <f>"USSW"&amp;ROUNDUP(DAYS360($C$1,E23)/360,0)</f>
        <v>USSW6</v>
      </c>
      <c r="AK23" s="51" t="str">
        <f t="shared" si="17"/>
        <v>USSW6 index</v>
      </c>
      <c r="AL23" s="211" t="e">
        <f ca="1">_xll.BDH(AK23,$AL$2,$C$1)</f>
        <v>#NAME?</v>
      </c>
      <c r="AM23" s="224" t="e">
        <f ca="1">(AL23-AI23)*((DAYS360($C$1,E23)/360)-ROUNDDOWN(DAYS360($C$1,E23)/360,0))+AI23</f>
        <v>#NAME?</v>
      </c>
      <c r="AN23" s="218" t="s">
        <v>135</v>
      </c>
      <c r="AO23" s="51" t="s">
        <v>195</v>
      </c>
      <c r="AP23" s="88" t="e">
        <f ca="1">+AM23+U23*100</f>
        <v>#NAME?</v>
      </c>
      <c r="AQ23" s="186" t="e">
        <f ca="1">MAX(_xll.BDH(AO23,$AQ$39,$AO$1),1)</f>
        <v>#NAME?</v>
      </c>
      <c r="AR23" s="185" t="e">
        <f ca="1">+AQ23+U23*100</f>
        <v>#NAME?</v>
      </c>
      <c r="AS23" s="111" t="s">
        <v>174</v>
      </c>
      <c r="AT23" s="187">
        <f>INDEX(AT:AT,MATCH(AS23,A:A,0))</f>
        <v>5.5100000000000003E-2</v>
      </c>
      <c r="AU23" s="75">
        <f t="shared" si="2"/>
        <v>110</v>
      </c>
      <c r="AV23" s="73" t="e">
        <f t="shared" ca="1" si="3"/>
        <v>#NAME?</v>
      </c>
      <c r="AW23" s="188" t="e">
        <f t="shared" ca="1" si="4"/>
        <v>#NAME?</v>
      </c>
      <c r="AX23" s="189" t="e">
        <f ca="1">PRICE($C$1,E23,AP23/100,AV23,100,V23,W23)</f>
        <v>#NAME?</v>
      </c>
      <c r="AY23" s="189" t="e">
        <f ca="1">+PRICE($C$1,F23,AR23/100,AW23,S23,V23,W23)</f>
        <v>#NAME?</v>
      </c>
      <c r="AZ23" s="189" t="e">
        <f t="shared" ref="AZ23:AZ24" ca="1" si="18">+MIN(AX23,AY23)</f>
        <v>#NAME?</v>
      </c>
    </row>
    <row r="24" spans="1:52" s="64" customFormat="1" x14ac:dyDescent="0.25">
      <c r="A24" s="98"/>
      <c r="B24" s="98"/>
      <c r="C24" s="155"/>
      <c r="D24" s="182">
        <v>42271</v>
      </c>
      <c r="E24" s="190">
        <v>44463</v>
      </c>
      <c r="F24" s="191">
        <f>$C$1+3</f>
        <v>42616</v>
      </c>
      <c r="G24" s="204">
        <f>EDATE($D24,12*$G$2)</f>
        <v>42637</v>
      </c>
      <c r="H24" s="203">
        <v>102</v>
      </c>
      <c r="I24" s="204">
        <f>EDATE($D24,12*$I$2)</f>
        <v>43002</v>
      </c>
      <c r="J24" s="203">
        <v>101</v>
      </c>
      <c r="K24" s="204">
        <f>EDATE($D24,12*$K$2)</f>
        <v>43367</v>
      </c>
      <c r="L24" s="203">
        <v>100</v>
      </c>
      <c r="M24" s="204"/>
      <c r="N24" s="203"/>
      <c r="O24" s="204"/>
      <c r="P24" s="203"/>
      <c r="Q24" s="204"/>
      <c r="R24" s="203"/>
      <c r="S24" s="202">
        <f t="shared" si="16"/>
        <v>102</v>
      </c>
      <c r="T24" s="183"/>
      <c r="U24" s="198">
        <v>7.0000000000000007E-2</v>
      </c>
      <c r="V24" s="217">
        <v>4</v>
      </c>
      <c r="W24" s="98">
        <v>2</v>
      </c>
      <c r="X24" s="184" t="e">
        <f ca="1">DURATION($C$1,E24,T24/100,AV24,V24,W24)</f>
        <v>#NAME?</v>
      </c>
      <c r="Y24" s="184" t="e">
        <f ca="1">DURATION($C$1,E24,T24/100,AV24,V24,W24)</f>
        <v>#NAME?</v>
      </c>
      <c r="Z24" s="200"/>
      <c r="AA24" s="200" t="s">
        <v>115</v>
      </c>
      <c r="AB24" s="200"/>
      <c r="AC24" s="201"/>
      <c r="AD24" s="201"/>
      <c r="AE24" s="122"/>
      <c r="AF24" s="160"/>
      <c r="AG24" s="223" t="str">
        <f>"USSW"&amp;ROUNDDOWN(DAYS360($C$1,E24)/360,0)</f>
        <v>USSW5</v>
      </c>
      <c r="AH24" s="51" t="str">
        <f t="shared" si="17"/>
        <v>USSW5 index</v>
      </c>
      <c r="AI24" s="211" t="e">
        <f ca="1">IF(_xll.BDH(AH24,$AI$2,$C$1)="#N/A Invalid Security",0,_xll.BDH(AH24,$AI$2,$C$1))</f>
        <v>#NAME?</v>
      </c>
      <c r="AJ24" s="51" t="str">
        <f>"USSW"&amp;ROUNDUP(DAYS360($C$1,E24)/360,0)</f>
        <v>USSW6</v>
      </c>
      <c r="AK24" s="51" t="str">
        <f t="shared" si="17"/>
        <v>USSW6 index</v>
      </c>
      <c r="AL24" s="211" t="e">
        <f ca="1">_xll.BDH(AK24,$AL$2,$C$1)</f>
        <v>#NAME?</v>
      </c>
      <c r="AM24" s="224" t="e">
        <f ca="1">(AL24-AI24)*((DAYS360($C$1,E24)/360)-ROUNDDOWN(DAYS360($C$1,E24)/360,0))+AI24</f>
        <v>#NAME?</v>
      </c>
      <c r="AN24" s="218" t="s">
        <v>135</v>
      </c>
      <c r="AO24" s="51" t="s">
        <v>195</v>
      </c>
      <c r="AP24" s="88" t="e">
        <f ca="1">+AM24+U24*100</f>
        <v>#NAME?</v>
      </c>
      <c r="AQ24" s="186" t="e">
        <f ca="1">MAX(_xll.BDH(AO24,$AQ$39,$AO$1),1)</f>
        <v>#NAME?</v>
      </c>
      <c r="AR24" s="185" t="e">
        <f ca="1">+AQ24+U24*100</f>
        <v>#NAME?</v>
      </c>
      <c r="AS24" s="111" t="s">
        <v>174</v>
      </c>
      <c r="AT24" s="187">
        <f>INDEX(AT:AT,MATCH(AS24,A:A,0))</f>
        <v>5.5100000000000003E-2</v>
      </c>
      <c r="AU24" s="75">
        <f t="shared" si="2"/>
        <v>110</v>
      </c>
      <c r="AV24" s="73" t="e">
        <f t="shared" ca="1" si="3"/>
        <v>#NAME?</v>
      </c>
      <c r="AW24" s="73" t="e">
        <f t="shared" ca="1" si="4"/>
        <v>#NAME?</v>
      </c>
      <c r="AX24" s="189" t="e">
        <f ca="1">PRICE($C$1,E24,AP24/100,AV24,100,V24,W24)</f>
        <v>#NAME?</v>
      </c>
      <c r="AY24" s="189" t="e">
        <f ca="1">+PRICE($C$1,F24,AR24/100,AW24,S24,V24,W24)</f>
        <v>#NAME?</v>
      </c>
      <c r="AZ24" s="189" t="e">
        <f t="shared" ca="1" si="18"/>
        <v>#NAME?</v>
      </c>
    </row>
    <row r="25" spans="1:52" s="64" customFormat="1" x14ac:dyDescent="0.25">
      <c r="A25" s="98"/>
      <c r="B25" s="98"/>
      <c r="C25" s="155"/>
      <c r="D25" s="182">
        <v>42223</v>
      </c>
      <c r="E25" s="190">
        <v>43040</v>
      </c>
      <c r="F25" s="191">
        <f>E25</f>
        <v>43040</v>
      </c>
      <c r="G25" s="192"/>
      <c r="H25" s="203"/>
      <c r="I25" s="192"/>
      <c r="J25" s="203"/>
      <c r="K25" s="204"/>
      <c r="L25" s="203"/>
      <c r="M25" s="204"/>
      <c r="N25" s="203"/>
      <c r="O25" s="204"/>
      <c r="P25" s="203"/>
      <c r="Q25" s="204"/>
      <c r="R25" s="203"/>
      <c r="S25" s="202">
        <f t="shared" si="7"/>
        <v>100</v>
      </c>
      <c r="T25" s="183">
        <v>8</v>
      </c>
      <c r="U25" s="198"/>
      <c r="V25" s="217">
        <v>4</v>
      </c>
      <c r="W25" s="98">
        <v>2</v>
      </c>
      <c r="X25" s="184" t="e">
        <f ca="1">DURATION($C$1,E25,T25/100,AV25,V25,W25)</f>
        <v>#NAME?</v>
      </c>
      <c r="Y25" s="184" t="e">
        <f ca="1">DURATION($C$1,E25,T25/100,AV25,V25,W25)</f>
        <v>#NAME?</v>
      </c>
      <c r="Z25" s="200"/>
      <c r="AA25" s="200"/>
      <c r="AB25" s="200"/>
      <c r="AC25" s="201"/>
      <c r="AD25" s="201"/>
      <c r="AE25" s="122"/>
      <c r="AF25" s="160"/>
      <c r="AG25" s="223" t="str">
        <f>"USSW"&amp;ROUNDDOWN(DAYS360($C$1,E25)/360,0)</f>
        <v>USSW1</v>
      </c>
      <c r="AH25" s="51" t="str">
        <f t="shared" si="13"/>
        <v>USSW1 index</v>
      </c>
      <c r="AI25" s="211" t="e">
        <f ca="1">IF(_xll.BDH(AH25,$AI$2,$C$1)="#N/A Invalid Security",0,_xll.BDH(AH25,$AI$2,$C$1))</f>
        <v>#NAME?</v>
      </c>
      <c r="AJ25" s="51" t="str">
        <f>"USSW"&amp;ROUNDUP(DAYS360($C$1,E25)/360,0)</f>
        <v>USSW2</v>
      </c>
      <c r="AK25" s="51" t="str">
        <f t="shared" si="13"/>
        <v>USSW2 index</v>
      </c>
      <c r="AL25" s="211" t="e">
        <f ca="1">_xll.BDH(AK25,$AL$2,$C$1)</f>
        <v>#NAME?</v>
      </c>
      <c r="AM25" s="224" t="e">
        <f ca="1">(AL25-AI25)*((DAYS360($C$1,E25)/360)-ROUNDDOWN(DAYS360($C$1,E25)/360,0))+AI25</f>
        <v>#NAME?</v>
      </c>
      <c r="AN25" s="218" t="s">
        <v>135</v>
      </c>
      <c r="AO25" s="51" t="s">
        <v>195</v>
      </c>
      <c r="AP25" s="88" t="e">
        <f ca="1">+AM25+U25*100</f>
        <v>#NAME?</v>
      </c>
      <c r="AQ25" s="186" t="e">
        <f ca="1">MAX(_xll.BDH(AO25,$AQ$39,$AO$1),1)</f>
        <v>#NAME?</v>
      </c>
      <c r="AR25" s="185" t="e">
        <f ca="1">+AQ25+U25*100</f>
        <v>#NAME?</v>
      </c>
      <c r="AS25" s="199" t="s">
        <v>213</v>
      </c>
      <c r="AT25" s="210">
        <f>AT13</f>
        <v>0.11282307843170099</v>
      </c>
      <c r="AU25" s="205">
        <f t="shared" si="2"/>
        <v>110</v>
      </c>
      <c r="AV25" s="73" t="e">
        <f t="shared" ca="1" si="3"/>
        <v>#NAME?</v>
      </c>
      <c r="AW25" s="73" t="e">
        <f t="shared" ca="1" si="4"/>
        <v>#NAME?</v>
      </c>
      <c r="AX25" s="80" t="e">
        <f ca="1">PRICE($C$1,E25,AP25/100,AV25,100,V25,W25)</f>
        <v>#NAME?</v>
      </c>
      <c r="AY25" s="80" t="e">
        <f ca="1">+PRICE($C$1,F25,AR25/100,AW25,S22,V25,W25)</f>
        <v>#NAME?</v>
      </c>
      <c r="AZ25" s="80" t="e">
        <f t="shared" ca="1" si="15"/>
        <v>#NAME?</v>
      </c>
    </row>
    <row r="26" spans="1:52" s="64" customFormat="1" x14ac:dyDescent="0.25">
      <c r="A26" s="98"/>
      <c r="B26" s="98"/>
      <c r="C26" s="155"/>
      <c r="D26" s="182">
        <v>42265</v>
      </c>
      <c r="E26" s="190">
        <v>44457</v>
      </c>
      <c r="F26" s="191">
        <f>$C$1+5</f>
        <v>42618</v>
      </c>
      <c r="G26" s="204">
        <f>EDATE($D26,12*$G$2)</f>
        <v>42631</v>
      </c>
      <c r="H26" s="203">
        <v>103</v>
      </c>
      <c r="I26" s="204">
        <f>EDATE($D26,12*$I$2)</f>
        <v>42996</v>
      </c>
      <c r="J26" s="203">
        <v>101.5</v>
      </c>
      <c r="K26" s="204">
        <f>EDATE($D26,12*$K$2)</f>
        <v>43361</v>
      </c>
      <c r="L26" s="203">
        <v>100</v>
      </c>
      <c r="M26" s="204"/>
      <c r="N26" s="203"/>
      <c r="O26" s="204"/>
      <c r="P26" s="203"/>
      <c r="Q26" s="204"/>
      <c r="R26" s="203"/>
      <c r="S26" s="202">
        <f t="shared" si="7"/>
        <v>103</v>
      </c>
      <c r="T26" s="183"/>
      <c r="U26" s="198">
        <v>6.5000000000000002E-2</v>
      </c>
      <c r="V26" s="217">
        <v>4</v>
      </c>
      <c r="W26" s="98">
        <v>2</v>
      </c>
      <c r="X26" s="184" t="e">
        <f ca="1">DURATION($C$1,E26,T26/100,AV26,V26,W26)</f>
        <v>#NAME?</v>
      </c>
      <c r="Y26" s="184" t="e">
        <f ca="1">DURATION($C$1,E26,T26/100,AV26,V26,W26)</f>
        <v>#NAME?</v>
      </c>
      <c r="Z26" s="200"/>
      <c r="AA26" s="200" t="s">
        <v>205</v>
      </c>
      <c r="AB26" s="200"/>
      <c r="AC26" s="201"/>
      <c r="AD26" s="201"/>
      <c r="AE26" s="122"/>
      <c r="AF26" s="160"/>
      <c r="AG26" s="223" t="str">
        <f>"USSW"&amp;ROUNDDOWN(DAYS360($C$1,E26)/360,0)</f>
        <v>USSW5</v>
      </c>
      <c r="AH26" s="51" t="str">
        <f t="shared" si="13"/>
        <v>USSW5 index</v>
      </c>
      <c r="AI26" s="211" t="e">
        <f ca="1">IF(_xll.BDH(AH26,$AI$2,$C$1)="#N/A Invalid Security",0,_xll.BDH(AH26,$AI$2,$C$1))</f>
        <v>#NAME?</v>
      </c>
      <c r="AJ26" s="51" t="str">
        <f>"USSW"&amp;ROUNDUP(DAYS360($C$1,E26)/360,0)</f>
        <v>USSW6</v>
      </c>
      <c r="AK26" s="51" t="str">
        <f t="shared" si="13"/>
        <v>USSW6 index</v>
      </c>
      <c r="AL26" s="211" t="e">
        <f ca="1">_xll.BDH(AK26,$AL$2,$C$1)</f>
        <v>#NAME?</v>
      </c>
      <c r="AM26" s="224" t="e">
        <f ca="1">(AL26-AI26)*((DAYS360($C$1,E26)/360)-ROUNDDOWN(DAYS360($C$1,E26)/360,0))+AI26</f>
        <v>#NAME?</v>
      </c>
      <c r="AN26" s="218" t="s">
        <v>135</v>
      </c>
      <c r="AO26" s="51" t="s">
        <v>195</v>
      </c>
      <c r="AP26" s="88" t="e">
        <f ca="1">+AM26+U26*100</f>
        <v>#NAME?</v>
      </c>
      <c r="AQ26" s="186" t="e">
        <f ca="1">MAX(_xll.BDH(AO26,$AQ$39,$AO$1),1)</f>
        <v>#NAME?</v>
      </c>
      <c r="AR26" s="185" t="e">
        <f ca="1">+AQ26+U26*100</f>
        <v>#NAME?</v>
      </c>
      <c r="AS26" s="111" t="s">
        <v>174</v>
      </c>
      <c r="AT26" s="187">
        <f>INDEX(AT:AT,MATCH(AS26,A:A,0))</f>
        <v>5.5100000000000003E-2</v>
      </c>
      <c r="AU26" s="205">
        <f t="shared" si="2"/>
        <v>110</v>
      </c>
      <c r="AV26" s="73" t="e">
        <f t="shared" ca="1" si="3"/>
        <v>#NAME?</v>
      </c>
      <c r="AW26" s="73" t="e">
        <f t="shared" ca="1" si="4"/>
        <v>#NAME?</v>
      </c>
      <c r="AX26" s="74" t="e">
        <f ca="1">PRICE($C$1,E26,AP26/100,AV26,100,V26,W26)</f>
        <v>#NAME?</v>
      </c>
      <c r="AY26" s="74" t="e">
        <f ca="1">+PRICE($C$1,F26,AR26/100,AW26,S26,V26,W26)</f>
        <v>#NAME?</v>
      </c>
      <c r="AZ26" s="74" t="e">
        <f t="shared" ca="1" si="15"/>
        <v>#NAME?</v>
      </c>
    </row>
    <row r="27" spans="1:52" s="64" customFormat="1" x14ac:dyDescent="0.25">
      <c r="A27" s="98"/>
      <c r="B27" s="98"/>
      <c r="C27" s="155"/>
      <c r="D27" s="182">
        <v>42265</v>
      </c>
      <c r="E27" s="190">
        <v>44457</v>
      </c>
      <c r="F27" s="191">
        <f>$C$1+5</f>
        <v>42618</v>
      </c>
      <c r="G27" s="204">
        <f>EDATE($D27,12*$G$2)</f>
        <v>42631</v>
      </c>
      <c r="H27" s="203">
        <v>103</v>
      </c>
      <c r="I27" s="204">
        <f>EDATE($D27,12*$I$2)</f>
        <v>42996</v>
      </c>
      <c r="J27" s="203">
        <v>101.5</v>
      </c>
      <c r="K27" s="204">
        <f>EDATE($D27,12*$K$2)</f>
        <v>43361</v>
      </c>
      <c r="L27" s="203">
        <v>100</v>
      </c>
      <c r="M27" s="204"/>
      <c r="N27" s="203"/>
      <c r="O27" s="204"/>
      <c r="P27" s="203"/>
      <c r="Q27" s="204"/>
      <c r="R27" s="203"/>
      <c r="S27" s="202">
        <f t="shared" si="7"/>
        <v>103</v>
      </c>
      <c r="T27" s="183"/>
      <c r="U27" s="198">
        <v>6.5000000000000002E-2</v>
      </c>
      <c r="V27" s="217">
        <v>4</v>
      </c>
      <c r="W27" s="98">
        <v>2</v>
      </c>
      <c r="X27" s="184" t="e">
        <f ca="1">DURATION($C$1,E27,T27/100,AV27,V27,W27)</f>
        <v>#NAME?</v>
      </c>
      <c r="Y27" s="184" t="e">
        <f ca="1">DURATION($C$1,E27,T27/100,AV27,V27,W27)</f>
        <v>#NAME?</v>
      </c>
      <c r="Z27" s="200"/>
      <c r="AA27" s="200" t="s">
        <v>205</v>
      </c>
      <c r="AB27" s="200"/>
      <c r="AC27" s="201"/>
      <c r="AD27" s="201"/>
      <c r="AE27" s="122"/>
      <c r="AF27" s="160"/>
      <c r="AG27" s="223" t="str">
        <f>"USSW"&amp;ROUNDDOWN(DAYS360($C$1,E27)/360,0)</f>
        <v>USSW5</v>
      </c>
      <c r="AH27" s="51" t="str">
        <f t="shared" si="13"/>
        <v>USSW5 index</v>
      </c>
      <c r="AI27" s="211" t="e">
        <f ca="1">IF(_xll.BDH(AH27,$AI$2,$C$1)="#N/A Invalid Security",0,_xll.BDH(AH27,$AI$2,$C$1))</f>
        <v>#NAME?</v>
      </c>
      <c r="AJ27" s="51" t="str">
        <f>"USSW"&amp;ROUNDUP(DAYS360($C$1,E27)/360,0)</f>
        <v>USSW6</v>
      </c>
      <c r="AK27" s="51" t="str">
        <f t="shared" si="13"/>
        <v>USSW6 index</v>
      </c>
      <c r="AL27" s="211" t="e">
        <f ca="1">_xll.BDH(AK27,$AL$2,$C$1)</f>
        <v>#NAME?</v>
      </c>
      <c r="AM27" s="224" t="e">
        <f ca="1">(AL27-AI27)*((DAYS360($C$1,E27)/360)-ROUNDDOWN(DAYS360($C$1,E27)/360,0))+AI27</f>
        <v>#NAME?</v>
      </c>
      <c r="AN27" s="218" t="s">
        <v>135</v>
      </c>
      <c r="AO27" s="51" t="s">
        <v>195</v>
      </c>
      <c r="AP27" s="88" t="e">
        <f ca="1">+AM27+U27*100</f>
        <v>#NAME?</v>
      </c>
      <c r="AQ27" s="186" t="e">
        <f ca="1">MAX(_xll.BDH(AO27,$AQ$39,$AO$1),1)</f>
        <v>#NAME?</v>
      </c>
      <c r="AR27" s="185" t="e">
        <f ca="1">+AQ27+U27*100</f>
        <v>#NAME?</v>
      </c>
      <c r="AS27" s="111" t="s">
        <v>174</v>
      </c>
      <c r="AT27" s="187">
        <f>INDEX(AT:AT,MATCH(AS27,A:A,0))</f>
        <v>5.5100000000000003E-2</v>
      </c>
      <c r="AU27" s="205">
        <f t="shared" si="2"/>
        <v>110</v>
      </c>
      <c r="AV27" s="73" t="e">
        <f t="shared" ca="1" si="3"/>
        <v>#NAME?</v>
      </c>
      <c r="AW27" s="73" t="e">
        <f t="shared" ca="1" si="4"/>
        <v>#NAME?</v>
      </c>
      <c r="AX27" s="74" t="e">
        <f ca="1">PRICE($C$1,E27,AP27/100,AV27,100,V27,W27)</f>
        <v>#NAME?</v>
      </c>
      <c r="AY27" s="74" t="e">
        <f ca="1">+PRICE($C$1,F27,AR27/100,AW27,S27,V27,W27)</f>
        <v>#NAME?</v>
      </c>
      <c r="AZ27" s="74" t="e">
        <f t="shared" ca="1" si="15"/>
        <v>#NAME?</v>
      </c>
    </row>
    <row r="28" spans="1:52" s="64" customFormat="1" x14ac:dyDescent="0.25">
      <c r="A28" s="98"/>
      <c r="B28" s="98"/>
      <c r="C28" s="155"/>
      <c r="D28" s="182">
        <v>42402</v>
      </c>
      <c r="E28" s="190">
        <v>44092</v>
      </c>
      <c r="F28" s="191">
        <f>$C$1+5</f>
        <v>42618</v>
      </c>
      <c r="G28" s="204">
        <f>EDATE($D28,12*$G$2)</f>
        <v>42768</v>
      </c>
      <c r="H28" s="203">
        <v>103</v>
      </c>
      <c r="I28" s="204">
        <f>EDATE($D28,12*$I$2)</f>
        <v>43133</v>
      </c>
      <c r="J28" s="203">
        <v>101.5</v>
      </c>
      <c r="K28" s="204">
        <f>EDATE($D28,12*$K$2)</f>
        <v>43498</v>
      </c>
      <c r="L28" s="203">
        <v>100</v>
      </c>
      <c r="M28" s="204"/>
      <c r="N28" s="203"/>
      <c r="O28" s="204"/>
      <c r="P28" s="203"/>
      <c r="Q28" s="204"/>
      <c r="R28" s="203"/>
      <c r="S28" s="202">
        <f t="shared" ref="S28" si="19">IF(G28&gt;$C$1,H28,IF(I28&gt;$C$1,J28,IF(K28&gt;$C$1,L28,IF(M28&gt;$C$1,N28,IF(O28&gt;$C$1,P28,IF(Q28&gt;$C$1,R28,100))))))</f>
        <v>103</v>
      </c>
      <c r="T28" s="183"/>
      <c r="U28" s="198">
        <v>6.5000000000000002E-2</v>
      </c>
      <c r="V28" s="217">
        <v>4</v>
      </c>
      <c r="W28" s="98">
        <v>2</v>
      </c>
      <c r="X28" s="184" t="e">
        <f ca="1">DURATION($C$1,E28,T28/100,AV28,V28,W28)</f>
        <v>#NAME?</v>
      </c>
      <c r="Y28" s="184" t="e">
        <f ca="1">DURATION($C$1,E28,T28/100,AV28,V28,W28)</f>
        <v>#NAME?</v>
      </c>
      <c r="Z28" s="200"/>
      <c r="AA28" s="200" t="s">
        <v>205</v>
      </c>
      <c r="AB28" s="200"/>
      <c r="AC28" s="201"/>
      <c r="AD28" s="201"/>
      <c r="AE28" s="122"/>
      <c r="AF28" s="160"/>
      <c r="AG28" s="223" t="str">
        <f>"USSW"&amp;ROUNDDOWN(DAYS360($C$1,E28)/360,0)</f>
        <v>USSW4</v>
      </c>
      <c r="AH28" s="51" t="str">
        <f t="shared" ref="AH28" si="20">+AG28&amp;" index"</f>
        <v>USSW4 index</v>
      </c>
      <c r="AI28" s="211" t="e">
        <f ca="1">IF(_xll.BDH(AH28,$AI$2,$C$1)="#N/A Invalid Security",0,_xll.BDH(AH28,$AI$2,$C$1))</f>
        <v>#NAME?</v>
      </c>
      <c r="AJ28" s="51" t="str">
        <f>"USSW"&amp;ROUNDUP(DAYS360($C$1,E28)/360,0)</f>
        <v>USSW5</v>
      </c>
      <c r="AK28" s="51" t="str">
        <f t="shared" ref="AK28" si="21">+AJ28&amp;" index"</f>
        <v>USSW5 index</v>
      </c>
      <c r="AL28" s="211" t="e">
        <f ca="1">_xll.BDH(AK28,$AL$2,$C$1)</f>
        <v>#NAME?</v>
      </c>
      <c r="AM28" s="224" t="e">
        <f ca="1">(AL28-AI28)*((DAYS360($C$1,E28)/360)-ROUNDDOWN(DAYS360($C$1,E28)/360,0))+AI28</f>
        <v>#NAME?</v>
      </c>
      <c r="AN28" s="218" t="s">
        <v>135</v>
      </c>
      <c r="AO28" s="51" t="s">
        <v>195</v>
      </c>
      <c r="AP28" s="88" t="e">
        <f ca="1">+AM28+U28*100</f>
        <v>#NAME?</v>
      </c>
      <c r="AQ28" s="186" t="e">
        <f ca="1">MAX(_xll.BDH(AO28,$AQ$39,$AO$1),1)</f>
        <v>#NAME?</v>
      </c>
      <c r="AR28" s="185" t="e">
        <f ca="1">+AQ28+U28*100</f>
        <v>#NAME?</v>
      </c>
      <c r="AS28" s="111" t="s">
        <v>174</v>
      </c>
      <c r="AT28" s="187">
        <f>INDEX(AT:AT,MATCH(AS28,A:A,0))</f>
        <v>5.5100000000000003E-2</v>
      </c>
      <c r="AU28" s="205">
        <f t="shared" si="2"/>
        <v>110</v>
      </c>
      <c r="AV28" s="73" t="e">
        <f t="shared" ca="1" si="3"/>
        <v>#NAME?</v>
      </c>
      <c r="AW28" s="73" t="e">
        <f t="shared" ca="1" si="4"/>
        <v>#NAME?</v>
      </c>
      <c r="AX28" s="74" t="e">
        <f ca="1">PRICE($C$1,E28,AP28/100,AV28,100,V28,W28)</f>
        <v>#NAME?</v>
      </c>
      <c r="AY28" s="74" t="e">
        <f ca="1">+PRICE($C$1,F28,AR28/100,AW28,S28,V28,W28)</f>
        <v>#NAME?</v>
      </c>
      <c r="AZ28" s="74" t="e">
        <f t="shared" ref="AZ28" ca="1" si="22">+MIN(AX28,AY28)</f>
        <v>#NAME?</v>
      </c>
    </row>
    <row r="29" spans="1:52" s="64" customFormat="1" x14ac:dyDescent="0.25">
      <c r="A29" s="98"/>
      <c r="B29" s="98"/>
      <c r="C29" s="155"/>
      <c r="D29" s="182">
        <v>42353</v>
      </c>
      <c r="E29" s="190">
        <v>42643</v>
      </c>
      <c r="F29" s="191">
        <f>C1+1</f>
        <v>42614</v>
      </c>
      <c r="G29" s="192"/>
      <c r="H29" s="203"/>
      <c r="I29" s="192"/>
      <c r="J29" s="203"/>
      <c r="K29" s="204"/>
      <c r="L29" s="203"/>
      <c r="M29" s="204"/>
      <c r="N29" s="203"/>
      <c r="O29" s="204"/>
      <c r="P29" s="203"/>
      <c r="Q29" s="204"/>
      <c r="R29" s="203"/>
      <c r="S29" s="202">
        <f t="shared" si="7"/>
        <v>100</v>
      </c>
      <c r="T29" s="183">
        <v>12</v>
      </c>
      <c r="U29" s="198"/>
      <c r="V29" s="217">
        <v>1</v>
      </c>
      <c r="W29" s="98">
        <v>0</v>
      </c>
      <c r="X29" s="184" t="e">
        <f ca="1">DURATION($C$1,E29,T29/100,AV29,V29,W29)</f>
        <v>#NAME?</v>
      </c>
      <c r="Y29" s="184" t="e">
        <f ca="1">DURATION($C$1,E29,T29/100,AV29,V29,W29)</f>
        <v>#NAME?</v>
      </c>
      <c r="Z29" s="200"/>
      <c r="AA29" s="200" t="s">
        <v>115</v>
      </c>
      <c r="AB29" s="200"/>
      <c r="AC29" s="201"/>
      <c r="AD29" s="201"/>
      <c r="AE29" s="122"/>
      <c r="AF29" s="160"/>
      <c r="AG29" s="223" t="str">
        <f>"USSW"&amp;ROUNDDOWN(DAYS360($C$1,E29)/360,0)</f>
        <v>USSW0</v>
      </c>
      <c r="AH29" s="51" t="str">
        <f t="shared" si="13"/>
        <v>USSW0 index</v>
      </c>
      <c r="AI29" s="211" t="e">
        <f ca="1">IF(_xll.BDH(AH29,$AI$2,$C$1)="#N/A Invalid Security",0,_xll.BDH(AH29,$AI$2,$C$1))</f>
        <v>#NAME?</v>
      </c>
      <c r="AJ29" s="51" t="str">
        <f>"USSW"&amp;ROUNDUP(DAYS360($C$1,E29)/360,0)</f>
        <v>USSW1</v>
      </c>
      <c r="AK29" s="51" t="str">
        <f t="shared" si="13"/>
        <v>USSW1 index</v>
      </c>
      <c r="AL29" s="211" t="e">
        <f ca="1">_xll.BDH(AK29,$AL$2,$C$1)</f>
        <v>#NAME?</v>
      </c>
      <c r="AM29" s="230" t="e">
        <f ca="1">(AL29-AI29)*((DAYS360($C$1,E29)/360)-ROUNDDOWN(DAYS360($C$1,E29)/360,0))+AI29</f>
        <v>#NAME?</v>
      </c>
      <c r="AN29" s="242" t="s">
        <v>135</v>
      </c>
      <c r="AO29" s="51" t="s">
        <v>195</v>
      </c>
      <c r="AP29" s="214" t="e">
        <f ca="1">+AM29+U29*100</f>
        <v>#NAME?</v>
      </c>
      <c r="AQ29" s="186" t="e">
        <f ca="1">MAX(_xll.BDH(AO29,$AQ$39,$AO$1),1)</f>
        <v>#NAME?</v>
      </c>
      <c r="AR29" s="185" t="e">
        <f ca="1">+AQ29+U29*100</f>
        <v>#NAME?</v>
      </c>
      <c r="AS29" s="199" t="s">
        <v>174</v>
      </c>
      <c r="AT29" s="210">
        <f>INDEX(AT:AT,MATCH(AS29,A:A,0))</f>
        <v>5.5100000000000003E-2</v>
      </c>
      <c r="AU29" s="205">
        <f t="shared" si="2"/>
        <v>110</v>
      </c>
      <c r="AV29" s="231" t="e">
        <f t="shared" ca="1" si="3"/>
        <v>#NAME?</v>
      </c>
      <c r="AW29" s="231" t="e">
        <f t="shared" ca="1" si="4"/>
        <v>#NAME?</v>
      </c>
      <c r="AX29" s="189" t="e">
        <f ca="1">PRICE($C$1,E29,T29/100,AV29,100,V29,W29)</f>
        <v>#NAME?</v>
      </c>
      <c r="AY29" s="189" t="e">
        <f ca="1">+PRICE($C$1,F29,T29/100,AW29,S29,V29,W29)</f>
        <v>#NAME?</v>
      </c>
      <c r="AZ29" s="189" t="e">
        <f t="shared" ca="1" si="15"/>
        <v>#NAME?</v>
      </c>
    </row>
    <row r="30" spans="1:52" s="64" customFormat="1" x14ac:dyDescent="0.25">
      <c r="A30" s="98"/>
      <c r="B30" s="98"/>
      <c r="C30" s="155"/>
      <c r="D30" s="182">
        <v>42321</v>
      </c>
      <c r="E30" s="190">
        <v>44148</v>
      </c>
      <c r="F30" s="191">
        <f>$C$1+5</f>
        <v>42618</v>
      </c>
      <c r="G30" s="192"/>
      <c r="H30" s="203"/>
      <c r="I30" s="192"/>
      <c r="J30" s="203"/>
      <c r="K30" s="204"/>
      <c r="L30" s="203"/>
      <c r="M30" s="204"/>
      <c r="N30" s="203"/>
      <c r="O30" s="204"/>
      <c r="P30" s="203"/>
      <c r="Q30" s="204"/>
      <c r="R30" s="203"/>
      <c r="S30" s="202">
        <f t="shared" si="7"/>
        <v>100</v>
      </c>
      <c r="T30" s="183">
        <v>10</v>
      </c>
      <c r="U30" s="198"/>
      <c r="V30" s="217">
        <v>4</v>
      </c>
      <c r="W30" s="98">
        <v>2</v>
      </c>
      <c r="X30" s="184" t="e">
        <f ca="1">DURATION($C$1,E30,T30/100,AV30,V30,W30)</f>
        <v>#NAME?</v>
      </c>
      <c r="Y30" s="184" t="e">
        <f ca="1">DURATION($C$1,E30,T30/100,AV30,V30,W30)</f>
        <v>#NAME?</v>
      </c>
      <c r="Z30" s="200"/>
      <c r="AA30" s="200" t="s">
        <v>115</v>
      </c>
      <c r="AB30" s="200"/>
      <c r="AC30" s="201"/>
      <c r="AD30" s="201"/>
      <c r="AE30" s="122"/>
      <c r="AF30" s="160"/>
      <c r="AG30" s="223" t="str">
        <f>"USSW"&amp;ROUNDDOWN(DAYS360($C$1,E30)/360,0)</f>
        <v>USSW4</v>
      </c>
      <c r="AH30" s="51" t="str">
        <f t="shared" si="13"/>
        <v>USSW4 index</v>
      </c>
      <c r="AI30" s="211" t="e">
        <f ca="1">IF(_xll.BDH(AH30,$AI$2,$C$1)="#N/A Invalid Security",0,_xll.BDH(AH30,$AI$2,$C$1))</f>
        <v>#NAME?</v>
      </c>
      <c r="AJ30" s="51" t="str">
        <f>"USSW"&amp;ROUNDUP(DAYS360($C$1,E30)/360,0)</f>
        <v>USSW5</v>
      </c>
      <c r="AK30" s="51" t="str">
        <f t="shared" si="13"/>
        <v>USSW5 index</v>
      </c>
      <c r="AL30" s="211" t="e">
        <f ca="1">_xll.BDH(AK30,$AL$2,$C$1)</f>
        <v>#NAME?</v>
      </c>
      <c r="AM30" s="224" t="e">
        <f ca="1">(AL30-AI30)*((DAYS360($C$1,E30)/360)-ROUNDDOWN(DAYS360($C$1,E30)/360,0))+AI30</f>
        <v>#NAME?</v>
      </c>
      <c r="AN30" s="218" t="s">
        <v>135</v>
      </c>
      <c r="AO30" s="51" t="s">
        <v>195</v>
      </c>
      <c r="AP30" s="88" t="e">
        <f ca="1">+AM30+U30*100</f>
        <v>#NAME?</v>
      </c>
      <c r="AQ30" s="186" t="e">
        <f ca="1">MAX(_xll.BDH(AO30,$AQ$39,$AO$1),1)</f>
        <v>#NAME?</v>
      </c>
      <c r="AR30" s="185" t="e">
        <f ca="1">+AQ30+U30*100</f>
        <v>#NAME?</v>
      </c>
      <c r="AS30" s="199" t="s">
        <v>174</v>
      </c>
      <c r="AT30" s="210">
        <f>INDEX(AT:AT,MATCH(AS30,A:A,0))</f>
        <v>5.5100000000000003E-2</v>
      </c>
      <c r="AU30" s="205">
        <f t="shared" si="2"/>
        <v>110</v>
      </c>
      <c r="AV30" s="73" t="e">
        <f t="shared" ca="1" si="3"/>
        <v>#NAME?</v>
      </c>
      <c r="AW30" s="73" t="e">
        <f t="shared" ca="1" si="4"/>
        <v>#NAME?</v>
      </c>
      <c r="AX30" s="80" t="e">
        <f ca="1">PRICE($C$1,E30,T30/100,AV30,100,V30,W30)</f>
        <v>#NAME?</v>
      </c>
      <c r="AY30" s="80" t="e">
        <f ca="1">+PRICE($C$1,F30,T30/100,AW30,S30,V30,W30)</f>
        <v>#NAME?</v>
      </c>
      <c r="AZ30" s="80" t="e">
        <f t="shared" ca="1" si="15"/>
        <v>#NAME?</v>
      </c>
    </row>
    <row r="31" spans="1:52" s="31" customFormat="1" x14ac:dyDescent="0.25">
      <c r="A31" s="218"/>
      <c r="B31" s="218"/>
      <c r="C31" s="249"/>
      <c r="D31" s="182">
        <v>42361</v>
      </c>
      <c r="E31" s="190">
        <v>44918</v>
      </c>
      <c r="F31" s="191">
        <f>$C$1+1</f>
        <v>42614</v>
      </c>
      <c r="G31" s="281">
        <v>42727</v>
      </c>
      <c r="H31" s="203">
        <v>105</v>
      </c>
      <c r="I31" s="281">
        <v>43092</v>
      </c>
      <c r="J31" s="203">
        <v>103</v>
      </c>
      <c r="K31" s="281">
        <v>43457</v>
      </c>
      <c r="L31" s="203">
        <v>101</v>
      </c>
      <c r="M31" s="204"/>
      <c r="N31" s="203"/>
      <c r="O31" s="204"/>
      <c r="P31" s="203"/>
      <c r="Q31" s="204"/>
      <c r="R31" s="203"/>
      <c r="S31" s="202">
        <f t="shared" si="7"/>
        <v>105</v>
      </c>
      <c r="T31" s="277"/>
      <c r="U31" s="198">
        <v>7.4999999999999997E-2</v>
      </c>
      <c r="V31" s="278">
        <v>4</v>
      </c>
      <c r="W31" s="218">
        <v>2</v>
      </c>
      <c r="X31" s="199" t="e">
        <f ca="1">DURATION($C$1,E31,T31/100,AV31,V31,W31)</f>
        <v>#NAME?</v>
      </c>
      <c r="Y31" s="199" t="e">
        <f ca="1">DURATION($C$1,E31,T31/100,AV31,V31,W31)</f>
        <v>#NAME?</v>
      </c>
      <c r="Z31" s="200"/>
      <c r="AA31" s="200" t="s">
        <v>204</v>
      </c>
      <c r="AB31" s="200"/>
      <c r="AC31" s="201"/>
      <c r="AD31" s="201"/>
      <c r="AE31" s="122"/>
      <c r="AF31" s="201"/>
      <c r="AG31" s="279" t="str">
        <f>"USSW"&amp;ROUNDDOWN(DAYS360($C$1,E31)/360,0)</f>
        <v>USSW6</v>
      </c>
      <c r="AH31" s="212" t="str">
        <f t="shared" si="13"/>
        <v>USSW6 index</v>
      </c>
      <c r="AI31" s="253" t="e">
        <f ca="1">IF(_xll.BDH(AH31,$AI$2,$C$1)="#N/A Invalid Security",0,_xll.BDH(AH31,$AI$2,$C$1))</f>
        <v>#NAME?</v>
      </c>
      <c r="AJ31" s="212" t="str">
        <f>"USSW"&amp;ROUNDUP(DAYS360($C$1,E31)/360,0)</f>
        <v>USSW7</v>
      </c>
      <c r="AK31" s="212" t="str">
        <f t="shared" si="13"/>
        <v>USSW7 index</v>
      </c>
      <c r="AL31" s="253" t="e">
        <f ca="1">_xll.BDH(AK31,$AL$2,$C$1)</f>
        <v>#NAME?</v>
      </c>
      <c r="AM31" s="280" t="e">
        <f ca="1">(AL31-AI31)*((DAYS360($C$1,E31)/360)-ROUNDDOWN(DAYS360($C$1,E31)/360,0))+AI31</f>
        <v>#NAME?</v>
      </c>
      <c r="AN31" s="218" t="s">
        <v>135</v>
      </c>
      <c r="AO31" s="212" t="s">
        <v>195</v>
      </c>
      <c r="AP31" s="78" t="e">
        <f ca="1">+AM31+U31*100</f>
        <v>#NAME?</v>
      </c>
      <c r="AQ31" s="186" t="e">
        <f ca="1">MAX(_xll.BDH(AO31,$AQ$39,$AO$1),1)</f>
        <v>#NAME?</v>
      </c>
      <c r="AR31" s="185" t="e">
        <f ca="1">+AQ31+U31*100</f>
        <v>#NAME?</v>
      </c>
      <c r="AS31" s="199" t="s">
        <v>174</v>
      </c>
      <c r="AT31" s="210">
        <f>INDEX(AT:AT,MATCH(AS31,A:A,0))</f>
        <v>5.5100000000000003E-2</v>
      </c>
      <c r="AU31" s="205">
        <f t="shared" si="2"/>
        <v>110</v>
      </c>
      <c r="AV31" s="79" t="e">
        <f t="shared" ca="1" si="3"/>
        <v>#NAME?</v>
      </c>
      <c r="AW31" s="79" t="e">
        <f t="shared" ca="1" si="4"/>
        <v>#NAME?</v>
      </c>
      <c r="AX31" s="80" t="e">
        <f ca="1">PRICE($C$1,E31,AP31/100,AV31,100,V31,W31)</f>
        <v>#NAME?</v>
      </c>
      <c r="AY31" s="80" t="e">
        <f ca="1">+PRICE($C$1,F31,AR31/100,AW31,S31,V31,W31)</f>
        <v>#NAME?</v>
      </c>
      <c r="AZ31" s="80" t="e">
        <f t="shared" ca="1" si="15"/>
        <v>#NAME?</v>
      </c>
    </row>
    <row r="32" spans="1:52" s="31" customFormat="1" x14ac:dyDescent="0.25">
      <c r="A32" s="218"/>
      <c r="B32" s="218"/>
      <c r="C32" s="249"/>
      <c r="D32" s="182">
        <v>42361</v>
      </c>
      <c r="E32" s="190">
        <v>42825</v>
      </c>
      <c r="F32" s="191">
        <f>$C$1+1</f>
        <v>42614</v>
      </c>
      <c r="G32" s="281">
        <v>42727</v>
      </c>
      <c r="H32" s="203">
        <v>105</v>
      </c>
      <c r="I32" s="281">
        <v>43092</v>
      </c>
      <c r="J32" s="203">
        <v>103</v>
      </c>
      <c r="K32" s="281">
        <v>43457</v>
      </c>
      <c r="L32" s="203">
        <v>101</v>
      </c>
      <c r="M32" s="204"/>
      <c r="N32" s="203"/>
      <c r="O32" s="204"/>
      <c r="P32" s="203"/>
      <c r="Q32" s="204"/>
      <c r="R32" s="203"/>
      <c r="S32" s="202">
        <f t="shared" ref="S32" si="23">IF(G32&gt;$C$1,H32,IF(I32&gt;$C$1,J32,IF(K32&gt;$C$1,L32,IF(M32&gt;$C$1,N32,IF(O32&gt;$C$1,P32,IF(Q32&gt;$C$1,R32,100))))))</f>
        <v>105</v>
      </c>
      <c r="T32" s="277"/>
      <c r="U32" s="198">
        <v>7.4999999999999997E-2</v>
      </c>
      <c r="V32" s="278">
        <v>4</v>
      </c>
      <c r="W32" s="218">
        <v>2</v>
      </c>
      <c r="X32" s="199" t="e">
        <f ca="1">DURATION($C$1,E32,T32/100,AV32,V32,W32)</f>
        <v>#NAME?</v>
      </c>
      <c r="Y32" s="199" t="e">
        <f ca="1">DURATION($C$1,E32,T32/100,AV32,V32,W32)</f>
        <v>#NAME?</v>
      </c>
      <c r="Z32" s="200"/>
      <c r="AA32" s="200" t="s">
        <v>204</v>
      </c>
      <c r="AB32" s="200"/>
      <c r="AC32" s="201"/>
      <c r="AD32" s="201"/>
      <c r="AE32" s="122"/>
      <c r="AF32" s="201"/>
      <c r="AG32" s="279" t="str">
        <f>"USSW"&amp;ROUNDDOWN(DAYS360($C$1,E32)/360,0)</f>
        <v>USSW0</v>
      </c>
      <c r="AH32" s="212" t="str">
        <f t="shared" ref="AH32" si="24">+AG32&amp;" index"</f>
        <v>USSW0 index</v>
      </c>
      <c r="AI32" s="253" t="e">
        <f ca="1">IF(_xll.BDH(AH32,$AI$2,$C$1)="#N/A Invalid Security",0,_xll.BDH(AH32,$AI$2,$C$1))</f>
        <v>#NAME?</v>
      </c>
      <c r="AJ32" s="212" t="str">
        <f>"USSW"&amp;ROUNDUP(DAYS360($C$1,E32)/360,0)</f>
        <v>USSW1</v>
      </c>
      <c r="AK32" s="212" t="str">
        <f t="shared" ref="AK32" si="25">+AJ32&amp;" index"</f>
        <v>USSW1 index</v>
      </c>
      <c r="AL32" s="253" t="e">
        <f ca="1">_xll.BDH(AK32,$AL$2,$C$1)</f>
        <v>#NAME?</v>
      </c>
      <c r="AM32" s="280" t="e">
        <f ca="1">(AL32-AI32)*((DAYS360($C$1,E32)/360)-ROUNDDOWN(DAYS360($C$1,E32)/360,0))+AI32</f>
        <v>#NAME?</v>
      </c>
      <c r="AN32" s="218" t="s">
        <v>135</v>
      </c>
      <c r="AO32" s="212" t="s">
        <v>195</v>
      </c>
      <c r="AP32" s="78" t="e">
        <f ca="1">+AM32+U32*100</f>
        <v>#NAME?</v>
      </c>
      <c r="AQ32" s="186" t="e">
        <f ca="1">MAX(_xll.BDH(AO32,$AQ$39,$AO$1),1)</f>
        <v>#NAME?</v>
      </c>
      <c r="AR32" s="185" t="e">
        <f ca="1">+AQ32+U32*100</f>
        <v>#NAME?</v>
      </c>
      <c r="AS32" s="199" t="s">
        <v>242</v>
      </c>
      <c r="AT32" s="210">
        <f>INDEX(AT:AT,MATCH(AS32,A:A,0))</f>
        <v>4.8618113473345E-2</v>
      </c>
      <c r="AU32" s="205">
        <f t="shared" si="2"/>
        <v>110</v>
      </c>
      <c r="AV32" s="79" t="e">
        <f t="shared" ref="AV32" ca="1" si="26">(+AM32/100+AT32+AU32/10000)</f>
        <v>#NAME?</v>
      </c>
      <c r="AW32" s="79" t="e">
        <f t="shared" ref="AW32" ca="1" si="27">(+AQ32/100+AT32+AU32/10000)</f>
        <v>#NAME?</v>
      </c>
      <c r="AX32" s="80" t="e">
        <f ca="1">PRICE($C$1,E32,AP32/100,AV32,100,V32,W32)</f>
        <v>#NAME?</v>
      </c>
      <c r="AY32" s="80" t="e">
        <f ca="1">+PRICE($C$1,F32,AR32/100,AW32,S32,V32,W32)</f>
        <v>#NAME?</v>
      </c>
      <c r="AZ32" s="80" t="e">
        <f t="shared" ref="AZ32" ca="1" si="28">+MIN(AX32,AY32)</f>
        <v>#NAME?</v>
      </c>
    </row>
    <row r="33" spans="1:52" s="64" customFormat="1" x14ac:dyDescent="0.25">
      <c r="A33" s="98"/>
      <c r="B33" s="98"/>
      <c r="C33" s="155"/>
      <c r="D33" s="182">
        <v>42352</v>
      </c>
      <c r="E33" s="190">
        <v>43334</v>
      </c>
      <c r="F33" s="191">
        <f>$C$1+3</f>
        <v>42616</v>
      </c>
      <c r="G33" s="204">
        <f>EDATE($D33,12*$G$2)</f>
        <v>42718</v>
      </c>
      <c r="H33" s="203">
        <v>102</v>
      </c>
      <c r="I33" s="204">
        <f>EDATE($D33,12*$I$2)</f>
        <v>43083</v>
      </c>
      <c r="J33" s="203">
        <v>101</v>
      </c>
      <c r="K33" s="204">
        <f>EDATE($D33,12*$K$2)</f>
        <v>43448</v>
      </c>
      <c r="L33" s="203">
        <v>100</v>
      </c>
      <c r="M33" s="204"/>
      <c r="N33" s="203"/>
      <c r="O33" s="204"/>
      <c r="P33" s="203"/>
      <c r="Q33" s="204"/>
      <c r="R33" s="203"/>
      <c r="S33" s="202">
        <f t="shared" si="7"/>
        <v>102</v>
      </c>
      <c r="T33" s="183"/>
      <c r="U33" s="198">
        <v>9.5000000000000001E-2</v>
      </c>
      <c r="V33" s="217">
        <v>4</v>
      </c>
      <c r="W33" s="98">
        <v>2</v>
      </c>
      <c r="X33" s="184" t="e">
        <f ca="1">DURATION($C$1,E33,T33/100,AV33,V33,W33)/3</f>
        <v>#NAME?</v>
      </c>
      <c r="Y33" s="184" t="e">
        <f ca="1">DURATION($C$1,E33,T33/100,AV33,V33,W33)/3</f>
        <v>#NAME?</v>
      </c>
      <c r="Z33" s="200"/>
      <c r="AA33" s="200"/>
      <c r="AB33" s="200"/>
      <c r="AC33" s="201"/>
      <c r="AD33" s="201"/>
      <c r="AE33" s="122"/>
      <c r="AF33" s="160"/>
      <c r="AG33" s="223" t="str">
        <f>"USSW"&amp;ROUNDDOWN(DAYS360($C$1,E33)/360,0)</f>
        <v>USSW1</v>
      </c>
      <c r="AH33" s="51" t="str">
        <f t="shared" si="13"/>
        <v>USSW1 index</v>
      </c>
      <c r="AI33" s="211" t="e">
        <f ca="1">IF(_xll.BDH(AH33,$AI$2,$C$1)="#N/A Invalid Security",0,_xll.BDH(AH33,$AI$2,$C$1))</f>
        <v>#NAME?</v>
      </c>
      <c r="AJ33" s="51" t="str">
        <f>"USSW"&amp;ROUNDUP(DAYS360($C$1,E33)/360,0)</f>
        <v>USSW2</v>
      </c>
      <c r="AK33" s="51" t="str">
        <f t="shared" si="13"/>
        <v>USSW2 index</v>
      </c>
      <c r="AL33" s="211" t="e">
        <f ca="1">_xll.BDH(AK33,$AL$2,$C$1)</f>
        <v>#NAME?</v>
      </c>
      <c r="AM33" s="224" t="e">
        <f ca="1">(AL33-AI33)*((DAYS360($C$1,E33)/360)-ROUNDDOWN(DAYS360($C$1,E33)/360,0))+AI33</f>
        <v>#NAME?</v>
      </c>
      <c r="AN33" s="218" t="s">
        <v>135</v>
      </c>
      <c r="AO33" s="51" t="s">
        <v>195</v>
      </c>
      <c r="AP33" s="88" t="e">
        <f ca="1">+AM33+U33*100</f>
        <v>#NAME?</v>
      </c>
      <c r="AQ33" s="186" t="e">
        <f ca="1">MAX(_xll.BDH(AO33,$AQ$39,$AO$1),1)</f>
        <v>#NAME?</v>
      </c>
      <c r="AR33" s="185" t="e">
        <f ca="1">MAX(+AQ33,1.5)+U33*100</f>
        <v>#NAME?</v>
      </c>
      <c r="AS33" s="116" t="s">
        <v>173</v>
      </c>
      <c r="AT33" s="210">
        <f>INDEX(AT:AT,MATCH(AS33,A:A,0))</f>
        <v>7.7399999999999997E-2</v>
      </c>
      <c r="AU33" s="75">
        <f t="shared" si="2"/>
        <v>110</v>
      </c>
      <c r="AV33" s="73" t="e">
        <f t="shared" ca="1" si="3"/>
        <v>#NAME?</v>
      </c>
      <c r="AW33" s="73" t="e">
        <f t="shared" ca="1" si="4"/>
        <v>#NAME?</v>
      </c>
      <c r="AX33" s="80" t="e">
        <f ca="1">PRICE($C$1,E33,AP33/100,AV33,100,V33,W33)</f>
        <v>#NAME?</v>
      </c>
      <c r="AY33" s="80" t="e">
        <f ca="1">+PRICE($C$1,F33,AR33/100,AW33,S33,V33,W33)</f>
        <v>#NAME?</v>
      </c>
      <c r="AZ33" s="80" t="e">
        <f t="shared" ca="1" si="15"/>
        <v>#NAME?</v>
      </c>
    </row>
    <row r="34" spans="1:52" s="64" customFormat="1" x14ac:dyDescent="0.25">
      <c r="A34" s="98"/>
      <c r="B34" s="98"/>
      <c r="C34" s="155"/>
      <c r="D34" s="182">
        <v>42395</v>
      </c>
      <c r="E34" s="190">
        <v>43691</v>
      </c>
      <c r="F34" s="191">
        <f>$C$1+1</f>
        <v>42614</v>
      </c>
      <c r="G34" s="204"/>
      <c r="H34" s="203"/>
      <c r="I34" s="204"/>
      <c r="J34" s="203"/>
      <c r="K34" s="204"/>
      <c r="L34" s="203"/>
      <c r="M34" s="204"/>
      <c r="N34" s="203"/>
      <c r="O34" s="204"/>
      <c r="P34" s="203"/>
      <c r="Q34" s="204"/>
      <c r="R34" s="203"/>
      <c r="S34" s="202">
        <f t="shared" si="7"/>
        <v>100</v>
      </c>
      <c r="T34" s="183"/>
      <c r="U34" s="198">
        <v>3.5000000000000003E-2</v>
      </c>
      <c r="V34" s="217">
        <v>4</v>
      </c>
      <c r="W34" s="98">
        <v>2</v>
      </c>
      <c r="X34" s="184" t="e">
        <f ca="1">DURATION($C$1,E34,T34/100,AV34,V34,W34)/3</f>
        <v>#NAME?</v>
      </c>
      <c r="Y34" s="184" t="e">
        <f ca="1">DURATION($C$1,E34,T34/100,AV34,V34,W34)/3</f>
        <v>#NAME?</v>
      </c>
      <c r="Z34" s="200"/>
      <c r="AA34" s="200"/>
      <c r="AB34" s="200" t="s">
        <v>217</v>
      </c>
      <c r="AC34" s="201" t="s">
        <v>115</v>
      </c>
      <c r="AD34" s="201"/>
      <c r="AE34" s="122"/>
      <c r="AF34" s="229"/>
      <c r="AG34" s="228" t="str">
        <f>"USSW"&amp;ROUNDDOWN(DAYS360($C$1,E34)/360,0)</f>
        <v>USSW2</v>
      </c>
      <c r="AH34" s="51" t="str">
        <f t="shared" si="13"/>
        <v>USSW2 index</v>
      </c>
      <c r="AI34" s="211" t="e">
        <f ca="1">IF(_xll.BDH(AH34,$AI$2,$C$1)="#N/A Invalid Security",0,_xll.BDH(AH34,$AI$2,$C$1))</f>
        <v>#NAME?</v>
      </c>
      <c r="AJ34" s="51" t="str">
        <f>"USSW"&amp;ROUNDUP(DAYS360($C$1,E34)/360,0)</f>
        <v>USSW3</v>
      </c>
      <c r="AK34" s="51" t="str">
        <f t="shared" si="13"/>
        <v>USSW3 index</v>
      </c>
      <c r="AL34" s="211" t="e">
        <f ca="1">_xll.BDH(AK34,$AL$2,$C$1)</f>
        <v>#NAME?</v>
      </c>
      <c r="AM34" s="224" t="e">
        <f ca="1">(AL34-AI34)*((DAYS360($C$1,E34)/360)-ROUNDDOWN(DAYS360($C$1,E34)/360,0))+AI34</f>
        <v>#NAME?</v>
      </c>
      <c r="AN34" s="218" t="s">
        <v>135</v>
      </c>
      <c r="AO34" s="51" t="s">
        <v>195</v>
      </c>
      <c r="AP34" s="88" t="e">
        <f ca="1">+AM34+U34*100</f>
        <v>#NAME?</v>
      </c>
      <c r="AQ34" s="186" t="e">
        <f ca="1">MAX(_xll.BDH(AO34,$AQ$39,$AO$1),1)</f>
        <v>#NAME?</v>
      </c>
      <c r="AR34" s="185" t="e">
        <f ca="1">MAX(+AQ34,1.5)+U34*100</f>
        <v>#NAME?</v>
      </c>
      <c r="AS34" s="199" t="s">
        <v>218</v>
      </c>
      <c r="AT34" s="210">
        <f>INDEX(AT:AT,MATCH(AS34,A:A,0))</f>
        <v>3.8100000000000002E-2</v>
      </c>
      <c r="AU34" s="75">
        <f t="shared" si="2"/>
        <v>110</v>
      </c>
      <c r="AV34" s="73" t="e">
        <f t="shared" ca="1" si="3"/>
        <v>#NAME?</v>
      </c>
      <c r="AW34" s="73" t="e">
        <f t="shared" ca="1" si="4"/>
        <v>#NAME?</v>
      </c>
      <c r="AX34" s="80" t="e">
        <f ca="1">PRICE($C$1,E34,AP34/100,AV34,100,V34,W34)</f>
        <v>#NAME?</v>
      </c>
      <c r="AY34" s="80" t="e">
        <f ca="1">+PRICE($C$1,F34,AR34/100,AW34,S34,V34,W34)</f>
        <v>#NAME?</v>
      </c>
      <c r="AZ34" s="80" t="e">
        <f t="shared" ca="1" si="15"/>
        <v>#NAME?</v>
      </c>
    </row>
    <row r="35" spans="1:52" s="64" customFormat="1" x14ac:dyDescent="0.25">
      <c r="A35" s="98"/>
      <c r="B35" s="98"/>
      <c r="C35" s="155"/>
      <c r="D35" s="182">
        <v>42509</v>
      </c>
      <c r="E35" s="190">
        <v>44357</v>
      </c>
      <c r="F35" s="191">
        <f>C1+5</f>
        <v>42618</v>
      </c>
      <c r="G35" s="204"/>
      <c r="H35" s="203"/>
      <c r="I35" s="204"/>
      <c r="J35" s="203"/>
      <c r="K35" s="204"/>
      <c r="L35" s="203"/>
      <c r="M35" s="204"/>
      <c r="N35" s="203"/>
      <c r="O35" s="204"/>
      <c r="P35" s="203"/>
      <c r="Q35" s="204"/>
      <c r="R35" s="203"/>
      <c r="S35" s="202">
        <f t="shared" si="7"/>
        <v>100</v>
      </c>
      <c r="T35" s="183"/>
      <c r="U35" s="198">
        <v>7.0000000000000007E-2</v>
      </c>
      <c r="V35" s="217">
        <v>4</v>
      </c>
      <c r="W35" s="98">
        <v>2</v>
      </c>
      <c r="X35" s="184" t="e">
        <f ca="1">DURATION($C$1,E35,T35/100,AV35,V35,W35)/3</f>
        <v>#NAME?</v>
      </c>
      <c r="Y35" s="184" t="e">
        <f ca="1">DURATION($C$1,E35,T35/100,AV35,V35,W35)/3</f>
        <v>#NAME?</v>
      </c>
      <c r="Z35" s="200"/>
      <c r="AA35" s="200"/>
      <c r="AB35" s="200" t="s">
        <v>226</v>
      </c>
      <c r="AC35" s="201"/>
      <c r="AD35" s="201"/>
      <c r="AE35" s="122"/>
      <c r="AF35" s="160"/>
      <c r="AG35" s="223" t="str">
        <f>"USSW"&amp;ROUNDDOWN(DAYS360($C$1,E35)/360,0)</f>
        <v>USSW4</v>
      </c>
      <c r="AH35" s="51" t="str">
        <f t="shared" si="13"/>
        <v>USSW4 index</v>
      </c>
      <c r="AI35" s="211" t="e">
        <f ca="1">IF(_xll.BDH(AH35,$AI$2,$C$1)="#N/A Invalid Security",0,_xll.BDH(AH35,$AI$2,$C$1))</f>
        <v>#NAME?</v>
      </c>
      <c r="AJ35" s="51" t="str">
        <f>"USSW"&amp;ROUNDUP(DAYS360($C$1,E35)/360,0)</f>
        <v>USSW5</v>
      </c>
      <c r="AK35" s="51" t="str">
        <f t="shared" si="13"/>
        <v>USSW5 index</v>
      </c>
      <c r="AL35" s="211" t="e">
        <f ca="1">_xll.BDH(AK35,$AL$2,$C$1)</f>
        <v>#NAME?</v>
      </c>
      <c r="AM35" s="224" t="e">
        <f ca="1">(AL35-AI35)*((DAYS360($C$1,E35)/360)-ROUNDDOWN(DAYS360($C$1,E35)/360,0))+AI35</f>
        <v>#NAME?</v>
      </c>
      <c r="AN35" s="218" t="s">
        <v>135</v>
      </c>
      <c r="AO35" s="51" t="s">
        <v>195</v>
      </c>
      <c r="AP35" s="88" t="e">
        <f ca="1">+AM35+U35*100</f>
        <v>#NAME?</v>
      </c>
      <c r="AQ35" s="186" t="e">
        <f ca="1">MAX(_xll.BDH(AO35,$AQ$39,$AO$1),1)</f>
        <v>#NAME?</v>
      </c>
      <c r="AR35" s="185" t="e">
        <f ca="1">MAX(+AQ35,1.5)+U35*100</f>
        <v>#NAME?</v>
      </c>
      <c r="AS35" s="199" t="s">
        <v>174</v>
      </c>
      <c r="AT35" s="210">
        <f>INDEX(AT:AT,MATCH(AS35,A:A,0))</f>
        <v>5.5100000000000003E-2</v>
      </c>
      <c r="AU35" s="75">
        <f t="shared" si="2"/>
        <v>110</v>
      </c>
      <c r="AV35" s="73" t="e">
        <f t="shared" ca="1" si="3"/>
        <v>#NAME?</v>
      </c>
      <c r="AW35" s="73" t="e">
        <f t="shared" ca="1" si="4"/>
        <v>#NAME?</v>
      </c>
      <c r="AX35" s="80" t="e">
        <f ca="1">PRICE($C$1,E35,AP35/100,AV35,100,V35,W35)</f>
        <v>#NAME?</v>
      </c>
      <c r="AY35" s="80" t="e">
        <f ca="1">+PRICE($C$1,F35,AR35/100,AW35,S35,V35,W35)</f>
        <v>#NAME?</v>
      </c>
      <c r="AZ35" s="80" t="e">
        <f t="shared" ca="1" si="15"/>
        <v>#NAME?</v>
      </c>
    </row>
    <row r="36" spans="1:52" s="64" customFormat="1" x14ac:dyDescent="0.25">
      <c r="A36" s="98"/>
      <c r="B36" s="98"/>
      <c r="C36" s="155"/>
      <c r="D36" s="182">
        <v>41794</v>
      </c>
      <c r="E36" s="190">
        <v>43620</v>
      </c>
      <c r="F36" s="191">
        <f>$C$1+1</f>
        <v>42614</v>
      </c>
      <c r="G36" s="204"/>
      <c r="H36" s="203"/>
      <c r="I36" s="204"/>
      <c r="J36" s="203"/>
      <c r="K36" s="204"/>
      <c r="L36" s="203"/>
      <c r="M36" s="204"/>
      <c r="N36" s="203"/>
      <c r="O36" s="204"/>
      <c r="P36" s="203"/>
      <c r="Q36" s="204"/>
      <c r="R36" s="203"/>
      <c r="S36" s="202">
        <f t="shared" si="7"/>
        <v>100</v>
      </c>
      <c r="T36" s="183"/>
      <c r="U36" s="198">
        <v>2.5000000000000001E-2</v>
      </c>
      <c r="V36" s="278">
        <v>4</v>
      </c>
      <c r="W36" s="218">
        <v>2</v>
      </c>
      <c r="X36" s="199" t="e">
        <f ca="1">DURATION($C$1,E36,T36/100,AV36,V36,W36)/3</f>
        <v>#NAME?</v>
      </c>
      <c r="Y36" s="199" t="e">
        <f ca="1">DURATION($C$1,E36,T36/100,AV36,V36,W36)/3</f>
        <v>#NAME?</v>
      </c>
      <c r="Z36" s="200"/>
      <c r="AA36" s="200"/>
      <c r="AB36" s="200"/>
      <c r="AC36" s="201" t="s">
        <v>14</v>
      </c>
      <c r="AD36" s="201"/>
      <c r="AE36" s="122"/>
      <c r="AF36" s="160"/>
      <c r="AG36" s="223" t="str">
        <f>"USSW"&amp;ROUNDDOWN(DAYS360($C$1,E36)/360,0)</f>
        <v>USSW2</v>
      </c>
      <c r="AH36" s="51" t="str">
        <f t="shared" ref="AH36" si="29">+AG36&amp;" index"</f>
        <v>USSW2 index</v>
      </c>
      <c r="AI36" s="211" t="e">
        <f ca="1">IF(_xll.BDH(AH36,$AI$2,$C$1)="#N/A Invalid Security",0,_xll.BDH(AH36,$AI$2,$C$1))</f>
        <v>#NAME?</v>
      </c>
      <c r="AJ36" s="51" t="str">
        <f>"USSW"&amp;ROUNDUP(DAYS360($C$1,E36)/360,0)</f>
        <v>USSW3</v>
      </c>
      <c r="AK36" s="51" t="str">
        <f t="shared" ref="AK36" si="30">+AJ36&amp;" index"</f>
        <v>USSW3 index</v>
      </c>
      <c r="AL36" s="211" t="e">
        <f ca="1">_xll.BDH(AK36,$AL$2,$C$1)</f>
        <v>#NAME?</v>
      </c>
      <c r="AM36" s="224" t="e">
        <f ca="1">(AL36-AI36)*((DAYS360($C$1,E36)/360)-ROUNDDOWN(DAYS360($C$1,E36)/360,0))+AI36</f>
        <v>#NAME?</v>
      </c>
      <c r="AN36" s="218" t="s">
        <v>135</v>
      </c>
      <c r="AO36" s="51" t="s">
        <v>195</v>
      </c>
      <c r="AP36" s="88" t="e">
        <f ca="1">+AM36+U36*100</f>
        <v>#NAME?</v>
      </c>
      <c r="AQ36" s="186" t="e">
        <f ca="1">MAX(_xll.BDH(AO36,$AQ$39,$AO$1),1)</f>
        <v>#NAME?</v>
      </c>
      <c r="AR36" s="185" t="e">
        <f ca="1">+AQ36+U36*100</f>
        <v>#NAME?</v>
      </c>
      <c r="AS36" s="111" t="s">
        <v>210</v>
      </c>
      <c r="AT36" s="210">
        <f>INDEX(AT:AT,MATCH(AS36,A:A,0))</f>
        <v>2.9399999999999999E-2</v>
      </c>
      <c r="AU36" s="75">
        <f t="shared" si="2"/>
        <v>110</v>
      </c>
      <c r="AV36" s="73" t="e">
        <f t="shared" ref="AV36" ca="1" si="31">(+AM36/100+AT36+AU36/10000)</f>
        <v>#NAME?</v>
      </c>
      <c r="AW36" s="73" t="e">
        <f t="shared" ref="AW36" ca="1" si="32">(+AQ36/100+AT36+AU36/10000)</f>
        <v>#NAME?</v>
      </c>
      <c r="AX36" s="80" t="e">
        <f ca="1">PRICE($C$1,E36,AP36/100,AV36,100,V36,W36)</f>
        <v>#NAME?</v>
      </c>
      <c r="AY36" s="80" t="e">
        <f ca="1">+PRICE($C$1,F36,AR36/100,AW36,S36,V36,W36)</f>
        <v>#NAME?</v>
      </c>
      <c r="AZ36" s="80" t="e">
        <f t="shared" ref="AZ36" ca="1" si="33">+MIN(AX36,AY36)</f>
        <v>#NAME?</v>
      </c>
    </row>
    <row r="37" spans="1:52" s="64" customFormat="1" x14ac:dyDescent="0.25">
      <c r="A37" s="98"/>
      <c r="B37" s="98"/>
      <c r="C37" s="155"/>
      <c r="D37" s="182"/>
      <c r="E37" s="190"/>
      <c r="F37" s="191"/>
      <c r="G37" s="204"/>
      <c r="H37" s="203"/>
      <c r="I37" s="204"/>
      <c r="J37" s="203"/>
      <c r="K37" s="204"/>
      <c r="L37" s="203"/>
      <c r="M37" s="204"/>
      <c r="N37" s="203"/>
      <c r="O37" s="204"/>
      <c r="P37" s="203"/>
      <c r="Q37" s="204"/>
      <c r="R37" s="203"/>
      <c r="S37" s="202"/>
      <c r="T37" s="183"/>
      <c r="U37" s="198"/>
      <c r="V37" s="217"/>
      <c r="W37" s="98"/>
      <c r="X37" s="184"/>
      <c r="Y37" s="184"/>
      <c r="Z37" s="200"/>
      <c r="AA37" s="200"/>
      <c r="AB37" s="200"/>
      <c r="AC37" s="201"/>
      <c r="AD37" s="201"/>
      <c r="AE37" s="122"/>
      <c r="AF37" s="160"/>
      <c r="AG37" s="223"/>
      <c r="AH37" s="51"/>
      <c r="AI37" s="211"/>
      <c r="AJ37" s="51"/>
      <c r="AK37" s="51"/>
      <c r="AL37" s="211"/>
      <c r="AM37" s="224"/>
      <c r="AN37" s="218"/>
      <c r="AO37" s="51"/>
      <c r="AP37" s="88"/>
      <c r="AQ37" s="186"/>
      <c r="AR37" s="185"/>
      <c r="AS37" s="116"/>
      <c r="AT37" s="210"/>
      <c r="AU37" s="75"/>
      <c r="AV37" s="73"/>
      <c r="AW37" s="73"/>
      <c r="AX37" s="80"/>
      <c r="AY37" s="80"/>
      <c r="AZ37" s="80"/>
    </row>
    <row r="38" spans="1:52" x14ac:dyDescent="0.25">
      <c r="A38" s="137" t="s">
        <v>29</v>
      </c>
      <c r="B38" s="137"/>
      <c r="C38" s="137"/>
      <c r="D38" s="137"/>
      <c r="E38" s="137"/>
      <c r="F38" s="137" t="s">
        <v>136</v>
      </c>
      <c r="G38" s="137"/>
      <c r="H38" s="137"/>
      <c r="I38" s="137"/>
      <c r="J38" s="137"/>
      <c r="K38" s="137"/>
      <c r="L38" s="137"/>
      <c r="M38" s="137"/>
      <c r="N38" s="137"/>
      <c r="O38" s="137"/>
      <c r="P38" s="137"/>
      <c r="Q38" s="137"/>
      <c r="R38" s="137"/>
      <c r="S38" s="137"/>
      <c r="T38" s="137"/>
      <c r="U38" s="137"/>
      <c r="V38" s="138"/>
      <c r="W38" s="171"/>
      <c r="X38" s="161"/>
      <c r="Y38" s="161"/>
      <c r="Z38" s="161"/>
      <c r="AA38" s="161"/>
      <c r="AB38" s="138"/>
      <c r="AC38" s="138"/>
      <c r="AD38" s="138"/>
      <c r="AE38" s="138"/>
      <c r="AF38" s="138"/>
      <c r="AG38" s="137"/>
      <c r="AH38" s="137"/>
      <c r="AI38" s="137"/>
      <c r="AJ38" s="137"/>
      <c r="AK38" s="137"/>
      <c r="AL38" s="137"/>
      <c r="AM38" s="137"/>
      <c r="AN38" s="137"/>
      <c r="AO38" s="137"/>
      <c r="AP38" s="162"/>
      <c r="AQ38" s="162"/>
      <c r="AR38" s="162"/>
      <c r="AS38" s="162"/>
      <c r="AT38" s="137"/>
      <c r="AU38" s="137"/>
      <c r="AV38" s="137"/>
      <c r="AW38" s="137"/>
      <c r="AX38" s="163"/>
      <c r="AY38" s="137"/>
      <c r="AZ38" s="137"/>
    </row>
    <row r="39" spans="1:52" s="14" customFormat="1" x14ac:dyDescent="0.25">
      <c r="A39" s="139" t="s">
        <v>0</v>
      </c>
      <c r="B39" s="139" t="s">
        <v>6</v>
      </c>
      <c r="C39" s="139"/>
      <c r="D39" s="139"/>
      <c r="E39" s="139" t="s">
        <v>2</v>
      </c>
      <c r="F39" s="139" t="s">
        <v>137</v>
      </c>
      <c r="G39" s="139"/>
      <c r="H39" s="139"/>
      <c r="I39" s="139"/>
      <c r="J39" s="139"/>
      <c r="K39" s="139"/>
      <c r="L39" s="139"/>
      <c r="M39" s="139"/>
      <c r="N39" s="139"/>
      <c r="O39" s="139"/>
      <c r="P39" s="139"/>
      <c r="Q39" s="139"/>
      <c r="R39" s="139"/>
      <c r="S39" s="139"/>
      <c r="T39" s="139" t="s">
        <v>110</v>
      </c>
      <c r="U39" s="139"/>
      <c r="V39" s="140"/>
      <c r="W39" s="139"/>
      <c r="X39" s="164" t="s">
        <v>12</v>
      </c>
      <c r="Y39" s="164"/>
      <c r="Z39" s="164"/>
      <c r="AA39" s="164"/>
      <c r="AB39" s="140" t="s">
        <v>7</v>
      </c>
      <c r="AC39" s="140" t="s">
        <v>8</v>
      </c>
      <c r="AD39" s="140" t="s">
        <v>9</v>
      </c>
      <c r="AE39" s="140" t="s">
        <v>28</v>
      </c>
      <c r="AF39" s="140" t="s">
        <v>26</v>
      </c>
      <c r="AG39" s="139"/>
      <c r="AH39" s="139"/>
      <c r="AI39" s="139"/>
      <c r="AJ39" s="139"/>
      <c r="AK39" s="139"/>
      <c r="AL39" s="139"/>
      <c r="AM39" s="139"/>
      <c r="AN39" s="139" t="s">
        <v>138</v>
      </c>
      <c r="AO39" s="139" t="s">
        <v>139</v>
      </c>
      <c r="AP39" s="139"/>
      <c r="AQ39" s="172" t="s">
        <v>100</v>
      </c>
      <c r="AR39" s="139"/>
      <c r="AS39" s="139"/>
      <c r="AT39" s="139" t="s">
        <v>78</v>
      </c>
      <c r="AU39" s="139"/>
      <c r="AV39" s="139"/>
      <c r="AW39" s="165" t="s">
        <v>75</v>
      </c>
      <c r="AX39" s="139"/>
      <c r="AY39" s="139"/>
      <c r="AZ39" s="139"/>
    </row>
    <row r="40" spans="1:52" s="34" customFormat="1" x14ac:dyDescent="0.25">
      <c r="A40" s="122" t="s">
        <v>172</v>
      </c>
      <c r="B40" s="122"/>
      <c r="F40" s="35"/>
      <c r="G40" s="35"/>
      <c r="H40" s="35"/>
      <c r="I40" s="35"/>
      <c r="J40" s="35"/>
      <c r="K40" s="35"/>
      <c r="L40" s="35"/>
      <c r="M40" s="35"/>
      <c r="N40" s="35"/>
      <c r="O40" s="35"/>
      <c r="P40" s="35"/>
      <c r="Q40" s="35"/>
      <c r="R40" s="35"/>
      <c r="S40" s="35"/>
      <c r="V40" s="10"/>
      <c r="X40" s="36"/>
      <c r="Y40" s="36"/>
      <c r="Z40" s="36"/>
      <c r="AA40" s="36"/>
      <c r="AB40" s="10"/>
      <c r="AC40" s="10"/>
      <c r="AD40" s="10"/>
      <c r="AE40" s="10"/>
      <c r="AF40" s="10"/>
      <c r="AG40" s="83"/>
      <c r="AH40" s="83"/>
      <c r="AI40" s="83"/>
      <c r="AJ40" s="83"/>
      <c r="AK40" s="83"/>
      <c r="AL40" s="83"/>
      <c r="AM40" s="83"/>
      <c r="AN40" s="119" t="s">
        <v>135</v>
      </c>
      <c r="AO40" t="str">
        <f>AN40&amp;" index"</f>
        <v>US0003M index</v>
      </c>
      <c r="AP40" s="5"/>
      <c r="AQ40" s="147" t="e">
        <f ca="1">_xll.BDH(AO40,$AQ$39,$AO$1)</f>
        <v>#NAME?</v>
      </c>
      <c r="AS40" s="64"/>
      <c r="AT40" s="123">
        <f>INDEX(Indices!$A:$J,MATCH('Bank Loans'!$C$1,Indices!$A:$A,0),MATCH('Bank Loans'!A40,Indices!$A$2:$J$2,0))/10000</f>
        <v>0.1671</v>
      </c>
      <c r="AW40" s="37"/>
    </row>
    <row r="41" spans="1:52" s="34" customFormat="1" x14ac:dyDescent="0.25">
      <c r="A41" s="122" t="s">
        <v>173</v>
      </c>
      <c r="B41" s="122"/>
      <c r="F41" s="35"/>
      <c r="G41" s="35"/>
      <c r="H41" s="35"/>
      <c r="I41" s="35"/>
      <c r="J41" s="35"/>
      <c r="K41" s="35"/>
      <c r="L41" s="35"/>
      <c r="M41" s="35"/>
      <c r="N41" s="35"/>
      <c r="O41" s="35"/>
      <c r="P41" s="35"/>
      <c r="Q41" s="35"/>
      <c r="R41" s="35"/>
      <c r="S41" s="35"/>
      <c r="V41" s="10"/>
      <c r="X41" s="36"/>
      <c r="Y41" s="36"/>
      <c r="Z41" s="36"/>
      <c r="AA41" s="36"/>
      <c r="AB41" s="10"/>
      <c r="AC41" s="10"/>
      <c r="AD41" s="10"/>
      <c r="AE41" s="10"/>
      <c r="AF41" s="10"/>
      <c r="AG41" s="83"/>
      <c r="AH41" s="83"/>
      <c r="AI41" s="83"/>
      <c r="AJ41" s="83"/>
      <c r="AK41" s="83"/>
      <c r="AL41" s="83"/>
      <c r="AM41" s="83"/>
      <c r="AN41" s="119" t="s">
        <v>135</v>
      </c>
      <c r="AO41" t="str">
        <f>AN41&amp;" index"</f>
        <v>US0003M index</v>
      </c>
      <c r="AP41" s="5"/>
      <c r="AQ41" s="147" t="e">
        <f ca="1">_xll.BDH(AO41,$AQ$39,$AO$1)</f>
        <v>#NAME?</v>
      </c>
      <c r="AS41" s="64"/>
      <c r="AT41" s="123">
        <f>INDEX(Indices!$A:$I,MATCH('Bank Loans'!$C$1,Indices!$A:$A,0),MATCH('Bank Loans'!A41,Indices!$A$2:$I$2,0))/10000</f>
        <v>7.7399999999999997E-2</v>
      </c>
      <c r="AW41" s="37"/>
    </row>
    <row r="42" spans="1:52" s="34" customFormat="1" x14ac:dyDescent="0.25">
      <c r="A42" s="122" t="s">
        <v>174</v>
      </c>
      <c r="B42" s="122"/>
      <c r="G42" s="64"/>
      <c r="H42" s="64"/>
      <c r="I42" s="64"/>
      <c r="J42" s="64"/>
      <c r="K42" s="64"/>
      <c r="L42" s="64"/>
      <c r="M42" s="64"/>
      <c r="N42" s="64"/>
      <c r="O42" s="64"/>
      <c r="P42" s="64"/>
      <c r="Q42" s="64"/>
      <c r="R42" s="64"/>
      <c r="S42" s="64"/>
      <c r="V42" s="10"/>
      <c r="X42" s="36"/>
      <c r="Y42" s="36"/>
      <c r="Z42" s="36"/>
      <c r="AA42" s="36"/>
      <c r="AB42" s="10"/>
      <c r="AC42" s="10"/>
      <c r="AD42" s="10"/>
      <c r="AE42" s="10"/>
      <c r="AF42" s="10"/>
      <c r="AG42" s="83"/>
      <c r="AH42" s="83"/>
      <c r="AI42" s="83"/>
      <c r="AJ42" s="83"/>
      <c r="AK42" s="83"/>
      <c r="AL42" s="83"/>
      <c r="AM42" s="83"/>
      <c r="AN42" s="119" t="s">
        <v>135</v>
      </c>
      <c r="AO42" t="str">
        <f>AN42&amp;" index"</f>
        <v>US0003M index</v>
      </c>
      <c r="AP42" s="5"/>
      <c r="AQ42" s="147" t="e">
        <f ca="1">_xll.BDH(AO42,$AQ$39,$AO$1)</f>
        <v>#NAME?</v>
      </c>
      <c r="AS42" s="64"/>
      <c r="AT42" s="123">
        <f>INDEX(Indices!$A:$I,MATCH('Bank Loans'!$C$1,Indices!$A:$A,0),MATCH('Bank Loans'!A42,Indices!$A$2:$I$2,0))/10000</f>
        <v>5.5100000000000003E-2</v>
      </c>
      <c r="AX42" s="37"/>
    </row>
    <row r="43" spans="1:52" x14ac:dyDescent="0.25">
      <c r="A43" s="122" t="s">
        <v>175</v>
      </c>
      <c r="B43" s="114"/>
      <c r="AN43" s="119" t="s">
        <v>135</v>
      </c>
      <c r="AO43" t="str">
        <f>AN43&amp;" index"</f>
        <v>US0003M index</v>
      </c>
      <c r="AP43" s="5"/>
      <c r="AQ43" s="147" t="e">
        <f ca="1">_xll.BDH(AO43,$AQ$39,$AO$1)</f>
        <v>#NAME?</v>
      </c>
      <c r="AT43" s="123">
        <f>INDEX(Indices!$A:$I,MATCH('Bank Loans'!$C$1,Indices!$A:$A,0),MATCH('Bank Loans'!A43,Indices!$A$2:$I$2,0))/10000</f>
        <v>3.4599999999999999E-2</v>
      </c>
    </row>
    <row r="44" spans="1:52" s="83" customFormat="1" x14ac:dyDescent="0.25">
      <c r="A44" s="122" t="s">
        <v>210</v>
      </c>
      <c r="B44" s="114"/>
      <c r="AN44" s="119" t="s">
        <v>135</v>
      </c>
      <c r="AO44" s="83" t="str">
        <f>AN44&amp;" index"</f>
        <v>US0003M index</v>
      </c>
      <c r="AP44" s="5"/>
      <c r="AQ44" s="147">
        <v>1.7</v>
      </c>
      <c r="AT44" s="123">
        <f>INDEX(Indices!$A:$I,MATCH('Bank Loans'!$C$1,Indices!$A:$A,0),MATCH('Bank Loans'!A44,Indices!$A$2:$I$2,0))/10000</f>
        <v>2.9399999999999999E-2</v>
      </c>
    </row>
    <row r="45" spans="1:52" x14ac:dyDescent="0.25">
      <c r="A45" s="122" t="s">
        <v>164</v>
      </c>
      <c r="B45" s="114" t="s">
        <v>165</v>
      </c>
      <c r="AT45" s="123">
        <f>INDEX(Indices!O:O,MATCH('Bank Loans'!B45,Indices!M:M,0))/100</f>
        <v>1.8200000000000001E-2</v>
      </c>
    </row>
    <row r="46" spans="1:52" s="63" customFormat="1" x14ac:dyDescent="0.25">
      <c r="A46" s="122" t="s">
        <v>196</v>
      </c>
      <c r="B46" s="114" t="s">
        <v>214</v>
      </c>
      <c r="G46" s="83"/>
      <c r="H46" s="83"/>
      <c r="I46" s="83"/>
      <c r="J46" s="83"/>
      <c r="K46" s="83"/>
      <c r="L46" s="83"/>
      <c r="M46" s="83"/>
      <c r="N46" s="83"/>
      <c r="O46" s="83"/>
      <c r="P46" s="83"/>
      <c r="Q46" s="83"/>
      <c r="R46" s="83"/>
      <c r="S46" s="83"/>
      <c r="AG46" s="83"/>
      <c r="AH46" s="83"/>
      <c r="AI46" s="83"/>
      <c r="AJ46" s="83"/>
      <c r="AK46" s="83"/>
      <c r="AL46" s="83"/>
      <c r="AM46" s="83"/>
      <c r="AT46" s="123">
        <f>INDEX(Indices!O:O,MATCH('Bank Loans'!B46,Indices!M:M,0))/100</f>
        <v>0.12380000000000001</v>
      </c>
    </row>
    <row r="47" spans="1:52" s="83" customFormat="1" x14ac:dyDescent="0.25">
      <c r="A47" s="122" t="s">
        <v>211</v>
      </c>
      <c r="B47" s="114" t="s">
        <v>145</v>
      </c>
      <c r="AT47" s="123">
        <f>INDEX(Indices!O:O,MATCH('Bank Loans'!B47,Indices!M:M,0))/100</f>
        <v>5.0199999999999995E-2</v>
      </c>
    </row>
    <row r="48" spans="1:52" s="83" customFormat="1" x14ac:dyDescent="0.25">
      <c r="A48" s="122" t="s">
        <v>213</v>
      </c>
      <c r="B48" s="114" t="s">
        <v>215</v>
      </c>
      <c r="AT48" s="123">
        <f>INDEX(Indices!O:O,MATCH('Bank Loans'!B48,Indices!M:M,0))/100</f>
        <v>0.11282307843170099</v>
      </c>
    </row>
    <row r="49" spans="1:46" s="83" customFormat="1" x14ac:dyDescent="0.25">
      <c r="A49" s="122" t="s">
        <v>218</v>
      </c>
      <c r="B49" s="114"/>
      <c r="AT49" s="123">
        <f>INDEX(Indices!$A:$J,MATCH('Bank Loans'!$C$1,Indices!$A:$A,0),MATCH('Bank Loans'!A49,Indices!$A$2:$J$2,0))/10000</f>
        <v>3.8100000000000002E-2</v>
      </c>
    </row>
    <row r="50" spans="1:46" s="83" customFormat="1" x14ac:dyDescent="0.25">
      <c r="A50" s="122" t="s">
        <v>223</v>
      </c>
      <c r="B50" s="114" t="s">
        <v>224</v>
      </c>
      <c r="AT50" s="123">
        <f>INDEX(Indices!O:O,MATCH('Bank Loans'!B50,Indices!M:M,0))/100</f>
        <v>0.18326579526505099</v>
      </c>
    </row>
    <row r="51" spans="1:46" s="83" customFormat="1" x14ac:dyDescent="0.25">
      <c r="A51" s="122" t="s">
        <v>242</v>
      </c>
      <c r="B51" s="114" t="s">
        <v>245</v>
      </c>
      <c r="AT51" s="123">
        <f>INDEX(Indices!O:O,MATCH('Bank Loans'!B51,Indices!M:M,0))/100</f>
        <v>4.8618113473345E-2</v>
      </c>
    </row>
    <row r="52" spans="1:46" s="83" customFormat="1" x14ac:dyDescent="0.25">
      <c r="A52" s="122" t="s">
        <v>243</v>
      </c>
      <c r="B52" s="114" t="s">
        <v>244</v>
      </c>
      <c r="AT52" s="123">
        <f>INDEX(Indices!O:O,MATCH('Bank Loans'!B52,Indices!M:M,0))/100</f>
        <v>4.5219156859633694E-2</v>
      </c>
    </row>
    <row r="53" spans="1:46" s="83" customFormat="1" x14ac:dyDescent="0.25">
      <c r="A53" s="122"/>
      <c r="B53" s="114"/>
      <c r="AT53" s="123"/>
    </row>
    <row r="54" spans="1:46" x14ac:dyDescent="0.25">
      <c r="AL54" s="114" t="s">
        <v>248</v>
      </c>
      <c r="AM54"/>
      <c r="AQ54" t="e">
        <f ca="1">+MAX(AQ55:AQ56)</f>
        <v>#NAME?</v>
      </c>
    </row>
    <row r="55" spans="1:46" x14ac:dyDescent="0.25">
      <c r="A55" s="122"/>
      <c r="AL55"/>
      <c r="AM55" s="114" t="s">
        <v>159</v>
      </c>
      <c r="AQ55" s="114">
        <v>1</v>
      </c>
      <c r="AT55" s="55"/>
    </row>
    <row r="56" spans="1:46" x14ac:dyDescent="0.25">
      <c r="AL56"/>
      <c r="AM56" s="114" t="s">
        <v>135</v>
      </c>
      <c r="AN56" t="str">
        <f>AM56&amp;" index"</f>
        <v>US0003M index</v>
      </c>
      <c r="AQ56" s="147" t="e">
        <f ca="1">_xll.BDH(AN56,$AQ$39,$C$1)</f>
        <v>#NAME?</v>
      </c>
    </row>
    <row r="57" spans="1:46" x14ac:dyDescent="0.25">
      <c r="AL57"/>
      <c r="AM57" s="114"/>
    </row>
    <row r="58" spans="1:46" x14ac:dyDescent="0.25">
      <c r="AL58" s="114" t="s">
        <v>249</v>
      </c>
      <c r="AM58" s="114"/>
      <c r="AQ58" t="e">
        <f ca="1">+MAX(AQ59:AQ62)</f>
        <v>#NAME?</v>
      </c>
    </row>
    <row r="59" spans="1:46" x14ac:dyDescent="0.25">
      <c r="AM59" s="114" t="s">
        <v>159</v>
      </c>
      <c r="AQ59" s="114">
        <v>2</v>
      </c>
    </row>
    <row r="60" spans="1:46" x14ac:dyDescent="0.25">
      <c r="AM60" s="114" t="s">
        <v>158</v>
      </c>
      <c r="AN60" t="str">
        <f>AM60&amp;" Index"</f>
        <v>fdfd Index</v>
      </c>
      <c r="AQ60" s="147" t="e">
        <f ca="1">_xll.BDH(AN60,$AQ$39,$C$1)+0.5</f>
        <v>#NAME?</v>
      </c>
    </row>
    <row r="61" spans="1:46" x14ac:dyDescent="0.25">
      <c r="A61" s="114" t="s">
        <v>197</v>
      </c>
      <c r="B61" s="114" t="s">
        <v>167</v>
      </c>
      <c r="AM61" s="114" t="s">
        <v>160</v>
      </c>
      <c r="AN61" t="str">
        <f>AM61&amp;" Index"</f>
        <v>prime Index</v>
      </c>
      <c r="AQ61" s="147" t="e">
        <f ca="1">_xll.BDH(AN61,$AQ$39,$C$1)</f>
        <v>#NAME?</v>
      </c>
    </row>
    <row r="62" spans="1:46" x14ac:dyDescent="0.25">
      <c r="A62" s="114" t="s">
        <v>198</v>
      </c>
      <c r="B62" s="114" t="s">
        <v>199</v>
      </c>
      <c r="AM62" s="114" t="s">
        <v>135</v>
      </c>
      <c r="AN62" t="str">
        <f>AM62&amp;" Index"</f>
        <v>US0003M Index</v>
      </c>
      <c r="AQ62" s="147" t="e">
        <f ca="1">_xll.BDH(AN62,$AQ$39,$AO$1)+1</f>
        <v>#NAME?</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Inputs</vt:lpstr>
      <vt:lpstr>Senior Bank Note</vt:lpstr>
      <vt:lpstr>IC_1</vt:lpstr>
      <vt:lpstr>IC_2</vt:lpstr>
      <vt:lpstr>IC_3</vt:lpstr>
      <vt:lpstr>IC_4</vt:lpstr>
      <vt:lpstr>IC_5</vt:lpstr>
      <vt:lpstr>Bond_1</vt:lpstr>
      <vt:lpstr>Bank Loans</vt:lpstr>
      <vt:lpstr>SAFA Policy Loans</vt:lpstr>
      <vt:lpstr>Indices</vt:lpstr>
      <vt:lpstr>LIBOR_Date</vt:lpstr>
      <vt:lpstr>Liquidity_Cap</vt:lpstr>
      <vt:lpstr>Reuters_Liquidity_Premium</vt:lpstr>
      <vt:lpstr>Valuation_Date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2019-08-18T04:06:46Z</dcterms:created>
  <dcterms:modified xsi:type="dcterms:W3CDTF">2019-08-18T04:29:14Z</dcterms:modified>
</cp:coreProperties>
</file>