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4395" yWindow="1665" windowWidth="12690" windowHeight="7590" tabRatio="919"/>
  </bookViews>
  <sheets>
    <sheet name="Inputs" sheetId="18" r:id="rId1"/>
    <sheet name="Auto Loan CLO" sheetId="19" r:id="rId2"/>
    <sheet name="CMLs" sheetId="29" r:id="rId3"/>
    <sheet name="CV" sheetId="8" r:id="rId4"/>
    <sheet name="IC_1" sheetId="11" r:id="rId5"/>
    <sheet name="IC_2" sheetId="12" r:id="rId6"/>
    <sheet name="Trust" sheetId="13" r:id="rId7"/>
    <sheet name="Secured TL" sheetId="14" r:id="rId8"/>
    <sheet name="Media Loan" sheetId="15" r:id="rId9"/>
    <sheet name="Hotel" sheetId="26" r:id="rId10"/>
    <sheet name="CLOIE Pre and Post Crisis Index" sheetId="17" r:id="rId11"/>
    <sheet name="Indices" sheetId="20" r:id="rId12"/>
    <sheet name="CM Equivalencies" sheetId="21" r:id="rId13"/>
  </sheets>
  <externalReferences>
    <externalReference r:id="rId14"/>
    <externalReference r:id="rId15"/>
    <externalReference r:id="rId16"/>
  </externalReferences>
  <definedNames>
    <definedName name="LIBOR_Date" localSheetId="2">[1]Inputs!$C$5</definedName>
    <definedName name="LIBOR_Date">Inputs!$C$5</definedName>
    <definedName name="Probability_of_Support" localSheetId="2">[2]JTW!$X$1</definedName>
    <definedName name="Probability_of_Support">'Secured TL'!$U$1</definedName>
    <definedName name="Reuters_Liquidity_Premium" localSheetId="2">[1]Inputs!$C$7</definedName>
    <definedName name="Reuters_Liquidity_Premium">Inputs!$C$7</definedName>
    <definedName name="Valuation_Date" localSheetId="2">[2]Inputs!$C$3</definedName>
    <definedName name="Valuation_Date">Inputs!$C$3</definedName>
  </definedNames>
  <calcPr calcId="152511" iterate="1" iterateCount="750" calcOnSave="0"/>
</workbook>
</file>

<file path=xl/calcChain.xml><?xml version="1.0" encoding="utf-8"?>
<calcChain xmlns="http://schemas.openxmlformats.org/spreadsheetml/2006/main">
  <c r="D1" i="29" l="1"/>
  <c r="M3" i="29"/>
  <c r="K3" i="29"/>
  <c r="M4" i="29"/>
  <c r="N3" i="29"/>
  <c r="N4" i="29"/>
  <c r="Q3" i="29" l="1"/>
  <c r="I3" i="29" s="1"/>
  <c r="Q4" i="29"/>
  <c r="R4" i="29" s="1"/>
  <c r="K4" i="29"/>
  <c r="M5" i="29"/>
  <c r="N5" i="29"/>
  <c r="R3" i="29" l="1"/>
  <c r="I4" i="29"/>
  <c r="Q5" i="29"/>
  <c r="I5" i="29" s="1"/>
  <c r="K5" i="29"/>
  <c r="M6" i="29"/>
  <c r="N6" i="29"/>
  <c r="R5" i="29" l="1"/>
  <c r="Q6" i="29"/>
  <c r="I6" i="29" s="1"/>
  <c r="K6" i="29"/>
  <c r="M7" i="29"/>
  <c r="N7" i="29"/>
  <c r="R6" i="29" l="1"/>
  <c r="Q7" i="29"/>
  <c r="I7" i="29" s="1"/>
  <c r="K7" i="29"/>
  <c r="M8" i="29"/>
  <c r="N8" i="29"/>
  <c r="R7" i="29" l="1"/>
  <c r="Q8" i="29"/>
  <c r="I8" i="29" s="1"/>
  <c r="K8" i="29"/>
  <c r="M9" i="29"/>
  <c r="N9" i="29"/>
  <c r="R8" i="29" l="1"/>
  <c r="Q9" i="29"/>
  <c r="I9" i="29" s="1"/>
  <c r="K9" i="29"/>
  <c r="M10" i="29"/>
  <c r="N10" i="29"/>
  <c r="R9" i="29" l="1"/>
  <c r="Q10" i="29"/>
  <c r="I10" i="29" s="1"/>
  <c r="K10" i="29"/>
  <c r="R10" i="29" l="1"/>
  <c r="P17" i="20"/>
  <c r="P16" i="20"/>
  <c r="P18" i="20" l="1"/>
  <c r="P19" i="20" l="1"/>
  <c r="R14" i="20" l="1"/>
  <c r="P14" i="20"/>
  <c r="R13" i="20"/>
  <c r="P13" i="20"/>
  <c r="R12" i="20"/>
  <c r="P12" i="20"/>
  <c r="R10" i="20" l="1"/>
  <c r="R9" i="20"/>
  <c r="R8" i="20"/>
  <c r="R7" i="20"/>
  <c r="R6" i="20"/>
  <c r="R5" i="20"/>
  <c r="R4" i="20"/>
  <c r="P10" i="20"/>
  <c r="P9" i="20"/>
  <c r="P8" i="20"/>
  <c r="P7" i="20"/>
  <c r="P6" i="20"/>
  <c r="P5" i="20"/>
  <c r="P4" i="20"/>
  <c r="X3" i="19" l="1"/>
  <c r="Z3" i="26" l="1"/>
  <c r="C1" i="26" l="1"/>
  <c r="X14" i="26"/>
  <c r="V13" i="26"/>
  <c r="V12" i="26"/>
  <c r="V11" i="26"/>
  <c r="V3" i="26"/>
  <c r="W3" i="26"/>
  <c r="W12" i="26"/>
  <c r="W13" i="26"/>
  <c r="W11" i="26"/>
  <c r="G3" i="26" l="1"/>
  <c r="X3" i="26"/>
  <c r="AA12" i="26"/>
  <c r="I12" i="26" s="1"/>
  <c r="AA11" i="26"/>
  <c r="I11" i="26" s="1"/>
  <c r="AA13" i="26"/>
  <c r="I13" i="26" s="1"/>
  <c r="AA3" i="26"/>
  <c r="M3" i="26" l="1"/>
  <c r="AB3" i="26"/>
  <c r="F4" i="11" l="1"/>
  <c r="F3" i="11"/>
  <c r="V5" i="12" l="1"/>
  <c r="V4" i="12"/>
  <c r="V3" i="12"/>
  <c r="S4" i="11" l="1"/>
  <c r="S3" i="11"/>
  <c r="Q6" i="8"/>
  <c r="S12" i="14" l="1"/>
  <c r="F3" i="14" l="1"/>
  <c r="S11" i="14" l="1"/>
  <c r="M2" i="20" l="1"/>
  <c r="X3" i="12" l="1"/>
  <c r="Q3" i="15"/>
  <c r="U1" i="19"/>
  <c r="U1" i="12"/>
  <c r="P1" i="11"/>
  <c r="N1" i="8"/>
  <c r="C1" i="19"/>
  <c r="C1" i="15"/>
  <c r="C1" i="14"/>
  <c r="C1" i="13"/>
  <c r="C1" i="12"/>
  <c r="C1" i="11"/>
  <c r="C1" i="8"/>
  <c r="N16" i="15"/>
  <c r="N15" i="15"/>
  <c r="S5" i="12" l="1"/>
  <c r="S4" i="12"/>
  <c r="S3" i="12"/>
  <c r="P5" i="12"/>
  <c r="P4" i="12"/>
  <c r="P3" i="12"/>
  <c r="T3" i="12"/>
  <c r="T5" i="12"/>
  <c r="T4" i="12"/>
  <c r="S9" i="14" l="1"/>
  <c r="S3" i="14" l="1"/>
  <c r="P11" i="12" l="1"/>
  <c r="N4" i="15" l="1"/>
  <c r="N3" i="15"/>
  <c r="M16" i="15" l="1"/>
  <c r="M15" i="15"/>
  <c r="P12" i="15" l="1"/>
  <c r="P3" i="15" s="1"/>
  <c r="R3" i="15" l="1"/>
  <c r="X11" i="12"/>
  <c r="W3" i="12" s="1"/>
  <c r="Q18" i="12" l="1"/>
  <c r="Q19" i="12"/>
  <c r="Q17" i="12"/>
  <c r="Q16" i="12"/>
  <c r="Q15" i="12"/>
  <c r="Q5" i="20" l="1"/>
  <c r="F3" i="19" l="1"/>
  <c r="Q6" i="20" l="1"/>
  <c r="Q7" i="20"/>
  <c r="Q8" i="20"/>
  <c r="Q9" i="20"/>
  <c r="Q10" i="20"/>
  <c r="O14" i="8"/>
  <c r="O15" i="8"/>
  <c r="O3" i="8"/>
  <c r="O16" i="8"/>
  <c r="Q10" i="11"/>
  <c r="O6" i="8"/>
  <c r="O5" i="8"/>
  <c r="O13" i="8"/>
  <c r="U3" i="19"/>
  <c r="O4" i="8"/>
  <c r="V15" i="13" l="1"/>
  <c r="V7" i="13" s="1"/>
  <c r="B13" i="19"/>
  <c r="B14" i="19" s="1"/>
  <c r="V4" i="13" l="1"/>
  <c r="V8" i="13"/>
  <c r="V6" i="13"/>
  <c r="V5" i="13"/>
  <c r="V9" i="13"/>
  <c r="B15" i="19"/>
  <c r="B16" i="19" s="1"/>
  <c r="G3" i="19"/>
  <c r="P17" i="8" l="1"/>
  <c r="R15" i="13" l="1"/>
  <c r="S8" i="14"/>
  <c r="K2" i="20"/>
  <c r="J2" i="20"/>
  <c r="I2" i="20"/>
  <c r="H2" i="20"/>
  <c r="G2" i="20"/>
  <c r="F2" i="20"/>
  <c r="T10" i="11" s="1"/>
  <c r="E2" i="20"/>
  <c r="X10" i="12" l="1"/>
  <c r="U6" i="13"/>
  <c r="U4" i="13"/>
  <c r="U9" i="13"/>
  <c r="U5" i="13"/>
  <c r="U8" i="13"/>
  <c r="U7" i="13"/>
  <c r="P11" i="15"/>
  <c r="X9" i="19"/>
  <c r="P9" i="19" l="1"/>
  <c r="R3" i="19" l="1"/>
  <c r="P3" i="19"/>
  <c r="S3" i="19"/>
  <c r="T3" i="19" l="1"/>
  <c r="V3" i="19"/>
  <c r="P16" i="8" l="1"/>
  <c r="P18" i="8" s="1"/>
  <c r="O9" i="13" l="1"/>
  <c r="O8" i="13"/>
  <c r="O7" i="13"/>
  <c r="O6" i="13"/>
  <c r="O5" i="13"/>
  <c r="O4" i="13"/>
  <c r="P9" i="13"/>
  <c r="P5" i="13"/>
  <c r="P8" i="13"/>
  <c r="P7" i="13"/>
  <c r="P6" i="13"/>
  <c r="P4" i="13"/>
  <c r="W4" i="13" l="1"/>
  <c r="J4" i="13" s="1"/>
  <c r="M4" i="15"/>
  <c r="F4" i="15"/>
  <c r="P4" i="15"/>
  <c r="M3" i="15"/>
  <c r="F3" i="15"/>
  <c r="O3" i="14"/>
  <c r="P3" i="14"/>
  <c r="G5" i="12" l="1"/>
  <c r="Q5" i="12"/>
  <c r="Q4" i="12"/>
  <c r="G4" i="12"/>
  <c r="W4" i="12"/>
  <c r="Q3" i="12"/>
  <c r="G3" i="12"/>
  <c r="R5" i="12"/>
  <c r="R4" i="12"/>
  <c r="R3" i="12"/>
  <c r="U5" i="12" l="1"/>
  <c r="W5" i="12"/>
  <c r="U4" i="12"/>
  <c r="U3" i="12"/>
  <c r="Y3" i="12" s="1"/>
  <c r="P4" i="11"/>
  <c r="Q4" i="11"/>
  <c r="P10" i="11" l="1"/>
  <c r="R3" i="11"/>
  <c r="P3" i="11"/>
  <c r="Q3" i="11"/>
  <c r="R4" i="11" l="1"/>
  <c r="P3" i="8" l="1"/>
  <c r="N13" i="8"/>
  <c r="N16" i="8"/>
  <c r="P6" i="8" l="1"/>
  <c r="P4" i="8"/>
  <c r="P5" i="8" s="1"/>
  <c r="H13" i="8" l="1"/>
  <c r="H15" i="8"/>
  <c r="H14" i="8"/>
  <c r="N15" i="8"/>
  <c r="N14" i="8"/>
  <c r="B21" i="8"/>
  <c r="B24" i="8"/>
  <c r="B23" i="8"/>
  <c r="N4" i="8"/>
  <c r="N5" i="8"/>
  <c r="N3" i="8"/>
  <c r="N6" i="8"/>
  <c r="B25" i="8"/>
  <c r="J3" i="8" l="1"/>
  <c r="J4" i="8"/>
  <c r="J5" i="8"/>
  <c r="J6" i="8" l="1"/>
  <c r="X5" i="12" l="1"/>
  <c r="X4" i="12"/>
  <c r="Q4" i="15"/>
  <c r="R4" i="15" s="1"/>
  <c r="Y4" i="12" l="1"/>
  <c r="Z4" i="12" s="1"/>
  <c r="Y5" i="12"/>
  <c r="Z5" i="12" s="1"/>
  <c r="M3" i="12"/>
  <c r="Z3" i="12"/>
  <c r="J3" i="15"/>
  <c r="S3" i="15"/>
  <c r="J4" i="15"/>
  <c r="S4" i="15"/>
  <c r="M4" i="12" l="1"/>
  <c r="M5" i="12"/>
  <c r="Y3" i="19" l="1"/>
  <c r="U3" i="11"/>
  <c r="T3" i="14"/>
  <c r="U3" i="14" s="1"/>
  <c r="V3" i="14" l="1"/>
  <c r="J3" i="14"/>
  <c r="U4" i="11"/>
  <c r="V3" i="11"/>
  <c r="AA3" i="19"/>
  <c r="AC3" i="19" s="1"/>
  <c r="Z3" i="19"/>
  <c r="AB3" i="19" s="1"/>
  <c r="AD3" i="19" l="1"/>
  <c r="R3" i="8"/>
  <c r="L3" i="11"/>
  <c r="W3" i="11"/>
  <c r="L3" i="19"/>
  <c r="M3" i="19"/>
  <c r="V4" i="11"/>
  <c r="L4" i="11" l="1"/>
  <c r="W4" i="11"/>
  <c r="R6" i="8"/>
  <c r="R5" i="8"/>
  <c r="R4" i="8"/>
  <c r="X4" i="13" l="1"/>
  <c r="S6" i="8"/>
  <c r="U6" i="8" l="1"/>
  <c r="T6" i="8"/>
  <c r="W5" i="13"/>
  <c r="X5" i="13" s="1"/>
  <c r="W9" i="13"/>
  <c r="X9" i="13" s="1"/>
  <c r="W6" i="13"/>
  <c r="X6" i="13" s="1"/>
  <c r="J9" i="13" l="1"/>
  <c r="W8" i="13"/>
  <c r="X8" i="13" s="1"/>
  <c r="J5" i="13"/>
  <c r="W7" i="13"/>
  <c r="X7" i="13" s="1"/>
  <c r="J6" i="13"/>
  <c r="J7" i="13" l="1"/>
  <c r="J8" i="13"/>
</calcChain>
</file>

<file path=xl/comments1.xml><?xml version="1.0" encoding="utf-8"?>
<comments xmlns="http://schemas.openxmlformats.org/spreadsheetml/2006/main">
  <authors>
    <author>Author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Frequency actually is monthly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Actually Monthly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Actually Monthly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Westbrook -NYC was rated by Egan Jones Rating Company on Decemebr 21, 2015 and was given a rating of AA which is equivalent to a CM1 Rating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Addition from MM.  Transaction closed November 2, 2015.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Actually monthly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6" authorId="0" shapeId="0">
      <text>
        <r>
          <rPr>
            <sz val="9"/>
            <color indexed="81"/>
            <rFont val="Tahoma"/>
            <family val="2"/>
          </rPr>
          <t>A's attach at 25%.  At  pricing date, A's carried a DM of ~315bps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O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Previously USSW8; matures in 2020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X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Corporate loan spread minus middle market loan spread
Updated 01/05/2016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G4" authorId="0" shapeId="0">
      <text>
        <r>
          <rPr>
            <sz val="9"/>
            <color indexed="81"/>
            <rFont val="Tahoma"/>
            <family val="2"/>
          </rPr>
          <t>Note Interest Rate per Trust Agreement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Updated 6/17/2016
Previously 8.0%</t>
        </r>
      </text>
    </comment>
    <comment ref="H3" authorId="0" shapeId="0">
      <text>
        <r>
          <rPr>
            <sz val="9"/>
            <color indexed="81"/>
            <rFont val="Tahoma"/>
            <family val="2"/>
          </rPr>
          <t xml:space="preserve">Actually PIKs
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Corporate loan spread minus middle market loan spread
Updated 01/05/2016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Updated 6/17/2016
Previously 8.0%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10" authorId="0" shapeId="0">
      <text>
        <r>
          <rPr>
            <sz val="9"/>
            <color indexed="81"/>
            <rFont val="Tahoma"/>
            <family val="2"/>
          </rPr>
          <t>Obligor on take out financing</t>
        </r>
      </text>
    </comment>
  </commentList>
</comments>
</file>

<file path=xl/sharedStrings.xml><?xml version="1.0" encoding="utf-8"?>
<sst xmlns="http://schemas.openxmlformats.org/spreadsheetml/2006/main" count="628" uniqueCount="219">
  <si>
    <t>Issuer</t>
  </si>
  <si>
    <t>Cusip</t>
  </si>
  <si>
    <t>Maturity</t>
  </si>
  <si>
    <t>Coupon</t>
  </si>
  <si>
    <t>Face</t>
  </si>
  <si>
    <t>Frequency</t>
  </si>
  <si>
    <t>Description</t>
  </si>
  <si>
    <t>Moodys</t>
  </si>
  <si>
    <t>S&amp;P</t>
  </si>
  <si>
    <t>Fitch</t>
  </si>
  <si>
    <t>Issue Size</t>
  </si>
  <si>
    <t>Duration</t>
  </si>
  <si>
    <t>BBB</t>
  </si>
  <si>
    <t>NR</t>
  </si>
  <si>
    <t>NAIC</t>
  </si>
  <si>
    <t>AMB</t>
  </si>
  <si>
    <t>Comps</t>
  </si>
  <si>
    <t>BBB+</t>
  </si>
  <si>
    <t>UST</t>
  </si>
  <si>
    <t>yld ytm ask</t>
  </si>
  <si>
    <t>Quality</t>
  </si>
  <si>
    <t>Liquidity</t>
  </si>
  <si>
    <t>Beta</t>
  </si>
  <si>
    <t>Mkt Yld</t>
  </si>
  <si>
    <t>Price</t>
  </si>
  <si>
    <t>Valuation Date</t>
  </si>
  <si>
    <t>spread</t>
  </si>
  <si>
    <t>2FE</t>
  </si>
  <si>
    <t>Baa3</t>
  </si>
  <si>
    <t>px last</t>
  </si>
  <si>
    <t>CVI CVF II Master Fund II LP</t>
  </si>
  <si>
    <t>Float</t>
  </si>
  <si>
    <t>Index</t>
  </si>
  <si>
    <t>Spread</t>
  </si>
  <si>
    <t>Recovery</t>
  </si>
  <si>
    <t>Lambda</t>
  </si>
  <si>
    <t>Spread Duration Calc</t>
  </si>
  <si>
    <t>per Lehman Guide to Exotic Credit Derivs</t>
  </si>
  <si>
    <t>Rate</t>
  </si>
  <si>
    <t>US0003M</t>
  </si>
  <si>
    <t>Year Frac 2017</t>
  </si>
  <si>
    <t>Year Frac 2018</t>
  </si>
  <si>
    <t>Year Frac 2019</t>
  </si>
  <si>
    <t>Nuveen Mortgage Opportunity Term Fund</t>
  </si>
  <si>
    <t>Nuveen Mortgage Opportunity Term Fund 2</t>
  </si>
  <si>
    <t>Structured Credit CEF</t>
  </si>
  <si>
    <t>JLS Equity</t>
  </si>
  <si>
    <t>JMT Equity</t>
  </si>
  <si>
    <t>Commitment</t>
  </si>
  <si>
    <t>Fund Size</t>
  </si>
  <si>
    <t>Leverage</t>
  </si>
  <si>
    <t>CLO's</t>
  </si>
  <si>
    <t xml:space="preserve">Float </t>
  </si>
  <si>
    <t>CL</t>
  </si>
  <si>
    <t>USSW9</t>
  </si>
  <si>
    <t>Call Date</t>
  </si>
  <si>
    <t>70%</t>
  </si>
  <si>
    <t>75%</t>
  </si>
  <si>
    <t>Date</t>
  </si>
  <si>
    <t>WAL</t>
  </si>
  <si>
    <t>Class LCV</t>
  </si>
  <si>
    <t>LTV</t>
  </si>
  <si>
    <t>USSW8</t>
  </si>
  <si>
    <t>B</t>
  </si>
  <si>
    <t>BB</t>
  </si>
  <si>
    <t>B-rated Leveraged Loans</t>
  </si>
  <si>
    <t>60%</t>
  </si>
  <si>
    <t>72%</t>
  </si>
  <si>
    <t>USSW6</t>
  </si>
  <si>
    <t>BAML BBB US Insurance &amp; Finl Services Index</t>
  </si>
  <si>
    <t>USSW4</t>
  </si>
  <si>
    <t>T 1.375 07/31/2018</t>
  </si>
  <si>
    <t>BAML CCC &amp; Lower US Cash Pay HY Index</t>
  </si>
  <si>
    <t>J0A3</t>
  </si>
  <si>
    <t>CCC</t>
  </si>
  <si>
    <t>Ticker</t>
  </si>
  <si>
    <t>T 2.125 01/31/2021</t>
  </si>
  <si>
    <t>CML - 1st Lien</t>
  </si>
  <si>
    <t>CM4</t>
  </si>
  <si>
    <t>T 1.75 5/15/2023</t>
  </si>
  <si>
    <t>T 2.75 11/15/2023</t>
  </si>
  <si>
    <t>T 1.625 11/15/2022</t>
  </si>
  <si>
    <t>T 2 2/15/2025</t>
  </si>
  <si>
    <t>T 2.5 8/15/2023</t>
  </si>
  <si>
    <t>CLO Pre AAA Portfolio Discount Margin</t>
  </si>
  <si>
    <t>CLO Pre AA Portfolio Discount Margin</t>
  </si>
  <si>
    <t>CLO Pre A Portfolio Discount Margin</t>
  </si>
  <si>
    <t>CLO Pre BBB Portfolio Discount Margin</t>
  </si>
  <si>
    <t>CLO Pre BB Portfolio Discount Margin</t>
  </si>
  <si>
    <t>CLO Pre B Portfolio Discount Margin</t>
  </si>
  <si>
    <t>CLO Post AAA Portfolio Discount Margin</t>
  </si>
  <si>
    <t>CLO Post AA Portfolio Discount Margin</t>
  </si>
  <si>
    <t>CLO Post A Portfolio Discount Margin</t>
  </si>
  <si>
    <t>CLO Post BBB Portfolio Discount Margin</t>
  </si>
  <si>
    <t>CLO Post BB Portfolio Discount Margin</t>
  </si>
  <si>
    <t>CLO Post B Portfolio Discount Margin</t>
  </si>
  <si>
    <t>KBRA</t>
  </si>
  <si>
    <t>NC Index</t>
  </si>
  <si>
    <t>NC Index Mnemonic</t>
  </si>
  <si>
    <t>Call Index</t>
  </si>
  <si>
    <t>Call Index Mnemonic</t>
  </si>
  <si>
    <t>US0001M</t>
  </si>
  <si>
    <t>Sprd Duration</t>
  </si>
  <si>
    <t>Day Count</t>
  </si>
  <si>
    <t>Float Index</t>
  </si>
  <si>
    <t>Float Rate</t>
  </si>
  <si>
    <t>Total Spread</t>
  </si>
  <si>
    <t>Effective Duration</t>
  </si>
  <si>
    <t>Fixed Coupon</t>
  </si>
  <si>
    <t>Float Base Coupon</t>
  </si>
  <si>
    <t>Total Fixed Coupon</t>
  </si>
  <si>
    <t>Total Float Coupon</t>
  </si>
  <si>
    <t>Effect Mkt Yld</t>
  </si>
  <si>
    <t>Effective Mkt Price</t>
  </si>
  <si>
    <t>Final Price</t>
  </si>
  <si>
    <t>JPM Leveraged Loan Index</t>
  </si>
  <si>
    <t>YLD_YTM_ASK</t>
  </si>
  <si>
    <t>Leveraged Loan Index</t>
  </si>
  <si>
    <t>Split-BBB</t>
  </si>
  <si>
    <t>Split-BB</t>
  </si>
  <si>
    <t>Split-B/CCC</t>
  </si>
  <si>
    <t>Index 1</t>
  </si>
  <si>
    <t>Index 2</t>
  </si>
  <si>
    <t>Liquidity Premium</t>
  </si>
  <si>
    <t>BAML AAA Index</t>
  </si>
  <si>
    <t>C0A1</t>
  </si>
  <si>
    <t>Govt OAS</t>
  </si>
  <si>
    <t>BAML AA Index</t>
  </si>
  <si>
    <t>C0A2</t>
  </si>
  <si>
    <t>BAML A Index</t>
  </si>
  <si>
    <t>C0A3</t>
  </si>
  <si>
    <t>BAML BBB Index</t>
  </si>
  <si>
    <t>C0A4</t>
  </si>
  <si>
    <t>BAML BB Index</t>
  </si>
  <si>
    <t>H0A1</t>
  </si>
  <si>
    <t>BAML B Index</t>
  </si>
  <si>
    <t>H0A2</t>
  </si>
  <si>
    <t>BAML CCC Index</t>
  </si>
  <si>
    <t>HOA3</t>
  </si>
  <si>
    <t>BAML 10+ Yr US Financials Index</t>
  </si>
  <si>
    <t>CF09</t>
  </si>
  <si>
    <t>C0J4</t>
  </si>
  <si>
    <t>BAML BBB US Industrials Index</t>
  </si>
  <si>
    <t>C0D4</t>
  </si>
  <si>
    <t>JPM Leveraged Loan Index NR</t>
  </si>
  <si>
    <t>JPM Leveraged Loan Index B</t>
  </si>
  <si>
    <t>CM3</t>
  </si>
  <si>
    <t>CM2</t>
  </si>
  <si>
    <t>T 1.625 06/30/20</t>
  </si>
  <si>
    <t>T 1.125 06/15/18</t>
  </si>
  <si>
    <t>Call Price</t>
  </si>
  <si>
    <t>Year</t>
  </si>
  <si>
    <t>Year 1</t>
  </si>
  <si>
    <t>Year 2</t>
  </si>
  <si>
    <t>Year 3</t>
  </si>
  <si>
    <t>Year 4</t>
  </si>
  <si>
    <t>LIBOR</t>
  </si>
  <si>
    <t>LIBOR Date</t>
  </si>
  <si>
    <t>CM Rating</t>
  </si>
  <si>
    <t>CM1</t>
  </si>
  <si>
    <t>CM5</t>
  </si>
  <si>
    <t>CM6</t>
  </si>
  <si>
    <t>CM7</t>
  </si>
  <si>
    <t>Equity</t>
  </si>
  <si>
    <t>Equivalency</t>
  </si>
  <si>
    <t>NRSRO Equivalent</t>
  </si>
  <si>
    <t>frtr 4.25 10/17</t>
  </si>
  <si>
    <t>USSW5</t>
  </si>
  <si>
    <t>USSW7</t>
  </si>
  <si>
    <t>JPM Leveraged Loan Index Financials</t>
  </si>
  <si>
    <t>Financials</t>
  </si>
  <si>
    <t>Financials Leveraged Loans</t>
  </si>
  <si>
    <t>JPM Leveraged Loan Index Diversified Media</t>
  </si>
  <si>
    <t>Diversified Media</t>
  </si>
  <si>
    <t>Diversified Media Leveraged Loans</t>
  </si>
  <si>
    <t>Date Override</t>
  </si>
  <si>
    <t xml:space="preserve">BAML CCC Index (less Energy and Basic Consumer) </t>
  </si>
  <si>
    <t>J0A3-ExEnenergyBasicConsumer</t>
  </si>
  <si>
    <t>JOA3-EnergyOnly</t>
  </si>
  <si>
    <t>BAML CCC &amp; Lower US Cash Pay HY Index (Energy Only)</t>
  </si>
  <si>
    <t>Model Inputs</t>
  </si>
  <si>
    <t>Valuation Date:</t>
  </si>
  <si>
    <t>LIBOR Date:</t>
  </si>
  <si>
    <t>Thomson Reuters Liquidity Premium (bps):</t>
  </si>
  <si>
    <t>Changelog:</t>
  </si>
  <si>
    <t>Updated discount margin to CLO Post BB as this security is rated BB; was previously using BBB index</t>
  </si>
  <si>
    <t>BAML BBB Index (Energy Only)</t>
  </si>
  <si>
    <t>C0A4-EnergyOnly</t>
  </si>
  <si>
    <t>Index Ticker</t>
  </si>
  <si>
    <t>BAML BB Index (Energy Only)</t>
  </si>
  <si>
    <t>H0A1-EnergyOnly</t>
  </si>
  <si>
    <t>Beta Source</t>
  </si>
  <si>
    <t>T 1.125 03/31/20</t>
  </si>
  <si>
    <t>T 2.25 03/31/21</t>
  </si>
  <si>
    <t>T 2 08/31/21</t>
  </si>
  <si>
    <t>Cushman &amp; Wakefield Lending Spreads</t>
  </si>
  <si>
    <t>Fixed Spread</t>
  </si>
  <si>
    <t>Fixed</t>
  </si>
  <si>
    <t xml:space="preserve">Effective </t>
  </si>
  <si>
    <t>Loan Type</t>
  </si>
  <si>
    <t>1st Lien Secured Loan</t>
  </si>
  <si>
    <t>4Z</t>
  </si>
  <si>
    <t>T 1.5 10/31/2019</t>
  </si>
  <si>
    <t>Traditional RE Comps</t>
  </si>
  <si>
    <t>Marriott Vacation Worldwide Corporation</t>
  </si>
  <si>
    <t>VAC</t>
  </si>
  <si>
    <t>Choice Hotels</t>
  </si>
  <si>
    <t>Sr Note</t>
  </si>
  <si>
    <t>169905AD8</t>
  </si>
  <si>
    <t>T 2.625 8/15/2020</t>
  </si>
  <si>
    <t>169905AE6</t>
  </si>
  <si>
    <t>T 1.625 8/15/22</t>
  </si>
  <si>
    <t>RHP Hotel PPTY</t>
  </si>
  <si>
    <t>749571AB1</t>
  </si>
  <si>
    <t>B1</t>
  </si>
  <si>
    <t>T 2.25 4/30/21</t>
  </si>
  <si>
    <t>Subprime Auto Loan Index</t>
  </si>
  <si>
    <t>Prior</t>
  </si>
  <si>
    <t>Probability of Support from Deal Owner: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</si>
</sst>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;@"/>
    <numFmt numFmtId="166" formatCode="_(* #,##0.000_);_(* \(#,##0.000\);_(* &quot;-&quot;??_);_(@_)"/>
    <numFmt numFmtId="167" formatCode="_(* #,##0.0000_);_(* \(#,##0.0000\);_(* &quot;-&quot;??_);_(@_)"/>
    <numFmt numFmtId="168" formatCode="0.0000"/>
    <numFmt numFmtId="169" formatCode="#,##0.00_);\(#,##0.00\);\-_)"/>
    <numFmt numFmtId="170" formatCode="_(* #,##0.0_);_(* \(#,##0.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79646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FF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416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3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7" borderId="0" applyNumberFormat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13" applyNumberFormat="0" applyAlignment="0" applyProtection="0"/>
    <xf numFmtId="0" fontId="28" fillId="11" borderId="14" applyNumberFormat="0" applyAlignment="0" applyProtection="0"/>
    <xf numFmtId="0" fontId="29" fillId="11" borderId="13" applyNumberFormat="0" applyAlignment="0" applyProtection="0"/>
    <xf numFmtId="0" fontId="30" fillId="0" borderId="15" applyNumberFormat="0" applyFill="0" applyAlignment="0" applyProtection="0"/>
    <xf numFmtId="0" fontId="31" fillId="12" borderId="16" applyNumberFormat="0" applyAlignment="0" applyProtection="0"/>
    <xf numFmtId="0" fontId="32" fillId="0" borderId="0" applyNumberFormat="0" applyFill="0" applyBorder="0" applyAlignment="0" applyProtection="0"/>
    <xf numFmtId="0" fontId="1" fillId="13" borderId="17" applyNumberFormat="0" applyFont="0" applyAlignment="0" applyProtection="0"/>
    <xf numFmtId="0" fontId="33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9" fillId="37" borderId="0" applyNumberFormat="0" applyBorder="0" applyAlignment="0" applyProtection="0"/>
  </cellStyleXfs>
  <cellXfs count="22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43" fontId="0" fillId="0" borderId="0" xfId="1" applyFont="1"/>
    <xf numFmtId="0" fontId="0" fillId="0" borderId="0" xfId="0" applyBorder="1" applyAlignment="1">
      <alignment horizontal="center"/>
    </xf>
    <xf numFmtId="0" fontId="0" fillId="0" borderId="2" xfId="0" applyBorder="1"/>
    <xf numFmtId="1" fontId="0" fillId="0" borderId="0" xfId="0" applyNumberFormat="1"/>
    <xf numFmtId="14" fontId="0" fillId="0" borderId="0" xfId="1" applyNumberFormat="1" applyFont="1"/>
    <xf numFmtId="0" fontId="0" fillId="0" borderId="0" xfId="0" applyAlignment="1">
      <alignment horizontal="center"/>
    </xf>
    <xf numFmtId="43" fontId="0" fillId="0" borderId="2" xfId="1" applyFont="1" applyBorder="1"/>
    <xf numFmtId="43" fontId="0" fillId="0" borderId="0" xfId="1" applyFont="1" applyAlignment="1">
      <alignment horizontal="center"/>
    </xf>
    <xf numFmtId="44" fontId="0" fillId="0" borderId="0" xfId="2" applyFont="1"/>
    <xf numFmtId="10" fontId="0" fillId="0" borderId="0" xfId="3" applyNumberFormat="1" applyFont="1"/>
    <xf numFmtId="43" fontId="0" fillId="0" borderId="0" xfId="0" applyNumberFormat="1"/>
    <xf numFmtId="0" fontId="5" fillId="0" borderId="0" xfId="0" applyFont="1" applyFill="1"/>
    <xf numFmtId="0" fontId="0" fillId="0" borderId="2" xfId="0" applyFill="1" applyBorder="1"/>
    <xf numFmtId="0" fontId="5" fillId="0" borderId="0" xfId="0" applyFont="1" applyFill="1" applyBorder="1"/>
    <xf numFmtId="10" fontId="0" fillId="0" borderId="0" xfId="0" applyNumberFormat="1"/>
    <xf numFmtId="166" fontId="0" fillId="0" borderId="0" xfId="1" applyNumberFormat="1" applyFont="1"/>
    <xf numFmtId="9" fontId="0" fillId="0" borderId="0" xfId="0" applyNumberFormat="1"/>
    <xf numFmtId="0" fontId="6" fillId="0" borderId="3" xfId="0" applyFont="1" applyBorder="1"/>
    <xf numFmtId="0" fontId="0" fillId="0" borderId="4" xfId="0" applyBorder="1"/>
    <xf numFmtId="0" fontId="0" fillId="0" borderId="3" xfId="0" applyBorder="1"/>
    <xf numFmtId="10" fontId="0" fillId="0" borderId="4" xfId="3" applyNumberFormat="1" applyFont="1" applyBorder="1"/>
    <xf numFmtId="9" fontId="0" fillId="0" borderId="4" xfId="0" applyNumberFormat="1" applyBorder="1"/>
    <xf numFmtId="0" fontId="0" fillId="0" borderId="5" xfId="0" applyBorder="1"/>
    <xf numFmtId="43" fontId="0" fillId="0" borderId="6" xfId="1" applyFont="1" applyBorder="1"/>
    <xf numFmtId="0" fontId="4" fillId="0" borderId="7" xfId="0" applyFont="1" applyBorder="1"/>
    <xf numFmtId="0" fontId="0" fillId="0" borderId="8" xfId="0" applyBorder="1"/>
    <xf numFmtId="0" fontId="0" fillId="0" borderId="0" xfId="0" applyBorder="1"/>
    <xf numFmtId="10" fontId="0" fillId="0" borderId="0" xfId="0" applyNumberFormat="1" applyBorder="1"/>
    <xf numFmtId="43" fontId="0" fillId="0" borderId="0" xfId="1" applyFont="1" applyBorder="1"/>
    <xf numFmtId="164" fontId="0" fillId="0" borderId="0" xfId="1" applyNumberFormat="1" applyFont="1" applyBorder="1"/>
    <xf numFmtId="43" fontId="0" fillId="0" borderId="4" xfId="1" applyFont="1" applyBorder="1"/>
    <xf numFmtId="43" fontId="0" fillId="0" borderId="0" xfId="1" applyFont="1" applyBorder="1" applyAlignment="1">
      <alignment horizontal="center"/>
    </xf>
    <xf numFmtId="0" fontId="0" fillId="0" borderId="0" xfId="0" applyFill="1" applyBorder="1"/>
    <xf numFmtId="10" fontId="5" fillId="0" borderId="0" xfId="0" applyNumberFormat="1" applyFont="1" applyFill="1" applyBorder="1"/>
    <xf numFmtId="10" fontId="0" fillId="0" borderId="2" xfId="0" applyNumberFormat="1" applyBorder="1"/>
    <xf numFmtId="164" fontId="0" fillId="0" borderId="2" xfId="1" applyNumberFormat="1" applyFont="1" applyBorder="1"/>
    <xf numFmtId="166" fontId="0" fillId="0" borderId="2" xfId="1" applyNumberFormat="1" applyFont="1" applyBorder="1"/>
    <xf numFmtId="167" fontId="0" fillId="0" borderId="0" xfId="1" applyNumberFormat="1" applyFont="1"/>
    <xf numFmtId="10" fontId="7" fillId="0" borderId="0" xfId="3" applyNumberFormat="1" applyFont="1" applyFill="1"/>
    <xf numFmtId="0" fontId="7" fillId="0" borderId="0" xfId="0" applyFont="1" applyFill="1"/>
    <xf numFmtId="49" fontId="0" fillId="0" borderId="0" xfId="0" applyNumberFormat="1" applyFill="1"/>
    <xf numFmtId="9" fontId="0" fillId="0" borderId="0" xfId="3" applyFont="1"/>
    <xf numFmtId="49" fontId="5" fillId="0" borderId="0" xfId="0" applyNumberFormat="1" applyFont="1" applyFill="1"/>
    <xf numFmtId="15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43" fontId="0" fillId="0" borderId="0" xfId="1" applyFont="1" applyAlignment="1">
      <alignment horizontal="left"/>
    </xf>
    <xf numFmtId="10" fontId="0" fillId="0" borderId="0" xfId="3" applyNumberFormat="1" applyFont="1" applyAlignment="1">
      <alignment horizontal="left"/>
    </xf>
    <xf numFmtId="44" fontId="0" fillId="0" borderId="0" xfId="2" applyFont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10" fillId="0" borderId="0" xfId="0" applyNumberFormat="1" applyFont="1" applyFill="1"/>
    <xf numFmtId="0" fontId="0" fillId="3" borderId="0" xfId="0" applyFill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0" fontId="4" fillId="3" borderId="0" xfId="0" applyFont="1" applyFill="1" applyAlignment="1"/>
    <xf numFmtId="43" fontId="0" fillId="0" borderId="0" xfId="1" applyFont="1" applyAlignment="1"/>
    <xf numFmtId="168" fontId="0" fillId="0" borderId="0" xfId="0" applyNumberFormat="1" applyBorder="1"/>
    <xf numFmtId="49" fontId="0" fillId="0" borderId="0" xfId="0" applyNumberFormat="1" applyFill="1"/>
    <xf numFmtId="0" fontId="0" fillId="0" borderId="0" xfId="0"/>
    <xf numFmtId="0" fontId="14" fillId="0" borderId="0" xfId="0" applyFont="1"/>
    <xf numFmtId="43" fontId="0" fillId="0" borderId="0" xfId="1" applyFont="1" applyFill="1" applyAlignment="1">
      <alignment horizontal="left"/>
    </xf>
    <xf numFmtId="164" fontId="10" fillId="0" borderId="0" xfId="1" applyNumberFormat="1" applyFont="1" applyFill="1" applyAlignment="1">
      <alignment horizontal="left"/>
    </xf>
    <xf numFmtId="10" fontId="0" fillId="0" borderId="0" xfId="3" applyNumberFormat="1" applyFont="1" applyFill="1" applyAlignment="1">
      <alignment horizontal="left"/>
    </xf>
    <xf numFmtId="164" fontId="10" fillId="0" borderId="0" xfId="0" applyNumberFormat="1" applyFont="1" applyFill="1" applyBorder="1"/>
    <xf numFmtId="43" fontId="0" fillId="0" borderId="0" xfId="1" applyFont="1" applyFill="1"/>
    <xf numFmtId="165" fontId="0" fillId="0" borderId="0" xfId="0" applyNumberFormat="1" applyFill="1"/>
    <xf numFmtId="0" fontId="0" fillId="0" borderId="0" xfId="0" applyFill="1" applyAlignment="1">
      <alignment horizontal="center"/>
    </xf>
    <xf numFmtId="43" fontId="0" fillId="0" borderId="0" xfId="1" applyFont="1" applyFill="1" applyAlignment="1">
      <alignment horizontal="center"/>
    </xf>
    <xf numFmtId="0" fontId="0" fillId="0" borderId="0" xfId="0" applyFill="1"/>
    <xf numFmtId="44" fontId="0" fillId="0" borderId="0" xfId="2" applyFont="1" applyFill="1"/>
    <xf numFmtId="14" fontId="0" fillId="0" borderId="0" xfId="1" applyNumberFormat="1" applyFont="1" applyFill="1"/>
    <xf numFmtId="0" fontId="0" fillId="0" borderId="0" xfId="0" applyAlignment="1">
      <alignment wrapText="1"/>
    </xf>
    <xf numFmtId="0" fontId="15" fillId="5" borderId="0" xfId="0" applyFont="1" applyFill="1"/>
    <xf numFmtId="0" fontId="15" fillId="5" borderId="0" xfId="0" applyFont="1" applyFill="1" applyAlignment="1">
      <alignment horizontal="center" wrapText="1"/>
    </xf>
    <xf numFmtId="14" fontId="16" fillId="5" borderId="0" xfId="0" applyNumberFormat="1" applyFont="1" applyFill="1" applyAlignment="1">
      <alignment horizontal="centerContinuous"/>
    </xf>
    <xf numFmtId="0" fontId="15" fillId="5" borderId="0" xfId="0" applyFont="1" applyFill="1" applyAlignment="1">
      <alignment horizontal="centerContinuous"/>
    </xf>
    <xf numFmtId="14" fontId="17" fillId="5" borderId="0" xfId="0" applyNumberFormat="1" applyFont="1" applyFill="1" applyAlignment="1"/>
    <xf numFmtId="0" fontId="17" fillId="5" borderId="0" xfId="0" applyFont="1" applyFill="1" applyAlignment="1"/>
    <xf numFmtId="0" fontId="17" fillId="5" borderId="0" xfId="0" applyFont="1" applyFill="1" applyAlignment="1">
      <alignment wrapText="1"/>
    </xf>
    <xf numFmtId="0" fontId="15" fillId="5" borderId="2" xfId="0" applyFont="1" applyFill="1" applyBorder="1"/>
    <xf numFmtId="0" fontId="15" fillId="5" borderId="2" xfId="0" applyFont="1" applyFill="1" applyBorder="1" applyAlignment="1">
      <alignment horizontal="center"/>
    </xf>
    <xf numFmtId="49" fontId="11" fillId="0" borderId="0" xfId="0" applyNumberFormat="1" applyFont="1"/>
    <xf numFmtId="0" fontId="11" fillId="0" borderId="0" xfId="0" applyFont="1" applyBorder="1"/>
    <xf numFmtId="14" fontId="11" fillId="0" borderId="0" xfId="0" applyNumberFormat="1" applyFont="1" applyBorder="1"/>
    <xf numFmtId="10" fontId="11" fillId="0" borderId="0" xfId="0" applyNumberFormat="1" applyFont="1" applyBorder="1"/>
    <xf numFmtId="164" fontId="11" fillId="0" borderId="0" xfId="1" applyNumberFormat="1" applyFont="1" applyBorder="1"/>
    <xf numFmtId="0" fontId="11" fillId="0" borderId="0" xfId="0" applyFont="1" applyBorder="1" applyAlignment="1">
      <alignment horizontal="center"/>
    </xf>
    <xf numFmtId="0" fontId="11" fillId="0" borderId="2" xfId="0" applyFont="1" applyBorder="1"/>
    <xf numFmtId="14" fontId="11" fillId="0" borderId="2" xfId="0" applyNumberFormat="1" applyFont="1" applyBorder="1"/>
    <xf numFmtId="10" fontId="11" fillId="0" borderId="2" xfId="0" applyNumberFormat="1" applyFont="1" applyBorder="1"/>
    <xf numFmtId="164" fontId="11" fillId="0" borderId="2" xfId="1" applyNumberFormat="1" applyFont="1" applyBorder="1"/>
    <xf numFmtId="0" fontId="11" fillId="0" borderId="2" xfId="0" applyFont="1" applyBorder="1" applyAlignment="1">
      <alignment horizontal="center"/>
    </xf>
    <xf numFmtId="0" fontId="11" fillId="0" borderId="0" xfId="0" applyFont="1"/>
    <xf numFmtId="165" fontId="11" fillId="0" borderId="0" xfId="0" applyNumberFormat="1" applyFont="1"/>
    <xf numFmtId="10" fontId="11" fillId="0" borderId="0" xfId="3" applyNumberFormat="1" applyFont="1"/>
    <xf numFmtId="164" fontId="11" fillId="0" borderId="0" xfId="1" applyNumberFormat="1" applyFont="1"/>
    <xf numFmtId="0" fontId="11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43" fontId="11" fillId="0" borderId="0" xfId="1" applyFont="1"/>
    <xf numFmtId="43" fontId="19" fillId="0" borderId="0" xfId="1" applyFont="1"/>
    <xf numFmtId="43" fontId="19" fillId="0" borderId="1" xfId="1" applyFont="1" applyBorder="1"/>
    <xf numFmtId="0" fontId="15" fillId="5" borderId="0" xfId="0" applyFont="1" applyFill="1" applyAlignment="1">
      <alignment horizontal="center"/>
    </xf>
    <xf numFmtId="43" fontId="15" fillId="5" borderId="0" xfId="1" applyFont="1" applyFill="1" applyAlignment="1">
      <alignment horizontal="center"/>
    </xf>
    <xf numFmtId="14" fontId="15" fillId="5" borderId="0" xfId="1" applyNumberFormat="1" applyFont="1" applyFill="1"/>
    <xf numFmtId="43" fontId="15" fillId="5" borderId="0" xfId="1" applyFont="1" applyFill="1"/>
    <xf numFmtId="43" fontId="15" fillId="5" borderId="2" xfId="1" applyFont="1" applyFill="1" applyBorder="1" applyAlignment="1">
      <alignment horizontal="center"/>
    </xf>
    <xf numFmtId="43" fontId="15" fillId="5" borderId="2" xfId="1" applyFont="1" applyFill="1" applyBorder="1"/>
    <xf numFmtId="0" fontId="0" fillId="0" borderId="2" xfId="0" applyFill="1" applyBorder="1" applyAlignment="1">
      <alignment wrapText="1"/>
    </xf>
    <xf numFmtId="0" fontId="11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43" fontId="11" fillId="0" borderId="0" xfId="1" applyFont="1" applyFill="1"/>
    <xf numFmtId="43" fontId="19" fillId="0" borderId="0" xfId="1" applyFont="1" applyFill="1"/>
    <xf numFmtId="1" fontId="11" fillId="4" borderId="0" xfId="0" applyNumberFormat="1" applyFont="1" applyFill="1"/>
    <xf numFmtId="0" fontId="15" fillId="5" borderId="2" xfId="0" applyFont="1" applyFill="1" applyBorder="1" applyAlignment="1">
      <alignment wrapText="1"/>
    </xf>
    <xf numFmtId="0" fontId="15" fillId="5" borderId="2" xfId="0" applyFont="1" applyFill="1" applyBorder="1" applyAlignment="1">
      <alignment horizontal="center" wrapText="1"/>
    </xf>
    <xf numFmtId="43" fontId="11" fillId="4" borderId="0" xfId="1" applyFont="1" applyFill="1" applyAlignment="1"/>
    <xf numFmtId="0" fontId="17" fillId="5" borderId="9" xfId="0" applyFont="1" applyFill="1" applyBorder="1"/>
    <xf numFmtId="14" fontId="5" fillId="4" borderId="0" xfId="0" applyNumberFormat="1" applyFont="1" applyFill="1"/>
    <xf numFmtId="9" fontId="11" fillId="0" borderId="0" xfId="3" applyFont="1"/>
    <xf numFmtId="49" fontId="11" fillId="0" borderId="0" xfId="0" applyNumberFormat="1" applyFont="1" applyFill="1"/>
    <xf numFmtId="43" fontId="11" fillId="0" borderId="0" xfId="0" applyNumberFormat="1" applyFont="1"/>
    <xf numFmtId="14" fontId="11" fillId="0" borderId="0" xfId="0" applyNumberFormat="1" applyFont="1"/>
    <xf numFmtId="43" fontId="11" fillId="0" borderId="0" xfId="1" applyFont="1" applyBorder="1" applyAlignment="1">
      <alignment horizontal="center"/>
    </xf>
    <xf numFmtId="0" fontId="11" fillId="0" borderId="0" xfId="0" applyFont="1" applyFill="1" applyBorder="1"/>
    <xf numFmtId="49" fontId="11" fillId="0" borderId="0" xfId="0" applyNumberFormat="1" applyFont="1" applyBorder="1"/>
    <xf numFmtId="9" fontId="11" fillId="0" borderId="0" xfId="0" applyNumberFormat="1" applyFont="1" applyBorder="1"/>
    <xf numFmtId="0" fontId="0" fillId="0" borderId="2" xfId="0" applyBorder="1" applyAlignment="1">
      <alignment wrapText="1"/>
    </xf>
    <xf numFmtId="164" fontId="0" fillId="0" borderId="2" xfId="1" applyNumberFormat="1" applyFont="1" applyBorder="1" applyAlignment="1">
      <alignment wrapText="1"/>
    </xf>
    <xf numFmtId="9" fontId="11" fillId="0" borderId="0" xfId="3" applyFont="1" applyFill="1"/>
    <xf numFmtId="165" fontId="11" fillId="0" borderId="0" xfId="0" applyNumberFormat="1" applyFont="1" applyFill="1"/>
    <xf numFmtId="164" fontId="11" fillId="0" borderId="0" xfId="1" applyNumberFormat="1" applyFont="1" applyFill="1"/>
    <xf numFmtId="0" fontId="15" fillId="5" borderId="0" xfId="0" applyFont="1" applyFill="1" applyBorder="1" applyAlignment="1">
      <alignment wrapText="1"/>
    </xf>
    <xf numFmtId="0" fontId="15" fillId="5" borderId="0" xfId="0" applyFont="1" applyFill="1" applyBorder="1" applyAlignment="1">
      <alignment horizontal="center" wrapText="1"/>
    </xf>
    <xf numFmtId="0" fontId="0" fillId="5" borderId="2" xfId="0" applyFill="1" applyBorder="1"/>
    <xf numFmtId="0" fontId="0" fillId="5" borderId="0" xfId="0" applyFill="1"/>
    <xf numFmtId="14" fontId="11" fillId="0" borderId="0" xfId="0" applyNumberFormat="1" applyFont="1" applyFill="1" applyBorder="1"/>
    <xf numFmtId="10" fontId="8" fillId="0" borderId="0" xfId="3" applyNumberFormat="1" applyFont="1" applyBorder="1" applyAlignment="1">
      <alignment horizontal="center"/>
    </xf>
    <xf numFmtId="10" fontId="18" fillId="0" borderId="0" xfId="0" applyNumberFormat="1" applyFont="1" applyFill="1" applyBorder="1"/>
    <xf numFmtId="49" fontId="15" fillId="5" borderId="0" xfId="0" applyNumberFormat="1" applyFont="1" applyFill="1"/>
    <xf numFmtId="9" fontId="11" fillId="0" borderId="0" xfId="0" applyNumberFormat="1" applyFont="1"/>
    <xf numFmtId="43" fontId="11" fillId="0" borderId="0" xfId="1" applyFont="1" applyAlignment="1">
      <alignment horizontal="center"/>
    </xf>
    <xf numFmtId="43" fontId="18" fillId="0" borderId="0" xfId="1" applyFont="1" applyAlignment="1">
      <alignment horizontal="center"/>
    </xf>
    <xf numFmtId="0" fontId="15" fillId="5" borderId="2" xfId="0" applyFont="1" applyFill="1" applyBorder="1" applyAlignment="1">
      <alignment horizontal="left"/>
    </xf>
    <xf numFmtId="0" fontId="15" fillId="5" borderId="0" xfId="0" applyFont="1" applyFill="1" applyAlignment="1">
      <alignment horizontal="left"/>
    </xf>
    <xf numFmtId="49" fontId="15" fillId="5" borderId="0" xfId="0" applyNumberFormat="1" applyFont="1" applyFill="1" applyAlignment="1">
      <alignment horizontal="left"/>
    </xf>
    <xf numFmtId="0" fontId="11" fillId="0" borderId="0" xfId="0" applyFont="1" applyBorder="1" applyAlignment="1">
      <alignment horizontal="left"/>
    </xf>
    <xf numFmtId="14" fontId="11" fillId="0" borderId="0" xfId="0" applyNumberFormat="1" applyFont="1" applyBorder="1" applyAlignment="1">
      <alignment horizontal="left"/>
    </xf>
    <xf numFmtId="0" fontId="11" fillId="0" borderId="0" xfId="0" applyFont="1" applyAlignment="1">
      <alignment horizontal="left"/>
    </xf>
    <xf numFmtId="43" fontId="19" fillId="0" borderId="0" xfId="1" applyFont="1" applyFill="1" applyAlignment="1">
      <alignment horizontal="left"/>
    </xf>
    <xf numFmtId="10" fontId="18" fillId="0" borderId="0" xfId="3" applyNumberFormat="1" applyFont="1" applyFill="1"/>
    <xf numFmtId="169" fontId="11" fillId="0" borderId="0" xfId="0" applyNumberFormat="1" applyFont="1" applyAlignment="1">
      <alignment horizontal="left"/>
    </xf>
    <xf numFmtId="43" fontId="7" fillId="0" borderId="0" xfId="1" applyFont="1"/>
    <xf numFmtId="2" fontId="0" fillId="0" borderId="0" xfId="0" applyNumberFormat="1"/>
    <xf numFmtId="14" fontId="17" fillId="5" borderId="0" xfId="0" applyNumberFormat="1" applyFont="1" applyFill="1" applyAlignment="1">
      <alignment wrapText="1"/>
    </xf>
    <xf numFmtId="169" fontId="0" fillId="0" borderId="0" xfId="0" applyNumberFormat="1"/>
    <xf numFmtId="0" fontId="4" fillId="0" borderId="0" xfId="0" applyFont="1" applyBorder="1" applyAlignment="1">
      <alignment horizontal="left"/>
    </xf>
    <xf numFmtId="0" fontId="15" fillId="5" borderId="2" xfId="0" applyFon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164" fontId="0" fillId="0" borderId="2" xfId="1" applyNumberFormat="1" applyFont="1" applyBorder="1" applyAlignment="1">
      <alignment horizontal="left" wrapText="1"/>
    </xf>
    <xf numFmtId="14" fontId="11" fillId="4" borderId="0" xfId="0" applyNumberFormat="1" applyFont="1" applyFill="1"/>
    <xf numFmtId="0" fontId="0" fillId="6" borderId="0" xfId="0" applyFill="1"/>
    <xf numFmtId="0" fontId="0" fillId="6" borderId="0" xfId="0" applyFill="1" applyAlignment="1">
      <alignment horizontal="centerContinuous"/>
    </xf>
    <xf numFmtId="170" fontId="10" fillId="0" borderId="0" xfId="0" applyNumberFormat="1" applyFont="1" applyFill="1"/>
    <xf numFmtId="14" fontId="10" fillId="5" borderId="0" xfId="0" applyNumberFormat="1" applyFont="1" applyFill="1"/>
    <xf numFmtId="0" fontId="4" fillId="6" borderId="0" xfId="0" applyFont="1" applyFill="1" applyAlignment="1">
      <alignment horizontal="centerContinuous" wrapText="1"/>
    </xf>
    <xf numFmtId="0" fontId="0" fillId="6" borderId="0" xfId="0" applyFill="1" applyAlignment="1">
      <alignment wrapText="1"/>
    </xf>
    <xf numFmtId="0" fontId="4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2" fontId="11" fillId="4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/>
    <xf numFmtId="165" fontId="7" fillId="0" borderId="0" xfId="0" applyNumberFormat="1" applyFont="1" applyFill="1"/>
    <xf numFmtId="0" fontId="7" fillId="0" borderId="0" xfId="0" applyFont="1"/>
    <xf numFmtId="0" fontId="0" fillId="0" borderId="0" xfId="0"/>
    <xf numFmtId="43" fontId="0" fillId="0" borderId="0" xfId="1" applyFont="1"/>
    <xf numFmtId="44" fontId="0" fillId="0" borderId="0" xfId="2" applyFont="1"/>
    <xf numFmtId="10" fontId="0" fillId="0" borderId="0" xfId="3" applyNumberFormat="1" applyFont="1"/>
    <xf numFmtId="0" fontId="7" fillId="0" borderId="0" xfId="0" applyFont="1" applyFill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43" fontId="19" fillId="0" borderId="0" xfId="1" applyFont="1"/>
    <xf numFmtId="0" fontId="0" fillId="0" borderId="0" xfId="0"/>
    <xf numFmtId="43" fontId="19" fillId="0" borderId="0" xfId="1" applyFont="1"/>
    <xf numFmtId="0" fontId="15" fillId="5" borderId="0" xfId="0" applyFont="1" applyFill="1" applyBorder="1" applyAlignment="1">
      <alignment vertical="top" wrapText="1"/>
    </xf>
    <xf numFmtId="170" fontId="11" fillId="4" borderId="0" xfId="1" applyNumberFormat="1" applyFont="1" applyFill="1"/>
    <xf numFmtId="43" fontId="11" fillId="0" borderId="0" xfId="1" applyFont="1" applyAlignment="1">
      <alignment horizontal="left"/>
    </xf>
    <xf numFmtId="43" fontId="0" fillId="0" borderId="0" xfId="0" applyNumberFormat="1" applyAlignment="1"/>
    <xf numFmtId="167" fontId="19" fillId="0" borderId="0" xfId="1" applyNumberFormat="1" applyFont="1"/>
    <xf numFmtId="0" fontId="9" fillId="5" borderId="0" xfId="0" applyFont="1" applyFill="1"/>
    <xf numFmtId="9" fontId="11" fillId="4" borderId="0" xfId="0" applyNumberFormat="1" applyFont="1" applyFill="1"/>
    <xf numFmtId="165" fontId="7" fillId="0" borderId="0" xfId="0" applyNumberFormat="1" applyFont="1"/>
    <xf numFmtId="165" fontId="7" fillId="0" borderId="0" xfId="0" applyNumberFormat="1" applyFont="1" applyAlignment="1">
      <alignment horizontal="left"/>
    </xf>
    <xf numFmtId="14" fontId="0" fillId="6" borderId="0" xfId="0" applyNumberFormat="1" applyFill="1"/>
    <xf numFmtId="14" fontId="11" fillId="0" borderId="0" xfId="0" applyNumberFormat="1" applyFont="1" applyFill="1" applyAlignment="1">
      <alignment horizontal="left"/>
    </xf>
    <xf numFmtId="0" fontId="34" fillId="0" borderId="0" xfId="0" applyFont="1" applyFill="1" applyAlignment="1">
      <alignment horizontal="center"/>
    </xf>
    <xf numFmtId="164" fontId="0" fillId="0" borderId="0" xfId="1" applyNumberFormat="1" applyFont="1" applyFill="1"/>
    <xf numFmtId="165" fontId="11" fillId="0" borderId="0" xfId="0" applyNumberFormat="1" applyFont="1" applyFill="1" applyAlignment="1">
      <alignment horizontal="left"/>
    </xf>
    <xf numFmtId="9" fontId="0" fillId="0" borderId="0" xfId="3" applyFont="1" applyFill="1"/>
    <xf numFmtId="168" fontId="0" fillId="0" borderId="0" xfId="0" applyNumberFormat="1" applyFill="1" applyAlignment="1">
      <alignment horizontal="center"/>
    </xf>
    <xf numFmtId="16" fontId="0" fillId="0" borderId="0" xfId="0" applyNumberFormat="1" applyFill="1"/>
    <xf numFmtId="1" fontId="0" fillId="0" borderId="0" xfId="0" applyNumberFormat="1" applyFill="1"/>
    <xf numFmtId="0" fontId="0" fillId="5" borderId="0" xfId="0" applyFill="1" applyAlignment="1">
      <alignment horizontal="center"/>
    </xf>
    <xf numFmtId="165" fontId="0" fillId="0" borderId="0" xfId="0" applyNumberFormat="1" applyBorder="1"/>
    <xf numFmtId="0" fontId="5" fillId="4" borderId="0" xfId="0" applyFont="1" applyFill="1" applyBorder="1" applyAlignment="1">
      <alignment horizontal="center"/>
    </xf>
    <xf numFmtId="16" fontId="0" fillId="0" borderId="0" xfId="0" applyNumberFormat="1"/>
    <xf numFmtId="0" fontId="5" fillId="4" borderId="0" xfId="0" applyFont="1" applyFill="1" applyAlignment="1">
      <alignment horizontal="center"/>
    </xf>
    <xf numFmtId="43" fontId="0" fillId="0" borderId="0" xfId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9" fillId="0" borderId="0" xfId="0" applyFont="1"/>
    <xf numFmtId="0" fontId="15" fillId="5" borderId="0" xfId="0" applyFont="1" applyFill="1" applyBorder="1" applyAlignment="1">
      <alignment horizontal="left" wrapText="1"/>
    </xf>
    <xf numFmtId="43" fontId="7" fillId="0" borderId="0" xfId="0" applyNumberFormat="1" applyFont="1" applyFill="1"/>
    <xf numFmtId="10" fontId="4" fillId="2" borderId="0" xfId="0" applyNumberFormat="1" applyFont="1" applyFill="1"/>
    <xf numFmtId="10" fontId="4" fillId="2" borderId="0" xfId="0" applyNumberFormat="1" applyFont="1" applyFill="1" applyAlignment="1">
      <alignment horizontal="left"/>
    </xf>
    <xf numFmtId="0" fontId="4" fillId="2" borderId="0" xfId="0" applyFont="1" applyFill="1"/>
  </cellXfs>
  <cellStyles count="49">
    <cellStyle name="20% - Accent1" xfId="26" builtinId="30" customBuiltin="1"/>
    <cellStyle name="20% - Accent2" xfId="30" builtinId="34" customBuiltin="1"/>
    <cellStyle name="20% - Accent3" xfId="34" builtinId="38" customBuiltin="1"/>
    <cellStyle name="20% - Accent4" xfId="38" builtinId="42" customBuiltin="1"/>
    <cellStyle name="20% - Accent5" xfId="42" builtinId="46" customBuiltin="1"/>
    <cellStyle name="20% - Accent6" xfId="46" builtinId="50" customBuiltin="1"/>
    <cellStyle name="40% - Accent1" xfId="27" builtinId="31" customBuiltin="1"/>
    <cellStyle name="40% - Accent2" xfId="31" builtinId="35" customBuiltin="1"/>
    <cellStyle name="40% - Accent3" xfId="35" builtinId="39" customBuiltin="1"/>
    <cellStyle name="40% - Accent4" xfId="39" builtinId="43" customBuiltin="1"/>
    <cellStyle name="40% - Accent5" xfId="43" builtinId="47" customBuiltin="1"/>
    <cellStyle name="40% - Accent6" xfId="47" builtinId="51" customBuiltin="1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4" xfId="40" builtinId="44" customBuiltin="1"/>
    <cellStyle name="60% - Accent5" xfId="44" builtinId="48" customBuiltin="1"/>
    <cellStyle name="60% - Accent6" xfId="48" builtinId="52" customBuiltin="1"/>
    <cellStyle name="Accent1" xfId="25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1" builtinId="45" customBuiltin="1"/>
    <cellStyle name="Accent6" xfId="45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Comma" xfId="1" builtinId="3"/>
    <cellStyle name="Comma 2" xfId="5"/>
    <cellStyle name="Currency" xfId="2" builtinId="4"/>
    <cellStyle name="Explanatory Text" xfId="23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/>
    <cellStyle name="Normal 11" xfId="6"/>
    <cellStyle name="Normal 2" xfId="4"/>
    <cellStyle name="Normal 3" xfId="7"/>
    <cellStyle name="Note" xfId="22" builtinId="10" customBuiltin="1"/>
    <cellStyle name="Output" xfId="17" builtinId="21" customBuiltin="1"/>
    <cellStyle name="Percent" xfId="3" builtinId="5"/>
    <cellStyle name="Title" xfId="8" builtinId="15" customBuiltin="1"/>
    <cellStyle name="Total" xfId="24" builtinId="25" customBuiltin="1"/>
    <cellStyle name="Warning Text" xfId="2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inge/AppData/Local/Microsoft/Windows/Temporary%20Internet%20Files/Content.Outlook/J0BRIWGK/Term%20Repo%20Pricing%20Model%204.30.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orec/AppData/Local/Microsoft/Windows/Temporary%20Internet%20Files/Content.Outlook/PB1DH9M5/Term%20Repo%20Pricing%20Model%208%2031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gcommon\sys\DEPTS\CIO\Operations\Pricing\Pricing%20Models\Approved\Liquidity%20Sprea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Summary"/>
      <sheetName val="Vertical Bridge"/>
      <sheetName val="Carval"/>
      <sheetName val="Real Estate"/>
      <sheetName val="Heritage"/>
      <sheetName val="Delaware"/>
      <sheetName val="Equitrust"/>
      <sheetName val="JTW"/>
      <sheetName val="MRC"/>
      <sheetName val="Nanuet-Bullville-Calshot-CH"/>
      <sheetName val="DT"/>
      <sheetName val="CLOIE Pre and Post Crisis Index"/>
      <sheetName val="Indices"/>
      <sheetName val="CM Equivalencies"/>
    </sheetNames>
    <sheetDataSet>
      <sheetData sheetId="0">
        <row r="3">
          <cell r="C3">
            <v>42460</v>
          </cell>
        </row>
        <row r="5">
          <cell r="C5">
            <v>42460</v>
          </cell>
        </row>
        <row r="7">
          <cell r="C7">
            <v>115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CM Rating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trust.Backup"/>
      <sheetName val="Inputs"/>
      <sheetName val="Summary"/>
      <sheetName val="Vertical Bridge"/>
      <sheetName val="Carval"/>
      <sheetName val="Real Estate"/>
      <sheetName val="Heritage"/>
      <sheetName val="Delaware"/>
      <sheetName val="Equitrust"/>
      <sheetName val="Efland 2015-1"/>
      <sheetName val="Efland 2015-2"/>
      <sheetName val="JTW"/>
      <sheetName val="MRC"/>
      <sheetName val="Nanuet-Bullville-Calshot-CH"/>
      <sheetName val="DT"/>
      <sheetName val="CLOIE Pre and Post Crisis Index"/>
      <sheetName val="Indices"/>
      <sheetName val="CM Equivalencies"/>
      <sheetName val="McCourt"/>
    </sheetNames>
    <sheetDataSet>
      <sheetData sheetId="0" refreshError="1"/>
      <sheetData sheetId="1">
        <row r="3">
          <cell r="C3">
            <v>42613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X1">
            <v>0.9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CM Rating</v>
          </cell>
          <cell r="B1" t="str">
            <v>NRSRO Equivalent</v>
          </cell>
        </row>
        <row r="2">
          <cell r="A2" t="str">
            <v>CM1</v>
          </cell>
          <cell r="B2" t="str">
            <v>BBB</v>
          </cell>
        </row>
        <row r="3">
          <cell r="A3" t="str">
            <v>CM2</v>
          </cell>
          <cell r="B3" t="str">
            <v>BBB</v>
          </cell>
        </row>
        <row r="4">
          <cell r="A4" t="str">
            <v>CM3</v>
          </cell>
          <cell r="B4" t="str">
            <v>BB</v>
          </cell>
        </row>
        <row r="5">
          <cell r="A5" t="str">
            <v>CM4</v>
          </cell>
          <cell r="B5" t="str">
            <v>BB</v>
          </cell>
        </row>
        <row r="6">
          <cell r="A6" t="str">
            <v>CM5</v>
          </cell>
          <cell r="B6" t="str">
            <v>B</v>
          </cell>
        </row>
        <row r="7">
          <cell r="A7" t="str">
            <v>CM6</v>
          </cell>
          <cell r="B7" t="str">
            <v>CCC</v>
          </cell>
        </row>
        <row r="8">
          <cell r="A8" t="str">
            <v>CM7</v>
          </cell>
          <cell r="B8" t="str">
            <v>Equity</v>
          </cell>
        </row>
      </sheetData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ity Spreads"/>
      <sheetName val="NAIC"/>
    </sheetNames>
    <sheetDataSet>
      <sheetData sheetId="0">
        <row r="3">
          <cell r="F3">
            <v>0.8</v>
          </cell>
          <cell r="H3">
            <v>0.82</v>
          </cell>
        </row>
        <row r="4">
          <cell r="F4">
            <v>0.82</v>
          </cell>
          <cell r="H4">
            <v>0.88</v>
          </cell>
        </row>
        <row r="5">
          <cell r="F5">
            <v>1.0900000000000001</v>
          </cell>
          <cell r="H5">
            <v>1.17</v>
          </cell>
        </row>
        <row r="6">
          <cell r="F6">
            <v>1.83</v>
          </cell>
          <cell r="G6">
            <v>0.74</v>
          </cell>
          <cell r="H6">
            <v>1.97</v>
          </cell>
        </row>
        <row r="7">
          <cell r="F7">
            <v>3.2</v>
          </cell>
          <cell r="G7">
            <v>1.37</v>
          </cell>
          <cell r="H7">
            <v>3.53</v>
          </cell>
        </row>
        <row r="8">
          <cell r="F8">
            <v>5.0199999999999996</v>
          </cell>
          <cell r="G8">
            <v>1.8199999999999994</v>
          </cell>
          <cell r="H8">
            <v>5.68</v>
          </cell>
        </row>
        <row r="9">
          <cell r="F9">
            <v>12.38</v>
          </cell>
          <cell r="G9">
            <v>2</v>
          </cell>
          <cell r="H9">
            <v>13.16</v>
          </cell>
        </row>
        <row r="10">
          <cell r="F10">
            <v>2.19</v>
          </cell>
          <cell r="H10">
            <v>2.31</v>
          </cell>
        </row>
        <row r="11">
          <cell r="F11">
            <v>2.0299999999999998</v>
          </cell>
          <cell r="H11">
            <v>2.17</v>
          </cell>
        </row>
        <row r="12">
          <cell r="F12">
            <v>1.82</v>
          </cell>
          <cell r="H12">
            <v>1.96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8"/>
  <sheetViews>
    <sheetView tabSelected="1" topLeftCell="B1" workbookViewId="0">
      <selection activeCell="B1" sqref="B1"/>
    </sheetView>
  </sheetViews>
  <sheetFormatPr defaultRowHeight="15" x14ac:dyDescent="0.25"/>
  <cols>
    <col min="1" max="1" width="1.85546875" style="77" customWidth="1"/>
    <col min="2" max="2" width="24" style="177" customWidth="1"/>
    <col min="3" max="3" width="15.7109375" style="77" customWidth="1"/>
    <col min="4" max="4" width="1.85546875" style="77" customWidth="1"/>
  </cols>
  <sheetData>
    <row r="1" spans="1:4" x14ac:dyDescent="0.25">
      <c r="A1" s="170"/>
      <c r="B1" s="174" t="s">
        <v>180</v>
      </c>
      <c r="C1" s="171"/>
      <c r="D1" s="170"/>
    </row>
    <row r="2" spans="1:4" s="67" customFormat="1" x14ac:dyDescent="0.25">
      <c r="A2" s="170"/>
      <c r="B2" s="175"/>
      <c r="C2" s="170"/>
      <c r="D2" s="170"/>
    </row>
    <row r="3" spans="1:4" x14ac:dyDescent="0.25">
      <c r="A3" s="170"/>
      <c r="B3" s="176" t="s">
        <v>181</v>
      </c>
      <c r="C3" s="169">
        <v>42613</v>
      </c>
      <c r="D3" s="170"/>
    </row>
    <row r="4" spans="1:4" x14ac:dyDescent="0.25">
      <c r="A4" s="170"/>
      <c r="B4" s="175"/>
      <c r="C4" s="202"/>
      <c r="D4" s="170"/>
    </row>
    <row r="5" spans="1:4" x14ac:dyDescent="0.25">
      <c r="A5" s="170"/>
      <c r="B5" s="176" t="s">
        <v>182</v>
      </c>
      <c r="C5" s="169">
        <v>42613</v>
      </c>
      <c r="D5" s="170"/>
    </row>
    <row r="6" spans="1:4" x14ac:dyDescent="0.25">
      <c r="A6" s="170"/>
      <c r="B6" s="175"/>
      <c r="C6" s="170"/>
      <c r="D6" s="170"/>
    </row>
    <row r="7" spans="1:4" s="67" customFormat="1" ht="30" x14ac:dyDescent="0.25">
      <c r="A7" s="170"/>
      <c r="B7" s="176" t="s">
        <v>183</v>
      </c>
      <c r="C7" s="178">
        <v>110</v>
      </c>
      <c r="D7" s="170"/>
    </row>
    <row r="8" spans="1:4" s="67" customFormat="1" x14ac:dyDescent="0.25">
      <c r="A8" s="170"/>
      <c r="B8" s="175"/>
      <c r="C8" s="170"/>
      <c r="D8" s="17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"/>
  <sheetViews>
    <sheetView workbookViewId="0">
      <selection activeCell="A20" sqref="A20"/>
    </sheetView>
  </sheetViews>
  <sheetFormatPr defaultRowHeight="15" outlineLevelCol="1" x14ac:dyDescent="0.25"/>
  <cols>
    <col min="1" max="1" width="50" bestFit="1" customWidth="1"/>
    <col min="2" max="2" width="20.140625" bestFit="1" customWidth="1"/>
    <col min="3" max="3" width="11.140625" bestFit="1" customWidth="1"/>
    <col min="4" max="4" width="10.7109375" hidden="1" customWidth="1" outlineLevel="1"/>
    <col min="5" max="5" width="9.7109375" hidden="1" customWidth="1" outlineLevel="1"/>
    <col min="6" max="6" width="5" hidden="1" customWidth="1" outlineLevel="1"/>
    <col min="7" max="7" width="12.5703125" hidden="1" customWidth="1" outlineLevel="1"/>
    <col min="8" max="8" width="10.28515625" hidden="1" customWidth="1" outlineLevel="1"/>
    <col min="9" max="9" width="11.5703125" hidden="1" customWidth="1" outlineLevel="1"/>
    <col min="10" max="10" width="12.5703125" hidden="1" customWidth="1" outlineLevel="1"/>
    <col min="11" max="11" width="8.42578125" hidden="1" customWidth="1" outlineLevel="1"/>
    <col min="12" max="12" width="6.28515625" hidden="1" customWidth="1" outlineLevel="1"/>
    <col min="13" max="13" width="8.7109375" hidden="1" customWidth="1" outlineLevel="1"/>
    <col min="14" max="14" width="8.85546875" hidden="1" customWidth="1" outlineLevel="1"/>
    <col min="15" max="15" width="8" hidden="1" customWidth="1" outlineLevel="1"/>
    <col min="16" max="16" width="4.5703125" hidden="1" customWidth="1" outlineLevel="1"/>
    <col min="17" max="17" width="5.28515625" hidden="1" customWidth="1" outlineLevel="1"/>
    <col min="18" max="18" width="5.140625" hidden="1" customWidth="1" outlineLevel="1"/>
    <col min="19" max="19" width="5.42578125" hidden="1" customWidth="1" outlineLevel="1"/>
    <col min="20" max="20" width="8.5703125" hidden="1" customWidth="1" outlineLevel="1"/>
    <col min="21" max="21" width="17.85546875" bestFit="1" customWidth="1" collapsed="1"/>
    <col min="22" max="22" width="22.140625" bestFit="1" customWidth="1"/>
    <col min="23" max="23" width="10.85546875" bestFit="1" customWidth="1"/>
    <col min="24" max="24" width="12" bestFit="1" customWidth="1"/>
    <col min="25" max="25" width="8" bestFit="1" customWidth="1"/>
    <col min="26" max="26" width="8.7109375" bestFit="1" customWidth="1"/>
    <col min="27" max="28" width="9" bestFit="1" customWidth="1"/>
  </cols>
  <sheetData>
    <row r="1" spans="1:28" s="117" customFormat="1" x14ac:dyDescent="0.25">
      <c r="A1" s="141"/>
      <c r="B1" s="148" t="s">
        <v>25</v>
      </c>
      <c r="C1" s="127">
        <f>Valuation_Date</f>
        <v>42613</v>
      </c>
      <c r="D1" s="141"/>
      <c r="E1" s="141"/>
      <c r="F1" s="141"/>
      <c r="G1" s="141"/>
      <c r="H1" s="141"/>
      <c r="I1" s="141"/>
      <c r="J1" s="141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1"/>
      <c r="V1" s="141"/>
      <c r="W1" s="141"/>
      <c r="X1" s="141"/>
      <c r="Y1" s="141"/>
      <c r="Z1" s="141"/>
      <c r="AA1" s="141"/>
      <c r="AB1" s="141"/>
    </row>
    <row r="2" spans="1:28" s="117" customFormat="1" ht="30" x14ac:dyDescent="0.25">
      <c r="A2" s="123" t="s">
        <v>0</v>
      </c>
      <c r="B2" s="123" t="s">
        <v>6</v>
      </c>
      <c r="C2" s="123" t="s">
        <v>1</v>
      </c>
      <c r="D2" s="123" t="s">
        <v>60</v>
      </c>
      <c r="E2" s="123" t="s">
        <v>2</v>
      </c>
      <c r="F2" s="123" t="s">
        <v>59</v>
      </c>
      <c r="G2" s="123" t="s">
        <v>55</v>
      </c>
      <c r="H2" s="123" t="s">
        <v>3</v>
      </c>
      <c r="I2" s="123" t="s">
        <v>4</v>
      </c>
      <c r="J2" s="123" t="s">
        <v>10</v>
      </c>
      <c r="K2" s="124" t="s">
        <v>5</v>
      </c>
      <c r="L2" s="124" t="s">
        <v>103</v>
      </c>
      <c r="M2" s="124" t="s">
        <v>11</v>
      </c>
      <c r="N2" s="124" t="s">
        <v>107</v>
      </c>
      <c r="O2" s="124" t="s">
        <v>7</v>
      </c>
      <c r="P2" s="124" t="s">
        <v>8</v>
      </c>
      <c r="Q2" s="124" t="s">
        <v>9</v>
      </c>
      <c r="R2" s="124" t="s">
        <v>15</v>
      </c>
      <c r="S2" s="124" t="s">
        <v>14</v>
      </c>
      <c r="T2" s="124" t="s">
        <v>164</v>
      </c>
      <c r="U2" s="123" t="s">
        <v>18</v>
      </c>
      <c r="V2" s="123"/>
      <c r="W2" s="123" t="s">
        <v>19</v>
      </c>
      <c r="X2" s="123" t="s">
        <v>22</v>
      </c>
      <c r="Y2" s="123" t="s">
        <v>20</v>
      </c>
      <c r="Z2" s="123" t="s">
        <v>21</v>
      </c>
      <c r="AA2" s="123" t="s">
        <v>23</v>
      </c>
      <c r="AB2" s="123" t="s">
        <v>24</v>
      </c>
    </row>
    <row r="3" spans="1:28" s="77" customFormat="1" x14ac:dyDescent="0.25">
      <c r="A3" s="129"/>
      <c r="B3" s="129" t="s">
        <v>200</v>
      </c>
      <c r="C3" s="129"/>
      <c r="D3" s="138">
        <v>0.5</v>
      </c>
      <c r="E3" s="203">
        <v>43770</v>
      </c>
      <c r="F3" s="120"/>
      <c r="G3" s="206">
        <f>C1+3</f>
        <v>42616</v>
      </c>
      <c r="H3" s="120">
        <v>6.5</v>
      </c>
      <c r="I3" s="140">
        <v>46065000</v>
      </c>
      <c r="J3" s="140">
        <v>62500000</v>
      </c>
      <c r="K3" s="188">
        <v>4</v>
      </c>
      <c r="L3" s="188">
        <v>2</v>
      </c>
      <c r="M3" s="76" t="e">
        <f t="shared" ref="M3" ca="1" si="0">DURATION($C$1,E3,H3/100,AA3/100,K3,L3)</f>
        <v>#NAME?</v>
      </c>
      <c r="N3" s="76">
        <v>0</v>
      </c>
      <c r="O3" s="75"/>
      <c r="P3" s="75"/>
      <c r="Q3" s="75"/>
      <c r="R3" s="75"/>
      <c r="S3" s="204" t="s">
        <v>201</v>
      </c>
      <c r="T3" s="75"/>
      <c r="U3" s="189" t="s">
        <v>202</v>
      </c>
      <c r="V3" s="77" t="str">
        <f>U3&amp;" Govt"</f>
        <v>T 1.5 10/31/2019 Govt</v>
      </c>
      <c r="W3" s="121" t="e">
        <f ca="1">_xll.BDH(V3,$W$2,$C$1)</f>
        <v>#NAME?</v>
      </c>
      <c r="X3" s="205">
        <f>+X14</f>
        <v>302.73333333333335</v>
      </c>
      <c r="Y3" s="122">
        <v>0</v>
      </c>
      <c r="Z3" s="58">
        <f>'[3]Liquidity Spreads'!$G$6*100</f>
        <v>74</v>
      </c>
      <c r="AA3" s="73" t="e">
        <f t="shared" ref="AA3" ca="1" si="1">(+W3+X3/100+Y3+Z3/100)</f>
        <v>#NAME?</v>
      </c>
      <c r="AB3" s="78" t="e">
        <f ca="1">MIN(PRICE($C$1,E3,H3/100,AA3/100,100,K3,L3),100)</f>
        <v>#NAME?</v>
      </c>
    </row>
    <row r="4" spans="1:28" s="77" customFormat="1" x14ac:dyDescent="0.25">
      <c r="D4" s="207"/>
      <c r="E4" s="74"/>
      <c r="J4" s="205"/>
      <c r="K4" s="75"/>
      <c r="L4" s="75"/>
      <c r="M4" s="76"/>
      <c r="N4" s="76"/>
      <c r="O4" s="208"/>
      <c r="P4" s="75"/>
      <c r="Q4" s="75"/>
      <c r="R4" s="75"/>
      <c r="S4" s="75"/>
      <c r="T4" s="75"/>
      <c r="U4" s="209"/>
      <c r="W4" s="73"/>
      <c r="X4" s="205"/>
      <c r="Y4" s="210"/>
      <c r="Z4" s="186"/>
      <c r="AA4" s="73"/>
      <c r="AB4" s="78"/>
    </row>
    <row r="5" spans="1:28" s="77" customFormat="1" x14ac:dyDescent="0.25">
      <c r="A5" s="66"/>
      <c r="C5" s="66"/>
      <c r="D5" s="207"/>
      <c r="E5" s="74"/>
      <c r="J5" s="205"/>
      <c r="K5" s="75"/>
      <c r="L5" s="75"/>
      <c r="M5" s="76"/>
      <c r="N5" s="76"/>
      <c r="O5" s="75"/>
      <c r="P5" s="75"/>
      <c r="Q5" s="75"/>
      <c r="R5" s="75"/>
      <c r="S5" s="75"/>
      <c r="T5" s="75"/>
      <c r="W5" s="73"/>
      <c r="X5" s="205"/>
      <c r="Y5" s="210"/>
      <c r="Z5" s="186"/>
      <c r="AA5" s="73"/>
      <c r="AB5" s="78"/>
    </row>
    <row r="6" spans="1:28" s="77" customFormat="1" x14ac:dyDescent="0.25">
      <c r="A6" s="66"/>
      <c r="C6" s="66"/>
      <c r="D6" s="207"/>
      <c r="E6" s="74"/>
      <c r="J6" s="205"/>
      <c r="K6" s="75"/>
      <c r="L6" s="75"/>
      <c r="M6" s="76"/>
      <c r="N6" s="76"/>
      <c r="O6" s="75"/>
      <c r="P6" s="75"/>
      <c r="Q6" s="75"/>
      <c r="R6" s="75"/>
      <c r="S6" s="75"/>
      <c r="T6" s="75"/>
      <c r="W6" s="73"/>
      <c r="X6" s="205"/>
      <c r="Y6" s="210"/>
      <c r="Z6" s="186"/>
      <c r="AA6" s="73"/>
      <c r="AB6" s="78"/>
    </row>
    <row r="7" spans="1:28" s="77" customFormat="1" x14ac:dyDescent="0.25">
      <c r="A7" s="66"/>
      <c r="C7" s="66"/>
      <c r="D7" s="66"/>
      <c r="K7" s="75"/>
      <c r="L7" s="75"/>
      <c r="M7" s="76"/>
      <c r="N7" s="76"/>
      <c r="O7" s="75"/>
      <c r="P7" s="75"/>
      <c r="Q7" s="75"/>
      <c r="R7" s="75"/>
      <c r="S7" s="75"/>
      <c r="T7" s="75"/>
      <c r="W7" s="79"/>
      <c r="AA7" s="73"/>
    </row>
    <row r="8" spans="1:28" s="191" customFormat="1" x14ac:dyDescent="0.25">
      <c r="A8" s="81" t="s">
        <v>203</v>
      </c>
      <c r="B8" s="81"/>
      <c r="C8" s="81"/>
      <c r="D8" s="81"/>
      <c r="E8" s="81"/>
      <c r="F8" s="81"/>
      <c r="G8" s="81"/>
      <c r="H8" s="81"/>
      <c r="I8" s="81"/>
      <c r="J8" s="81"/>
      <c r="K8" s="111"/>
      <c r="L8" s="111"/>
      <c r="M8" s="111"/>
      <c r="N8" s="111"/>
      <c r="O8" s="144"/>
      <c r="P8" s="144"/>
      <c r="Q8" s="144"/>
      <c r="R8" s="144"/>
      <c r="S8" s="211"/>
      <c r="T8" s="211"/>
      <c r="U8" s="112"/>
      <c r="V8" s="111"/>
      <c r="W8" s="111"/>
      <c r="X8" s="111"/>
      <c r="Y8" s="81"/>
      <c r="Z8" s="81"/>
      <c r="AA8" s="81"/>
      <c r="AB8" s="81"/>
    </row>
    <row r="9" spans="1:28" s="7" customFormat="1" x14ac:dyDescent="0.25">
      <c r="A9" s="88" t="s">
        <v>0</v>
      </c>
      <c r="B9" s="88" t="s">
        <v>6</v>
      </c>
      <c r="C9" s="88" t="s">
        <v>1</v>
      </c>
      <c r="D9" s="88" t="s">
        <v>2</v>
      </c>
      <c r="E9" s="88" t="s">
        <v>3</v>
      </c>
      <c r="F9" s="88" t="s">
        <v>4</v>
      </c>
      <c r="G9" s="88" t="s">
        <v>10</v>
      </c>
      <c r="H9" s="89" t="s">
        <v>5</v>
      </c>
      <c r="I9" s="115" t="s">
        <v>11</v>
      </c>
      <c r="J9" s="89" t="s">
        <v>7</v>
      </c>
      <c r="K9" s="89" t="s">
        <v>8</v>
      </c>
      <c r="L9" s="89" t="s">
        <v>9</v>
      </c>
      <c r="M9" s="89" t="s">
        <v>15</v>
      </c>
      <c r="N9" s="89" t="s">
        <v>14</v>
      </c>
      <c r="O9" s="143"/>
      <c r="P9" s="143"/>
      <c r="Q9" s="143"/>
      <c r="R9" s="143"/>
      <c r="S9" s="143"/>
      <c r="T9" s="143"/>
      <c r="U9" s="88" t="s">
        <v>18</v>
      </c>
      <c r="V9" s="88"/>
      <c r="W9" s="88" t="s">
        <v>19</v>
      </c>
      <c r="X9" s="88" t="s">
        <v>26</v>
      </c>
      <c r="Y9" s="88"/>
      <c r="Z9" s="88"/>
      <c r="AA9" s="116" t="s">
        <v>23</v>
      </c>
      <c r="AB9" s="88"/>
    </row>
    <row r="10" spans="1:28" s="31" customFormat="1" x14ac:dyDescent="0.25">
      <c r="A10" s="37" t="s">
        <v>204</v>
      </c>
      <c r="B10" s="37"/>
      <c r="C10" s="31" t="s">
        <v>205</v>
      </c>
      <c r="D10" s="212"/>
      <c r="G10" s="34"/>
      <c r="H10" s="32"/>
      <c r="J10" s="91"/>
      <c r="K10" s="95" t="s">
        <v>64</v>
      </c>
      <c r="L10" s="6"/>
      <c r="M10" s="6"/>
      <c r="N10" s="6"/>
      <c r="S10" s="6"/>
      <c r="T10" s="6"/>
      <c r="U10" s="36"/>
      <c r="V10" s="6"/>
      <c r="W10" s="6"/>
      <c r="X10" s="6"/>
      <c r="AA10" s="191"/>
    </row>
    <row r="11" spans="1:28" s="191" customFormat="1" x14ac:dyDescent="0.25">
      <c r="A11" s="133" t="s">
        <v>206</v>
      </c>
      <c r="B11" s="133" t="s">
        <v>207</v>
      </c>
      <c r="C11" s="101" t="s">
        <v>208</v>
      </c>
      <c r="D11" s="102">
        <v>44071</v>
      </c>
      <c r="E11" s="101">
        <v>5.7</v>
      </c>
      <c r="F11" s="101"/>
      <c r="G11" s="104">
        <v>250000000</v>
      </c>
      <c r="H11" s="101">
        <v>2</v>
      </c>
      <c r="I11" s="12" t="e">
        <f ca="1">DURATION($C$1,D11,E11/100,AA11/100,H11,0)</f>
        <v>#NAME?</v>
      </c>
      <c r="J11" s="101" t="s">
        <v>28</v>
      </c>
      <c r="K11" s="187" t="s">
        <v>64</v>
      </c>
      <c r="L11" s="10"/>
      <c r="M11" s="10"/>
      <c r="N11" s="10"/>
      <c r="S11" s="6"/>
      <c r="T11" s="6"/>
      <c r="U11" s="36" t="s">
        <v>209</v>
      </c>
      <c r="V11" s="6" t="str">
        <f>+U11&amp;" govt"</f>
        <v>T 2.625 8/15/2020 govt</v>
      </c>
      <c r="W11" s="192" t="e">
        <f ca="1">_xll.BDP(V11,$W$9)</f>
        <v>#NAME?</v>
      </c>
      <c r="X11" s="213">
        <v>247.5</v>
      </c>
      <c r="Y11" s="183"/>
      <c r="Z11" s="214"/>
      <c r="AA11" s="183" t="e">
        <f ca="1">+W11+X11/100</f>
        <v>#NAME?</v>
      </c>
    </row>
    <row r="12" spans="1:28" s="191" customFormat="1" x14ac:dyDescent="0.25">
      <c r="A12" s="133" t="s">
        <v>206</v>
      </c>
      <c r="B12" s="101" t="s">
        <v>207</v>
      </c>
      <c r="C12" s="101" t="s">
        <v>210</v>
      </c>
      <c r="D12" s="102">
        <v>44743</v>
      </c>
      <c r="E12" s="101">
        <v>5.75</v>
      </c>
      <c r="F12" s="101"/>
      <c r="G12" s="104">
        <v>400000000</v>
      </c>
      <c r="H12" s="101">
        <v>2</v>
      </c>
      <c r="I12" s="12" t="e">
        <f ca="1">DURATION($C$1,D12,E12/100,AA12/100,H12,0)</f>
        <v>#NAME?</v>
      </c>
      <c r="J12" s="101" t="s">
        <v>28</v>
      </c>
      <c r="K12" s="187" t="s">
        <v>64</v>
      </c>
      <c r="L12" s="10"/>
      <c r="M12" s="10"/>
      <c r="N12" s="10"/>
      <c r="S12" s="10"/>
      <c r="T12" s="10"/>
      <c r="U12" s="10" t="s">
        <v>211</v>
      </c>
      <c r="V12" s="6" t="str">
        <f>+U12&amp;" govt"</f>
        <v>T 1.625 8/15/22 govt</v>
      </c>
      <c r="W12" s="192" t="e">
        <f ca="1">_xll.BDP(V12,$W$9)</f>
        <v>#NAME?</v>
      </c>
      <c r="X12" s="215">
        <v>306.89999999999998</v>
      </c>
      <c r="Y12" s="191">
        <v>215.7</v>
      </c>
      <c r="AA12" s="183" t="e">
        <f ca="1">+W12+X12/100</f>
        <v>#NAME?</v>
      </c>
    </row>
    <row r="13" spans="1:28" s="191" customFormat="1" x14ac:dyDescent="0.25">
      <c r="A13" s="133" t="s">
        <v>212</v>
      </c>
      <c r="B13" s="101" t="s">
        <v>207</v>
      </c>
      <c r="C13" s="101" t="s">
        <v>213</v>
      </c>
      <c r="D13" s="102">
        <v>44301</v>
      </c>
      <c r="E13" s="101">
        <v>5</v>
      </c>
      <c r="F13" s="101"/>
      <c r="G13" s="104">
        <v>350000000</v>
      </c>
      <c r="H13" s="101">
        <v>2</v>
      </c>
      <c r="I13" s="12" t="e">
        <f ca="1">DURATION($C$1,D13,E13/100,AA13/100,H13,0)</f>
        <v>#NAME?</v>
      </c>
      <c r="J13" s="101" t="s">
        <v>214</v>
      </c>
      <c r="K13" s="187" t="s">
        <v>64</v>
      </c>
      <c r="U13" s="216" t="s">
        <v>215</v>
      </c>
      <c r="V13" s="6" t="str">
        <f t="shared" ref="V13" si="2">+U13&amp;" govt"</f>
        <v>T 2.25 4/30/21 govt</v>
      </c>
      <c r="W13" s="192" t="e">
        <f ca="1">_xll.BDP(V13,$W$9)</f>
        <v>#NAME?</v>
      </c>
      <c r="X13" s="217">
        <v>353.8</v>
      </c>
      <c r="Y13" s="191">
        <v>270.10000000000002</v>
      </c>
      <c r="AA13" s="183" t="e">
        <f ca="1">+W13+X13/100</f>
        <v>#NAME?</v>
      </c>
    </row>
    <row r="14" spans="1:28" s="191" customFormat="1" x14ac:dyDescent="0.25">
      <c r="W14" s="218"/>
      <c r="X14" s="191">
        <f>AVERAGE(X11:X13)</f>
        <v>302.73333333333335</v>
      </c>
      <c r="Y14" s="191">
        <v>242.9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00B050"/>
  </sheetPr>
  <dimension ref="A1:N253"/>
  <sheetViews>
    <sheetView workbookViewId="0">
      <pane ySplit="1" topLeftCell="A218" activePane="bottomLeft" state="frozen"/>
      <selection activeCell="J32" sqref="J32"/>
      <selection pane="bottomLeft" activeCell="C254" sqref="C254"/>
    </sheetView>
  </sheetViews>
  <sheetFormatPr defaultColWidth="9.140625" defaultRowHeight="15" x14ac:dyDescent="0.25"/>
  <cols>
    <col min="1" max="1" width="10.140625" style="49" bestFit="1" customWidth="1"/>
    <col min="2" max="13" width="19.140625" style="49" customWidth="1"/>
    <col min="14" max="16384" width="9.140625" style="49"/>
  </cols>
  <sheetData>
    <row r="1" spans="1:14" ht="45" x14ac:dyDescent="0.25">
      <c r="A1" s="81" t="s">
        <v>58</v>
      </c>
      <c r="B1" s="82" t="s">
        <v>84</v>
      </c>
      <c r="C1" s="82" t="s">
        <v>85</v>
      </c>
      <c r="D1" s="82" t="s">
        <v>86</v>
      </c>
      <c r="E1" s="82" t="s">
        <v>87</v>
      </c>
      <c r="F1" s="82" t="s">
        <v>88</v>
      </c>
      <c r="G1" s="82" t="s">
        <v>89</v>
      </c>
      <c r="H1" s="82" t="s">
        <v>90</v>
      </c>
      <c r="I1" s="82" t="s">
        <v>91</v>
      </c>
      <c r="J1" s="82" t="s">
        <v>92</v>
      </c>
      <c r="K1" s="82" t="s">
        <v>93</v>
      </c>
      <c r="L1" s="82" t="s">
        <v>94</v>
      </c>
      <c r="M1" s="82" t="s">
        <v>95</v>
      </c>
      <c r="N1" s="80"/>
    </row>
    <row r="2" spans="1:14" x14ac:dyDescent="0.25">
      <c r="A2" s="48">
        <v>42247</v>
      </c>
      <c r="B2" s="49">
        <v>131.08187000000001</v>
      </c>
      <c r="C2" s="49">
        <v>165.61732000000001</v>
      </c>
      <c r="D2" s="49">
        <v>217.47047000000001</v>
      </c>
      <c r="E2" s="49">
        <v>308.4615</v>
      </c>
      <c r="F2" s="49">
        <v>529.59252000000004</v>
      </c>
      <c r="G2" s="49">
        <v>0</v>
      </c>
      <c r="H2" s="49">
        <v>159.21722</v>
      </c>
      <c r="I2" s="49">
        <v>233.78482</v>
      </c>
      <c r="J2" s="49">
        <v>332.64512999999999</v>
      </c>
      <c r="K2" s="49">
        <v>452.15186</v>
      </c>
      <c r="L2" s="49">
        <v>693.61554000000001</v>
      </c>
      <c r="M2" s="49">
        <v>891.52971000000002</v>
      </c>
    </row>
    <row r="3" spans="1:14" x14ac:dyDescent="0.25">
      <c r="A3" s="48">
        <v>42248</v>
      </c>
      <c r="B3" s="49">
        <v>131.08682999999999</v>
      </c>
      <c r="C3" s="49">
        <v>165.70743999999999</v>
      </c>
      <c r="D3" s="49">
        <v>217.52107000000001</v>
      </c>
      <c r="E3" s="49">
        <v>308.39841999999999</v>
      </c>
      <c r="F3" s="49">
        <v>529.61176999999998</v>
      </c>
      <c r="G3" s="49">
        <v>0</v>
      </c>
      <c r="H3" s="49">
        <v>159.21501000000001</v>
      </c>
      <c r="I3" s="49">
        <v>233.79798</v>
      </c>
      <c r="J3" s="49">
        <v>332.64769000000001</v>
      </c>
      <c r="K3" s="49">
        <v>452.21066000000002</v>
      </c>
      <c r="L3" s="49">
        <v>693.60258999999996</v>
      </c>
      <c r="M3" s="49">
        <v>891.53602999999998</v>
      </c>
    </row>
    <row r="4" spans="1:14" x14ac:dyDescent="0.25">
      <c r="A4" s="48">
        <v>42249</v>
      </c>
      <c r="B4" s="49">
        <v>131.12155000000001</v>
      </c>
      <c r="C4" s="49">
        <v>165.73572999999999</v>
      </c>
      <c r="D4" s="49">
        <v>217.55628999999999</v>
      </c>
      <c r="E4" s="49">
        <v>308.43576999999999</v>
      </c>
      <c r="F4" s="49">
        <v>529.29872</v>
      </c>
      <c r="G4" s="49">
        <v>0</v>
      </c>
      <c r="H4" s="49">
        <v>159.19379000000001</v>
      </c>
      <c r="I4" s="49">
        <v>233.79856000000001</v>
      </c>
      <c r="J4" s="49">
        <v>332.57862</v>
      </c>
      <c r="K4" s="49">
        <v>451.94209000000001</v>
      </c>
      <c r="L4" s="49">
        <v>693.63265999999999</v>
      </c>
      <c r="M4" s="49">
        <v>891.48258999999996</v>
      </c>
    </row>
    <row r="5" spans="1:14" x14ac:dyDescent="0.25">
      <c r="A5" s="48">
        <v>42250</v>
      </c>
      <c r="B5" s="49">
        <v>131.20577</v>
      </c>
      <c r="C5" s="49">
        <v>165.79056</v>
      </c>
      <c r="D5" s="49">
        <v>217.66471999999999</v>
      </c>
      <c r="E5" s="49">
        <v>308.58226999999999</v>
      </c>
      <c r="F5" s="49">
        <v>529.81133</v>
      </c>
      <c r="G5" s="49">
        <v>0</v>
      </c>
      <c r="H5" s="49">
        <v>159.19528</v>
      </c>
      <c r="I5" s="49">
        <v>233.77571</v>
      </c>
      <c r="J5" s="49">
        <v>332.59102000000001</v>
      </c>
      <c r="K5" s="49">
        <v>452.23176000000001</v>
      </c>
      <c r="L5" s="49">
        <v>693.40227000000004</v>
      </c>
      <c r="M5" s="49">
        <v>891.42492000000004</v>
      </c>
    </row>
    <row r="6" spans="1:14" x14ac:dyDescent="0.25">
      <c r="A6" s="48">
        <v>42251</v>
      </c>
      <c r="B6" s="49">
        <v>131.20693</v>
      </c>
      <c r="C6" s="49">
        <v>165.79662999999999</v>
      </c>
      <c r="D6" s="49">
        <v>217.67174</v>
      </c>
      <c r="E6" s="49">
        <v>308.59294999999997</v>
      </c>
      <c r="F6" s="49">
        <v>529.83228999999994</v>
      </c>
      <c r="G6" s="49">
        <v>0</v>
      </c>
      <c r="H6" s="49">
        <v>159.21001000000001</v>
      </c>
      <c r="I6" s="49">
        <v>233.77533</v>
      </c>
      <c r="J6" s="49">
        <v>332.57584000000003</v>
      </c>
      <c r="K6" s="49">
        <v>452.09309000000002</v>
      </c>
      <c r="L6" s="49">
        <v>693.46064000000001</v>
      </c>
      <c r="M6" s="49">
        <v>891.77936</v>
      </c>
    </row>
    <row r="7" spans="1:14" x14ac:dyDescent="0.25">
      <c r="A7" s="48">
        <v>42255</v>
      </c>
      <c r="B7" s="49">
        <v>131.13954000000001</v>
      </c>
      <c r="C7" s="49">
        <v>165.82726</v>
      </c>
      <c r="D7" s="49">
        <v>217.67336</v>
      </c>
      <c r="E7" s="49">
        <v>308.60354999999998</v>
      </c>
      <c r="F7" s="49">
        <v>529.82993999999997</v>
      </c>
      <c r="G7" s="49">
        <v>0</v>
      </c>
      <c r="H7" s="49">
        <v>159.22835000000001</v>
      </c>
      <c r="I7" s="49">
        <v>233.72659999999999</v>
      </c>
      <c r="J7" s="49">
        <v>332.56455999999997</v>
      </c>
      <c r="K7" s="49">
        <v>452.05502999999999</v>
      </c>
      <c r="L7" s="49">
        <v>693.69259999999997</v>
      </c>
      <c r="M7" s="49">
        <v>891.71627000000001</v>
      </c>
    </row>
    <row r="8" spans="1:14" x14ac:dyDescent="0.25">
      <c r="A8" s="48">
        <v>42256</v>
      </c>
      <c r="B8" s="49">
        <v>131.09908999999999</v>
      </c>
      <c r="C8" s="49">
        <v>165.8443</v>
      </c>
      <c r="D8" s="49">
        <v>217.65819999999999</v>
      </c>
      <c r="E8" s="49">
        <v>308.61876000000001</v>
      </c>
      <c r="F8" s="49">
        <v>529.53734999999995</v>
      </c>
      <c r="G8" s="49">
        <v>0</v>
      </c>
      <c r="H8" s="49">
        <v>159.22996000000001</v>
      </c>
      <c r="I8" s="49">
        <v>233.72745</v>
      </c>
      <c r="J8" s="49">
        <v>332.5446</v>
      </c>
      <c r="K8" s="49">
        <v>452.05135000000001</v>
      </c>
      <c r="L8" s="49">
        <v>693.26086999999995</v>
      </c>
      <c r="M8" s="49">
        <v>891.73143000000005</v>
      </c>
    </row>
    <row r="9" spans="1:14" x14ac:dyDescent="0.25">
      <c r="A9" s="48">
        <v>42257</v>
      </c>
      <c r="B9" s="49">
        <v>131.17198999999999</v>
      </c>
      <c r="C9" s="49">
        <v>165.97881000000001</v>
      </c>
      <c r="D9" s="49">
        <v>217.67706999999999</v>
      </c>
      <c r="E9" s="49">
        <v>308.48961000000003</v>
      </c>
      <c r="F9" s="49">
        <v>529.55341999999996</v>
      </c>
      <c r="G9" s="49">
        <v>0</v>
      </c>
      <c r="H9" s="49">
        <v>159.25122999999999</v>
      </c>
      <c r="I9" s="49">
        <v>233.72198</v>
      </c>
      <c r="J9" s="49">
        <v>332.54804000000001</v>
      </c>
      <c r="K9" s="49">
        <v>451.97881999999998</v>
      </c>
      <c r="L9" s="49">
        <v>693.54215999999997</v>
      </c>
      <c r="M9" s="49">
        <v>891.73432000000003</v>
      </c>
    </row>
    <row r="10" spans="1:14" x14ac:dyDescent="0.25">
      <c r="A10" s="48">
        <v>42258</v>
      </c>
      <c r="B10" s="49">
        <v>132.29533000000001</v>
      </c>
      <c r="C10" s="49">
        <v>167.10937000000001</v>
      </c>
      <c r="D10" s="49">
        <v>217.9606</v>
      </c>
      <c r="E10" s="49">
        <v>308.50371000000001</v>
      </c>
      <c r="F10" s="49">
        <v>528.62944000000005</v>
      </c>
      <c r="G10" s="49">
        <v>0</v>
      </c>
      <c r="H10" s="49">
        <v>159.24223000000001</v>
      </c>
      <c r="I10" s="49">
        <v>233.70475999999999</v>
      </c>
      <c r="J10" s="49">
        <v>332.48090999999999</v>
      </c>
      <c r="K10" s="49">
        <v>451.86313999999999</v>
      </c>
      <c r="L10" s="49">
        <v>693.51462000000004</v>
      </c>
      <c r="M10" s="49">
        <v>891.70684000000006</v>
      </c>
    </row>
    <row r="11" spans="1:14" x14ac:dyDescent="0.25">
      <c r="A11" s="48">
        <v>42261</v>
      </c>
      <c r="B11" s="49">
        <v>131.18781000000001</v>
      </c>
      <c r="C11" s="49">
        <v>166.95558</v>
      </c>
      <c r="D11" s="49">
        <v>216.83184</v>
      </c>
      <c r="E11" s="49">
        <v>308.31855999999999</v>
      </c>
      <c r="F11" s="49">
        <v>528.82862</v>
      </c>
      <c r="G11" s="49">
        <v>0</v>
      </c>
      <c r="H11" s="49">
        <v>159.22739999999999</v>
      </c>
      <c r="I11" s="49">
        <v>233.70600999999999</v>
      </c>
      <c r="J11" s="49">
        <v>332.45479999999998</v>
      </c>
      <c r="K11" s="49">
        <v>451.85676999999998</v>
      </c>
      <c r="L11" s="49">
        <v>693.55435</v>
      </c>
      <c r="M11" s="49">
        <v>891.71501000000001</v>
      </c>
    </row>
    <row r="12" spans="1:14" x14ac:dyDescent="0.25">
      <c r="A12" s="48">
        <v>42262</v>
      </c>
      <c r="B12" s="49">
        <v>132.01405</v>
      </c>
      <c r="C12" s="49">
        <v>166.93772000000001</v>
      </c>
      <c r="D12" s="49">
        <v>216.82843</v>
      </c>
      <c r="E12" s="49">
        <v>308.27188000000001</v>
      </c>
      <c r="F12" s="49">
        <v>528.61869000000002</v>
      </c>
      <c r="G12" s="49">
        <v>0</v>
      </c>
      <c r="H12" s="49">
        <v>159.25783000000001</v>
      </c>
      <c r="I12" s="49">
        <v>233.65057999999999</v>
      </c>
      <c r="J12" s="49">
        <v>332.47669000000002</v>
      </c>
      <c r="K12" s="49">
        <v>451.77627999999999</v>
      </c>
      <c r="L12" s="49">
        <v>693.55075999999997</v>
      </c>
      <c r="M12" s="49">
        <v>891.71105999999997</v>
      </c>
    </row>
    <row r="13" spans="1:14" x14ac:dyDescent="0.25">
      <c r="A13" s="48">
        <v>42263</v>
      </c>
      <c r="B13" s="49">
        <v>132.07518999999999</v>
      </c>
      <c r="C13" s="49">
        <v>167.05117999999999</v>
      </c>
      <c r="D13" s="49">
        <v>216.84433000000001</v>
      </c>
      <c r="E13" s="49">
        <v>308.31020999999998</v>
      </c>
      <c r="F13" s="49">
        <v>528.72163999999998</v>
      </c>
      <c r="G13" s="49">
        <v>0</v>
      </c>
      <c r="H13" s="49">
        <v>159.27291</v>
      </c>
      <c r="I13" s="49">
        <v>233.65459999999999</v>
      </c>
      <c r="J13" s="49">
        <v>332.43544000000003</v>
      </c>
      <c r="K13" s="49">
        <v>451.77766000000003</v>
      </c>
      <c r="L13" s="49">
        <v>693.62518999999998</v>
      </c>
      <c r="M13" s="49">
        <v>891.71572000000003</v>
      </c>
    </row>
    <row r="14" spans="1:14" x14ac:dyDescent="0.25">
      <c r="A14" s="48">
        <v>42264</v>
      </c>
      <c r="B14" s="49">
        <v>132.08681999999999</v>
      </c>
      <c r="C14" s="49">
        <v>167.12091000000001</v>
      </c>
      <c r="D14" s="49">
        <v>216.93995000000001</v>
      </c>
      <c r="E14" s="49">
        <v>308.42192999999997</v>
      </c>
      <c r="F14" s="49">
        <v>527.02211999999997</v>
      </c>
      <c r="G14" s="49">
        <v>0</v>
      </c>
      <c r="H14" s="49">
        <v>159.27428</v>
      </c>
      <c r="I14" s="49">
        <v>233.65696</v>
      </c>
      <c r="J14" s="49">
        <v>332.43587000000002</v>
      </c>
      <c r="K14" s="49">
        <v>451.78064999999998</v>
      </c>
      <c r="L14" s="49">
        <v>693.65129999999999</v>
      </c>
      <c r="M14" s="49">
        <v>891.80873999999994</v>
      </c>
    </row>
    <row r="15" spans="1:14" x14ac:dyDescent="0.25">
      <c r="A15" s="48">
        <v>42265</v>
      </c>
      <c r="B15" s="49">
        <v>132.14082999999999</v>
      </c>
      <c r="C15" s="49">
        <v>167.17544000000001</v>
      </c>
      <c r="D15" s="49">
        <v>216.97702000000001</v>
      </c>
      <c r="E15" s="49">
        <v>308.44794000000002</v>
      </c>
      <c r="F15" s="49">
        <v>527.04152999999997</v>
      </c>
      <c r="G15" s="49">
        <v>0</v>
      </c>
      <c r="H15" s="49">
        <v>159.27565000000001</v>
      </c>
      <c r="I15" s="49">
        <v>233.65561</v>
      </c>
      <c r="J15" s="49">
        <v>332.43482</v>
      </c>
      <c r="K15" s="49">
        <v>451.77677999999997</v>
      </c>
      <c r="L15" s="49">
        <v>693.64673000000005</v>
      </c>
      <c r="M15" s="49">
        <v>893.65589</v>
      </c>
    </row>
    <row r="16" spans="1:14" x14ac:dyDescent="0.25">
      <c r="A16" s="48">
        <v>42268</v>
      </c>
      <c r="B16" s="49">
        <v>132.23133999999999</v>
      </c>
      <c r="C16" s="49">
        <v>167.43465</v>
      </c>
      <c r="D16" s="49">
        <v>216.98840999999999</v>
      </c>
      <c r="E16" s="49">
        <v>308.50668999999999</v>
      </c>
      <c r="F16" s="49">
        <v>527.09280000000001</v>
      </c>
      <c r="G16" s="49">
        <v>0</v>
      </c>
      <c r="H16" s="49">
        <v>159.27636999999999</v>
      </c>
      <c r="I16" s="49">
        <v>233.65619000000001</v>
      </c>
      <c r="J16" s="49">
        <v>332.43588999999997</v>
      </c>
      <c r="K16" s="49">
        <v>451.77661000000001</v>
      </c>
      <c r="L16" s="49">
        <v>693.64248999999995</v>
      </c>
      <c r="M16" s="49">
        <v>893.65661999999998</v>
      </c>
    </row>
    <row r="17" spans="1:13" x14ac:dyDescent="0.25">
      <c r="A17" s="48">
        <v>42269</v>
      </c>
      <c r="B17" s="49">
        <v>132.14071999999999</v>
      </c>
      <c r="C17" s="49">
        <v>167.49518</v>
      </c>
      <c r="D17" s="49">
        <v>217.04381000000001</v>
      </c>
      <c r="E17" s="49">
        <v>308.64573999999999</v>
      </c>
      <c r="F17" s="49">
        <v>527.53643999999997</v>
      </c>
      <c r="G17" s="49">
        <v>0</v>
      </c>
      <c r="H17" s="49">
        <v>159.31341</v>
      </c>
      <c r="I17" s="49">
        <v>233.65749</v>
      </c>
      <c r="J17" s="49">
        <v>332.44222000000002</v>
      </c>
      <c r="K17" s="49">
        <v>451.77751000000001</v>
      </c>
      <c r="L17" s="49">
        <v>693.64702</v>
      </c>
      <c r="M17" s="49">
        <v>893.66896999999994</v>
      </c>
    </row>
    <row r="18" spans="1:13" x14ac:dyDescent="0.25">
      <c r="A18" s="48">
        <v>42270</v>
      </c>
      <c r="B18" s="49">
        <v>132.32168999999999</v>
      </c>
      <c r="C18" s="49">
        <v>167.60355999999999</v>
      </c>
      <c r="D18" s="49">
        <v>217.32426000000001</v>
      </c>
      <c r="E18" s="49">
        <v>306.80626999999998</v>
      </c>
      <c r="F18" s="49">
        <v>527.58150999999998</v>
      </c>
      <c r="G18" s="49">
        <v>0</v>
      </c>
      <c r="H18" s="49">
        <v>159.35294999999999</v>
      </c>
      <c r="I18" s="49">
        <v>233.6703</v>
      </c>
      <c r="J18" s="49">
        <v>332.45001000000002</v>
      </c>
      <c r="K18" s="49">
        <v>451.77918</v>
      </c>
      <c r="L18" s="49">
        <v>693.75098000000003</v>
      </c>
      <c r="M18" s="49">
        <v>893.67555000000004</v>
      </c>
    </row>
    <row r="19" spans="1:13" x14ac:dyDescent="0.25">
      <c r="A19" s="48">
        <v>42271</v>
      </c>
      <c r="B19" s="49">
        <v>132.30131</v>
      </c>
      <c r="C19" s="49">
        <v>167.61958000000001</v>
      </c>
      <c r="D19" s="49">
        <v>217.52708000000001</v>
      </c>
      <c r="E19" s="49">
        <v>306.77343000000002</v>
      </c>
      <c r="F19" s="49">
        <v>527.58462999999995</v>
      </c>
      <c r="G19" s="49">
        <v>0</v>
      </c>
      <c r="H19" s="49">
        <v>159.41831999999999</v>
      </c>
      <c r="I19" s="49">
        <v>233.66970000000001</v>
      </c>
      <c r="J19" s="49">
        <v>332.47978000000001</v>
      </c>
      <c r="K19" s="49">
        <v>451.76560999999998</v>
      </c>
      <c r="L19" s="49">
        <v>693.88603999999998</v>
      </c>
      <c r="M19" s="49">
        <v>893.67179999999996</v>
      </c>
    </row>
    <row r="20" spans="1:13" x14ac:dyDescent="0.25">
      <c r="A20" s="48">
        <v>42272</v>
      </c>
      <c r="B20" s="49">
        <v>132.30267000000001</v>
      </c>
      <c r="C20" s="49">
        <v>168.20093</v>
      </c>
      <c r="D20" s="49">
        <v>217.62836999999999</v>
      </c>
      <c r="E20" s="49">
        <v>307.02449999999999</v>
      </c>
      <c r="F20" s="49">
        <v>527.64374999999995</v>
      </c>
      <c r="G20" s="49">
        <v>0</v>
      </c>
      <c r="H20" s="49">
        <v>159.48672999999999</v>
      </c>
      <c r="I20" s="49">
        <v>233.64859000000001</v>
      </c>
      <c r="J20" s="49">
        <v>332.48232999999999</v>
      </c>
      <c r="K20" s="49">
        <v>451.77352000000002</v>
      </c>
      <c r="L20" s="49">
        <v>693.91836999999998</v>
      </c>
      <c r="M20" s="49">
        <v>893.79308000000003</v>
      </c>
    </row>
    <row r="21" spans="1:13" x14ac:dyDescent="0.25">
      <c r="A21" s="48">
        <v>42275</v>
      </c>
      <c r="B21" s="49">
        <v>137.16846000000001</v>
      </c>
      <c r="C21" s="49">
        <v>172.04301000000001</v>
      </c>
      <c r="D21" s="49">
        <v>227.46057999999999</v>
      </c>
      <c r="E21" s="49">
        <v>320.28282999999999</v>
      </c>
      <c r="F21" s="49">
        <v>547.26964999999996</v>
      </c>
      <c r="G21" s="49">
        <v>0</v>
      </c>
      <c r="H21" s="49">
        <v>165.35016999999999</v>
      </c>
      <c r="I21" s="49">
        <v>241.75496000000001</v>
      </c>
      <c r="J21" s="49">
        <v>344.02488</v>
      </c>
      <c r="K21" s="49">
        <v>462.62049999999999</v>
      </c>
      <c r="L21" s="49">
        <v>724.23083999999994</v>
      </c>
      <c r="M21" s="49">
        <v>932.36834999999996</v>
      </c>
    </row>
    <row r="22" spans="1:13" x14ac:dyDescent="0.25">
      <c r="A22" s="48">
        <v>42276</v>
      </c>
      <c r="B22" s="49">
        <v>137.66099</v>
      </c>
      <c r="C22" s="49">
        <v>173.16111000000001</v>
      </c>
      <c r="D22" s="49">
        <v>227.54122000000001</v>
      </c>
      <c r="E22" s="49">
        <v>320.12851999999998</v>
      </c>
      <c r="F22" s="49">
        <v>547.29371000000003</v>
      </c>
      <c r="G22" s="49">
        <v>0</v>
      </c>
      <c r="H22" s="49">
        <v>165.31242</v>
      </c>
      <c r="I22" s="49">
        <v>245.39923999999999</v>
      </c>
      <c r="J22" s="49">
        <v>343.79057</v>
      </c>
      <c r="K22" s="49">
        <v>478.55131</v>
      </c>
      <c r="L22" s="49">
        <v>746.06358</v>
      </c>
      <c r="M22" s="49">
        <v>950.76994000000002</v>
      </c>
    </row>
    <row r="23" spans="1:13" x14ac:dyDescent="0.25">
      <c r="A23" s="48">
        <v>42277</v>
      </c>
      <c r="B23" s="49">
        <v>137.71161000000001</v>
      </c>
      <c r="C23" s="49">
        <v>174.26562999999999</v>
      </c>
      <c r="D23" s="49">
        <v>228.08774</v>
      </c>
      <c r="E23" s="49">
        <v>320.23189000000002</v>
      </c>
      <c r="F23" s="49">
        <v>546.95016999999996</v>
      </c>
      <c r="G23" s="49">
        <v>0</v>
      </c>
      <c r="H23" s="49">
        <v>165.00228000000001</v>
      </c>
      <c r="I23" s="49">
        <v>244.65879000000001</v>
      </c>
      <c r="J23" s="49">
        <v>343.15665000000001</v>
      </c>
      <c r="K23" s="49">
        <v>476.92264</v>
      </c>
      <c r="L23" s="49">
        <v>745.25761999999997</v>
      </c>
      <c r="M23" s="49">
        <v>949.14022</v>
      </c>
    </row>
    <row r="24" spans="1:13" x14ac:dyDescent="0.25">
      <c r="A24" s="48">
        <v>42278</v>
      </c>
      <c r="B24" s="49">
        <v>137.72291999999999</v>
      </c>
      <c r="C24" s="49">
        <v>174.28373999999999</v>
      </c>
      <c r="D24" s="49">
        <v>227.94657000000001</v>
      </c>
      <c r="E24" s="49">
        <v>320.16331000000002</v>
      </c>
      <c r="F24" s="49">
        <v>546.97407999999996</v>
      </c>
      <c r="G24" s="49">
        <v>0</v>
      </c>
      <c r="H24" s="49">
        <v>165.05602999999999</v>
      </c>
      <c r="I24" s="49">
        <v>244.66289</v>
      </c>
      <c r="J24" s="49">
        <v>343.09217000000001</v>
      </c>
      <c r="K24" s="49">
        <v>476.91095000000001</v>
      </c>
      <c r="L24" s="49">
        <v>745.26044999999999</v>
      </c>
      <c r="M24" s="49">
        <v>949.14387999999997</v>
      </c>
    </row>
    <row r="25" spans="1:13" x14ac:dyDescent="0.25">
      <c r="A25" s="48">
        <v>42279</v>
      </c>
      <c r="B25" s="49">
        <v>137.65442999999999</v>
      </c>
      <c r="C25" s="49">
        <v>174.44653</v>
      </c>
      <c r="D25" s="49">
        <v>227.90125</v>
      </c>
      <c r="E25" s="49">
        <v>320.15422000000001</v>
      </c>
      <c r="F25" s="49">
        <v>546.99789999999996</v>
      </c>
      <c r="G25" s="49">
        <v>0</v>
      </c>
      <c r="H25" s="49">
        <v>165.11918</v>
      </c>
      <c r="I25" s="49">
        <v>244.65120999999999</v>
      </c>
      <c r="J25" s="49">
        <v>343.20566000000002</v>
      </c>
      <c r="K25" s="49">
        <v>476.25844999999998</v>
      </c>
      <c r="L25" s="49">
        <v>745.50539000000003</v>
      </c>
      <c r="M25" s="49">
        <v>949.15102000000002</v>
      </c>
    </row>
    <row r="26" spans="1:13" x14ac:dyDescent="0.25">
      <c r="A26" s="48">
        <v>42282</v>
      </c>
      <c r="B26" s="49">
        <v>137.70648</v>
      </c>
      <c r="C26" s="49">
        <v>174.46743000000001</v>
      </c>
      <c r="D26" s="49">
        <v>227.82917</v>
      </c>
      <c r="E26" s="49">
        <v>321.59264999999999</v>
      </c>
      <c r="F26" s="49">
        <v>546.28479000000004</v>
      </c>
      <c r="G26" s="49">
        <v>0</v>
      </c>
      <c r="H26" s="49">
        <v>165.12103999999999</v>
      </c>
      <c r="I26" s="49">
        <v>244.65185</v>
      </c>
      <c r="J26" s="49">
        <v>343.23394000000002</v>
      </c>
      <c r="K26" s="49">
        <v>476.15233000000001</v>
      </c>
      <c r="L26" s="49">
        <v>745.35573999999997</v>
      </c>
      <c r="M26" s="49">
        <v>949.25984000000005</v>
      </c>
    </row>
    <row r="27" spans="1:13" x14ac:dyDescent="0.25">
      <c r="A27" s="48">
        <v>42283</v>
      </c>
      <c r="B27" s="49">
        <v>138.20930000000001</v>
      </c>
      <c r="C27" s="49">
        <v>175.08869999999999</v>
      </c>
      <c r="D27" s="49">
        <v>228.43599</v>
      </c>
      <c r="E27" s="49">
        <v>321.83262999999999</v>
      </c>
      <c r="F27" s="49">
        <v>546.29205999999999</v>
      </c>
      <c r="G27" s="49">
        <v>0</v>
      </c>
      <c r="H27" s="49">
        <v>165.21508</v>
      </c>
      <c r="I27" s="49">
        <v>244.71679</v>
      </c>
      <c r="J27" s="49">
        <v>343.23074000000003</v>
      </c>
      <c r="K27" s="49">
        <v>476.06707999999998</v>
      </c>
      <c r="L27" s="49">
        <v>747.63588000000004</v>
      </c>
      <c r="M27" s="49">
        <v>949.26386000000002</v>
      </c>
    </row>
    <row r="28" spans="1:13" x14ac:dyDescent="0.25">
      <c r="A28" s="48">
        <v>42284</v>
      </c>
      <c r="B28" s="49">
        <v>138.30993000000001</v>
      </c>
      <c r="C28" s="49">
        <v>175.12733</v>
      </c>
      <c r="D28" s="49">
        <v>228.53975</v>
      </c>
      <c r="E28" s="49">
        <v>321.26074</v>
      </c>
      <c r="F28" s="49">
        <v>545.48802000000001</v>
      </c>
      <c r="G28" s="49">
        <v>0</v>
      </c>
      <c r="H28" s="49">
        <v>165.10888</v>
      </c>
      <c r="I28" s="49">
        <v>244.65373</v>
      </c>
      <c r="J28" s="49">
        <v>343.27388000000002</v>
      </c>
      <c r="K28" s="49">
        <v>475.87687</v>
      </c>
      <c r="L28" s="49">
        <v>749.20324000000005</v>
      </c>
      <c r="M28" s="49">
        <v>951.31019000000003</v>
      </c>
    </row>
    <row r="29" spans="1:13" x14ac:dyDescent="0.25">
      <c r="A29" s="48">
        <v>42285</v>
      </c>
      <c r="B29" s="49">
        <v>138.2268</v>
      </c>
      <c r="C29" s="49">
        <v>175.12267</v>
      </c>
      <c r="D29" s="49">
        <v>228.54318000000001</v>
      </c>
      <c r="E29" s="49">
        <v>321.26391999999998</v>
      </c>
      <c r="F29" s="49">
        <v>545.01297</v>
      </c>
      <c r="G29" s="49">
        <v>0</v>
      </c>
      <c r="H29" s="49">
        <v>165.08123000000001</v>
      </c>
      <c r="I29" s="49">
        <v>244.65485000000001</v>
      </c>
      <c r="J29" s="49">
        <v>343.30829</v>
      </c>
      <c r="K29" s="49">
        <v>476.01330999999999</v>
      </c>
      <c r="L29" s="49">
        <v>749.43907000000002</v>
      </c>
      <c r="M29" s="49">
        <v>951.29976999999997</v>
      </c>
    </row>
    <row r="30" spans="1:13" x14ac:dyDescent="0.25">
      <c r="A30" s="48">
        <v>42286</v>
      </c>
      <c r="B30" s="49">
        <v>139.37043</v>
      </c>
      <c r="C30" s="49">
        <v>177.25962000000001</v>
      </c>
      <c r="D30" s="49">
        <v>229.45089999999999</v>
      </c>
      <c r="E30" s="49">
        <v>321.20377999999999</v>
      </c>
      <c r="F30" s="49">
        <v>545.15498000000002</v>
      </c>
      <c r="G30" s="49">
        <v>0</v>
      </c>
      <c r="H30" s="49">
        <v>165.19466</v>
      </c>
      <c r="I30" s="49">
        <v>244.65931</v>
      </c>
      <c r="J30" s="49">
        <v>343.3116</v>
      </c>
      <c r="K30" s="49">
        <v>476.05554000000001</v>
      </c>
      <c r="L30" s="49">
        <v>749.62449000000004</v>
      </c>
      <c r="M30" s="49">
        <v>951.38229999999999</v>
      </c>
    </row>
    <row r="31" spans="1:13" x14ac:dyDescent="0.25">
      <c r="A31" s="48">
        <v>42290</v>
      </c>
      <c r="B31" s="49">
        <v>139.09395000000001</v>
      </c>
      <c r="C31" s="49">
        <v>177.24055999999999</v>
      </c>
      <c r="D31" s="49">
        <v>229.31019000000001</v>
      </c>
      <c r="E31" s="49">
        <v>321.21156000000002</v>
      </c>
      <c r="F31" s="49">
        <v>545.77625999999998</v>
      </c>
      <c r="G31" s="49">
        <v>0</v>
      </c>
      <c r="H31" s="49">
        <v>165.19878</v>
      </c>
      <c r="I31" s="49">
        <v>244.66067000000001</v>
      </c>
      <c r="J31" s="49">
        <v>343.31288999999998</v>
      </c>
      <c r="K31" s="49">
        <v>475.99016</v>
      </c>
      <c r="L31" s="49">
        <v>749.62558999999999</v>
      </c>
      <c r="M31" s="49">
        <v>951.95084999999995</v>
      </c>
    </row>
    <row r="32" spans="1:13" x14ac:dyDescent="0.25">
      <c r="A32" s="48">
        <v>42291</v>
      </c>
      <c r="B32" s="49">
        <v>138.97004000000001</v>
      </c>
      <c r="C32" s="49">
        <v>177.2475</v>
      </c>
      <c r="D32" s="49">
        <v>229.42236</v>
      </c>
      <c r="E32" s="49">
        <v>321.23795999999999</v>
      </c>
      <c r="F32" s="49">
        <v>545.79033000000004</v>
      </c>
      <c r="G32" s="49">
        <v>0</v>
      </c>
      <c r="H32" s="49">
        <v>165.23390000000001</v>
      </c>
      <c r="I32" s="49">
        <v>244.66918999999999</v>
      </c>
      <c r="J32" s="49">
        <v>343.45103</v>
      </c>
      <c r="K32" s="49">
        <v>476.33355</v>
      </c>
      <c r="L32" s="49">
        <v>750.12607000000003</v>
      </c>
      <c r="M32" s="49">
        <v>952.05083000000002</v>
      </c>
    </row>
    <row r="33" spans="1:13" x14ac:dyDescent="0.25">
      <c r="A33" s="48">
        <v>42292</v>
      </c>
      <c r="B33" s="49">
        <v>139.20263</v>
      </c>
      <c r="C33" s="49">
        <v>179.41129000000001</v>
      </c>
      <c r="D33" s="49">
        <v>230.53285</v>
      </c>
      <c r="E33" s="49">
        <v>321.50898999999998</v>
      </c>
      <c r="F33" s="49">
        <v>545.75061000000005</v>
      </c>
      <c r="G33" s="49">
        <v>0</v>
      </c>
      <c r="H33" s="49">
        <v>165.21427</v>
      </c>
      <c r="I33" s="49">
        <v>244.66616999999999</v>
      </c>
      <c r="J33" s="49">
        <v>343.44162999999998</v>
      </c>
      <c r="K33" s="49">
        <v>476.77596</v>
      </c>
      <c r="L33" s="49">
        <v>750.75721999999996</v>
      </c>
      <c r="M33" s="49">
        <v>952.23780999999997</v>
      </c>
    </row>
    <row r="34" spans="1:13" x14ac:dyDescent="0.25">
      <c r="A34" s="48">
        <v>42293</v>
      </c>
      <c r="B34" s="49">
        <v>139.28970000000001</v>
      </c>
      <c r="C34" s="49">
        <v>179.42159000000001</v>
      </c>
      <c r="D34" s="49">
        <v>230.57812999999999</v>
      </c>
      <c r="E34" s="49">
        <v>321.55290000000002</v>
      </c>
      <c r="F34" s="49">
        <v>545.77426000000003</v>
      </c>
      <c r="G34" s="49">
        <v>0</v>
      </c>
      <c r="H34" s="49">
        <v>165.20799</v>
      </c>
      <c r="I34" s="49">
        <v>244.54317</v>
      </c>
      <c r="J34" s="49">
        <v>343.39686999999998</v>
      </c>
      <c r="K34" s="49">
        <v>476.73295000000002</v>
      </c>
      <c r="L34" s="49">
        <v>750.86807999999996</v>
      </c>
      <c r="M34" s="49">
        <v>952.70955000000004</v>
      </c>
    </row>
    <row r="35" spans="1:13" x14ac:dyDescent="0.25">
      <c r="A35" s="48">
        <v>42296</v>
      </c>
      <c r="B35" s="49">
        <v>139.66768999999999</v>
      </c>
      <c r="C35" s="49">
        <v>179.41641999999999</v>
      </c>
      <c r="D35" s="49">
        <v>231.22478000000001</v>
      </c>
      <c r="E35" s="49">
        <v>321.56858999999997</v>
      </c>
      <c r="F35" s="49">
        <v>545.56293000000005</v>
      </c>
      <c r="G35" s="49">
        <v>0</v>
      </c>
      <c r="H35" s="49">
        <v>165.20804000000001</v>
      </c>
      <c r="I35" s="49">
        <v>244.54747</v>
      </c>
      <c r="J35" s="49">
        <v>343.40390000000002</v>
      </c>
      <c r="K35" s="49">
        <v>476.73674999999997</v>
      </c>
      <c r="L35" s="49">
        <v>751.10581999999999</v>
      </c>
      <c r="M35" s="49">
        <v>953.02743999999996</v>
      </c>
    </row>
    <row r="36" spans="1:13" x14ac:dyDescent="0.25">
      <c r="A36" s="48">
        <v>42297</v>
      </c>
      <c r="B36" s="49">
        <v>139.6525</v>
      </c>
      <c r="C36" s="49">
        <v>179.36213000000001</v>
      </c>
      <c r="D36" s="49">
        <v>231.21606</v>
      </c>
      <c r="E36" s="49">
        <v>321.57445000000001</v>
      </c>
      <c r="F36" s="49">
        <v>544.94199000000003</v>
      </c>
      <c r="G36" s="49">
        <v>0</v>
      </c>
      <c r="H36" s="49">
        <v>165.27826999999999</v>
      </c>
      <c r="I36" s="49">
        <v>244.54615000000001</v>
      </c>
      <c r="J36" s="49">
        <v>343.42156999999997</v>
      </c>
      <c r="K36" s="49">
        <v>476.72613000000001</v>
      </c>
      <c r="L36" s="49">
        <v>751.41399999999999</v>
      </c>
      <c r="M36" s="49">
        <v>952.77196000000004</v>
      </c>
    </row>
    <row r="37" spans="1:13" x14ac:dyDescent="0.25">
      <c r="A37" s="48">
        <v>42298</v>
      </c>
      <c r="B37" s="49">
        <v>139.72628</v>
      </c>
      <c r="C37" s="49">
        <v>179.35570999999999</v>
      </c>
      <c r="D37" s="49">
        <v>231.22721000000001</v>
      </c>
      <c r="E37" s="49">
        <v>321.57585</v>
      </c>
      <c r="F37" s="49">
        <v>544.97388000000001</v>
      </c>
      <c r="G37" s="49">
        <v>0</v>
      </c>
      <c r="H37" s="49">
        <v>165.39762999999999</v>
      </c>
      <c r="I37" s="49">
        <v>244.55624</v>
      </c>
      <c r="J37" s="49">
        <v>343.44315999999998</v>
      </c>
      <c r="K37" s="49">
        <v>477.04957000000002</v>
      </c>
      <c r="L37" s="49">
        <v>751.41949999999997</v>
      </c>
      <c r="M37" s="49">
        <v>952.71524999999997</v>
      </c>
    </row>
    <row r="38" spans="1:13" x14ac:dyDescent="0.25">
      <c r="A38" s="48">
        <v>42299</v>
      </c>
      <c r="B38" s="49">
        <v>138.68204</v>
      </c>
      <c r="C38" s="49">
        <v>179.61972</v>
      </c>
      <c r="D38" s="49">
        <v>231.40101999999999</v>
      </c>
      <c r="E38" s="49">
        <v>321.89483999999999</v>
      </c>
      <c r="F38" s="49">
        <v>544.36532999999997</v>
      </c>
      <c r="G38" s="49">
        <v>0</v>
      </c>
      <c r="H38" s="49">
        <v>169.35195999999999</v>
      </c>
      <c r="I38" s="49">
        <v>249.3451</v>
      </c>
      <c r="J38" s="49">
        <v>348.26163000000003</v>
      </c>
      <c r="K38" s="49">
        <v>477.32283000000001</v>
      </c>
      <c r="L38" s="49">
        <v>751.51738999999998</v>
      </c>
      <c r="M38" s="49">
        <v>952.70005000000003</v>
      </c>
    </row>
    <row r="39" spans="1:13" x14ac:dyDescent="0.25">
      <c r="A39" s="48">
        <v>42300</v>
      </c>
      <c r="B39" s="49">
        <v>138.67452</v>
      </c>
      <c r="C39" s="49">
        <v>179.62217000000001</v>
      </c>
      <c r="D39" s="49">
        <v>231.39797999999999</v>
      </c>
      <c r="E39" s="49">
        <v>321.88828999999998</v>
      </c>
      <c r="F39" s="49">
        <v>544.37063000000001</v>
      </c>
      <c r="G39" s="49">
        <v>0</v>
      </c>
      <c r="H39" s="49">
        <v>169.392</v>
      </c>
      <c r="I39" s="49">
        <v>249.32847000000001</v>
      </c>
      <c r="J39" s="49">
        <v>348.26231999999999</v>
      </c>
      <c r="K39" s="49">
        <v>477.52735999999999</v>
      </c>
      <c r="L39" s="49">
        <v>753.07893000000001</v>
      </c>
      <c r="M39" s="49">
        <v>952.6857</v>
      </c>
    </row>
    <row r="40" spans="1:13" x14ac:dyDescent="0.25">
      <c r="A40" s="48">
        <v>42303</v>
      </c>
      <c r="B40" s="49">
        <v>139.10924</v>
      </c>
      <c r="C40" s="49">
        <v>179.65119000000001</v>
      </c>
      <c r="D40" s="49">
        <v>231.38915</v>
      </c>
      <c r="E40" s="49">
        <v>321.89960000000002</v>
      </c>
      <c r="F40" s="49">
        <v>543.64916000000005</v>
      </c>
      <c r="G40" s="49">
        <v>0</v>
      </c>
      <c r="H40" s="49">
        <v>169.46377000000001</v>
      </c>
      <c r="I40" s="49">
        <v>249.33009000000001</v>
      </c>
      <c r="J40" s="49">
        <v>348.08461999999997</v>
      </c>
      <c r="K40" s="49">
        <v>477.89828</v>
      </c>
      <c r="L40" s="49">
        <v>752.96262999999999</v>
      </c>
      <c r="M40" s="49">
        <v>952.69998999999996</v>
      </c>
    </row>
    <row r="41" spans="1:13" x14ac:dyDescent="0.25">
      <c r="A41" s="48">
        <v>42304</v>
      </c>
      <c r="B41" s="49">
        <v>139.08582000000001</v>
      </c>
      <c r="C41" s="49">
        <v>179.72216</v>
      </c>
      <c r="D41" s="49">
        <v>231.87066999999999</v>
      </c>
      <c r="E41" s="49">
        <v>322.32639999999998</v>
      </c>
      <c r="F41" s="49">
        <v>544.16188</v>
      </c>
      <c r="G41" s="49">
        <v>0</v>
      </c>
      <c r="H41" s="49">
        <v>169.49189999999999</v>
      </c>
      <c r="I41" s="49">
        <v>249.33175</v>
      </c>
      <c r="J41" s="49">
        <v>348.08521000000002</v>
      </c>
      <c r="K41" s="49">
        <v>477.89899000000003</v>
      </c>
      <c r="L41" s="49">
        <v>753.14041999999995</v>
      </c>
      <c r="M41" s="49">
        <v>952.67511999999999</v>
      </c>
    </row>
    <row r="42" spans="1:13" x14ac:dyDescent="0.25">
      <c r="A42" s="48">
        <v>42305</v>
      </c>
      <c r="B42" s="49">
        <v>139.40486000000001</v>
      </c>
      <c r="C42" s="49">
        <v>180.43453</v>
      </c>
      <c r="D42" s="49">
        <v>232.34792999999999</v>
      </c>
      <c r="E42" s="49">
        <v>323.17421000000002</v>
      </c>
      <c r="F42" s="49">
        <v>545.22535000000005</v>
      </c>
      <c r="G42" s="49">
        <v>0</v>
      </c>
      <c r="H42" s="49">
        <v>169.49485999999999</v>
      </c>
      <c r="I42" s="49">
        <v>249.42798999999999</v>
      </c>
      <c r="J42" s="49">
        <v>348.142</v>
      </c>
      <c r="K42" s="49">
        <v>480.02395000000001</v>
      </c>
      <c r="L42" s="49">
        <v>753.19772999999998</v>
      </c>
      <c r="M42" s="49">
        <v>952.74108999999999</v>
      </c>
    </row>
    <row r="43" spans="1:13" x14ac:dyDescent="0.25">
      <c r="A43" s="48">
        <v>42306</v>
      </c>
      <c r="B43" s="49">
        <v>140.13206</v>
      </c>
      <c r="C43" s="49">
        <v>181.84242</v>
      </c>
      <c r="D43" s="49">
        <v>233.44068999999999</v>
      </c>
      <c r="E43" s="49">
        <v>326.00995</v>
      </c>
      <c r="F43" s="49">
        <v>544.81461000000002</v>
      </c>
      <c r="G43" s="49">
        <v>0</v>
      </c>
      <c r="H43" s="49">
        <v>169.67372</v>
      </c>
      <c r="I43" s="49">
        <v>249.21195</v>
      </c>
      <c r="J43" s="49">
        <v>348.23644000000002</v>
      </c>
      <c r="K43" s="49">
        <v>480.25384000000003</v>
      </c>
      <c r="L43" s="49">
        <v>753.60296000000005</v>
      </c>
      <c r="M43" s="49">
        <v>953.35824000000002</v>
      </c>
    </row>
    <row r="44" spans="1:13" x14ac:dyDescent="0.25">
      <c r="A44" s="48">
        <v>42307</v>
      </c>
      <c r="B44" s="49">
        <v>142.12885</v>
      </c>
      <c r="C44" s="49">
        <v>182.81539000000001</v>
      </c>
      <c r="D44" s="49">
        <v>234.5976</v>
      </c>
      <c r="E44" s="49">
        <v>326.70136000000002</v>
      </c>
      <c r="F44" s="49">
        <v>545.16642000000002</v>
      </c>
      <c r="G44" s="49">
        <v>0</v>
      </c>
      <c r="H44" s="49">
        <v>169.37654000000001</v>
      </c>
      <c r="I44" s="49">
        <v>248.97444999999999</v>
      </c>
      <c r="J44" s="49">
        <v>347.88341000000003</v>
      </c>
      <c r="K44" s="49">
        <v>479.97095999999999</v>
      </c>
      <c r="L44" s="49">
        <v>753.88508999999999</v>
      </c>
      <c r="M44" s="49">
        <v>953.23469</v>
      </c>
    </row>
    <row r="45" spans="1:13" x14ac:dyDescent="0.25">
      <c r="A45" s="48">
        <v>42310</v>
      </c>
      <c r="B45" s="49">
        <v>141.89595</v>
      </c>
      <c r="C45" s="49">
        <v>182.42884000000001</v>
      </c>
      <c r="D45" s="49">
        <v>233.75774999999999</v>
      </c>
      <c r="E45" s="49">
        <v>325.28816</v>
      </c>
      <c r="F45" s="49">
        <v>544.72790999999995</v>
      </c>
      <c r="G45" s="49">
        <v>0</v>
      </c>
      <c r="H45" s="49">
        <v>169.53048999999999</v>
      </c>
      <c r="I45" s="49">
        <v>248.91820999999999</v>
      </c>
      <c r="J45" s="49">
        <v>347.82857999999999</v>
      </c>
      <c r="K45" s="49">
        <v>479.81493999999998</v>
      </c>
      <c r="L45" s="49">
        <v>753.88610000000006</v>
      </c>
      <c r="M45" s="49">
        <v>953.21543999999994</v>
      </c>
    </row>
    <row r="46" spans="1:13" x14ac:dyDescent="0.25">
      <c r="A46" s="48">
        <v>42311</v>
      </c>
      <c r="B46" s="49">
        <v>141.90105</v>
      </c>
      <c r="C46" s="49">
        <v>182.43715</v>
      </c>
      <c r="D46" s="49">
        <v>233.82201000000001</v>
      </c>
      <c r="E46" s="49">
        <v>325.29208</v>
      </c>
      <c r="F46" s="49">
        <v>544.73645999999997</v>
      </c>
      <c r="G46" s="49">
        <v>0</v>
      </c>
      <c r="H46" s="49">
        <v>169.54205999999999</v>
      </c>
      <c r="I46" s="49">
        <v>248.92000999999999</v>
      </c>
      <c r="J46" s="49">
        <v>347.82949000000002</v>
      </c>
      <c r="K46" s="49">
        <v>479.81733000000003</v>
      </c>
      <c r="L46" s="49">
        <v>754.08189000000004</v>
      </c>
      <c r="M46" s="49">
        <v>953.21256000000005</v>
      </c>
    </row>
    <row r="47" spans="1:13" x14ac:dyDescent="0.25">
      <c r="A47" s="48">
        <v>42312</v>
      </c>
      <c r="B47" s="49">
        <v>143.18128999999999</v>
      </c>
      <c r="C47" s="49">
        <v>182.82867999999999</v>
      </c>
      <c r="D47" s="49">
        <v>234.11668</v>
      </c>
      <c r="E47" s="49">
        <v>325.31689</v>
      </c>
      <c r="F47" s="49">
        <v>544.75841000000003</v>
      </c>
      <c r="G47" s="49">
        <v>0</v>
      </c>
      <c r="H47" s="49">
        <v>169.73027999999999</v>
      </c>
      <c r="I47" s="49">
        <v>248.92445000000001</v>
      </c>
      <c r="J47" s="49">
        <v>347.82567</v>
      </c>
      <c r="K47" s="49">
        <v>480.30622</v>
      </c>
      <c r="L47" s="49">
        <v>756.81506000000002</v>
      </c>
      <c r="M47" s="49">
        <v>953.21331999999995</v>
      </c>
    </row>
    <row r="48" spans="1:13" x14ac:dyDescent="0.25">
      <c r="A48" s="48">
        <v>42313</v>
      </c>
      <c r="B48" s="49">
        <v>143.42862</v>
      </c>
      <c r="C48" s="49">
        <v>184.06023999999999</v>
      </c>
      <c r="D48" s="49">
        <v>234.90573000000001</v>
      </c>
      <c r="E48" s="49">
        <v>325.57637999999997</v>
      </c>
      <c r="F48" s="49">
        <v>544.75746000000004</v>
      </c>
      <c r="G48" s="49">
        <v>0</v>
      </c>
      <c r="H48" s="49">
        <v>169.76312999999999</v>
      </c>
      <c r="I48" s="49">
        <v>248.79413</v>
      </c>
      <c r="J48" s="49">
        <v>347.90498000000002</v>
      </c>
      <c r="K48" s="49">
        <v>481.53307000000001</v>
      </c>
      <c r="L48" s="49">
        <v>760.32518000000005</v>
      </c>
      <c r="M48" s="49">
        <v>960.79638999999997</v>
      </c>
    </row>
    <row r="49" spans="1:13" x14ac:dyDescent="0.25">
      <c r="A49" s="48">
        <v>42314</v>
      </c>
      <c r="B49" s="49">
        <v>143.78822</v>
      </c>
      <c r="C49" s="49">
        <v>184.30511999999999</v>
      </c>
      <c r="D49" s="49">
        <v>235.29808</v>
      </c>
      <c r="E49" s="49">
        <v>325.47766999999999</v>
      </c>
      <c r="F49" s="49">
        <v>544.52140999999995</v>
      </c>
      <c r="G49" s="49">
        <v>0</v>
      </c>
      <c r="H49" s="49">
        <v>169.81217000000001</v>
      </c>
      <c r="I49" s="49">
        <v>248.76410999999999</v>
      </c>
      <c r="J49" s="49">
        <v>347.92385999999999</v>
      </c>
      <c r="K49" s="49">
        <v>481.54333000000003</v>
      </c>
      <c r="L49" s="49">
        <v>760.92601000000002</v>
      </c>
      <c r="M49" s="49">
        <v>961.98541</v>
      </c>
    </row>
    <row r="50" spans="1:13" x14ac:dyDescent="0.25">
      <c r="A50" s="48">
        <v>42317</v>
      </c>
      <c r="B50" s="49">
        <v>143.71924000000001</v>
      </c>
      <c r="C50" s="49">
        <v>184.75323</v>
      </c>
      <c r="D50" s="49">
        <v>235.26652999999999</v>
      </c>
      <c r="E50" s="49">
        <v>325.45987000000002</v>
      </c>
      <c r="F50" s="49">
        <v>544.52745000000004</v>
      </c>
      <c r="G50" s="49">
        <v>0</v>
      </c>
      <c r="H50" s="49">
        <v>173.92255</v>
      </c>
      <c r="I50" s="49">
        <v>248.73684</v>
      </c>
      <c r="J50" s="49">
        <v>348.01416</v>
      </c>
      <c r="K50" s="49">
        <v>481.63261999999997</v>
      </c>
      <c r="L50" s="49">
        <v>791.99733000000003</v>
      </c>
      <c r="M50" s="49">
        <v>976.76247999999998</v>
      </c>
    </row>
    <row r="51" spans="1:13" x14ac:dyDescent="0.25">
      <c r="A51" s="48">
        <v>42318</v>
      </c>
      <c r="B51" s="49">
        <v>143.70570000000001</v>
      </c>
      <c r="C51" s="49">
        <v>184.66076000000001</v>
      </c>
      <c r="D51" s="49">
        <v>235.16845000000001</v>
      </c>
      <c r="E51" s="49">
        <v>324.74023999999997</v>
      </c>
      <c r="F51" s="49">
        <v>543.40288999999996</v>
      </c>
      <c r="G51" s="49">
        <v>0</v>
      </c>
      <c r="H51" s="49">
        <v>173.81901999999999</v>
      </c>
      <c r="I51" s="49">
        <v>248.70542</v>
      </c>
      <c r="J51" s="49">
        <v>348.27933000000002</v>
      </c>
      <c r="K51" s="49">
        <v>482.00851</v>
      </c>
      <c r="L51" s="49">
        <v>791.70955000000004</v>
      </c>
      <c r="M51" s="49">
        <v>976.45109000000002</v>
      </c>
    </row>
    <row r="52" spans="1:13" x14ac:dyDescent="0.25">
      <c r="A52" s="48">
        <v>42320</v>
      </c>
      <c r="B52" s="49">
        <v>143.62430000000001</v>
      </c>
      <c r="C52" s="49">
        <v>184.74075999999999</v>
      </c>
      <c r="D52" s="49">
        <v>235.19085999999999</v>
      </c>
      <c r="E52" s="49">
        <v>324.89082000000002</v>
      </c>
      <c r="F52" s="49">
        <v>543.34415999999999</v>
      </c>
      <c r="G52" s="49">
        <v>0</v>
      </c>
      <c r="H52" s="49">
        <v>173.81599</v>
      </c>
      <c r="I52" s="49">
        <v>248.67224999999999</v>
      </c>
      <c r="J52" s="49">
        <v>348.28021000000001</v>
      </c>
      <c r="K52" s="49">
        <v>482.06220999999999</v>
      </c>
      <c r="L52" s="49">
        <v>792.12084000000004</v>
      </c>
      <c r="M52" s="49">
        <v>976.45705999999996</v>
      </c>
    </row>
    <row r="53" spans="1:13" x14ac:dyDescent="0.25">
      <c r="A53" s="48">
        <v>42321</v>
      </c>
      <c r="B53" s="49">
        <v>143.67198999999999</v>
      </c>
      <c r="C53" s="49">
        <v>184.75432000000001</v>
      </c>
      <c r="D53" s="49">
        <v>235.20574999999999</v>
      </c>
      <c r="E53" s="49">
        <v>324.90113000000002</v>
      </c>
      <c r="F53" s="49">
        <v>542.80570999999998</v>
      </c>
      <c r="G53" s="49">
        <v>0</v>
      </c>
      <c r="H53" s="49">
        <v>173.77776</v>
      </c>
      <c r="I53" s="49">
        <v>248.67238</v>
      </c>
      <c r="J53" s="49">
        <v>348.27978000000002</v>
      </c>
      <c r="K53" s="49">
        <v>482.16305999999997</v>
      </c>
      <c r="L53" s="49">
        <v>792.10452999999995</v>
      </c>
      <c r="M53" s="49">
        <v>976.46016999999995</v>
      </c>
    </row>
    <row r="54" spans="1:13" x14ac:dyDescent="0.25">
      <c r="A54" s="48">
        <v>42324</v>
      </c>
      <c r="B54" s="49">
        <v>143.59435999999999</v>
      </c>
      <c r="C54" s="49">
        <v>184.83326</v>
      </c>
      <c r="D54" s="49">
        <v>235.26446000000001</v>
      </c>
      <c r="E54" s="49">
        <v>325.41541999999998</v>
      </c>
      <c r="F54" s="49">
        <v>543.47730000000001</v>
      </c>
      <c r="G54" s="49">
        <v>0</v>
      </c>
      <c r="H54" s="49">
        <v>173.82276999999999</v>
      </c>
      <c r="I54" s="49">
        <v>248.67461</v>
      </c>
      <c r="J54" s="49">
        <v>348.60948999999999</v>
      </c>
      <c r="K54" s="49">
        <v>482.19636000000003</v>
      </c>
      <c r="L54" s="49">
        <v>792.05002000000002</v>
      </c>
      <c r="M54" s="49">
        <v>976.45686999999998</v>
      </c>
    </row>
    <row r="55" spans="1:13" x14ac:dyDescent="0.25">
      <c r="A55" s="48">
        <v>42325</v>
      </c>
      <c r="B55" s="49">
        <v>143.67963</v>
      </c>
      <c r="C55" s="49">
        <v>188.64521999999999</v>
      </c>
      <c r="D55" s="49">
        <v>238.82633000000001</v>
      </c>
      <c r="E55" s="49">
        <v>327.32011</v>
      </c>
      <c r="F55" s="49">
        <v>543.27755999999999</v>
      </c>
      <c r="G55" s="49">
        <v>0</v>
      </c>
      <c r="H55" s="49">
        <v>173.84323000000001</v>
      </c>
      <c r="I55" s="49">
        <v>248.67777000000001</v>
      </c>
      <c r="J55" s="49">
        <v>348.62144999999998</v>
      </c>
      <c r="K55" s="49">
        <v>482.30381</v>
      </c>
      <c r="L55" s="49">
        <v>792.09347000000002</v>
      </c>
      <c r="M55" s="49">
        <v>976.48321999999996</v>
      </c>
    </row>
    <row r="56" spans="1:13" x14ac:dyDescent="0.25">
      <c r="A56" s="48">
        <v>42326</v>
      </c>
      <c r="B56" s="49">
        <v>144.06952000000001</v>
      </c>
      <c r="C56" s="49">
        <v>189.34424000000001</v>
      </c>
      <c r="D56" s="49">
        <v>240.32969</v>
      </c>
      <c r="E56" s="49">
        <v>328.50984999999997</v>
      </c>
      <c r="F56" s="49">
        <v>544.08356000000003</v>
      </c>
      <c r="G56" s="49">
        <v>0</v>
      </c>
      <c r="H56" s="49">
        <v>173.83404999999999</v>
      </c>
      <c r="I56" s="49">
        <v>248.70115999999999</v>
      </c>
      <c r="J56" s="49">
        <v>348.67784</v>
      </c>
      <c r="K56" s="49">
        <v>482.22005000000001</v>
      </c>
      <c r="L56" s="49">
        <v>792.4171</v>
      </c>
      <c r="M56" s="49">
        <v>976.52634999999998</v>
      </c>
    </row>
    <row r="57" spans="1:13" x14ac:dyDescent="0.25">
      <c r="A57" s="48">
        <v>42327</v>
      </c>
      <c r="B57" s="49">
        <v>144.12028000000001</v>
      </c>
      <c r="C57" s="49">
        <v>188.67368999999999</v>
      </c>
      <c r="D57" s="49">
        <v>240.16403</v>
      </c>
      <c r="E57" s="49">
        <v>328.60099000000002</v>
      </c>
      <c r="F57" s="49">
        <v>544.09522000000004</v>
      </c>
      <c r="G57" s="49">
        <v>0</v>
      </c>
      <c r="H57" s="49">
        <v>174.38258999999999</v>
      </c>
      <c r="I57" s="49">
        <v>248.37058999999999</v>
      </c>
      <c r="J57" s="49">
        <v>348.15017</v>
      </c>
      <c r="K57" s="49">
        <v>511.68702000000002</v>
      </c>
      <c r="L57" s="49">
        <v>819.27426000000003</v>
      </c>
      <c r="M57" s="49">
        <v>1020.10487</v>
      </c>
    </row>
    <row r="58" spans="1:13" x14ac:dyDescent="0.25">
      <c r="A58" s="48">
        <v>42328</v>
      </c>
      <c r="B58" s="49">
        <v>144.36304999999999</v>
      </c>
      <c r="C58" s="49">
        <v>188.8194</v>
      </c>
      <c r="D58" s="49">
        <v>240.98799</v>
      </c>
      <c r="E58" s="49">
        <v>328.78244000000001</v>
      </c>
      <c r="F58" s="49">
        <v>544.63334999999995</v>
      </c>
      <c r="G58" s="49">
        <v>0</v>
      </c>
      <c r="H58" s="49">
        <v>174.42655999999999</v>
      </c>
      <c r="I58" s="49">
        <v>248.38503</v>
      </c>
      <c r="J58" s="49">
        <v>348.37383</v>
      </c>
      <c r="K58" s="49">
        <v>512.27728000000002</v>
      </c>
      <c r="L58" s="49">
        <v>818.71045000000004</v>
      </c>
      <c r="M58" s="49">
        <v>1022.1298</v>
      </c>
    </row>
    <row r="59" spans="1:13" x14ac:dyDescent="0.25">
      <c r="A59" s="48">
        <v>42331</v>
      </c>
      <c r="B59" s="49">
        <v>144.61247</v>
      </c>
      <c r="C59" s="49">
        <v>188.87448000000001</v>
      </c>
      <c r="D59" s="49">
        <v>240.52726000000001</v>
      </c>
      <c r="E59" s="49">
        <v>328.79061999999999</v>
      </c>
      <c r="F59" s="49">
        <v>545.92242999999996</v>
      </c>
      <c r="G59" s="49">
        <v>0</v>
      </c>
      <c r="H59" s="49">
        <v>174.43216000000001</v>
      </c>
      <c r="I59" s="49">
        <v>248.34708000000001</v>
      </c>
      <c r="J59" s="49">
        <v>348.32107000000002</v>
      </c>
      <c r="K59" s="49">
        <v>511.47987999999998</v>
      </c>
      <c r="L59" s="49">
        <v>818.12765000000002</v>
      </c>
      <c r="M59" s="49">
        <v>1022.13958</v>
      </c>
    </row>
    <row r="60" spans="1:13" x14ac:dyDescent="0.25">
      <c r="A60" s="48">
        <v>42332</v>
      </c>
      <c r="B60" s="49">
        <v>152.24758</v>
      </c>
      <c r="C60" s="49">
        <v>200.49934999999999</v>
      </c>
      <c r="D60" s="49">
        <v>253.43735000000001</v>
      </c>
      <c r="E60" s="49">
        <v>335.30063999999999</v>
      </c>
      <c r="F60" s="49">
        <v>556.44970999999998</v>
      </c>
      <c r="G60" s="49">
        <v>0</v>
      </c>
      <c r="H60" s="49">
        <v>174.36824999999999</v>
      </c>
      <c r="I60" s="49">
        <v>248.33356000000001</v>
      </c>
      <c r="J60" s="49">
        <v>348.16953000000001</v>
      </c>
      <c r="K60" s="49">
        <v>511.28471000000002</v>
      </c>
      <c r="L60" s="49">
        <v>818.06421999999998</v>
      </c>
      <c r="M60" s="49">
        <v>1022.2225100000001</v>
      </c>
    </row>
    <row r="61" spans="1:13" x14ac:dyDescent="0.25">
      <c r="A61" s="48">
        <v>42333</v>
      </c>
      <c r="B61" s="49">
        <v>152.32969</v>
      </c>
      <c r="C61" s="49">
        <v>200.57199</v>
      </c>
      <c r="D61" s="49">
        <v>253.28343000000001</v>
      </c>
      <c r="E61" s="49">
        <v>336.49417</v>
      </c>
      <c r="F61" s="49">
        <v>556.53498999999999</v>
      </c>
      <c r="G61" s="49">
        <v>0</v>
      </c>
      <c r="H61" s="49">
        <v>174.40458000000001</v>
      </c>
      <c r="I61" s="49">
        <v>248.38469000000001</v>
      </c>
      <c r="J61" s="49">
        <v>348.23126000000002</v>
      </c>
      <c r="K61" s="49">
        <v>511.48558000000003</v>
      </c>
      <c r="L61" s="49">
        <v>818.09675000000004</v>
      </c>
      <c r="M61" s="49">
        <v>1022.29598</v>
      </c>
    </row>
    <row r="62" spans="1:13" x14ac:dyDescent="0.25">
      <c r="A62" s="48">
        <v>42335</v>
      </c>
      <c r="B62" s="49">
        <v>152.33010999999999</v>
      </c>
      <c r="C62" s="49">
        <v>200.84066999999999</v>
      </c>
      <c r="D62" s="49">
        <v>252.72776999999999</v>
      </c>
      <c r="E62" s="49">
        <v>336.31470000000002</v>
      </c>
      <c r="F62" s="49">
        <v>555.89567999999997</v>
      </c>
      <c r="G62" s="49">
        <v>0</v>
      </c>
      <c r="H62" s="49">
        <v>174.39769000000001</v>
      </c>
      <c r="I62" s="49">
        <v>248.38257999999999</v>
      </c>
      <c r="J62" s="49">
        <v>348.23567000000003</v>
      </c>
      <c r="K62" s="49">
        <v>511.39400000000001</v>
      </c>
      <c r="L62" s="49">
        <v>818.16708000000006</v>
      </c>
      <c r="M62" s="49">
        <v>1022.43932</v>
      </c>
    </row>
    <row r="63" spans="1:13" x14ac:dyDescent="0.25">
      <c r="A63" s="48">
        <v>42338</v>
      </c>
      <c r="B63" s="49">
        <v>152.34869</v>
      </c>
      <c r="C63" s="49">
        <v>200.85108</v>
      </c>
      <c r="D63" s="49">
        <v>252.73596000000001</v>
      </c>
      <c r="E63" s="49">
        <v>336.32661999999999</v>
      </c>
      <c r="F63" s="49">
        <v>555.89832000000001</v>
      </c>
      <c r="G63" s="49">
        <v>0</v>
      </c>
      <c r="H63" s="49">
        <v>173.80235999999999</v>
      </c>
      <c r="I63" s="49">
        <v>247.99403000000001</v>
      </c>
      <c r="J63" s="49">
        <v>347.88763</v>
      </c>
      <c r="K63" s="49">
        <v>510.51585</v>
      </c>
      <c r="L63" s="49">
        <v>816.94790999999998</v>
      </c>
      <c r="M63" s="49">
        <v>1019.97088</v>
      </c>
    </row>
    <row r="64" spans="1:13" x14ac:dyDescent="0.25">
      <c r="A64" s="48">
        <v>42339</v>
      </c>
      <c r="B64" s="49">
        <v>152.34055000000001</v>
      </c>
      <c r="C64" s="49">
        <v>200.86071999999999</v>
      </c>
      <c r="D64" s="49">
        <v>252.76186999999999</v>
      </c>
      <c r="E64" s="49">
        <v>336.04055</v>
      </c>
      <c r="F64" s="49">
        <v>556.08788000000004</v>
      </c>
      <c r="G64" s="49">
        <v>0</v>
      </c>
      <c r="H64" s="49">
        <v>173.79505</v>
      </c>
      <c r="I64" s="49">
        <v>247.99290999999999</v>
      </c>
      <c r="J64" s="49">
        <v>347.91131999999999</v>
      </c>
      <c r="K64" s="49">
        <v>510.45589000000001</v>
      </c>
      <c r="L64" s="49">
        <v>816.66827999999998</v>
      </c>
      <c r="M64" s="49">
        <v>1020.68405</v>
      </c>
    </row>
    <row r="65" spans="1:13" x14ac:dyDescent="0.25">
      <c r="A65" s="48">
        <v>42340</v>
      </c>
      <c r="B65" s="49">
        <v>151.56356</v>
      </c>
      <c r="C65" s="49">
        <v>201.19288</v>
      </c>
      <c r="D65" s="49">
        <v>252.95483999999999</v>
      </c>
      <c r="E65" s="49">
        <v>336.13267000000002</v>
      </c>
      <c r="F65" s="49">
        <v>556.24176999999997</v>
      </c>
      <c r="G65" s="49">
        <v>0</v>
      </c>
      <c r="H65" s="49">
        <v>173.83609999999999</v>
      </c>
      <c r="I65" s="49">
        <v>247.96835999999999</v>
      </c>
      <c r="J65" s="49">
        <v>347.92108000000002</v>
      </c>
      <c r="K65" s="49">
        <v>510.40337</v>
      </c>
      <c r="L65" s="49">
        <v>816.87546999999995</v>
      </c>
      <c r="M65" s="49">
        <v>1021.22596</v>
      </c>
    </row>
    <row r="66" spans="1:13" x14ac:dyDescent="0.25">
      <c r="A66" s="48">
        <v>42341</v>
      </c>
      <c r="B66" s="49">
        <v>151.59333000000001</v>
      </c>
      <c r="C66" s="49">
        <v>201.20196999999999</v>
      </c>
      <c r="D66" s="49">
        <v>252.89515</v>
      </c>
      <c r="E66" s="49">
        <v>336.1139</v>
      </c>
      <c r="F66" s="49">
        <v>556.48526000000004</v>
      </c>
      <c r="G66" s="49">
        <v>0</v>
      </c>
      <c r="H66" s="49">
        <v>173.80766</v>
      </c>
      <c r="I66" s="49">
        <v>247.99159</v>
      </c>
      <c r="J66" s="49">
        <v>347.92500999999999</v>
      </c>
      <c r="K66" s="49">
        <v>510.80306999999999</v>
      </c>
      <c r="L66" s="49">
        <v>819.57587999999998</v>
      </c>
      <c r="M66" s="49">
        <v>1027.67752</v>
      </c>
    </row>
    <row r="67" spans="1:13" x14ac:dyDescent="0.25">
      <c r="A67" s="48">
        <v>42342</v>
      </c>
      <c r="B67" s="49">
        <v>151.59866</v>
      </c>
      <c r="C67" s="49">
        <v>201.21411000000001</v>
      </c>
      <c r="D67" s="49">
        <v>252.90513000000001</v>
      </c>
      <c r="E67" s="49">
        <v>336.13260000000002</v>
      </c>
      <c r="F67" s="49">
        <v>556.50653</v>
      </c>
      <c r="G67" s="49">
        <v>0</v>
      </c>
      <c r="H67" s="49">
        <v>173.80728999999999</v>
      </c>
      <c r="I67" s="49">
        <v>247.99167</v>
      </c>
      <c r="J67" s="49">
        <v>347.92597000000001</v>
      </c>
      <c r="K67" s="49">
        <v>512.81146999999999</v>
      </c>
      <c r="L67" s="49">
        <v>823.73728000000006</v>
      </c>
      <c r="M67" s="49">
        <v>1027.58438</v>
      </c>
    </row>
    <row r="68" spans="1:13" x14ac:dyDescent="0.25">
      <c r="A68" s="48">
        <v>42345</v>
      </c>
      <c r="B68" s="49">
        <v>151.65778</v>
      </c>
      <c r="C68" s="49">
        <v>201.18639999999999</v>
      </c>
      <c r="D68" s="49">
        <v>252.92296999999999</v>
      </c>
      <c r="E68" s="49">
        <v>336.14125999999999</v>
      </c>
      <c r="F68" s="49">
        <v>556.51116000000002</v>
      </c>
      <c r="G68" s="49">
        <v>0</v>
      </c>
      <c r="H68" s="49">
        <v>173.80719999999999</v>
      </c>
      <c r="I68" s="49">
        <v>247.99213</v>
      </c>
      <c r="J68" s="49">
        <v>347.88852000000003</v>
      </c>
      <c r="K68" s="49">
        <v>512.84938</v>
      </c>
      <c r="L68" s="49">
        <v>823.71699000000001</v>
      </c>
      <c r="M68" s="49">
        <v>1028.3819900000001</v>
      </c>
    </row>
    <row r="69" spans="1:13" x14ac:dyDescent="0.25">
      <c r="A69" s="48">
        <v>42346</v>
      </c>
      <c r="B69" s="49">
        <v>151.73833999999999</v>
      </c>
      <c r="C69" s="49">
        <v>201.19006999999999</v>
      </c>
      <c r="D69" s="49">
        <v>252.91919999999999</v>
      </c>
      <c r="E69" s="49">
        <v>336.15120999999999</v>
      </c>
      <c r="F69" s="49">
        <v>556.53341</v>
      </c>
      <c r="G69" s="49">
        <v>0</v>
      </c>
      <c r="H69" s="49">
        <v>173.80350999999999</v>
      </c>
      <c r="I69" s="49">
        <v>248.04545999999999</v>
      </c>
      <c r="J69" s="49">
        <v>348.02782999999999</v>
      </c>
      <c r="K69" s="49">
        <v>512.84194000000002</v>
      </c>
      <c r="L69" s="49">
        <v>823.80439999999999</v>
      </c>
      <c r="M69" s="49">
        <v>1028.3915199999999</v>
      </c>
    </row>
    <row r="70" spans="1:13" x14ac:dyDescent="0.25">
      <c r="A70" s="48">
        <v>42347</v>
      </c>
      <c r="B70" s="49">
        <v>151.72008</v>
      </c>
      <c r="C70" s="49">
        <v>201.21997999999999</v>
      </c>
      <c r="D70" s="49">
        <v>252.94451000000001</v>
      </c>
      <c r="E70" s="49">
        <v>336.17165</v>
      </c>
      <c r="F70" s="49">
        <v>556.54938000000004</v>
      </c>
      <c r="G70" s="49">
        <v>0</v>
      </c>
      <c r="H70" s="49">
        <v>173.73871</v>
      </c>
      <c r="I70" s="49">
        <v>248.04677000000001</v>
      </c>
      <c r="J70" s="49">
        <v>348.029</v>
      </c>
      <c r="K70" s="49">
        <v>512.90470000000005</v>
      </c>
      <c r="L70" s="49">
        <v>823.63874999999996</v>
      </c>
      <c r="M70" s="49">
        <v>1028.39895</v>
      </c>
    </row>
    <row r="71" spans="1:13" x14ac:dyDescent="0.25">
      <c r="A71" s="48">
        <v>42348</v>
      </c>
      <c r="B71" s="49">
        <v>151.68432999999999</v>
      </c>
      <c r="C71" s="49">
        <v>201.22354999999999</v>
      </c>
      <c r="D71" s="49">
        <v>252.94550000000001</v>
      </c>
      <c r="E71" s="49">
        <v>335.98295000000002</v>
      </c>
      <c r="F71" s="49">
        <v>556.55150000000003</v>
      </c>
      <c r="G71" s="49">
        <v>0</v>
      </c>
      <c r="H71" s="49">
        <v>173.77239</v>
      </c>
      <c r="I71" s="49">
        <v>248.04805999999999</v>
      </c>
      <c r="J71" s="49">
        <v>348.05569000000003</v>
      </c>
      <c r="K71" s="49">
        <v>512.85559000000001</v>
      </c>
      <c r="L71" s="49">
        <v>823.63028999999995</v>
      </c>
      <c r="M71" s="49">
        <v>1028.4129800000001</v>
      </c>
    </row>
    <row r="72" spans="1:13" x14ac:dyDescent="0.25">
      <c r="A72" s="48">
        <v>42349</v>
      </c>
      <c r="B72" s="49">
        <v>151.68948</v>
      </c>
      <c r="C72" s="49">
        <v>201.23765</v>
      </c>
      <c r="D72" s="49">
        <v>253.44140999999999</v>
      </c>
      <c r="E72" s="49">
        <v>336.59629000000001</v>
      </c>
      <c r="F72" s="49">
        <v>557.73672999999997</v>
      </c>
      <c r="G72" s="49">
        <v>0</v>
      </c>
      <c r="H72" s="49">
        <v>173.77551</v>
      </c>
      <c r="I72" s="49">
        <v>248.19434000000001</v>
      </c>
      <c r="J72" s="49">
        <v>348.01573999999999</v>
      </c>
      <c r="K72" s="49">
        <v>512.86757</v>
      </c>
      <c r="L72" s="49">
        <v>823.54280000000006</v>
      </c>
      <c r="M72" s="49">
        <v>1028.41255</v>
      </c>
    </row>
    <row r="73" spans="1:13" x14ac:dyDescent="0.25">
      <c r="A73" s="48">
        <v>42352</v>
      </c>
      <c r="B73" s="49">
        <v>156.51122000000001</v>
      </c>
      <c r="C73" s="49">
        <v>205.24250000000001</v>
      </c>
      <c r="D73" s="49">
        <v>258.23604999999998</v>
      </c>
      <c r="E73" s="49">
        <v>345.71296999999998</v>
      </c>
      <c r="F73" s="49">
        <v>571.56150000000002</v>
      </c>
      <c r="G73" s="49">
        <v>0</v>
      </c>
      <c r="H73" s="49">
        <v>173.80902</v>
      </c>
      <c r="I73" s="49">
        <v>252.26356999999999</v>
      </c>
      <c r="J73" s="49">
        <v>351.84735000000001</v>
      </c>
      <c r="K73" s="49">
        <v>522.46442999999999</v>
      </c>
      <c r="L73" s="49">
        <v>839.76534000000004</v>
      </c>
      <c r="M73" s="49">
        <v>1050.32412</v>
      </c>
    </row>
    <row r="74" spans="1:13" x14ac:dyDescent="0.25">
      <c r="A74" s="48">
        <v>42353</v>
      </c>
      <c r="B74" s="49">
        <v>156.60003</v>
      </c>
      <c r="C74" s="49">
        <v>207.52278999999999</v>
      </c>
      <c r="D74" s="49">
        <v>259.99209999999999</v>
      </c>
      <c r="E74" s="49">
        <v>347.87148000000002</v>
      </c>
      <c r="F74" s="49">
        <v>571.81925000000001</v>
      </c>
      <c r="G74" s="49">
        <v>0</v>
      </c>
      <c r="H74" s="49">
        <v>173.89914999999999</v>
      </c>
      <c r="I74" s="49">
        <v>252.25689</v>
      </c>
      <c r="J74" s="49">
        <v>351.85329000000002</v>
      </c>
      <c r="K74" s="49">
        <v>522.69511</v>
      </c>
      <c r="L74" s="49">
        <v>840.02952000000005</v>
      </c>
      <c r="M74" s="49">
        <v>1049.90617</v>
      </c>
    </row>
    <row r="75" spans="1:13" x14ac:dyDescent="0.25">
      <c r="A75" s="48">
        <v>42354</v>
      </c>
      <c r="B75" s="49">
        <v>156.66783000000001</v>
      </c>
      <c r="C75" s="49">
        <v>207.70504</v>
      </c>
      <c r="D75" s="49">
        <v>259.84026999999998</v>
      </c>
      <c r="E75" s="49">
        <v>348.96048999999999</v>
      </c>
      <c r="F75" s="49">
        <v>571.82352000000003</v>
      </c>
      <c r="G75" s="49">
        <v>0</v>
      </c>
      <c r="H75" s="49">
        <v>173.95941999999999</v>
      </c>
      <c r="I75" s="49">
        <v>252.26777999999999</v>
      </c>
      <c r="J75" s="49">
        <v>351.90672000000001</v>
      </c>
      <c r="K75" s="49">
        <v>522.84742000000006</v>
      </c>
      <c r="L75" s="49">
        <v>840.39016000000004</v>
      </c>
      <c r="M75" s="49">
        <v>1049.9040199999999</v>
      </c>
    </row>
    <row r="76" spans="1:13" x14ac:dyDescent="0.25">
      <c r="A76" s="48">
        <v>42355</v>
      </c>
      <c r="B76" s="49">
        <v>156.67829</v>
      </c>
      <c r="C76" s="49">
        <v>207.75801999999999</v>
      </c>
      <c r="D76" s="49">
        <v>259.87545</v>
      </c>
      <c r="E76" s="49">
        <v>348.98674999999997</v>
      </c>
      <c r="F76" s="49">
        <v>571.84519</v>
      </c>
      <c r="G76" s="49">
        <v>0</v>
      </c>
      <c r="H76" s="49">
        <v>173.96163999999999</v>
      </c>
      <c r="I76" s="49">
        <v>252.26958999999999</v>
      </c>
      <c r="J76" s="49">
        <v>351.83848999999998</v>
      </c>
      <c r="K76" s="49">
        <v>522.85258999999996</v>
      </c>
      <c r="L76" s="49">
        <v>840.67236000000003</v>
      </c>
      <c r="M76" s="49">
        <v>1050.15789</v>
      </c>
    </row>
    <row r="77" spans="1:13" x14ac:dyDescent="0.25">
      <c r="A77" s="48">
        <v>42356</v>
      </c>
      <c r="B77" s="49">
        <v>157.44288</v>
      </c>
      <c r="C77" s="49">
        <v>208.44167999999999</v>
      </c>
      <c r="D77" s="49">
        <v>260.27514000000002</v>
      </c>
      <c r="E77" s="49">
        <v>349.14886000000001</v>
      </c>
      <c r="F77" s="49">
        <v>572.19443000000001</v>
      </c>
      <c r="G77" s="49">
        <v>0</v>
      </c>
      <c r="H77" s="49">
        <v>176.21337</v>
      </c>
      <c r="I77" s="49">
        <v>268.83202999999997</v>
      </c>
      <c r="J77" s="49">
        <v>363.46605</v>
      </c>
      <c r="K77" s="49">
        <v>523.18763000000001</v>
      </c>
      <c r="L77" s="49">
        <v>920.17827999999997</v>
      </c>
      <c r="M77" s="49">
        <v>1180.2344499999999</v>
      </c>
    </row>
    <row r="78" spans="1:13" x14ac:dyDescent="0.25">
      <c r="A78" s="48">
        <v>42359</v>
      </c>
      <c r="B78" s="49">
        <v>157.53104999999999</v>
      </c>
      <c r="C78" s="49">
        <v>208.39407</v>
      </c>
      <c r="D78" s="49">
        <v>259.99936000000002</v>
      </c>
      <c r="E78" s="49">
        <v>348.92811999999998</v>
      </c>
      <c r="F78" s="49">
        <v>572.22594000000004</v>
      </c>
      <c r="G78" s="49">
        <v>0</v>
      </c>
      <c r="H78" s="49">
        <v>176.28088</v>
      </c>
      <c r="I78" s="49">
        <v>268.83670000000001</v>
      </c>
      <c r="J78" s="49">
        <v>363.62571000000003</v>
      </c>
      <c r="K78" s="49">
        <v>523.80053999999996</v>
      </c>
      <c r="L78" s="49">
        <v>919.61800000000005</v>
      </c>
      <c r="M78" s="49">
        <v>1182.92472</v>
      </c>
    </row>
    <row r="79" spans="1:13" x14ac:dyDescent="0.25">
      <c r="A79" s="48">
        <v>42360</v>
      </c>
      <c r="B79" s="49">
        <v>157.41874000000001</v>
      </c>
      <c r="C79" s="49">
        <v>208.45051000000001</v>
      </c>
      <c r="D79" s="49">
        <v>260.05909000000003</v>
      </c>
      <c r="E79" s="49">
        <v>349.00599999999997</v>
      </c>
      <c r="F79" s="49">
        <v>572.33501000000001</v>
      </c>
      <c r="G79" s="49">
        <v>0</v>
      </c>
      <c r="H79" s="49">
        <v>176.27898999999999</v>
      </c>
      <c r="I79" s="49">
        <v>268.84102000000001</v>
      </c>
      <c r="J79" s="49">
        <v>363.62975</v>
      </c>
      <c r="K79" s="49">
        <v>524.01158999999996</v>
      </c>
      <c r="L79" s="49">
        <v>919.36996999999997</v>
      </c>
      <c r="M79" s="49">
        <v>1182.9670799999999</v>
      </c>
    </row>
    <row r="80" spans="1:13" x14ac:dyDescent="0.25">
      <c r="A80" s="48">
        <v>42361</v>
      </c>
      <c r="B80" s="49">
        <v>157.47001</v>
      </c>
      <c r="C80" s="49">
        <v>208.50051999999999</v>
      </c>
      <c r="D80" s="49">
        <v>260.14735000000002</v>
      </c>
      <c r="E80" s="49">
        <v>349.06216000000001</v>
      </c>
      <c r="F80" s="49">
        <v>572.44956000000002</v>
      </c>
      <c r="G80" s="49">
        <v>0</v>
      </c>
      <c r="H80" s="49">
        <v>176.19219000000001</v>
      </c>
      <c r="I80" s="49">
        <v>267.28969000000001</v>
      </c>
      <c r="J80" s="49">
        <v>363.53438999999997</v>
      </c>
      <c r="K80" s="49">
        <v>551.12599</v>
      </c>
      <c r="L80" s="49">
        <v>919.14603999999997</v>
      </c>
      <c r="M80" s="49">
        <v>1185.19784</v>
      </c>
    </row>
    <row r="81" spans="1:13" x14ac:dyDescent="0.25">
      <c r="A81" s="48">
        <v>42362</v>
      </c>
      <c r="B81" s="49">
        <v>156.98806999999999</v>
      </c>
      <c r="C81" s="49">
        <v>208.56925000000001</v>
      </c>
      <c r="D81" s="49">
        <v>260.25536</v>
      </c>
      <c r="E81" s="49">
        <v>349.55534999999998</v>
      </c>
      <c r="F81" s="49">
        <v>575.59142999999995</v>
      </c>
      <c r="G81" s="49">
        <v>0</v>
      </c>
      <c r="H81" s="49">
        <v>176.19316000000001</v>
      </c>
      <c r="I81" s="49">
        <v>267.29138</v>
      </c>
      <c r="J81" s="49">
        <v>362.87227999999999</v>
      </c>
      <c r="K81" s="49">
        <v>551.49311999999998</v>
      </c>
      <c r="L81" s="49">
        <v>919.32695000000001</v>
      </c>
      <c r="M81" s="49">
        <v>1185.2165</v>
      </c>
    </row>
    <row r="82" spans="1:13" x14ac:dyDescent="0.25">
      <c r="A82" s="48">
        <v>42366</v>
      </c>
      <c r="B82" s="49">
        <v>157.02030999999999</v>
      </c>
      <c r="C82" s="49">
        <v>208.58661000000001</v>
      </c>
      <c r="D82" s="49">
        <v>260.31441000000001</v>
      </c>
      <c r="E82" s="49">
        <v>349.57317</v>
      </c>
      <c r="F82" s="49">
        <v>575.62724000000003</v>
      </c>
      <c r="G82" s="49">
        <v>0</v>
      </c>
      <c r="H82" s="49">
        <v>176.19354000000001</v>
      </c>
      <c r="I82" s="49">
        <v>267.29214000000002</v>
      </c>
      <c r="J82" s="49">
        <v>362.90485999999999</v>
      </c>
      <c r="K82" s="49">
        <v>551.39711</v>
      </c>
      <c r="L82" s="49">
        <v>919.13385000000005</v>
      </c>
      <c r="M82" s="49">
        <v>1185.2505100000001</v>
      </c>
    </row>
    <row r="83" spans="1:13" x14ac:dyDescent="0.25">
      <c r="A83" s="48">
        <v>42367</v>
      </c>
      <c r="B83" s="49">
        <v>157.04807</v>
      </c>
      <c r="C83" s="49">
        <v>208.64619999999999</v>
      </c>
      <c r="D83" s="49">
        <v>260.33947000000001</v>
      </c>
      <c r="E83" s="49">
        <v>349.62277999999998</v>
      </c>
      <c r="F83" s="49">
        <v>575.61497999999995</v>
      </c>
      <c r="G83" s="49">
        <v>0</v>
      </c>
      <c r="H83" s="49">
        <v>176.19470000000001</v>
      </c>
      <c r="I83" s="49">
        <v>267.28910999999999</v>
      </c>
      <c r="J83" s="49">
        <v>362.84960000000001</v>
      </c>
      <c r="K83" s="49">
        <v>551.35478999999998</v>
      </c>
      <c r="L83" s="49">
        <v>919.11436000000003</v>
      </c>
      <c r="M83" s="49">
        <v>1185.30134</v>
      </c>
    </row>
    <row r="84" spans="1:13" x14ac:dyDescent="0.25">
      <c r="A84" s="48">
        <v>42368</v>
      </c>
      <c r="B84" s="49">
        <v>157.05618000000001</v>
      </c>
      <c r="C84" s="49">
        <v>208.66392999999999</v>
      </c>
      <c r="D84" s="49">
        <v>260.34856000000002</v>
      </c>
      <c r="E84" s="49">
        <v>349.5258</v>
      </c>
      <c r="F84" s="49">
        <v>575.64236000000005</v>
      </c>
      <c r="G84" s="49">
        <v>0</v>
      </c>
      <c r="H84" s="49">
        <v>176.19506999999999</v>
      </c>
      <c r="I84" s="49">
        <v>266.57632000000001</v>
      </c>
      <c r="J84" s="49">
        <v>362.93525</v>
      </c>
      <c r="K84" s="49">
        <v>551.29463999999996</v>
      </c>
      <c r="L84" s="49">
        <v>919.09742000000006</v>
      </c>
      <c r="M84" s="49">
        <v>1185.3091199999999</v>
      </c>
    </row>
    <row r="85" spans="1:13" x14ac:dyDescent="0.25">
      <c r="A85" s="48">
        <v>42369</v>
      </c>
      <c r="B85" s="49">
        <v>157.10432</v>
      </c>
      <c r="C85" s="49">
        <v>208.72751</v>
      </c>
      <c r="D85" s="49">
        <v>260.33172999999999</v>
      </c>
      <c r="E85" s="49">
        <v>349.54002000000003</v>
      </c>
      <c r="F85" s="49">
        <v>575.70061999999996</v>
      </c>
      <c r="G85" s="49">
        <v>0</v>
      </c>
      <c r="H85" s="49">
        <v>175.67887999999999</v>
      </c>
      <c r="I85" s="49">
        <v>266.29957000000002</v>
      </c>
      <c r="J85" s="49">
        <v>362.72172999999998</v>
      </c>
      <c r="K85" s="49">
        <v>549.79331999999999</v>
      </c>
      <c r="L85" s="49">
        <v>915.25256999999999</v>
      </c>
      <c r="M85" s="49">
        <v>1177.39579</v>
      </c>
    </row>
    <row r="86" spans="1:13" x14ac:dyDescent="0.25">
      <c r="A86" s="48">
        <v>42373</v>
      </c>
      <c r="B86" s="49">
        <v>157.08814000000001</v>
      </c>
      <c r="C86" s="49">
        <v>208.74746999999999</v>
      </c>
      <c r="D86" s="49">
        <v>260.35482999999999</v>
      </c>
      <c r="E86" s="49">
        <v>349.56256999999999</v>
      </c>
      <c r="F86" s="49">
        <v>575.72050999999999</v>
      </c>
      <c r="G86" s="49">
        <v>0</v>
      </c>
      <c r="H86" s="49">
        <v>177.33497</v>
      </c>
      <c r="I86" s="49">
        <v>269.53169000000003</v>
      </c>
      <c r="J86" s="49">
        <v>367.42883</v>
      </c>
      <c r="K86" s="49">
        <v>556.72132999999997</v>
      </c>
      <c r="L86" s="49">
        <v>927.43080999999995</v>
      </c>
      <c r="M86" s="49">
        <v>1195.3477700000001</v>
      </c>
    </row>
    <row r="87" spans="1:13" x14ac:dyDescent="0.25">
      <c r="A87" s="48">
        <v>42374</v>
      </c>
      <c r="B87" s="49">
        <v>157.09392</v>
      </c>
      <c r="C87" s="49">
        <v>208.75982999999999</v>
      </c>
      <c r="D87" s="49">
        <v>260.36691999999999</v>
      </c>
      <c r="E87" s="49">
        <v>349.58192000000003</v>
      </c>
      <c r="F87" s="49">
        <v>577.19965000000002</v>
      </c>
      <c r="G87" s="49">
        <v>0</v>
      </c>
      <c r="H87" s="49">
        <v>177.35738000000001</v>
      </c>
      <c r="I87" s="49">
        <v>269.54334999999998</v>
      </c>
      <c r="J87" s="49">
        <v>367.43128000000002</v>
      </c>
      <c r="K87" s="49">
        <v>556.54384000000005</v>
      </c>
      <c r="L87" s="49">
        <v>925.22951999999998</v>
      </c>
      <c r="M87" s="49">
        <v>1193.37997</v>
      </c>
    </row>
    <row r="88" spans="1:13" x14ac:dyDescent="0.25">
      <c r="A88" s="48">
        <v>42375</v>
      </c>
      <c r="B88" s="49">
        <v>156.37853000000001</v>
      </c>
      <c r="C88" s="49">
        <v>207.94206</v>
      </c>
      <c r="D88" s="49">
        <v>260.40334000000001</v>
      </c>
      <c r="E88" s="49">
        <v>349.63535999999999</v>
      </c>
      <c r="F88" s="49">
        <v>577.21232999999995</v>
      </c>
      <c r="G88" s="49">
        <v>0</v>
      </c>
      <c r="H88" s="49">
        <v>177.30503999999999</v>
      </c>
      <c r="I88" s="49">
        <v>269.54948000000002</v>
      </c>
      <c r="J88" s="49">
        <v>367.45137</v>
      </c>
      <c r="K88" s="49">
        <v>556.27399000000003</v>
      </c>
      <c r="L88" s="49">
        <v>924.3913</v>
      </c>
      <c r="M88" s="49">
        <v>1189.79394</v>
      </c>
    </row>
    <row r="89" spans="1:13" x14ac:dyDescent="0.25">
      <c r="A89" s="48">
        <v>42376</v>
      </c>
      <c r="B89" s="49">
        <v>156.38914</v>
      </c>
      <c r="C89" s="49">
        <v>207.99114</v>
      </c>
      <c r="D89" s="49">
        <v>260.29190999999997</v>
      </c>
      <c r="E89" s="49">
        <v>349.83463</v>
      </c>
      <c r="F89" s="49">
        <v>576.12759000000005</v>
      </c>
      <c r="G89" s="49">
        <v>0</v>
      </c>
      <c r="H89" s="49">
        <v>177.27149</v>
      </c>
      <c r="I89" s="49">
        <v>269.47485999999998</v>
      </c>
      <c r="J89" s="49">
        <v>367.35995000000003</v>
      </c>
      <c r="K89" s="49">
        <v>555.20385999999996</v>
      </c>
      <c r="L89" s="49">
        <v>921.94662000000005</v>
      </c>
      <c r="M89" s="49">
        <v>1190.78709</v>
      </c>
    </row>
    <row r="90" spans="1:13" x14ac:dyDescent="0.25">
      <c r="A90" s="48">
        <v>42377</v>
      </c>
      <c r="B90" s="49">
        <v>158.69141999999999</v>
      </c>
      <c r="C90" s="49">
        <v>209.58503999999999</v>
      </c>
      <c r="D90" s="49">
        <v>261.90656999999999</v>
      </c>
      <c r="E90" s="49">
        <v>349.93804</v>
      </c>
      <c r="F90" s="49">
        <v>576.16429000000005</v>
      </c>
      <c r="G90" s="49">
        <v>0</v>
      </c>
      <c r="H90" s="49">
        <v>177.22332</v>
      </c>
      <c r="I90" s="49">
        <v>269.39479999999998</v>
      </c>
      <c r="J90" s="49">
        <v>367.37608999999998</v>
      </c>
      <c r="K90" s="49">
        <v>555.19070999999997</v>
      </c>
      <c r="L90" s="49">
        <v>918.88822000000005</v>
      </c>
      <c r="M90" s="49">
        <v>1190.64139</v>
      </c>
    </row>
    <row r="91" spans="1:13" x14ac:dyDescent="0.25">
      <c r="A91" s="48">
        <v>42380</v>
      </c>
      <c r="B91" s="49">
        <v>158.66596999999999</v>
      </c>
      <c r="C91" s="49">
        <v>209.58127999999999</v>
      </c>
      <c r="D91" s="49">
        <v>261.90715999999998</v>
      </c>
      <c r="E91" s="49">
        <v>349.95589999999999</v>
      </c>
      <c r="F91" s="49">
        <v>576.16975000000002</v>
      </c>
      <c r="G91" s="49">
        <v>0</v>
      </c>
      <c r="H91" s="49">
        <v>177.22311999999999</v>
      </c>
      <c r="I91" s="49">
        <v>269.29885000000002</v>
      </c>
      <c r="J91" s="49">
        <v>367.37542000000002</v>
      </c>
      <c r="K91" s="49">
        <v>555.10847999999999</v>
      </c>
      <c r="L91" s="49">
        <v>918.33858999999995</v>
      </c>
      <c r="M91" s="49">
        <v>1191.08529</v>
      </c>
    </row>
    <row r="92" spans="1:13" x14ac:dyDescent="0.25">
      <c r="A92" s="48">
        <v>42381</v>
      </c>
      <c r="B92" s="49">
        <v>158.60289</v>
      </c>
      <c r="C92" s="49">
        <v>209.59335999999999</v>
      </c>
      <c r="D92" s="49">
        <v>261.95051000000001</v>
      </c>
      <c r="E92" s="49">
        <v>349.60854</v>
      </c>
      <c r="F92" s="49">
        <v>575.12868000000003</v>
      </c>
      <c r="G92" s="49">
        <v>0</v>
      </c>
      <c r="H92" s="49">
        <v>177.22327000000001</v>
      </c>
      <c r="I92" s="49">
        <v>269.29460999999998</v>
      </c>
      <c r="J92" s="49">
        <v>367.37344000000002</v>
      </c>
      <c r="K92" s="49">
        <v>555.02588000000003</v>
      </c>
      <c r="L92" s="49">
        <v>918.54927999999995</v>
      </c>
      <c r="M92" s="49">
        <v>1191.4825000000001</v>
      </c>
    </row>
    <row r="93" spans="1:13" x14ac:dyDescent="0.25">
      <c r="A93" s="48">
        <v>42382</v>
      </c>
      <c r="B93" s="49">
        <v>159.52498</v>
      </c>
      <c r="C93" s="49">
        <v>209.59780000000001</v>
      </c>
      <c r="D93" s="49">
        <v>260.73872</v>
      </c>
      <c r="E93" s="49">
        <v>348.68808000000001</v>
      </c>
      <c r="F93" s="49">
        <v>577.58855000000005</v>
      </c>
      <c r="G93" s="49">
        <v>0</v>
      </c>
      <c r="H93" s="49">
        <v>176.98049</v>
      </c>
      <c r="I93" s="49">
        <v>268.82961999999998</v>
      </c>
      <c r="J93" s="49">
        <v>367.17210999999998</v>
      </c>
      <c r="K93" s="49">
        <v>553.87900999999999</v>
      </c>
      <c r="L93" s="49">
        <v>916.56286</v>
      </c>
      <c r="M93" s="49">
        <v>1193.3291999999999</v>
      </c>
    </row>
    <row r="94" spans="1:13" x14ac:dyDescent="0.25">
      <c r="A94" s="48">
        <v>42383</v>
      </c>
      <c r="B94" s="49">
        <v>165.27919</v>
      </c>
      <c r="C94" s="49">
        <v>217.52180000000001</v>
      </c>
      <c r="D94" s="49">
        <v>270.38069000000002</v>
      </c>
      <c r="E94" s="49">
        <v>358.92721999999998</v>
      </c>
      <c r="F94" s="49">
        <v>586.40224000000001</v>
      </c>
      <c r="G94" s="49">
        <v>0</v>
      </c>
      <c r="H94" s="49">
        <v>181.43603999999999</v>
      </c>
      <c r="I94" s="49">
        <v>272.98703</v>
      </c>
      <c r="J94" s="49">
        <v>370.95916</v>
      </c>
      <c r="K94" s="49">
        <v>564.87229000000002</v>
      </c>
      <c r="L94" s="49">
        <v>928.79989</v>
      </c>
      <c r="M94" s="49">
        <v>1212.8697999999999</v>
      </c>
    </row>
    <row r="95" spans="1:13" x14ac:dyDescent="0.25">
      <c r="A95" s="48">
        <v>42384</v>
      </c>
      <c r="B95" s="49">
        <v>170.70853</v>
      </c>
      <c r="C95" s="49">
        <v>221.54424</v>
      </c>
      <c r="D95" s="49">
        <v>280.02557000000002</v>
      </c>
      <c r="E95" s="49">
        <v>376.86176999999998</v>
      </c>
      <c r="F95" s="49">
        <v>623.96268999999995</v>
      </c>
      <c r="G95" s="49">
        <v>0</v>
      </c>
      <c r="H95" s="49">
        <v>184.28124</v>
      </c>
      <c r="I95" s="49">
        <v>282.31713000000002</v>
      </c>
      <c r="J95" s="49">
        <v>384.54131999999998</v>
      </c>
      <c r="K95" s="49">
        <v>587.83267999999998</v>
      </c>
      <c r="L95" s="49">
        <v>995.56966999999997</v>
      </c>
      <c r="M95" s="49">
        <v>1318.1192000000001</v>
      </c>
    </row>
    <row r="96" spans="1:13" x14ac:dyDescent="0.25">
      <c r="A96" s="48">
        <v>42388</v>
      </c>
      <c r="B96" s="49">
        <v>170.80041</v>
      </c>
      <c r="C96" s="49">
        <v>221.50942000000001</v>
      </c>
      <c r="D96" s="49">
        <v>278.73329000000001</v>
      </c>
      <c r="E96" s="49">
        <v>377.17518000000001</v>
      </c>
      <c r="F96" s="49">
        <v>624.00116000000003</v>
      </c>
      <c r="G96" s="49">
        <v>0</v>
      </c>
      <c r="H96" s="49">
        <v>184.22972999999999</v>
      </c>
      <c r="I96" s="49">
        <v>282.31448</v>
      </c>
      <c r="J96" s="49">
        <v>384.50756000000001</v>
      </c>
      <c r="K96" s="49">
        <v>587.79483000000005</v>
      </c>
      <c r="L96" s="49">
        <v>995.09622000000002</v>
      </c>
      <c r="M96" s="49">
        <v>1317.8583599999999</v>
      </c>
    </row>
    <row r="97" spans="1:13" x14ac:dyDescent="0.25">
      <c r="A97" s="48">
        <v>42389</v>
      </c>
      <c r="B97" s="49">
        <v>172.57177999999999</v>
      </c>
      <c r="C97" s="49">
        <v>225.51689999999999</v>
      </c>
      <c r="D97" s="49">
        <v>285.28203999999999</v>
      </c>
      <c r="E97" s="49">
        <v>386.69450999999998</v>
      </c>
      <c r="F97" s="49">
        <v>637.81137999999999</v>
      </c>
      <c r="G97" s="49">
        <v>0</v>
      </c>
      <c r="H97" s="49">
        <v>187.12612999999999</v>
      </c>
      <c r="I97" s="49">
        <v>292.68085000000002</v>
      </c>
      <c r="J97" s="49">
        <v>403.58569</v>
      </c>
      <c r="K97" s="49">
        <v>612.15184999999997</v>
      </c>
      <c r="L97" s="49">
        <v>1050.68415</v>
      </c>
      <c r="M97" s="49">
        <v>1393.1197199999999</v>
      </c>
    </row>
    <row r="98" spans="1:13" x14ac:dyDescent="0.25">
      <c r="A98" s="48">
        <v>42390</v>
      </c>
      <c r="B98" s="49">
        <v>172.17204000000001</v>
      </c>
      <c r="C98" s="49">
        <v>225.48850999999999</v>
      </c>
      <c r="D98" s="49">
        <v>284.86205999999999</v>
      </c>
      <c r="E98" s="49">
        <v>386.56849999999997</v>
      </c>
      <c r="F98" s="49">
        <v>637.42836</v>
      </c>
      <c r="G98" s="49">
        <v>0</v>
      </c>
      <c r="H98" s="49">
        <v>187.14471</v>
      </c>
      <c r="I98" s="49">
        <v>292.74311999999998</v>
      </c>
      <c r="J98" s="49">
        <v>403.61232000000001</v>
      </c>
      <c r="K98" s="49">
        <v>612.14721999999995</v>
      </c>
      <c r="L98" s="49">
        <v>1043.7012099999999</v>
      </c>
      <c r="M98" s="49">
        <v>1393.5033100000001</v>
      </c>
    </row>
    <row r="99" spans="1:13" x14ac:dyDescent="0.25">
      <c r="A99" s="48">
        <v>42391</v>
      </c>
      <c r="B99" s="49">
        <v>172.14768000000001</v>
      </c>
      <c r="C99" s="49">
        <v>225.49717999999999</v>
      </c>
      <c r="D99" s="49">
        <v>284.59771999999998</v>
      </c>
      <c r="E99" s="49">
        <v>386.78303</v>
      </c>
      <c r="F99" s="49">
        <v>638.72685000000001</v>
      </c>
      <c r="G99" s="49">
        <v>0</v>
      </c>
      <c r="H99" s="49">
        <v>187.10669999999999</v>
      </c>
      <c r="I99" s="49">
        <v>292.72836999999998</v>
      </c>
      <c r="J99" s="49">
        <v>403.61856</v>
      </c>
      <c r="K99" s="49">
        <v>612.09056999999996</v>
      </c>
      <c r="L99" s="49">
        <v>1043.0429999999999</v>
      </c>
      <c r="M99" s="49">
        <v>1394.08825</v>
      </c>
    </row>
    <row r="100" spans="1:13" x14ac:dyDescent="0.25">
      <c r="A100" s="48">
        <v>42394</v>
      </c>
      <c r="B100" s="49">
        <v>171.53623999999999</v>
      </c>
      <c r="C100" s="49">
        <v>225.56332</v>
      </c>
      <c r="D100" s="49">
        <v>284.64064000000002</v>
      </c>
      <c r="E100" s="49">
        <v>386.80635999999998</v>
      </c>
      <c r="F100" s="49">
        <v>638.82172000000003</v>
      </c>
      <c r="G100" s="49">
        <v>0</v>
      </c>
      <c r="H100" s="49">
        <v>187.10641000000001</v>
      </c>
      <c r="I100" s="49">
        <v>292.72987000000001</v>
      </c>
      <c r="J100" s="49">
        <v>403.62187999999998</v>
      </c>
      <c r="K100" s="49">
        <v>612.20910000000003</v>
      </c>
      <c r="L100" s="49">
        <v>1044.19875</v>
      </c>
      <c r="M100" s="49">
        <v>1394.61033</v>
      </c>
    </row>
    <row r="101" spans="1:13" x14ac:dyDescent="0.25">
      <c r="A101" s="48">
        <v>42395</v>
      </c>
      <c r="B101" s="49">
        <v>171.74733000000001</v>
      </c>
      <c r="C101" s="49">
        <v>225.57103000000001</v>
      </c>
      <c r="D101" s="49">
        <v>284.54068999999998</v>
      </c>
      <c r="E101" s="49">
        <v>386.97068999999999</v>
      </c>
      <c r="F101" s="49">
        <v>638.75513000000001</v>
      </c>
      <c r="G101" s="49">
        <v>0</v>
      </c>
      <c r="H101" s="49">
        <v>187.11344</v>
      </c>
      <c r="I101" s="49">
        <v>292.62472000000002</v>
      </c>
      <c r="J101" s="49">
        <v>403.54579000000001</v>
      </c>
      <c r="K101" s="49">
        <v>611.96456000000001</v>
      </c>
      <c r="L101" s="49">
        <v>1044.1692800000001</v>
      </c>
      <c r="M101" s="49">
        <v>1394.4475299999999</v>
      </c>
    </row>
    <row r="102" spans="1:13" x14ac:dyDescent="0.25">
      <c r="A102" s="48">
        <v>42396</v>
      </c>
      <c r="B102" s="49">
        <v>171.85566</v>
      </c>
      <c r="C102" s="49">
        <v>225.54452000000001</v>
      </c>
      <c r="D102" s="49">
        <v>284.60054000000002</v>
      </c>
      <c r="E102" s="49">
        <v>387.08208000000002</v>
      </c>
      <c r="F102" s="49">
        <v>638.99361999999996</v>
      </c>
      <c r="G102" s="49">
        <v>0</v>
      </c>
      <c r="H102" s="49">
        <v>189.24213</v>
      </c>
      <c r="I102" s="49">
        <v>292.51382000000001</v>
      </c>
      <c r="J102" s="49">
        <v>415.62921</v>
      </c>
      <c r="K102" s="49">
        <v>647.03601000000003</v>
      </c>
      <c r="L102" s="49">
        <v>1065.4282000000001</v>
      </c>
      <c r="M102" s="49">
        <v>1428.9340400000001</v>
      </c>
    </row>
    <row r="103" spans="1:13" x14ac:dyDescent="0.25">
      <c r="A103" s="48">
        <v>42397</v>
      </c>
      <c r="B103" s="49">
        <v>171.85227</v>
      </c>
      <c r="C103" s="49">
        <v>225.55378999999999</v>
      </c>
      <c r="D103" s="49">
        <v>284.61628999999999</v>
      </c>
      <c r="E103" s="49">
        <v>387.88974000000002</v>
      </c>
      <c r="F103" s="49">
        <v>640.00313000000006</v>
      </c>
      <c r="G103" s="49">
        <v>0</v>
      </c>
      <c r="H103" s="49">
        <v>189.29265000000001</v>
      </c>
      <c r="I103" s="49">
        <v>293.11802</v>
      </c>
      <c r="J103" s="49">
        <v>414.44625000000002</v>
      </c>
      <c r="K103" s="49">
        <v>645.76224000000002</v>
      </c>
      <c r="L103" s="49">
        <v>1065.03232</v>
      </c>
      <c r="M103" s="49">
        <v>1428.9659300000001</v>
      </c>
    </row>
    <row r="104" spans="1:13" x14ac:dyDescent="0.25">
      <c r="A104" s="48">
        <v>42398</v>
      </c>
      <c r="B104" s="49">
        <v>172.37342000000001</v>
      </c>
      <c r="C104" s="49">
        <v>225.85929999999999</v>
      </c>
      <c r="D104" s="49">
        <v>284.62337000000002</v>
      </c>
      <c r="E104" s="49">
        <v>387.91152</v>
      </c>
      <c r="F104" s="49">
        <v>652.25219000000004</v>
      </c>
      <c r="G104" s="49">
        <v>0</v>
      </c>
      <c r="H104" s="49">
        <v>188.98373000000001</v>
      </c>
      <c r="I104" s="49">
        <v>291.88641000000001</v>
      </c>
      <c r="J104" s="49">
        <v>413.62072999999998</v>
      </c>
      <c r="K104" s="49">
        <v>608.67714000000001</v>
      </c>
      <c r="L104" s="49">
        <v>1059.9641099999999</v>
      </c>
      <c r="M104" s="49">
        <v>1425.0495800000001</v>
      </c>
    </row>
    <row r="105" spans="1:13" x14ac:dyDescent="0.25">
      <c r="A105" s="48">
        <v>42401</v>
      </c>
      <c r="B105" s="49">
        <v>172.55362</v>
      </c>
      <c r="C105" s="49">
        <v>225.84474</v>
      </c>
      <c r="D105" s="49">
        <v>284.62648000000002</v>
      </c>
      <c r="E105" s="49">
        <v>387.8075</v>
      </c>
      <c r="F105" s="49">
        <v>639.61548000000005</v>
      </c>
      <c r="G105" s="49">
        <v>0</v>
      </c>
      <c r="H105" s="49">
        <v>188.93956</v>
      </c>
      <c r="I105" s="49">
        <v>291.79561000000001</v>
      </c>
      <c r="J105" s="49">
        <v>413.63069000000002</v>
      </c>
      <c r="K105" s="49">
        <v>608.49815999999998</v>
      </c>
      <c r="L105" s="49">
        <v>1057.7383299999999</v>
      </c>
      <c r="M105" s="49">
        <v>1425.5311300000001</v>
      </c>
    </row>
    <row r="106" spans="1:13" x14ac:dyDescent="0.25">
      <c r="A106" s="48">
        <v>42402</v>
      </c>
      <c r="B106" s="49">
        <v>172.60760999999999</v>
      </c>
      <c r="C106" s="49">
        <v>225.76149000000001</v>
      </c>
      <c r="D106" s="49">
        <v>284.79723000000001</v>
      </c>
      <c r="E106" s="49">
        <v>388.22615000000002</v>
      </c>
      <c r="F106" s="49">
        <v>638.29553999999996</v>
      </c>
      <c r="G106" s="49">
        <v>0</v>
      </c>
      <c r="H106" s="49">
        <v>188.93818999999999</v>
      </c>
      <c r="I106" s="49">
        <v>291.71165999999999</v>
      </c>
      <c r="J106" s="49">
        <v>413.64690999999999</v>
      </c>
      <c r="K106" s="49">
        <v>609.00149999999996</v>
      </c>
      <c r="L106" s="49">
        <v>1056.14292</v>
      </c>
      <c r="M106" s="49">
        <v>1422.5334</v>
      </c>
    </row>
    <row r="107" spans="1:13" x14ac:dyDescent="0.25">
      <c r="A107" s="48">
        <v>42403</v>
      </c>
      <c r="B107" s="49">
        <v>172.61867000000001</v>
      </c>
      <c r="C107" s="49">
        <v>225.78790000000001</v>
      </c>
      <c r="D107" s="49">
        <v>284.80045000000001</v>
      </c>
      <c r="E107" s="49">
        <v>388.18853999999999</v>
      </c>
      <c r="F107" s="49">
        <v>638.24360999999999</v>
      </c>
      <c r="G107" s="49">
        <v>0</v>
      </c>
      <c r="H107" s="49">
        <v>188.91738000000001</v>
      </c>
      <c r="I107" s="49">
        <v>291.71368000000001</v>
      </c>
      <c r="J107" s="49">
        <v>413.56022999999999</v>
      </c>
      <c r="K107" s="49">
        <v>609.64621</v>
      </c>
      <c r="L107" s="49">
        <v>1055.4244900000001</v>
      </c>
      <c r="M107" s="49">
        <v>1425.77953</v>
      </c>
    </row>
    <row r="108" spans="1:13" x14ac:dyDescent="0.25">
      <c r="A108" s="48">
        <v>42404</v>
      </c>
      <c r="B108" s="49">
        <v>172.65889000000001</v>
      </c>
      <c r="C108" s="49">
        <v>225.88489000000001</v>
      </c>
      <c r="D108" s="49">
        <v>285.00716999999997</v>
      </c>
      <c r="E108" s="49">
        <v>388.74014</v>
      </c>
      <c r="F108" s="49">
        <v>638.73744999999997</v>
      </c>
      <c r="G108" s="49">
        <v>0</v>
      </c>
      <c r="H108" s="49">
        <v>190.54691</v>
      </c>
      <c r="I108" s="49">
        <v>295.94279999999998</v>
      </c>
      <c r="J108" s="49">
        <v>426.404</v>
      </c>
      <c r="K108" s="49">
        <v>629.61504000000002</v>
      </c>
      <c r="L108" s="49">
        <v>1075.7233200000001</v>
      </c>
      <c r="M108" s="49">
        <v>1466.9510299999999</v>
      </c>
    </row>
    <row r="109" spans="1:13" x14ac:dyDescent="0.25">
      <c r="A109" s="48">
        <v>42405</v>
      </c>
      <c r="B109" s="49">
        <v>172.84019000000001</v>
      </c>
      <c r="C109" s="49">
        <v>225.95263</v>
      </c>
      <c r="D109" s="49">
        <v>285.63189</v>
      </c>
      <c r="E109" s="49">
        <v>390.15976000000001</v>
      </c>
      <c r="F109" s="49">
        <v>641.73855000000003</v>
      </c>
      <c r="G109" s="49">
        <v>0</v>
      </c>
      <c r="H109" s="49">
        <v>190.60758000000001</v>
      </c>
      <c r="I109" s="49">
        <v>296.11754999999999</v>
      </c>
      <c r="J109" s="49">
        <v>426.54770000000002</v>
      </c>
      <c r="K109" s="49">
        <v>631.04066</v>
      </c>
      <c r="L109" s="49">
        <v>1079.5141000000001</v>
      </c>
      <c r="M109" s="49">
        <v>1475.4843100000001</v>
      </c>
    </row>
    <row r="110" spans="1:13" x14ac:dyDescent="0.25">
      <c r="A110" s="48">
        <v>42408</v>
      </c>
      <c r="B110" s="49">
        <v>172.75206</v>
      </c>
      <c r="C110" s="49">
        <v>226.02780999999999</v>
      </c>
      <c r="D110" s="49">
        <v>285.64773000000002</v>
      </c>
      <c r="E110" s="49">
        <v>390.18383</v>
      </c>
      <c r="F110" s="49">
        <v>641.77236000000005</v>
      </c>
      <c r="G110" s="49">
        <v>0</v>
      </c>
      <c r="H110" s="49">
        <v>190.80821</v>
      </c>
      <c r="I110" s="49">
        <v>298.21366999999998</v>
      </c>
      <c r="J110" s="49">
        <v>435.87128999999999</v>
      </c>
      <c r="K110" s="49">
        <v>642.76665000000003</v>
      </c>
      <c r="L110" s="49">
        <v>1085.4911999999999</v>
      </c>
      <c r="M110" s="49">
        <v>1513.27646</v>
      </c>
    </row>
    <row r="111" spans="1:13" x14ac:dyDescent="0.25">
      <c r="A111" s="48">
        <v>42409</v>
      </c>
      <c r="B111" s="49">
        <v>172.74868000000001</v>
      </c>
      <c r="C111" s="49">
        <v>226.04288</v>
      </c>
      <c r="D111" s="49">
        <v>285.66230999999999</v>
      </c>
      <c r="E111" s="49">
        <v>390.99392</v>
      </c>
      <c r="F111" s="49">
        <v>643.64049999999997</v>
      </c>
      <c r="G111" s="49">
        <v>0</v>
      </c>
      <c r="H111" s="49">
        <v>190.80838</v>
      </c>
      <c r="I111" s="49">
        <v>298.21494000000001</v>
      </c>
      <c r="J111" s="49">
        <v>435.87774000000002</v>
      </c>
      <c r="K111" s="49">
        <v>642.69739000000004</v>
      </c>
      <c r="L111" s="49">
        <v>1086.77171</v>
      </c>
      <c r="M111" s="49">
        <v>1517.0805</v>
      </c>
    </row>
    <row r="112" spans="1:13" x14ac:dyDescent="0.25">
      <c r="A112" s="48">
        <v>42410</v>
      </c>
      <c r="B112" s="49">
        <v>173.15258</v>
      </c>
      <c r="C112" s="49">
        <v>226.08224000000001</v>
      </c>
      <c r="D112" s="49">
        <v>286.45159999999998</v>
      </c>
      <c r="E112" s="49">
        <v>394.59753000000001</v>
      </c>
      <c r="F112" s="49">
        <v>649.29566999999997</v>
      </c>
      <c r="G112" s="49">
        <v>0</v>
      </c>
      <c r="H112" s="49">
        <v>191.09398999999999</v>
      </c>
      <c r="I112" s="49">
        <v>298.30990000000003</v>
      </c>
      <c r="J112" s="49">
        <v>436.03503000000001</v>
      </c>
      <c r="K112" s="49">
        <v>642.67364999999995</v>
      </c>
      <c r="L112" s="49">
        <v>1086.5186000000001</v>
      </c>
      <c r="M112" s="49">
        <v>1517.0880099999999</v>
      </c>
    </row>
    <row r="113" spans="1:13" x14ac:dyDescent="0.25">
      <c r="A113" s="48">
        <v>42411</v>
      </c>
      <c r="B113" s="49">
        <v>173.50049000000001</v>
      </c>
      <c r="C113" s="49">
        <v>226.28172000000001</v>
      </c>
      <c r="D113" s="49">
        <v>286.47512999999998</v>
      </c>
      <c r="E113" s="49">
        <v>394.62639000000001</v>
      </c>
      <c r="F113" s="49">
        <v>652.48969999999997</v>
      </c>
      <c r="G113" s="49">
        <v>0</v>
      </c>
      <c r="H113" s="49">
        <v>191.22150999999999</v>
      </c>
      <c r="I113" s="49">
        <v>300.18335000000002</v>
      </c>
      <c r="J113" s="49">
        <v>439.44580000000002</v>
      </c>
      <c r="K113" s="49">
        <v>648.34360000000004</v>
      </c>
      <c r="L113" s="49">
        <v>1097.09194</v>
      </c>
      <c r="M113" s="49">
        <v>1521.4218000000001</v>
      </c>
    </row>
    <row r="114" spans="1:13" x14ac:dyDescent="0.25">
      <c r="A114" s="48">
        <v>42412</v>
      </c>
      <c r="B114" s="49">
        <v>173.52386999999999</v>
      </c>
      <c r="C114" s="49">
        <v>226.28154000000001</v>
      </c>
      <c r="D114" s="49">
        <v>287.79147</v>
      </c>
      <c r="E114" s="49">
        <v>394.95432</v>
      </c>
      <c r="F114" s="49">
        <v>651.60958000000005</v>
      </c>
      <c r="G114" s="49">
        <v>0</v>
      </c>
      <c r="H114" s="49">
        <v>191.41932</v>
      </c>
      <c r="I114" s="49">
        <v>300.24448000000001</v>
      </c>
      <c r="J114" s="49">
        <v>439.66719999999998</v>
      </c>
      <c r="K114" s="49">
        <v>648.37531000000001</v>
      </c>
      <c r="L114" s="49">
        <v>1096.9431500000001</v>
      </c>
      <c r="M114" s="49">
        <v>1522.49307</v>
      </c>
    </row>
    <row r="115" spans="1:13" x14ac:dyDescent="0.25">
      <c r="A115" s="48">
        <v>42416</v>
      </c>
      <c r="B115" s="49">
        <v>173.53083000000001</v>
      </c>
      <c r="C115" s="49">
        <v>226.39089999999999</v>
      </c>
      <c r="D115" s="49">
        <v>287.94639999999998</v>
      </c>
      <c r="E115" s="49">
        <v>395.03197999999998</v>
      </c>
      <c r="F115" s="49">
        <v>651.70399999999995</v>
      </c>
      <c r="G115" s="49">
        <v>0</v>
      </c>
      <c r="H115" s="49">
        <v>191.43738999999999</v>
      </c>
      <c r="I115" s="49">
        <v>300.23192</v>
      </c>
      <c r="J115" s="49">
        <v>439.26870000000002</v>
      </c>
      <c r="K115" s="49">
        <v>648.53112999999996</v>
      </c>
      <c r="L115" s="49">
        <v>1097.8148000000001</v>
      </c>
      <c r="M115" s="49">
        <v>1523.9815900000001</v>
      </c>
    </row>
    <row r="116" spans="1:13" x14ac:dyDescent="0.25">
      <c r="A116" s="48">
        <v>42417</v>
      </c>
      <c r="B116" s="49">
        <v>173.49945</v>
      </c>
      <c r="C116" s="49">
        <v>226.46815000000001</v>
      </c>
      <c r="D116" s="49">
        <v>287.98567000000003</v>
      </c>
      <c r="E116" s="49">
        <v>395.08024999999998</v>
      </c>
      <c r="F116" s="49">
        <v>651.75608</v>
      </c>
      <c r="G116" s="49">
        <v>0</v>
      </c>
      <c r="H116" s="49">
        <v>191.44452000000001</v>
      </c>
      <c r="I116" s="49">
        <v>300.27055999999999</v>
      </c>
      <c r="J116" s="49">
        <v>438.99630999999999</v>
      </c>
      <c r="K116" s="49">
        <v>648.73105999999996</v>
      </c>
      <c r="L116" s="49">
        <v>1098.16572</v>
      </c>
      <c r="M116" s="49">
        <v>1524.05468</v>
      </c>
    </row>
    <row r="117" spans="1:13" x14ac:dyDescent="0.25">
      <c r="A117" s="48">
        <v>42418</v>
      </c>
      <c r="B117" s="49">
        <v>173.50366</v>
      </c>
      <c r="C117" s="49">
        <v>226.51582999999999</v>
      </c>
      <c r="D117" s="49">
        <v>288.00209000000001</v>
      </c>
      <c r="E117" s="49">
        <v>395.10395</v>
      </c>
      <c r="F117" s="49">
        <v>652.30003999999997</v>
      </c>
      <c r="G117" s="49">
        <v>0</v>
      </c>
      <c r="H117" s="49">
        <v>191.44855999999999</v>
      </c>
      <c r="I117" s="49">
        <v>300.20778999999999</v>
      </c>
      <c r="J117" s="49">
        <v>439.01022</v>
      </c>
      <c r="K117" s="49">
        <v>648.85712000000001</v>
      </c>
      <c r="L117" s="49">
        <v>1099.46405</v>
      </c>
      <c r="M117" s="49">
        <v>1525.2932000000001</v>
      </c>
    </row>
    <row r="118" spans="1:13" x14ac:dyDescent="0.25">
      <c r="A118" s="48">
        <v>42419</v>
      </c>
      <c r="B118" s="49">
        <v>173.53745000000001</v>
      </c>
      <c r="C118" s="49">
        <v>226.54497000000001</v>
      </c>
      <c r="D118" s="49">
        <v>288.04156999999998</v>
      </c>
      <c r="E118" s="49">
        <v>398.0231</v>
      </c>
      <c r="F118" s="49">
        <v>659.61947999999995</v>
      </c>
      <c r="G118" s="49">
        <v>0</v>
      </c>
      <c r="H118" s="49">
        <v>191.55079000000001</v>
      </c>
      <c r="I118" s="49">
        <v>300.30277000000001</v>
      </c>
      <c r="J118" s="49">
        <v>439.04583000000002</v>
      </c>
      <c r="K118" s="49">
        <v>648.93997999999999</v>
      </c>
      <c r="L118" s="49">
        <v>1100.8492000000001</v>
      </c>
      <c r="M118" s="49">
        <v>1525.5576100000001</v>
      </c>
    </row>
    <row r="119" spans="1:13" x14ac:dyDescent="0.25">
      <c r="A119" s="48">
        <v>42422</v>
      </c>
      <c r="B119" s="49">
        <v>173.21698000000001</v>
      </c>
      <c r="C119" s="49">
        <v>226.54821000000001</v>
      </c>
      <c r="D119" s="49">
        <v>288.04998999999998</v>
      </c>
      <c r="E119" s="49">
        <v>398.89155</v>
      </c>
      <c r="F119" s="49">
        <v>660.98352</v>
      </c>
      <c r="G119" s="49">
        <v>0</v>
      </c>
      <c r="H119" s="49">
        <v>191.50493</v>
      </c>
      <c r="I119" s="49">
        <v>300.30970000000002</v>
      </c>
      <c r="J119" s="49">
        <v>439.05916000000002</v>
      </c>
      <c r="K119" s="49">
        <v>648.94313999999997</v>
      </c>
      <c r="L119" s="49">
        <v>1101.7426700000001</v>
      </c>
      <c r="M119" s="49">
        <v>1525.8793599999999</v>
      </c>
    </row>
    <row r="120" spans="1:13" x14ac:dyDescent="0.25">
      <c r="A120" s="48">
        <v>42423</v>
      </c>
      <c r="B120" s="49">
        <v>174.66494</v>
      </c>
      <c r="C120" s="49">
        <v>227.00094999999999</v>
      </c>
      <c r="D120" s="49">
        <v>288.79196999999999</v>
      </c>
      <c r="E120" s="49">
        <v>401.33298000000002</v>
      </c>
      <c r="F120" s="49">
        <v>662.42083000000002</v>
      </c>
      <c r="G120" s="49">
        <v>0</v>
      </c>
      <c r="H120" s="49">
        <v>191.70866000000001</v>
      </c>
      <c r="I120" s="49">
        <v>300.50617</v>
      </c>
      <c r="J120" s="49">
        <v>438.37252999999998</v>
      </c>
      <c r="K120" s="49">
        <v>649.1336</v>
      </c>
      <c r="L120" s="49">
        <v>1102.7403400000001</v>
      </c>
      <c r="M120" s="49">
        <v>1526.1196399999999</v>
      </c>
    </row>
    <row r="121" spans="1:13" x14ac:dyDescent="0.25">
      <c r="A121" s="48">
        <v>42424</v>
      </c>
      <c r="B121" s="49">
        <v>175.99227999999999</v>
      </c>
      <c r="C121" s="49">
        <v>227.73746</v>
      </c>
      <c r="D121" s="49">
        <v>289.97823</v>
      </c>
      <c r="E121" s="49">
        <v>402.37470999999999</v>
      </c>
      <c r="F121" s="49">
        <v>664.14751999999999</v>
      </c>
      <c r="G121" s="49">
        <v>0</v>
      </c>
      <c r="H121" s="49">
        <v>205.59496999999999</v>
      </c>
      <c r="I121" s="49">
        <v>311.00922000000003</v>
      </c>
      <c r="J121" s="49">
        <v>457.98755</v>
      </c>
      <c r="K121" s="49">
        <v>649.09388000000001</v>
      </c>
      <c r="L121" s="49">
        <v>1194.3701799999999</v>
      </c>
      <c r="M121" s="49">
        <v>1652.49305</v>
      </c>
    </row>
    <row r="122" spans="1:13" x14ac:dyDescent="0.25">
      <c r="A122" s="48">
        <v>42425</v>
      </c>
      <c r="B122" s="49">
        <v>176.02567999999999</v>
      </c>
      <c r="C122" s="49">
        <v>227.99705</v>
      </c>
      <c r="D122" s="49">
        <v>291.17917999999997</v>
      </c>
      <c r="E122" s="49">
        <v>403.14371</v>
      </c>
      <c r="F122" s="49">
        <v>664.16988000000003</v>
      </c>
      <c r="G122" s="49">
        <v>0</v>
      </c>
      <c r="H122" s="49">
        <v>205.48599999999999</v>
      </c>
      <c r="I122" s="49">
        <v>310.87993</v>
      </c>
      <c r="J122" s="49">
        <v>457.97964000000002</v>
      </c>
      <c r="K122" s="49">
        <v>711.06966999999997</v>
      </c>
      <c r="L122" s="49">
        <v>1196.07601</v>
      </c>
      <c r="M122" s="49">
        <v>1652.2072700000001</v>
      </c>
    </row>
    <row r="123" spans="1:13" x14ac:dyDescent="0.25">
      <c r="A123" s="48">
        <v>42426</v>
      </c>
      <c r="B123" s="49">
        <v>176.00497999999999</v>
      </c>
      <c r="C123" s="49">
        <v>228.62188</v>
      </c>
      <c r="D123" s="49">
        <v>292.97237999999999</v>
      </c>
      <c r="E123" s="49">
        <v>406.14274</v>
      </c>
      <c r="F123" s="49">
        <v>677.02874999999995</v>
      </c>
      <c r="G123" s="49">
        <v>0</v>
      </c>
      <c r="H123" s="49">
        <v>205.3963</v>
      </c>
      <c r="I123" s="49">
        <v>310.41797000000003</v>
      </c>
      <c r="J123" s="49">
        <v>457.40688</v>
      </c>
      <c r="K123" s="49">
        <v>711.04546000000005</v>
      </c>
      <c r="L123" s="49">
        <v>1196.94325</v>
      </c>
      <c r="M123" s="49">
        <v>1652.5440699999999</v>
      </c>
    </row>
    <row r="124" spans="1:13" x14ac:dyDescent="0.25">
      <c r="A124" s="48">
        <v>42429</v>
      </c>
      <c r="B124" s="49">
        <v>175.57239999999999</v>
      </c>
      <c r="C124" s="49">
        <v>229.98173</v>
      </c>
      <c r="D124" s="49">
        <v>295.49151999999998</v>
      </c>
      <c r="E124" s="49">
        <v>422.37732999999997</v>
      </c>
      <c r="F124" s="49">
        <v>680.77638000000002</v>
      </c>
      <c r="G124" s="49">
        <v>0</v>
      </c>
      <c r="H124" s="49">
        <v>205.13338999999999</v>
      </c>
      <c r="I124" s="49">
        <v>309.94949000000003</v>
      </c>
      <c r="J124" s="49">
        <v>456.33416</v>
      </c>
      <c r="K124" s="49">
        <v>709.59893</v>
      </c>
      <c r="L124" s="49">
        <v>1196.29189</v>
      </c>
      <c r="M124" s="49">
        <v>1645.5838100000001</v>
      </c>
    </row>
    <row r="125" spans="1:13" x14ac:dyDescent="0.25">
      <c r="A125" s="48">
        <v>42430</v>
      </c>
      <c r="B125" s="49">
        <v>175.58555999999999</v>
      </c>
      <c r="C125" s="49">
        <v>229.99302</v>
      </c>
      <c r="D125" s="49">
        <v>294.80572000000001</v>
      </c>
      <c r="E125" s="49">
        <v>417.17815000000002</v>
      </c>
      <c r="F125" s="49">
        <v>680.97846000000004</v>
      </c>
      <c r="G125" s="49">
        <v>0</v>
      </c>
      <c r="H125" s="49">
        <v>205.10833</v>
      </c>
      <c r="I125" s="49">
        <v>309.95672999999999</v>
      </c>
      <c r="J125" s="49">
        <v>456.36415</v>
      </c>
      <c r="K125" s="49">
        <v>709.49090999999999</v>
      </c>
      <c r="L125" s="49">
        <v>1196.3664699999999</v>
      </c>
      <c r="M125" s="49">
        <v>1646.6671100000001</v>
      </c>
    </row>
    <row r="126" spans="1:13" x14ac:dyDescent="0.25">
      <c r="A126" s="48">
        <v>42431</v>
      </c>
      <c r="B126" s="49">
        <v>175.69336000000001</v>
      </c>
      <c r="C126" s="49">
        <v>229.60724999999999</v>
      </c>
      <c r="D126" s="49">
        <v>294.04784000000001</v>
      </c>
      <c r="E126" s="49">
        <v>415.84696000000002</v>
      </c>
      <c r="F126" s="49">
        <v>682.62667999999996</v>
      </c>
      <c r="G126" s="49">
        <v>0</v>
      </c>
      <c r="H126" s="49">
        <v>205.03747999999999</v>
      </c>
      <c r="I126" s="49">
        <v>309.97843</v>
      </c>
      <c r="J126" s="49">
        <v>456.16399999999999</v>
      </c>
      <c r="K126" s="49">
        <v>708.47879999999998</v>
      </c>
      <c r="L126" s="49">
        <v>1196.7194099999999</v>
      </c>
      <c r="M126" s="49">
        <v>1643.1634300000001</v>
      </c>
    </row>
    <row r="127" spans="1:13" x14ac:dyDescent="0.25">
      <c r="A127" s="48">
        <v>42432</v>
      </c>
      <c r="B127" s="49">
        <v>175.70186000000001</v>
      </c>
      <c r="C127" s="49">
        <v>229.62128000000001</v>
      </c>
      <c r="D127" s="49">
        <v>294.15372000000002</v>
      </c>
      <c r="E127" s="49">
        <v>415.86218000000002</v>
      </c>
      <c r="F127" s="49">
        <v>682.65557000000001</v>
      </c>
      <c r="G127" s="49">
        <v>0</v>
      </c>
      <c r="H127" s="49">
        <v>205.00914</v>
      </c>
      <c r="I127" s="49">
        <v>309.88404000000003</v>
      </c>
      <c r="J127" s="49">
        <v>456.12975999999998</v>
      </c>
      <c r="K127" s="49">
        <v>708.18556999999998</v>
      </c>
      <c r="L127" s="49">
        <v>1196.7592099999999</v>
      </c>
      <c r="M127" s="49">
        <v>1643.1468199999999</v>
      </c>
    </row>
    <row r="128" spans="1:13" x14ac:dyDescent="0.25">
      <c r="A128" s="48">
        <v>42433</v>
      </c>
      <c r="B128" s="49">
        <v>175.71499</v>
      </c>
      <c r="C128" s="49">
        <v>229.63998000000001</v>
      </c>
      <c r="D128" s="49">
        <v>294.16352000000001</v>
      </c>
      <c r="E128" s="49">
        <v>414.27472</v>
      </c>
      <c r="F128" s="49">
        <v>682.67985999999996</v>
      </c>
      <c r="G128" s="49">
        <v>0</v>
      </c>
      <c r="H128" s="49">
        <v>204.81308000000001</v>
      </c>
      <c r="I128" s="49">
        <v>309.88350000000003</v>
      </c>
      <c r="J128" s="49">
        <v>456.06952000000001</v>
      </c>
      <c r="K128" s="49">
        <v>708.25585000000001</v>
      </c>
      <c r="L128" s="49">
        <v>1196.94616</v>
      </c>
      <c r="M128" s="49">
        <v>1642.70073</v>
      </c>
    </row>
    <row r="129" spans="1:13" x14ac:dyDescent="0.25">
      <c r="A129" s="48">
        <v>42436</v>
      </c>
      <c r="B129" s="49">
        <v>175.85117</v>
      </c>
      <c r="C129" s="49">
        <v>229.57163</v>
      </c>
      <c r="D129" s="49">
        <v>294.43074999999999</v>
      </c>
      <c r="E129" s="49">
        <v>414.66298999999998</v>
      </c>
      <c r="F129" s="49">
        <v>683.87594999999999</v>
      </c>
      <c r="G129" s="49">
        <v>0</v>
      </c>
      <c r="H129" s="49">
        <v>204.68045000000001</v>
      </c>
      <c r="I129" s="49">
        <v>309.81536</v>
      </c>
      <c r="J129" s="49">
        <v>455.85257999999999</v>
      </c>
      <c r="K129" s="49">
        <v>708.14756</v>
      </c>
      <c r="L129" s="49">
        <v>1196.9138499999999</v>
      </c>
      <c r="M129" s="49">
        <v>1642.05953</v>
      </c>
    </row>
    <row r="130" spans="1:13" x14ac:dyDescent="0.25">
      <c r="A130" s="48">
        <v>42437</v>
      </c>
      <c r="B130" s="49">
        <v>176.39793</v>
      </c>
      <c r="C130" s="49">
        <v>231.81402</v>
      </c>
      <c r="D130" s="49">
        <v>294.86527000000001</v>
      </c>
      <c r="E130" s="49">
        <v>414.78253000000001</v>
      </c>
      <c r="F130" s="49">
        <v>690.40772000000004</v>
      </c>
      <c r="G130" s="49">
        <v>0</v>
      </c>
      <c r="H130" s="49">
        <v>204.68499</v>
      </c>
      <c r="I130" s="49">
        <v>309.81455</v>
      </c>
      <c r="J130" s="49">
        <v>455.54923000000002</v>
      </c>
      <c r="K130" s="49">
        <v>707.92087000000004</v>
      </c>
      <c r="L130" s="49">
        <v>1196.8575699999999</v>
      </c>
      <c r="M130" s="49">
        <v>1642.54943</v>
      </c>
    </row>
    <row r="131" spans="1:13" x14ac:dyDescent="0.25">
      <c r="A131" s="48">
        <v>42438</v>
      </c>
      <c r="B131" s="49">
        <v>176.4494</v>
      </c>
      <c r="C131" s="49">
        <v>231.83928</v>
      </c>
      <c r="D131" s="49">
        <v>294.89134999999999</v>
      </c>
      <c r="E131" s="49">
        <v>414.82276000000002</v>
      </c>
      <c r="F131" s="49">
        <v>691.23459000000003</v>
      </c>
      <c r="G131" s="49">
        <v>0</v>
      </c>
      <c r="H131" s="49">
        <v>201.09881999999999</v>
      </c>
      <c r="I131" s="49">
        <v>302.64325000000002</v>
      </c>
      <c r="J131" s="49">
        <v>441.42658</v>
      </c>
      <c r="K131" s="49">
        <v>689.19527000000005</v>
      </c>
      <c r="L131" s="49">
        <v>1151.8790100000001</v>
      </c>
      <c r="M131" s="49">
        <v>1588.3309899999999</v>
      </c>
    </row>
    <row r="132" spans="1:13" x14ac:dyDescent="0.25">
      <c r="A132" s="48">
        <v>42439</v>
      </c>
      <c r="B132" s="49">
        <v>176.47241</v>
      </c>
      <c r="C132" s="49">
        <v>231.78460000000001</v>
      </c>
      <c r="D132" s="49">
        <v>294.87768</v>
      </c>
      <c r="E132" s="49">
        <v>414.81085000000002</v>
      </c>
      <c r="F132" s="49">
        <v>693.44318999999996</v>
      </c>
      <c r="G132" s="49">
        <v>0</v>
      </c>
      <c r="H132" s="49">
        <v>201.04607999999999</v>
      </c>
      <c r="I132" s="49">
        <v>302.64692000000002</v>
      </c>
      <c r="J132" s="49">
        <v>441.33553000000001</v>
      </c>
      <c r="K132" s="49">
        <v>688.56043999999997</v>
      </c>
      <c r="L132" s="49">
        <v>1148.2250799999999</v>
      </c>
      <c r="M132" s="49">
        <v>1588.4363599999999</v>
      </c>
    </row>
    <row r="133" spans="1:13" x14ac:dyDescent="0.25">
      <c r="A133" s="48">
        <v>42440</v>
      </c>
      <c r="B133" s="49">
        <v>174.39435</v>
      </c>
      <c r="C133" s="49">
        <v>231.81501</v>
      </c>
      <c r="D133" s="49">
        <v>294.90190999999999</v>
      </c>
      <c r="E133" s="49">
        <v>414.36995000000002</v>
      </c>
      <c r="F133" s="49">
        <v>699.85242000000005</v>
      </c>
      <c r="G133" s="49">
        <v>0</v>
      </c>
      <c r="H133" s="49">
        <v>200.84971999999999</v>
      </c>
      <c r="I133" s="49">
        <v>302.64879999999999</v>
      </c>
      <c r="J133" s="49">
        <v>440.49491</v>
      </c>
      <c r="K133" s="49">
        <v>688.27243999999996</v>
      </c>
      <c r="L133" s="49">
        <v>1147.8761999999999</v>
      </c>
      <c r="M133" s="49">
        <v>1588.0953400000001</v>
      </c>
    </row>
    <row r="134" spans="1:13" x14ac:dyDescent="0.25">
      <c r="A134" s="48">
        <v>42443</v>
      </c>
      <c r="B134" s="49">
        <v>174.38427999999999</v>
      </c>
      <c r="C134" s="49">
        <v>231.82324</v>
      </c>
      <c r="D134" s="49">
        <v>294.87200999999999</v>
      </c>
      <c r="E134" s="49">
        <v>414.45346999999998</v>
      </c>
      <c r="F134" s="49">
        <v>699.67835000000002</v>
      </c>
      <c r="G134" s="49">
        <v>0</v>
      </c>
      <c r="H134" s="49">
        <v>200.81781000000001</v>
      </c>
      <c r="I134" s="49">
        <v>297.59922</v>
      </c>
      <c r="J134" s="49">
        <v>422.76713999999998</v>
      </c>
      <c r="K134" s="49">
        <v>671.86220000000003</v>
      </c>
      <c r="L134" s="49">
        <v>1148.3311000000001</v>
      </c>
      <c r="M134" s="49">
        <v>1594.52154</v>
      </c>
    </row>
    <row r="135" spans="1:13" x14ac:dyDescent="0.25">
      <c r="A135" s="48">
        <v>42444</v>
      </c>
      <c r="B135" s="49">
        <v>177.02964</v>
      </c>
      <c r="C135" s="49">
        <v>232.59227000000001</v>
      </c>
      <c r="D135" s="49">
        <v>295.52838000000003</v>
      </c>
      <c r="E135" s="49">
        <v>415.35541000000001</v>
      </c>
      <c r="F135" s="49">
        <v>699.66</v>
      </c>
      <c r="G135" s="49">
        <v>0</v>
      </c>
      <c r="H135" s="49">
        <v>196.04969</v>
      </c>
      <c r="I135" s="49">
        <v>297.53323999999998</v>
      </c>
      <c r="J135" s="49">
        <v>422.76177000000001</v>
      </c>
      <c r="K135" s="49">
        <v>671.71888000000001</v>
      </c>
      <c r="L135" s="49">
        <v>1147.71245</v>
      </c>
      <c r="M135" s="49">
        <v>1594.2357999999999</v>
      </c>
    </row>
    <row r="136" spans="1:13" x14ac:dyDescent="0.25">
      <c r="A136" s="48">
        <v>42445</v>
      </c>
      <c r="B136" s="49">
        <v>177.8895</v>
      </c>
      <c r="C136" s="49">
        <v>233.69074000000001</v>
      </c>
      <c r="D136" s="49">
        <v>296.44468000000001</v>
      </c>
      <c r="E136" s="49">
        <v>414.95576999999997</v>
      </c>
      <c r="F136" s="49">
        <v>699.81056000000001</v>
      </c>
      <c r="G136" s="49">
        <v>0</v>
      </c>
      <c r="H136" s="49">
        <v>196.04791</v>
      </c>
      <c r="I136" s="49">
        <v>297.5231</v>
      </c>
      <c r="J136" s="49">
        <v>422.67788999999999</v>
      </c>
      <c r="K136" s="49">
        <v>671.54768999999999</v>
      </c>
      <c r="L136" s="49">
        <v>1112.7169200000001</v>
      </c>
      <c r="M136" s="49">
        <v>1517.53694</v>
      </c>
    </row>
    <row r="137" spans="1:13" x14ac:dyDescent="0.25">
      <c r="A137" s="48">
        <v>42446</v>
      </c>
      <c r="B137" s="49">
        <v>177.90010000000001</v>
      </c>
      <c r="C137" s="49">
        <v>233.61772999999999</v>
      </c>
      <c r="D137" s="49">
        <v>296.47665999999998</v>
      </c>
      <c r="E137" s="49">
        <v>415.75506000000001</v>
      </c>
      <c r="F137" s="49">
        <v>702.38521000000003</v>
      </c>
      <c r="G137" s="49">
        <v>0</v>
      </c>
      <c r="H137" s="49">
        <v>196.04942</v>
      </c>
      <c r="I137" s="49">
        <v>297.53044</v>
      </c>
      <c r="J137" s="49">
        <v>422.71413000000001</v>
      </c>
      <c r="K137" s="49">
        <v>671.42058999999995</v>
      </c>
      <c r="L137" s="49">
        <v>1109.99325</v>
      </c>
      <c r="M137" s="49">
        <v>1517.2990199999999</v>
      </c>
    </row>
    <row r="138" spans="1:13" x14ac:dyDescent="0.25">
      <c r="A138" s="48">
        <v>42447</v>
      </c>
      <c r="B138" s="49">
        <v>176.51929999999999</v>
      </c>
      <c r="C138" s="49">
        <v>232.07758999999999</v>
      </c>
      <c r="D138" s="49">
        <v>296.49639999999999</v>
      </c>
      <c r="E138" s="49">
        <v>415.76447999999999</v>
      </c>
      <c r="F138" s="49">
        <v>702.37023999999997</v>
      </c>
      <c r="G138" s="49">
        <v>0</v>
      </c>
      <c r="H138" s="49">
        <v>195.97352000000001</v>
      </c>
      <c r="I138" s="49">
        <v>297.35705999999999</v>
      </c>
      <c r="J138" s="49">
        <v>422.71107000000001</v>
      </c>
      <c r="K138" s="49">
        <v>671.21411999999998</v>
      </c>
      <c r="L138" s="49">
        <v>1046.77262</v>
      </c>
      <c r="M138" s="49">
        <v>1515.5772099999999</v>
      </c>
    </row>
    <row r="139" spans="1:13" x14ac:dyDescent="0.25">
      <c r="A139" s="48">
        <v>42450</v>
      </c>
      <c r="B139" s="49">
        <v>176.56005999999999</v>
      </c>
      <c r="C139" s="49">
        <v>232.57359</v>
      </c>
      <c r="D139" s="49">
        <v>296.51857999999999</v>
      </c>
      <c r="E139" s="49">
        <v>415.88882000000001</v>
      </c>
      <c r="F139" s="49">
        <v>702.32019000000003</v>
      </c>
      <c r="G139" s="49">
        <v>0</v>
      </c>
      <c r="H139" s="49">
        <v>189.65134</v>
      </c>
      <c r="I139" s="49">
        <v>297.35960999999998</v>
      </c>
      <c r="J139" s="49">
        <v>413.41298</v>
      </c>
      <c r="K139" s="49">
        <v>670.92430000000002</v>
      </c>
      <c r="L139" s="49">
        <v>1045.7208900000001</v>
      </c>
      <c r="M139" s="49">
        <v>1515.5227199999999</v>
      </c>
    </row>
    <row r="140" spans="1:13" x14ac:dyDescent="0.25">
      <c r="A140" s="48">
        <v>42451</v>
      </c>
      <c r="B140" s="49">
        <v>176.54776000000001</v>
      </c>
      <c r="C140" s="49">
        <v>232.58265</v>
      </c>
      <c r="D140" s="49">
        <v>296.54656</v>
      </c>
      <c r="E140" s="49">
        <v>415.88391000000001</v>
      </c>
      <c r="F140" s="49">
        <v>701.92444999999998</v>
      </c>
      <c r="G140" s="49">
        <v>0</v>
      </c>
      <c r="H140" s="49">
        <v>189.60544999999999</v>
      </c>
      <c r="I140" s="49">
        <v>277.14586000000003</v>
      </c>
      <c r="J140" s="49">
        <v>413.11577999999997</v>
      </c>
      <c r="K140" s="49">
        <v>670.57852000000003</v>
      </c>
      <c r="L140" s="49">
        <v>1045.5109500000001</v>
      </c>
      <c r="M140" s="49">
        <v>1515.47723</v>
      </c>
    </row>
    <row r="141" spans="1:13" x14ac:dyDescent="0.25">
      <c r="A141" s="48">
        <v>42452</v>
      </c>
      <c r="B141" s="49">
        <v>176.58457000000001</v>
      </c>
      <c r="C141" s="49">
        <v>232.62736000000001</v>
      </c>
      <c r="D141" s="49">
        <v>296.45184</v>
      </c>
      <c r="E141" s="49">
        <v>415.98901999999998</v>
      </c>
      <c r="F141" s="49">
        <v>702.27434000000005</v>
      </c>
      <c r="G141" s="49">
        <v>0</v>
      </c>
      <c r="H141" s="49">
        <v>184.92850999999999</v>
      </c>
      <c r="I141" s="49">
        <v>277.10455000000002</v>
      </c>
      <c r="J141" s="49">
        <v>412.97953000000001</v>
      </c>
      <c r="K141" s="49">
        <v>669.67952000000002</v>
      </c>
      <c r="L141" s="49">
        <v>1043.3022599999999</v>
      </c>
      <c r="M141" s="49">
        <v>1503.71101</v>
      </c>
    </row>
    <row r="142" spans="1:13" x14ac:dyDescent="0.25">
      <c r="A142" s="48">
        <v>42453</v>
      </c>
      <c r="B142" s="49">
        <v>176.6208</v>
      </c>
      <c r="C142" s="49">
        <v>232.64304999999999</v>
      </c>
      <c r="D142" s="49">
        <v>296.59545000000003</v>
      </c>
      <c r="E142" s="49">
        <v>416.72422</v>
      </c>
      <c r="F142" s="49">
        <v>703.35729000000003</v>
      </c>
      <c r="G142" s="49">
        <v>0</v>
      </c>
      <c r="H142" s="49">
        <v>184.85876999999999</v>
      </c>
      <c r="I142" s="49">
        <v>277.26312999999999</v>
      </c>
      <c r="J142" s="49">
        <v>407.2704</v>
      </c>
      <c r="K142" s="49">
        <v>669.14472999999998</v>
      </c>
      <c r="L142" s="49">
        <v>1016.75382</v>
      </c>
      <c r="M142" s="49">
        <v>1503.4716100000001</v>
      </c>
    </row>
    <row r="143" spans="1:13" x14ac:dyDescent="0.25">
      <c r="A143" s="48">
        <v>42457</v>
      </c>
      <c r="B143" s="49">
        <v>177.83738</v>
      </c>
      <c r="C143" s="49">
        <v>232.26204000000001</v>
      </c>
      <c r="D143" s="49">
        <v>296.67406</v>
      </c>
      <c r="E143" s="49">
        <v>416.81603999999999</v>
      </c>
      <c r="F143" s="49">
        <v>703.47297000000003</v>
      </c>
      <c r="G143" s="49">
        <v>0</v>
      </c>
      <c r="H143" s="49">
        <v>184.7071</v>
      </c>
      <c r="I143" s="49">
        <v>277.2627</v>
      </c>
      <c r="J143" s="49">
        <v>406.73313999999999</v>
      </c>
      <c r="K143" s="49">
        <v>636.85347000000002</v>
      </c>
      <c r="L143" s="49">
        <v>1015.94286</v>
      </c>
      <c r="M143" s="49">
        <v>1502.9014</v>
      </c>
    </row>
    <row r="144" spans="1:13" x14ac:dyDescent="0.25">
      <c r="A144" s="48">
        <v>42458</v>
      </c>
      <c r="B144" s="49">
        <v>177.89062000000001</v>
      </c>
      <c r="C144" s="49">
        <v>232.29445999999999</v>
      </c>
      <c r="D144" s="49">
        <v>296.76022999999998</v>
      </c>
      <c r="E144" s="49">
        <v>416.69463999999999</v>
      </c>
      <c r="F144" s="49">
        <v>703.49474999999995</v>
      </c>
      <c r="G144" s="49">
        <v>0</v>
      </c>
      <c r="H144" s="49">
        <v>184.25092000000001</v>
      </c>
      <c r="I144" s="49">
        <v>277.24059</v>
      </c>
      <c r="J144" s="49">
        <v>406.48244999999997</v>
      </c>
      <c r="K144" s="49">
        <v>636.43416000000002</v>
      </c>
      <c r="L144" s="49">
        <v>1015.01993</v>
      </c>
      <c r="M144" s="49">
        <v>1501.5015000000001</v>
      </c>
    </row>
    <row r="145" spans="1:13" x14ac:dyDescent="0.25">
      <c r="A145" s="48">
        <v>42459</v>
      </c>
      <c r="B145" s="49">
        <v>177.63839999999999</v>
      </c>
      <c r="C145" s="49">
        <v>232.31703999999999</v>
      </c>
      <c r="D145" s="49">
        <v>296.81639999999999</v>
      </c>
      <c r="E145" s="49">
        <v>416.20501999999999</v>
      </c>
      <c r="F145" s="49">
        <v>703.20600000000002</v>
      </c>
      <c r="G145" s="49">
        <v>0</v>
      </c>
      <c r="H145" s="49">
        <v>183.75566000000001</v>
      </c>
      <c r="I145" s="49">
        <v>276.68056000000001</v>
      </c>
      <c r="J145" s="49">
        <v>405.84235999999999</v>
      </c>
      <c r="K145" s="49">
        <v>636.47324000000003</v>
      </c>
      <c r="L145" s="49">
        <v>1012.08613</v>
      </c>
      <c r="M145" s="49">
        <v>1500.19028</v>
      </c>
    </row>
    <row r="146" spans="1:13" x14ac:dyDescent="0.25">
      <c r="A146" s="48">
        <v>42460</v>
      </c>
      <c r="B146" s="49">
        <v>177.63575</v>
      </c>
      <c r="C146" s="49">
        <v>232.33035000000001</v>
      </c>
      <c r="D146" s="49">
        <v>296.80723</v>
      </c>
      <c r="E146" s="49">
        <v>415.78390999999999</v>
      </c>
      <c r="F146" s="49">
        <v>701.42273999999998</v>
      </c>
      <c r="G146" s="49">
        <v>0</v>
      </c>
      <c r="H146" s="49">
        <v>178.73235</v>
      </c>
      <c r="I146" s="49">
        <v>276.43677000000002</v>
      </c>
      <c r="J146" s="49">
        <v>405.57488999999998</v>
      </c>
      <c r="K146" s="49">
        <v>635.22123999999997</v>
      </c>
      <c r="L146" s="49">
        <v>985.47028</v>
      </c>
      <c r="M146" s="49">
        <v>1428.2630300000001</v>
      </c>
    </row>
    <row r="147" spans="1:13" x14ac:dyDescent="0.25">
      <c r="A147" s="48">
        <v>42461</v>
      </c>
      <c r="B147" s="49">
        <v>177.63221999999999</v>
      </c>
      <c r="C147" s="49">
        <v>232.34327999999999</v>
      </c>
      <c r="D147" s="49">
        <v>296.71512000000001</v>
      </c>
      <c r="E147" s="49">
        <v>413.74005</v>
      </c>
      <c r="F147" s="49">
        <v>698.03450999999995</v>
      </c>
      <c r="G147" s="49">
        <v>0</v>
      </c>
      <c r="H147" s="49">
        <v>178.69954000000001</v>
      </c>
      <c r="I147" s="49">
        <v>276.39416999999997</v>
      </c>
      <c r="J147" s="49">
        <v>405.53615000000002</v>
      </c>
      <c r="K147" s="49">
        <v>635.06164999999999</v>
      </c>
      <c r="L147" s="49">
        <v>985.26969999999994</v>
      </c>
      <c r="M147" s="49">
        <v>1427.78043</v>
      </c>
    </row>
    <row r="148" spans="1:13" x14ac:dyDescent="0.25">
      <c r="A148" s="48">
        <v>42464</v>
      </c>
      <c r="B148" s="49">
        <v>177.66797</v>
      </c>
      <c r="C148" s="49">
        <v>232.47830999999999</v>
      </c>
      <c r="D148" s="49">
        <v>296.73318999999998</v>
      </c>
      <c r="E148" s="49">
        <v>413.75745999999998</v>
      </c>
      <c r="F148" s="49">
        <v>692.14278999999999</v>
      </c>
      <c r="G148" s="49">
        <v>0</v>
      </c>
      <c r="H148" s="49">
        <v>178.70502999999999</v>
      </c>
      <c r="I148" s="49">
        <v>276.34401000000003</v>
      </c>
      <c r="J148" s="49">
        <v>405.40785</v>
      </c>
      <c r="K148" s="49">
        <v>633.16188999999997</v>
      </c>
      <c r="L148" s="49">
        <v>985.00156000000004</v>
      </c>
      <c r="M148" s="49">
        <v>1427.7074399999999</v>
      </c>
    </row>
    <row r="149" spans="1:13" x14ac:dyDescent="0.25">
      <c r="A149" s="48">
        <v>42465</v>
      </c>
      <c r="B149" s="49">
        <v>177.56886</v>
      </c>
      <c r="C149" s="49">
        <v>231.5694</v>
      </c>
      <c r="D149" s="49">
        <v>296.74840999999998</v>
      </c>
      <c r="E149" s="49">
        <v>413.76866000000001</v>
      </c>
      <c r="F149" s="49">
        <v>692.12602000000004</v>
      </c>
      <c r="G149" s="49">
        <v>0</v>
      </c>
      <c r="H149" s="49">
        <v>178.63874999999999</v>
      </c>
      <c r="I149" s="49">
        <v>276.34334000000001</v>
      </c>
      <c r="J149" s="49">
        <v>405.32143000000002</v>
      </c>
      <c r="K149" s="49">
        <v>630.96763999999996</v>
      </c>
      <c r="L149" s="49">
        <v>982.62483999999995</v>
      </c>
      <c r="M149" s="49">
        <v>1427.3248699999999</v>
      </c>
    </row>
    <row r="150" spans="1:13" x14ac:dyDescent="0.25">
      <c r="A150" s="48">
        <v>42466</v>
      </c>
      <c r="B150" s="49">
        <v>177.57024999999999</v>
      </c>
      <c r="C150" s="49">
        <v>231.60132999999999</v>
      </c>
      <c r="D150" s="49">
        <v>296.78393</v>
      </c>
      <c r="E150" s="49">
        <v>413.82898</v>
      </c>
      <c r="F150" s="49">
        <v>694.11122</v>
      </c>
      <c r="G150" s="49">
        <v>0</v>
      </c>
      <c r="H150" s="49">
        <v>178.62533999999999</v>
      </c>
      <c r="I150" s="49">
        <v>276.32481000000001</v>
      </c>
      <c r="J150" s="49">
        <v>405.19461999999999</v>
      </c>
      <c r="K150" s="49">
        <v>582.48131000000001</v>
      </c>
      <c r="L150" s="49">
        <v>981.33217999999999</v>
      </c>
      <c r="M150" s="49">
        <v>1427.55476</v>
      </c>
    </row>
    <row r="151" spans="1:13" x14ac:dyDescent="0.25">
      <c r="A151" s="48">
        <v>42467</v>
      </c>
      <c r="B151" s="49">
        <v>177.52682999999999</v>
      </c>
      <c r="C151" s="49">
        <v>231.67588000000001</v>
      </c>
      <c r="D151" s="49">
        <v>296.80038000000002</v>
      </c>
      <c r="E151" s="49">
        <v>413.79261000000002</v>
      </c>
      <c r="F151" s="49">
        <v>694.83466999999996</v>
      </c>
      <c r="G151" s="49">
        <v>0</v>
      </c>
      <c r="H151" s="49">
        <v>178.51589000000001</v>
      </c>
      <c r="I151" s="49">
        <v>276.09388000000001</v>
      </c>
      <c r="J151" s="49">
        <v>395.93608</v>
      </c>
      <c r="K151" s="49">
        <v>582.68399999999997</v>
      </c>
      <c r="L151" s="49">
        <v>951.71479999999997</v>
      </c>
      <c r="M151" s="49">
        <v>1425.8251700000001</v>
      </c>
    </row>
    <row r="152" spans="1:13" x14ac:dyDescent="0.25">
      <c r="A152" s="48">
        <v>42468</v>
      </c>
      <c r="B152" s="49">
        <v>177.46382</v>
      </c>
      <c r="C152" s="49">
        <v>231.61526000000001</v>
      </c>
      <c r="D152" s="49">
        <v>296.79552000000001</v>
      </c>
      <c r="E152" s="49">
        <v>413.80840999999998</v>
      </c>
      <c r="F152" s="49">
        <v>696.02571999999998</v>
      </c>
      <c r="G152" s="49">
        <v>0</v>
      </c>
      <c r="H152" s="49">
        <v>178.44489999999999</v>
      </c>
      <c r="I152" s="49">
        <v>276.09323000000001</v>
      </c>
      <c r="J152" s="49">
        <v>395.98536999999999</v>
      </c>
      <c r="K152" s="49">
        <v>582.80669</v>
      </c>
      <c r="L152" s="49">
        <v>951.11878999999999</v>
      </c>
      <c r="M152" s="49">
        <v>1425.7004400000001</v>
      </c>
    </row>
    <row r="153" spans="1:13" x14ac:dyDescent="0.25">
      <c r="A153" s="48">
        <v>42471</v>
      </c>
      <c r="B153" s="49">
        <v>177.44556</v>
      </c>
      <c r="C153" s="49">
        <v>231.62702999999999</v>
      </c>
      <c r="D153" s="49">
        <v>298.25227999999998</v>
      </c>
      <c r="E153" s="49">
        <v>416.54723000000001</v>
      </c>
      <c r="F153" s="49">
        <v>696.06083000000001</v>
      </c>
      <c r="G153" s="49">
        <v>0</v>
      </c>
      <c r="H153" s="49">
        <v>178.38057000000001</v>
      </c>
      <c r="I153" s="49">
        <v>276.00421</v>
      </c>
      <c r="J153" s="49">
        <v>395.94540999999998</v>
      </c>
      <c r="K153" s="49">
        <v>582.73341000000005</v>
      </c>
      <c r="L153" s="49">
        <v>950.68847000000005</v>
      </c>
      <c r="M153" s="49">
        <v>1425.7526</v>
      </c>
    </row>
    <row r="154" spans="1:13" x14ac:dyDescent="0.25">
      <c r="A154" s="48">
        <v>42472</v>
      </c>
      <c r="B154" s="49">
        <v>177.40527</v>
      </c>
      <c r="C154" s="49">
        <v>231.63660999999999</v>
      </c>
      <c r="D154" s="49">
        <v>298.24392</v>
      </c>
      <c r="E154" s="49">
        <v>416.46973000000003</v>
      </c>
      <c r="F154" s="49">
        <v>696.10463000000004</v>
      </c>
      <c r="G154" s="49">
        <v>0</v>
      </c>
      <c r="H154" s="49">
        <v>178.35732999999999</v>
      </c>
      <c r="I154" s="49">
        <v>275.87891999999999</v>
      </c>
      <c r="J154" s="49">
        <v>395.96519999999998</v>
      </c>
      <c r="K154" s="49">
        <v>582.62447999999995</v>
      </c>
      <c r="L154" s="49">
        <v>950.29078000000004</v>
      </c>
      <c r="M154" s="49">
        <v>1425.7452499999999</v>
      </c>
    </row>
    <row r="155" spans="1:13" x14ac:dyDescent="0.25">
      <c r="A155" s="48">
        <v>42473</v>
      </c>
      <c r="B155" s="49">
        <v>176.28922</v>
      </c>
      <c r="C155" s="49">
        <v>231.68743000000001</v>
      </c>
      <c r="D155" s="49">
        <v>298.31849</v>
      </c>
      <c r="E155" s="49">
        <v>416.50583999999998</v>
      </c>
      <c r="F155" s="49">
        <v>696.68373999999994</v>
      </c>
      <c r="G155" s="49">
        <v>0</v>
      </c>
      <c r="H155" s="49">
        <v>177.93298999999999</v>
      </c>
      <c r="I155" s="49">
        <v>275.82810999999998</v>
      </c>
      <c r="J155" s="49">
        <v>395.92435</v>
      </c>
      <c r="K155" s="49">
        <v>582.61343999999997</v>
      </c>
      <c r="L155" s="49">
        <v>948.93651999999997</v>
      </c>
      <c r="M155" s="49">
        <v>1425.59076</v>
      </c>
    </row>
    <row r="156" spans="1:13" x14ac:dyDescent="0.25">
      <c r="A156" s="48">
        <v>42474</v>
      </c>
      <c r="B156" s="49">
        <v>176.20792</v>
      </c>
      <c r="C156" s="49">
        <v>230.75565</v>
      </c>
      <c r="D156" s="49">
        <v>297.96147000000002</v>
      </c>
      <c r="E156" s="49">
        <v>416.52433000000002</v>
      </c>
      <c r="F156" s="49">
        <v>696.69785000000002</v>
      </c>
      <c r="G156" s="49">
        <v>0</v>
      </c>
      <c r="H156" s="49">
        <v>177.85419999999999</v>
      </c>
      <c r="I156" s="49">
        <v>245.27265</v>
      </c>
      <c r="J156" s="49">
        <v>395.75835999999998</v>
      </c>
      <c r="K156" s="49">
        <v>582.47488999999996</v>
      </c>
      <c r="L156" s="49">
        <v>948.18241</v>
      </c>
      <c r="M156" s="49">
        <v>1425.0597499999999</v>
      </c>
    </row>
    <row r="157" spans="1:13" x14ac:dyDescent="0.25">
      <c r="A157" s="48">
        <v>42475</v>
      </c>
      <c r="B157" s="49">
        <v>175.90413000000001</v>
      </c>
      <c r="C157" s="49">
        <v>231.09574000000001</v>
      </c>
      <c r="D157" s="49">
        <v>297.87434000000002</v>
      </c>
      <c r="E157" s="49">
        <v>416.53127000000001</v>
      </c>
      <c r="F157" s="49">
        <v>696.46092999999996</v>
      </c>
      <c r="G157" s="49">
        <v>0</v>
      </c>
      <c r="H157" s="49">
        <v>163.5993</v>
      </c>
      <c r="I157" s="49">
        <v>245.33475999999999</v>
      </c>
      <c r="J157" s="49">
        <v>395.49811999999997</v>
      </c>
      <c r="K157" s="49">
        <v>582.38661000000002</v>
      </c>
      <c r="L157" s="49">
        <v>929.27459999999996</v>
      </c>
      <c r="M157" s="49">
        <v>1422.07395</v>
      </c>
    </row>
    <row r="158" spans="1:13" x14ac:dyDescent="0.25">
      <c r="A158" s="48">
        <v>42478</v>
      </c>
      <c r="B158" s="49">
        <v>175.49630999999999</v>
      </c>
      <c r="C158" s="49">
        <v>231.19254000000001</v>
      </c>
      <c r="D158" s="49">
        <v>296.57697000000002</v>
      </c>
      <c r="E158" s="49">
        <v>414.11101000000002</v>
      </c>
      <c r="F158" s="49">
        <v>696.86452999999995</v>
      </c>
      <c r="G158" s="49">
        <v>0</v>
      </c>
      <c r="H158" s="49">
        <v>164.16210000000001</v>
      </c>
      <c r="I158" s="49">
        <v>245.43106</v>
      </c>
      <c r="J158" s="49">
        <v>395.44197000000003</v>
      </c>
      <c r="K158" s="49">
        <v>582.21597999999994</v>
      </c>
      <c r="L158" s="49">
        <v>929.15391999999997</v>
      </c>
      <c r="M158" s="49">
        <v>1422.1512399999999</v>
      </c>
    </row>
    <row r="159" spans="1:13" x14ac:dyDescent="0.25">
      <c r="A159" s="48">
        <v>42479</v>
      </c>
      <c r="B159" s="49">
        <v>174.86895999999999</v>
      </c>
      <c r="C159" s="49">
        <v>231.22531000000001</v>
      </c>
      <c r="D159" s="49">
        <v>296.69101999999998</v>
      </c>
      <c r="E159" s="49">
        <v>414.22055</v>
      </c>
      <c r="F159" s="49">
        <v>696.80971999999997</v>
      </c>
      <c r="G159" s="49">
        <v>0</v>
      </c>
      <c r="H159" s="49">
        <v>164.37376</v>
      </c>
      <c r="I159" s="49">
        <v>245.52737999999999</v>
      </c>
      <c r="J159" s="49">
        <v>395.73165999999998</v>
      </c>
      <c r="K159" s="49">
        <v>582.08813999999995</v>
      </c>
      <c r="L159" s="49">
        <v>928.89900999999998</v>
      </c>
      <c r="M159" s="49">
        <v>1421.7552900000001</v>
      </c>
    </row>
    <row r="160" spans="1:13" x14ac:dyDescent="0.25">
      <c r="A160" s="48">
        <v>42480</v>
      </c>
      <c r="B160" s="49">
        <v>174.68808999999999</v>
      </c>
      <c r="C160" s="49">
        <v>230.47006999999999</v>
      </c>
      <c r="D160" s="49">
        <v>295.05286000000001</v>
      </c>
      <c r="E160" s="49">
        <v>407.92383999999998</v>
      </c>
      <c r="F160" s="49">
        <v>697.14649999999995</v>
      </c>
      <c r="G160" s="49">
        <v>0</v>
      </c>
      <c r="H160" s="49">
        <v>166.42671000000001</v>
      </c>
      <c r="I160" s="49">
        <v>249.95689999999999</v>
      </c>
      <c r="J160" s="49">
        <v>398.57562000000001</v>
      </c>
      <c r="K160" s="49">
        <v>582.08326999999997</v>
      </c>
      <c r="L160" s="49">
        <v>928.12332000000004</v>
      </c>
      <c r="M160" s="49">
        <v>1421.8986399999999</v>
      </c>
    </row>
    <row r="161" spans="1:13" x14ac:dyDescent="0.25">
      <c r="A161" s="48">
        <v>42481</v>
      </c>
      <c r="B161" s="49">
        <v>174.17169999999999</v>
      </c>
      <c r="C161" s="49">
        <v>230.48002</v>
      </c>
      <c r="D161" s="49">
        <v>295.20443999999998</v>
      </c>
      <c r="E161" s="49">
        <v>408.40433999999999</v>
      </c>
      <c r="F161" s="49">
        <v>697.19599000000005</v>
      </c>
      <c r="G161" s="49">
        <v>0</v>
      </c>
      <c r="H161" s="49">
        <v>166.4444</v>
      </c>
      <c r="I161" s="49">
        <v>249.85998000000001</v>
      </c>
      <c r="J161" s="49">
        <v>398.48441000000003</v>
      </c>
      <c r="K161" s="49">
        <v>582.03778999999997</v>
      </c>
      <c r="L161" s="49">
        <v>927.91740000000004</v>
      </c>
      <c r="M161" s="49">
        <v>1421.60943</v>
      </c>
    </row>
    <row r="162" spans="1:13" x14ac:dyDescent="0.25">
      <c r="A162" s="48">
        <v>42482</v>
      </c>
      <c r="B162" s="49">
        <v>173.91424000000001</v>
      </c>
      <c r="C162" s="49">
        <v>230.27941999999999</v>
      </c>
      <c r="D162" s="49">
        <v>295.43112000000002</v>
      </c>
      <c r="E162" s="49">
        <v>408.87403</v>
      </c>
      <c r="F162" s="49">
        <v>697.34508000000005</v>
      </c>
      <c r="G162" s="49">
        <v>0</v>
      </c>
      <c r="H162" s="49">
        <v>166.452</v>
      </c>
      <c r="I162" s="49">
        <v>249.86393000000001</v>
      </c>
      <c r="J162" s="49">
        <v>398.60028999999997</v>
      </c>
      <c r="K162" s="49">
        <v>581.87343999999996</v>
      </c>
      <c r="L162" s="49">
        <v>927.98030000000006</v>
      </c>
      <c r="M162" s="49">
        <v>1420.6027300000001</v>
      </c>
    </row>
    <row r="163" spans="1:13" x14ac:dyDescent="0.25">
      <c r="A163" s="48">
        <v>42485</v>
      </c>
      <c r="B163" s="49">
        <v>174.05020999999999</v>
      </c>
      <c r="C163" s="49">
        <v>229.43268</v>
      </c>
      <c r="D163" s="49">
        <v>295.47768000000002</v>
      </c>
      <c r="E163" s="49">
        <v>408.86923000000002</v>
      </c>
      <c r="F163" s="49">
        <v>697.37518999999998</v>
      </c>
      <c r="G163" s="49">
        <v>0</v>
      </c>
      <c r="H163" s="49">
        <v>166.28609</v>
      </c>
      <c r="I163" s="49">
        <v>249.86706000000001</v>
      </c>
      <c r="J163" s="49">
        <v>398.62648000000002</v>
      </c>
      <c r="K163" s="49">
        <v>581.89783</v>
      </c>
      <c r="L163" s="49">
        <v>927.62932999999998</v>
      </c>
      <c r="M163" s="49">
        <v>1420.5443600000001</v>
      </c>
    </row>
    <row r="164" spans="1:13" x14ac:dyDescent="0.25">
      <c r="A164" s="48">
        <v>42486</v>
      </c>
      <c r="B164" s="49">
        <v>174.40002000000001</v>
      </c>
      <c r="C164" s="49">
        <v>230.77454</v>
      </c>
      <c r="D164" s="49">
        <v>295.39114000000001</v>
      </c>
      <c r="E164" s="49">
        <v>408.70154000000002</v>
      </c>
      <c r="F164" s="49">
        <v>697.44099000000006</v>
      </c>
      <c r="G164" s="49">
        <v>0</v>
      </c>
      <c r="H164" s="49">
        <v>166.28858</v>
      </c>
      <c r="I164" s="49">
        <v>249.87271999999999</v>
      </c>
      <c r="J164" s="49">
        <v>398.63121000000001</v>
      </c>
      <c r="K164" s="49">
        <v>581.9194</v>
      </c>
      <c r="L164" s="49">
        <v>927.47897999999998</v>
      </c>
      <c r="M164" s="49">
        <v>1419.12318</v>
      </c>
    </row>
    <row r="165" spans="1:13" x14ac:dyDescent="0.25">
      <c r="A165" s="48">
        <v>42487</v>
      </c>
      <c r="B165" s="49">
        <v>173.68946</v>
      </c>
      <c r="C165" s="49">
        <v>230.66448</v>
      </c>
      <c r="D165" s="49">
        <v>295.04856999999998</v>
      </c>
      <c r="E165" s="49">
        <v>408.07150000000001</v>
      </c>
      <c r="F165" s="49">
        <v>697.54688999999996</v>
      </c>
      <c r="G165" s="49">
        <v>0</v>
      </c>
      <c r="H165" s="49">
        <v>166.28790000000001</v>
      </c>
      <c r="I165" s="49">
        <v>249.90774999999999</v>
      </c>
      <c r="J165" s="49">
        <v>395.53116999999997</v>
      </c>
      <c r="K165" s="49">
        <v>542.49549000000002</v>
      </c>
      <c r="L165" s="49">
        <v>911.77333999999996</v>
      </c>
      <c r="M165" s="49">
        <v>1409.5450900000001</v>
      </c>
    </row>
    <row r="166" spans="1:13" x14ac:dyDescent="0.25">
      <c r="A166" s="48">
        <v>42488</v>
      </c>
      <c r="B166" s="49">
        <v>172.78366</v>
      </c>
      <c r="C166" s="49">
        <v>227.50115</v>
      </c>
      <c r="D166" s="49">
        <v>292.58287000000001</v>
      </c>
      <c r="E166" s="49">
        <v>406.28669000000002</v>
      </c>
      <c r="F166" s="49">
        <v>693.28458999999998</v>
      </c>
      <c r="G166" s="49">
        <v>0</v>
      </c>
      <c r="H166" s="49">
        <v>166.29776000000001</v>
      </c>
      <c r="I166" s="49">
        <v>249.62576000000001</v>
      </c>
      <c r="J166" s="49">
        <v>375.96368000000001</v>
      </c>
      <c r="K166" s="49">
        <v>541.80838000000006</v>
      </c>
      <c r="L166" s="49">
        <v>910.78025000000002</v>
      </c>
      <c r="M166" s="49">
        <v>1408.9806000000001</v>
      </c>
    </row>
    <row r="167" spans="1:13" x14ac:dyDescent="0.25">
      <c r="A167" s="48">
        <v>42489</v>
      </c>
      <c r="B167" s="49">
        <v>171.572</v>
      </c>
      <c r="C167" s="49">
        <v>226.14903000000001</v>
      </c>
      <c r="D167" s="49">
        <v>291.03741000000002</v>
      </c>
      <c r="E167" s="49">
        <v>404.48797999999999</v>
      </c>
      <c r="F167" s="49">
        <v>692.57176000000004</v>
      </c>
      <c r="G167" s="49">
        <v>0</v>
      </c>
      <c r="H167" s="49">
        <v>166.30036000000001</v>
      </c>
      <c r="I167" s="49">
        <v>249.54623000000001</v>
      </c>
      <c r="J167" s="49">
        <v>375.66528</v>
      </c>
      <c r="K167" s="49">
        <v>540.88162</v>
      </c>
      <c r="L167" s="49">
        <v>909.73464999999999</v>
      </c>
      <c r="M167" s="49">
        <v>1372.6477199999999</v>
      </c>
    </row>
    <row r="168" spans="1:13" x14ac:dyDescent="0.25">
      <c r="A168" s="48">
        <v>42492</v>
      </c>
      <c r="B168" s="49">
        <v>172.47333</v>
      </c>
      <c r="C168" s="49">
        <v>225.91854000000001</v>
      </c>
      <c r="D168" s="49">
        <v>290.20753999999999</v>
      </c>
      <c r="E168" s="49">
        <v>403.03005000000002</v>
      </c>
      <c r="F168" s="49">
        <v>693.03102999999999</v>
      </c>
      <c r="G168" s="49">
        <v>0</v>
      </c>
      <c r="H168" s="49">
        <v>166.39015000000001</v>
      </c>
      <c r="I168" s="49">
        <v>249.24542</v>
      </c>
      <c r="J168" s="49">
        <v>375.62275</v>
      </c>
      <c r="K168" s="49">
        <v>540.84189000000003</v>
      </c>
      <c r="L168" s="49">
        <v>909.52155000000005</v>
      </c>
      <c r="M168" s="49">
        <v>1372.24262</v>
      </c>
    </row>
    <row r="169" spans="1:13" x14ac:dyDescent="0.25">
      <c r="A169" s="48">
        <v>42493</v>
      </c>
      <c r="B169" s="49">
        <v>172.48899</v>
      </c>
      <c r="C169" s="49">
        <v>226.03796</v>
      </c>
      <c r="D169" s="49">
        <v>290.09643999999997</v>
      </c>
      <c r="E169" s="49">
        <v>403.04754000000003</v>
      </c>
      <c r="F169" s="49">
        <v>692.97595000000001</v>
      </c>
      <c r="G169" s="49">
        <v>0</v>
      </c>
      <c r="H169" s="49">
        <v>166.46413999999999</v>
      </c>
      <c r="I169" s="49">
        <v>249.12440000000001</v>
      </c>
      <c r="J169" s="49">
        <v>375.42791</v>
      </c>
      <c r="K169" s="49">
        <v>540.45561999999995</v>
      </c>
      <c r="L169" s="49">
        <v>908.76364999999998</v>
      </c>
      <c r="M169" s="49">
        <v>1371.1925200000001</v>
      </c>
    </row>
    <row r="170" spans="1:13" x14ac:dyDescent="0.25">
      <c r="A170" s="48">
        <v>42494</v>
      </c>
      <c r="B170" s="49">
        <v>172.71608000000001</v>
      </c>
      <c r="C170" s="49">
        <v>225.89882</v>
      </c>
      <c r="D170" s="49">
        <v>289.58321999999998</v>
      </c>
      <c r="E170" s="49">
        <v>401.52361999999999</v>
      </c>
      <c r="F170" s="49">
        <v>686.82257000000004</v>
      </c>
      <c r="G170" s="49">
        <v>0</v>
      </c>
      <c r="H170" s="49">
        <v>166.45762999999999</v>
      </c>
      <c r="I170" s="49">
        <v>249.13400999999999</v>
      </c>
      <c r="J170" s="49">
        <v>375.36372</v>
      </c>
      <c r="K170" s="49">
        <v>540.23648000000003</v>
      </c>
      <c r="L170" s="49">
        <v>908.70510000000002</v>
      </c>
      <c r="M170" s="49">
        <v>1370.06133</v>
      </c>
    </row>
    <row r="171" spans="1:13" x14ac:dyDescent="0.25">
      <c r="A171" s="48">
        <v>42495</v>
      </c>
      <c r="B171" s="49">
        <v>172.69508999999999</v>
      </c>
      <c r="C171" s="49">
        <v>225.42829</v>
      </c>
      <c r="D171" s="49">
        <v>289.12588</v>
      </c>
      <c r="E171" s="49">
        <v>399.31977999999998</v>
      </c>
      <c r="F171" s="49">
        <v>686.34586999999999</v>
      </c>
      <c r="G171" s="49">
        <v>0</v>
      </c>
      <c r="H171" s="49">
        <v>166.44959</v>
      </c>
      <c r="I171" s="49">
        <v>249.07091</v>
      </c>
      <c r="J171" s="49">
        <v>374.72129000000001</v>
      </c>
      <c r="K171" s="49">
        <v>540.18583999999998</v>
      </c>
      <c r="L171" s="49">
        <v>908.46637999999996</v>
      </c>
      <c r="M171" s="49">
        <v>1369.8097</v>
      </c>
    </row>
    <row r="172" spans="1:13" x14ac:dyDescent="0.25">
      <c r="A172" s="48">
        <v>42496</v>
      </c>
      <c r="B172" s="49">
        <v>172.72118</v>
      </c>
      <c r="C172" s="49">
        <v>225.44499999999999</v>
      </c>
      <c r="D172" s="49">
        <v>289.13801000000001</v>
      </c>
      <c r="E172" s="49">
        <v>399.10672</v>
      </c>
      <c r="F172" s="49">
        <v>686.73713999999995</v>
      </c>
      <c r="G172" s="49">
        <v>0</v>
      </c>
      <c r="H172" s="49">
        <v>166.45012</v>
      </c>
      <c r="I172" s="49">
        <v>249.07626999999999</v>
      </c>
      <c r="J172" s="49">
        <v>374.69920000000002</v>
      </c>
      <c r="K172" s="49">
        <v>540.17498999999998</v>
      </c>
      <c r="L172" s="49">
        <v>908.29876999999999</v>
      </c>
      <c r="M172" s="49">
        <v>1369.8585499999999</v>
      </c>
    </row>
    <row r="173" spans="1:13" x14ac:dyDescent="0.25">
      <c r="A173" s="48">
        <v>42499</v>
      </c>
      <c r="B173" s="49">
        <v>172.62114</v>
      </c>
      <c r="C173" s="49">
        <v>225.36903000000001</v>
      </c>
      <c r="D173" s="49">
        <v>289.22259000000003</v>
      </c>
      <c r="E173" s="49">
        <v>399.06765000000001</v>
      </c>
      <c r="F173" s="49">
        <v>686.61522000000002</v>
      </c>
      <c r="G173" s="49">
        <v>0</v>
      </c>
      <c r="H173" s="49">
        <v>166.43414000000001</v>
      </c>
      <c r="I173" s="49">
        <v>249.08011999999999</v>
      </c>
      <c r="J173" s="49">
        <v>374.54153000000002</v>
      </c>
      <c r="K173" s="49">
        <v>540.16800999999998</v>
      </c>
      <c r="L173" s="49">
        <v>908.90462000000002</v>
      </c>
      <c r="M173" s="49">
        <v>1369.4223199999999</v>
      </c>
    </row>
    <row r="174" spans="1:13" x14ac:dyDescent="0.25">
      <c r="A174" s="48">
        <v>42500</v>
      </c>
      <c r="B174" s="49">
        <v>172.54374000000001</v>
      </c>
      <c r="C174" s="49">
        <v>224.76746</v>
      </c>
      <c r="D174" s="49">
        <v>288.62894999999997</v>
      </c>
      <c r="E174" s="49">
        <v>398.16654</v>
      </c>
      <c r="F174" s="49">
        <v>687.58866</v>
      </c>
      <c r="G174" s="49">
        <v>0</v>
      </c>
      <c r="H174" s="49">
        <v>166.43609000000001</v>
      </c>
      <c r="I174" s="49">
        <v>249.084</v>
      </c>
      <c r="J174" s="49">
        <v>374.21211</v>
      </c>
      <c r="K174" s="49">
        <v>540.11950000000002</v>
      </c>
      <c r="L174" s="49">
        <v>909.28875000000005</v>
      </c>
      <c r="M174" s="49">
        <v>1369.48107</v>
      </c>
    </row>
    <row r="175" spans="1:13" x14ac:dyDescent="0.25">
      <c r="A175" s="48">
        <v>42501</v>
      </c>
      <c r="B175" s="49">
        <v>170.85364999999999</v>
      </c>
      <c r="C175" s="49">
        <v>225.20638</v>
      </c>
      <c r="D175" s="49">
        <v>288.36212</v>
      </c>
      <c r="E175" s="49">
        <v>397.53730000000002</v>
      </c>
      <c r="F175" s="49">
        <v>686.67487000000006</v>
      </c>
      <c r="G175" s="49">
        <v>0</v>
      </c>
      <c r="H175" s="49">
        <v>166.40643</v>
      </c>
      <c r="I175" s="49">
        <v>249.09184999999999</v>
      </c>
      <c r="J175" s="49">
        <v>373.92160000000001</v>
      </c>
      <c r="K175" s="49">
        <v>540.02256</v>
      </c>
      <c r="L175" s="49">
        <v>909.96095000000003</v>
      </c>
      <c r="M175" s="49">
        <v>1369.3177800000001</v>
      </c>
    </row>
    <row r="176" spans="1:13" x14ac:dyDescent="0.25">
      <c r="A176" s="48">
        <v>42502</v>
      </c>
      <c r="B176" s="49">
        <v>171.70345</v>
      </c>
      <c r="C176" s="49">
        <v>224.00883999999999</v>
      </c>
      <c r="D176" s="49">
        <v>287.54027000000002</v>
      </c>
      <c r="E176" s="49">
        <v>397.72496999999998</v>
      </c>
      <c r="F176" s="49">
        <v>686.38810999999998</v>
      </c>
      <c r="G176" s="49">
        <v>0</v>
      </c>
      <c r="H176" s="49">
        <v>166.26804999999999</v>
      </c>
      <c r="I176" s="49">
        <v>249.00429</v>
      </c>
      <c r="J176" s="49">
        <v>373.43423000000001</v>
      </c>
      <c r="K176" s="49">
        <v>540.06119000000001</v>
      </c>
      <c r="L176" s="49">
        <v>910.35065999999995</v>
      </c>
      <c r="M176" s="49">
        <v>1369.4025300000001</v>
      </c>
    </row>
    <row r="177" spans="1:13" x14ac:dyDescent="0.25">
      <c r="A177" s="48">
        <v>42503</v>
      </c>
      <c r="B177" s="49">
        <v>169.95007000000001</v>
      </c>
      <c r="C177" s="49">
        <v>224.01401000000001</v>
      </c>
      <c r="D177" s="49">
        <v>287.38589999999999</v>
      </c>
      <c r="E177" s="49">
        <v>398.08681999999999</v>
      </c>
      <c r="F177" s="49">
        <v>686.15809999999999</v>
      </c>
      <c r="G177" s="49">
        <v>0</v>
      </c>
      <c r="H177" s="49">
        <v>166.1985</v>
      </c>
      <c r="I177" s="49">
        <v>248.73884000000001</v>
      </c>
      <c r="J177" s="49">
        <v>373.46863999999999</v>
      </c>
      <c r="K177" s="49">
        <v>539.86806000000001</v>
      </c>
      <c r="L177" s="49">
        <v>910.19879000000003</v>
      </c>
      <c r="M177" s="49">
        <v>1369.3318200000001</v>
      </c>
    </row>
    <row r="178" spans="1:13" x14ac:dyDescent="0.25">
      <c r="A178" s="48">
        <v>42506</v>
      </c>
      <c r="B178" s="49">
        <v>169.96741</v>
      </c>
      <c r="C178" s="49">
        <v>224.08165</v>
      </c>
      <c r="D178" s="49">
        <v>287.65827000000002</v>
      </c>
      <c r="E178" s="49">
        <v>398.69006999999999</v>
      </c>
      <c r="F178" s="49">
        <v>687.05478000000005</v>
      </c>
      <c r="G178" s="49">
        <v>0</v>
      </c>
      <c r="H178" s="49">
        <v>166.20418000000001</v>
      </c>
      <c r="I178" s="49">
        <v>248.74489</v>
      </c>
      <c r="J178" s="49">
        <v>373.48790000000002</v>
      </c>
      <c r="K178" s="49">
        <v>539.88314000000003</v>
      </c>
      <c r="L178" s="49">
        <v>910.24424999999997</v>
      </c>
      <c r="M178" s="49">
        <v>1369.3799100000001</v>
      </c>
    </row>
    <row r="179" spans="1:13" x14ac:dyDescent="0.25">
      <c r="A179" s="48">
        <v>42507</v>
      </c>
      <c r="B179" s="49">
        <v>169.86215999999999</v>
      </c>
      <c r="C179" s="49">
        <v>224.11401000000001</v>
      </c>
      <c r="D179" s="49">
        <v>287.69339000000002</v>
      </c>
      <c r="E179" s="49">
        <v>398.70740000000001</v>
      </c>
      <c r="F179" s="49">
        <v>686.67663000000005</v>
      </c>
      <c r="G179" s="49">
        <v>0</v>
      </c>
      <c r="H179" s="49">
        <v>166.19557</v>
      </c>
      <c r="I179" s="49">
        <v>248.74924999999999</v>
      </c>
      <c r="J179" s="49">
        <v>373.49068999999997</v>
      </c>
      <c r="K179" s="49">
        <v>539.90209000000004</v>
      </c>
      <c r="L179" s="49">
        <v>910.41063999999994</v>
      </c>
      <c r="M179" s="49">
        <v>1369.36797</v>
      </c>
    </row>
    <row r="180" spans="1:13" x14ac:dyDescent="0.25">
      <c r="A180" s="48">
        <v>42508</v>
      </c>
      <c r="B180" s="49">
        <v>169.87652</v>
      </c>
      <c r="C180" s="49">
        <v>224.3229</v>
      </c>
      <c r="D180" s="49">
        <v>287.94558999999998</v>
      </c>
      <c r="E180" s="49">
        <v>399.68484999999998</v>
      </c>
      <c r="F180" s="49">
        <v>688.64778999999999</v>
      </c>
      <c r="G180" s="49">
        <v>0</v>
      </c>
      <c r="H180" s="49">
        <v>166.25246000000001</v>
      </c>
      <c r="I180" s="49">
        <v>248.78677999999999</v>
      </c>
      <c r="J180" s="49">
        <v>373.53631000000001</v>
      </c>
      <c r="K180" s="49">
        <v>539.98108000000002</v>
      </c>
      <c r="L180" s="49">
        <v>910.76392999999996</v>
      </c>
      <c r="M180" s="49">
        <v>1369.5493799999999</v>
      </c>
    </row>
    <row r="181" spans="1:13" x14ac:dyDescent="0.25">
      <c r="A181" s="48">
        <v>42509</v>
      </c>
      <c r="B181" s="49">
        <v>169.81048999999999</v>
      </c>
      <c r="C181" s="49">
        <v>224.99250000000001</v>
      </c>
      <c r="D181" s="49">
        <v>288.01213999999999</v>
      </c>
      <c r="E181" s="49">
        <v>399.35478000000001</v>
      </c>
      <c r="F181" s="49">
        <v>693.91078000000005</v>
      </c>
      <c r="G181" s="49">
        <v>0</v>
      </c>
      <c r="H181" s="49">
        <v>166.25434000000001</v>
      </c>
      <c r="I181" s="49">
        <v>248.78524999999999</v>
      </c>
      <c r="J181" s="49">
        <v>373.50851</v>
      </c>
      <c r="K181" s="49">
        <v>550.91322000000002</v>
      </c>
      <c r="L181" s="49">
        <v>911.95221000000004</v>
      </c>
      <c r="M181" s="49">
        <v>1370.99911</v>
      </c>
    </row>
    <row r="182" spans="1:13" x14ac:dyDescent="0.25">
      <c r="A182" s="48">
        <v>42510</v>
      </c>
      <c r="B182" s="49">
        <v>170.05847</v>
      </c>
      <c r="C182" s="49">
        <v>225.55282</v>
      </c>
      <c r="D182" s="49">
        <v>289.73811000000001</v>
      </c>
      <c r="E182" s="49">
        <v>401.81515999999999</v>
      </c>
      <c r="F182" s="49">
        <v>692.99193000000002</v>
      </c>
      <c r="G182" s="49">
        <v>0</v>
      </c>
      <c r="H182" s="49">
        <v>166.26463000000001</v>
      </c>
      <c r="I182" s="49">
        <v>248.76262</v>
      </c>
      <c r="J182" s="49">
        <v>373.51288</v>
      </c>
      <c r="K182" s="49">
        <v>550.96920999999998</v>
      </c>
      <c r="L182" s="49">
        <v>932.99756000000002</v>
      </c>
      <c r="M182" s="49">
        <v>1429.3861999999999</v>
      </c>
    </row>
    <row r="183" spans="1:13" x14ac:dyDescent="0.25">
      <c r="A183" s="48">
        <v>42513</v>
      </c>
      <c r="B183" s="49">
        <v>170.30374</v>
      </c>
      <c r="C183" s="49">
        <v>225.65882999999999</v>
      </c>
      <c r="D183" s="49">
        <v>289.79798</v>
      </c>
      <c r="E183" s="49">
        <v>401.82749000000001</v>
      </c>
      <c r="F183" s="49">
        <v>692.97927000000004</v>
      </c>
      <c r="G183" s="49">
        <v>0</v>
      </c>
      <c r="H183" s="49">
        <v>166.27178000000001</v>
      </c>
      <c r="I183" s="49">
        <v>248.59334000000001</v>
      </c>
      <c r="J183" s="49">
        <v>373.52598999999998</v>
      </c>
      <c r="K183" s="49">
        <v>550.93034999999998</v>
      </c>
      <c r="L183" s="49">
        <v>932.50973999999997</v>
      </c>
      <c r="M183" s="49">
        <v>1429.41092</v>
      </c>
    </row>
    <row r="184" spans="1:13" x14ac:dyDescent="0.25">
      <c r="A184" s="48">
        <v>42514</v>
      </c>
      <c r="B184" s="49">
        <v>170.34114</v>
      </c>
      <c r="C184" s="49">
        <v>225.83296000000001</v>
      </c>
      <c r="D184" s="49">
        <v>289.99018000000001</v>
      </c>
      <c r="E184" s="49">
        <v>402.33994000000001</v>
      </c>
      <c r="F184" s="49">
        <v>694.06560000000002</v>
      </c>
      <c r="G184" s="49">
        <v>0</v>
      </c>
      <c r="H184" s="49">
        <v>166.25527</v>
      </c>
      <c r="I184" s="49">
        <v>248.55403000000001</v>
      </c>
      <c r="J184" s="49">
        <v>372.92991999999998</v>
      </c>
      <c r="K184" s="49">
        <v>551.10186999999996</v>
      </c>
      <c r="L184" s="49">
        <v>929.15387999999996</v>
      </c>
      <c r="M184" s="49">
        <v>1429.4429399999999</v>
      </c>
    </row>
    <row r="185" spans="1:13" x14ac:dyDescent="0.25">
      <c r="A185" s="48">
        <v>42515</v>
      </c>
      <c r="B185" s="49">
        <v>170.30506</v>
      </c>
      <c r="C185" s="49">
        <v>225.85917000000001</v>
      </c>
      <c r="D185" s="49">
        <v>289.79435000000001</v>
      </c>
      <c r="E185" s="49">
        <v>401.60246999999998</v>
      </c>
      <c r="F185" s="49">
        <v>693.62959999999998</v>
      </c>
      <c r="G185" s="49">
        <v>0</v>
      </c>
      <c r="H185" s="49">
        <v>166.22153</v>
      </c>
      <c r="I185" s="49">
        <v>248.46399</v>
      </c>
      <c r="J185" s="49">
        <v>359.93651</v>
      </c>
      <c r="K185" s="49">
        <v>550.72762999999998</v>
      </c>
      <c r="L185" s="49">
        <v>929.12959000000001</v>
      </c>
      <c r="M185" s="49">
        <v>1429.00341</v>
      </c>
    </row>
    <row r="186" spans="1:13" x14ac:dyDescent="0.25">
      <c r="A186" s="48">
        <v>42516</v>
      </c>
      <c r="B186" s="49">
        <v>170.02807000000001</v>
      </c>
      <c r="C186" s="49">
        <v>225.36170999999999</v>
      </c>
      <c r="D186" s="49">
        <v>289.60833000000002</v>
      </c>
      <c r="E186" s="49">
        <v>401.31894</v>
      </c>
      <c r="F186" s="49">
        <v>693.39448000000004</v>
      </c>
      <c r="G186" s="49">
        <v>0</v>
      </c>
      <c r="H186" s="49">
        <v>166.16077000000001</v>
      </c>
      <c r="I186" s="49">
        <v>248.30958000000001</v>
      </c>
      <c r="J186" s="49">
        <v>359.81560999999999</v>
      </c>
      <c r="K186" s="49">
        <v>550.59500000000003</v>
      </c>
      <c r="L186" s="49">
        <v>928.70894999999996</v>
      </c>
      <c r="M186" s="49">
        <v>1428.8060399999999</v>
      </c>
    </row>
    <row r="187" spans="1:13" x14ac:dyDescent="0.25">
      <c r="A187" s="48">
        <v>42517</v>
      </c>
      <c r="B187" s="49">
        <v>169.85901000000001</v>
      </c>
      <c r="C187" s="49">
        <v>223.87514999999999</v>
      </c>
      <c r="D187" s="49">
        <v>289.96334999999999</v>
      </c>
      <c r="E187" s="49">
        <v>402.25324000000001</v>
      </c>
      <c r="F187" s="49">
        <v>691.38927999999999</v>
      </c>
      <c r="G187" s="49">
        <v>0</v>
      </c>
      <c r="H187" s="49">
        <v>166.12756999999999</v>
      </c>
      <c r="I187" s="49">
        <v>248.16161</v>
      </c>
      <c r="J187" s="49">
        <v>359.91807999999997</v>
      </c>
      <c r="K187" s="49">
        <v>550.62427000000002</v>
      </c>
      <c r="L187" s="49">
        <v>928.56470000000002</v>
      </c>
      <c r="M187" s="49">
        <v>1428.8494700000001</v>
      </c>
    </row>
    <row r="188" spans="1:13" x14ac:dyDescent="0.25">
      <c r="A188" s="48">
        <v>42521</v>
      </c>
      <c r="B188" s="49">
        <v>167.80976000000001</v>
      </c>
      <c r="C188" s="49">
        <v>223.06422000000001</v>
      </c>
      <c r="D188" s="49">
        <v>289.54523</v>
      </c>
      <c r="E188" s="49">
        <v>401.92770999999999</v>
      </c>
      <c r="F188" s="49">
        <v>689.81745999999998</v>
      </c>
      <c r="G188" s="49">
        <v>0</v>
      </c>
      <c r="H188" s="49">
        <v>166.07346999999999</v>
      </c>
      <c r="I188" s="49">
        <v>247.98795000000001</v>
      </c>
      <c r="J188" s="49">
        <v>359.72536000000002</v>
      </c>
      <c r="K188" s="49">
        <v>550.64362000000006</v>
      </c>
      <c r="L188" s="49">
        <v>927.82632000000001</v>
      </c>
      <c r="M188" s="49">
        <v>1427.6871000000001</v>
      </c>
    </row>
    <row r="189" spans="1:13" x14ac:dyDescent="0.25">
      <c r="A189" s="48">
        <v>42522</v>
      </c>
      <c r="B189" s="49">
        <v>167.88730000000001</v>
      </c>
      <c r="C189" s="49">
        <v>223.24347</v>
      </c>
      <c r="D189" s="49">
        <v>289.66088999999999</v>
      </c>
      <c r="E189" s="49">
        <v>408.66656999999998</v>
      </c>
      <c r="F189" s="49">
        <v>691.50406999999996</v>
      </c>
      <c r="G189" s="49">
        <v>0</v>
      </c>
      <c r="H189" s="49">
        <v>166.01983000000001</v>
      </c>
      <c r="I189" s="49">
        <v>248.02549999999999</v>
      </c>
      <c r="J189" s="49">
        <v>359.75238000000002</v>
      </c>
      <c r="K189" s="49">
        <v>550.31488000000002</v>
      </c>
      <c r="L189" s="49">
        <v>928.04308000000003</v>
      </c>
      <c r="M189" s="49">
        <v>1427.3731499999999</v>
      </c>
    </row>
    <row r="190" spans="1:13" x14ac:dyDescent="0.25">
      <c r="A190" s="48">
        <v>42523</v>
      </c>
      <c r="B190" s="49">
        <v>167.91514000000001</v>
      </c>
      <c r="C190" s="49">
        <v>223.33088000000001</v>
      </c>
      <c r="D190" s="49">
        <v>288.97530999999998</v>
      </c>
      <c r="E190" s="49">
        <v>408.44913000000003</v>
      </c>
      <c r="F190" s="49">
        <v>691.42151000000001</v>
      </c>
      <c r="G190" s="49">
        <v>0</v>
      </c>
      <c r="H190" s="49">
        <v>165.97468000000001</v>
      </c>
      <c r="I190" s="49">
        <v>248.03667999999999</v>
      </c>
      <c r="J190" s="49">
        <v>359.75934000000001</v>
      </c>
      <c r="K190" s="49">
        <v>550.2038</v>
      </c>
      <c r="L190" s="49">
        <v>928.22019999999998</v>
      </c>
      <c r="M190" s="49">
        <v>1426.59502</v>
      </c>
    </row>
    <row r="191" spans="1:13" x14ac:dyDescent="0.25">
      <c r="A191" s="48">
        <v>42524</v>
      </c>
      <c r="B191" s="49">
        <v>168.38927000000001</v>
      </c>
      <c r="C191" s="49">
        <v>223.50120999999999</v>
      </c>
      <c r="D191" s="49">
        <v>288.81628000000001</v>
      </c>
      <c r="E191" s="49">
        <v>407.25072999999998</v>
      </c>
      <c r="F191" s="49">
        <v>690.53206999999998</v>
      </c>
      <c r="G191" s="49">
        <v>0</v>
      </c>
      <c r="H191" s="49">
        <v>165.97827000000001</v>
      </c>
      <c r="I191" s="49">
        <v>248.04414</v>
      </c>
      <c r="J191" s="49">
        <v>359.76492999999999</v>
      </c>
      <c r="K191" s="49">
        <v>550.04997000000003</v>
      </c>
      <c r="L191" s="49">
        <v>928.34424000000001</v>
      </c>
      <c r="M191" s="49">
        <v>1426.5025000000001</v>
      </c>
    </row>
    <row r="192" spans="1:13" x14ac:dyDescent="0.25">
      <c r="A192" s="48">
        <v>42527</v>
      </c>
      <c r="B192" s="49">
        <v>168.49668</v>
      </c>
      <c r="C192" s="49">
        <v>223.47387000000001</v>
      </c>
      <c r="D192" s="49">
        <v>288.82650999999998</v>
      </c>
      <c r="E192" s="49">
        <v>407.28771999999998</v>
      </c>
      <c r="F192" s="49">
        <v>689.59100999999998</v>
      </c>
      <c r="G192" s="49">
        <v>0</v>
      </c>
      <c r="H192" s="49">
        <v>165.97557</v>
      </c>
      <c r="I192" s="49">
        <v>248.04276999999999</v>
      </c>
      <c r="J192" s="49">
        <v>359.77059000000003</v>
      </c>
      <c r="K192" s="49">
        <v>549.82417999999996</v>
      </c>
      <c r="L192" s="49">
        <v>928.02162999999996</v>
      </c>
      <c r="M192" s="49">
        <v>1422.7991400000001</v>
      </c>
    </row>
    <row r="193" spans="1:13" x14ac:dyDescent="0.25">
      <c r="A193" s="48">
        <v>42528</v>
      </c>
      <c r="B193" s="49">
        <v>168.49919</v>
      </c>
      <c r="C193" s="49">
        <v>223.55463</v>
      </c>
      <c r="D193" s="49">
        <v>288.87094999999999</v>
      </c>
      <c r="E193" s="49">
        <v>407.32359000000002</v>
      </c>
      <c r="F193" s="49">
        <v>689.64317000000005</v>
      </c>
      <c r="G193" s="49">
        <v>0</v>
      </c>
      <c r="H193" s="49">
        <v>165.96642</v>
      </c>
      <c r="I193" s="49">
        <v>248.15738999999999</v>
      </c>
      <c r="J193" s="49">
        <v>359.89944000000003</v>
      </c>
      <c r="K193" s="49">
        <v>549.58912999999995</v>
      </c>
      <c r="L193" s="49">
        <v>927.87424999999996</v>
      </c>
      <c r="M193" s="49">
        <v>1421.94226</v>
      </c>
    </row>
    <row r="194" spans="1:13" x14ac:dyDescent="0.25">
      <c r="A194" s="48">
        <v>42529</v>
      </c>
      <c r="B194" s="49">
        <v>168.51850999999999</v>
      </c>
      <c r="C194" s="49">
        <v>223.5821</v>
      </c>
      <c r="D194" s="49">
        <v>289.01076</v>
      </c>
      <c r="E194" s="49">
        <v>413.78426000000002</v>
      </c>
      <c r="F194" s="49">
        <v>688.87642000000005</v>
      </c>
      <c r="G194" s="49">
        <v>0</v>
      </c>
      <c r="H194" s="49">
        <v>165.93723</v>
      </c>
      <c r="I194" s="49">
        <v>248.16621000000001</v>
      </c>
      <c r="J194" s="49">
        <v>359.86768999999998</v>
      </c>
      <c r="K194" s="49">
        <v>549.55876999999998</v>
      </c>
      <c r="L194" s="49">
        <v>927.21351000000004</v>
      </c>
      <c r="M194" s="49">
        <v>1421.96587</v>
      </c>
    </row>
    <row r="195" spans="1:13" x14ac:dyDescent="0.25">
      <c r="A195" s="48">
        <v>42530</v>
      </c>
      <c r="B195" s="49">
        <v>168.44531000000001</v>
      </c>
      <c r="C195" s="49">
        <v>223.60541000000001</v>
      </c>
      <c r="D195" s="49">
        <v>289.05097000000001</v>
      </c>
      <c r="E195" s="49">
        <v>412.41784999999999</v>
      </c>
      <c r="F195" s="49">
        <v>688.17560000000003</v>
      </c>
      <c r="G195" s="49">
        <v>0</v>
      </c>
      <c r="H195" s="49">
        <v>165.92899</v>
      </c>
      <c r="I195" s="49">
        <v>248.29302000000001</v>
      </c>
      <c r="J195" s="49">
        <v>354.57436000000001</v>
      </c>
      <c r="K195" s="49">
        <v>549.48631</v>
      </c>
      <c r="L195" s="49">
        <v>917.35443999999995</v>
      </c>
      <c r="M195" s="49">
        <v>1373.50522</v>
      </c>
    </row>
    <row r="196" spans="1:13" x14ac:dyDescent="0.25">
      <c r="A196" s="48">
        <v>42531</v>
      </c>
      <c r="B196" s="49">
        <v>167.89967999999999</v>
      </c>
      <c r="C196" s="49">
        <v>222.87568999999999</v>
      </c>
      <c r="D196" s="49">
        <v>288.84115000000003</v>
      </c>
      <c r="E196" s="49">
        <v>413.41501</v>
      </c>
      <c r="F196" s="49">
        <v>685.70186999999999</v>
      </c>
      <c r="G196" s="49">
        <v>0</v>
      </c>
      <c r="H196" s="49">
        <v>165.98738</v>
      </c>
      <c r="I196" s="49">
        <v>248.44918999999999</v>
      </c>
      <c r="J196" s="49">
        <v>354.77339000000001</v>
      </c>
      <c r="K196" s="49">
        <v>549.78832</v>
      </c>
      <c r="L196" s="49">
        <v>918.84519</v>
      </c>
      <c r="M196" s="49">
        <v>1373.2841800000001</v>
      </c>
    </row>
    <row r="197" spans="1:13" x14ac:dyDescent="0.25">
      <c r="A197" s="48">
        <v>42534</v>
      </c>
      <c r="B197" s="49">
        <v>167.89409000000001</v>
      </c>
      <c r="C197" s="49">
        <v>223.07059000000001</v>
      </c>
      <c r="D197" s="49">
        <v>288.94826</v>
      </c>
      <c r="E197" s="49">
        <v>413.52512000000002</v>
      </c>
      <c r="F197" s="49">
        <v>685.76707999999996</v>
      </c>
      <c r="G197" s="49">
        <v>0</v>
      </c>
      <c r="H197" s="49">
        <v>165.99008000000001</v>
      </c>
      <c r="I197" s="49">
        <v>248.45267999999999</v>
      </c>
      <c r="J197" s="49">
        <v>354.79975000000002</v>
      </c>
      <c r="K197" s="49">
        <v>549.77554999999995</v>
      </c>
      <c r="L197" s="49">
        <v>918.58677</v>
      </c>
      <c r="M197" s="49">
        <v>1373.22288</v>
      </c>
    </row>
    <row r="198" spans="1:13" x14ac:dyDescent="0.25">
      <c r="A198" s="48">
        <v>42535</v>
      </c>
      <c r="B198" s="49">
        <v>167.87343999999999</v>
      </c>
      <c r="C198" s="49">
        <v>223.18389999999999</v>
      </c>
      <c r="D198" s="49">
        <v>288.92531000000002</v>
      </c>
      <c r="E198" s="49">
        <v>414.05936000000003</v>
      </c>
      <c r="F198" s="49">
        <v>686.61893999999995</v>
      </c>
      <c r="G198" s="49">
        <v>0</v>
      </c>
      <c r="H198" s="49">
        <v>166.00393</v>
      </c>
      <c r="I198" s="49">
        <v>248.46493000000001</v>
      </c>
      <c r="J198" s="49">
        <v>354.80928</v>
      </c>
      <c r="K198" s="49">
        <v>549.74219000000005</v>
      </c>
      <c r="L198" s="49">
        <v>918.43854999999996</v>
      </c>
      <c r="M198" s="49">
        <v>1373.23947</v>
      </c>
    </row>
    <row r="199" spans="1:13" x14ac:dyDescent="0.25">
      <c r="A199" s="48">
        <v>42536</v>
      </c>
      <c r="B199" s="49">
        <v>167.74628999999999</v>
      </c>
      <c r="C199" s="49">
        <v>222.67634000000001</v>
      </c>
      <c r="D199" s="49">
        <v>287.90487000000002</v>
      </c>
      <c r="E199" s="49">
        <v>410.25900000000001</v>
      </c>
      <c r="F199" s="49">
        <v>690.94500000000005</v>
      </c>
      <c r="G199" s="49">
        <v>0</v>
      </c>
      <c r="H199" s="49">
        <v>166.328</v>
      </c>
      <c r="I199" s="49">
        <v>248.61779000000001</v>
      </c>
      <c r="J199" s="49">
        <v>357.21292999999997</v>
      </c>
      <c r="K199" s="49">
        <v>549.82718</v>
      </c>
      <c r="L199" s="49">
        <v>918.37825999999995</v>
      </c>
      <c r="M199" s="49">
        <v>1373.16581</v>
      </c>
    </row>
    <row r="200" spans="1:13" x14ac:dyDescent="0.25">
      <c r="A200" s="48">
        <v>42537</v>
      </c>
      <c r="B200" s="49">
        <v>167.74809999999999</v>
      </c>
      <c r="C200" s="49">
        <v>222.78859</v>
      </c>
      <c r="D200" s="49">
        <v>287.90983</v>
      </c>
      <c r="E200" s="49">
        <v>409.73638</v>
      </c>
      <c r="F200" s="49">
        <v>688.14407000000006</v>
      </c>
      <c r="G200" s="49">
        <v>0</v>
      </c>
      <c r="H200" s="49">
        <v>166.33416</v>
      </c>
      <c r="I200" s="49">
        <v>248.45653999999999</v>
      </c>
      <c r="J200" s="49">
        <v>357.18214999999998</v>
      </c>
      <c r="K200" s="49">
        <v>549.81584999999995</v>
      </c>
      <c r="L200" s="49">
        <v>918.44561999999996</v>
      </c>
      <c r="M200" s="49">
        <v>1373.1612399999999</v>
      </c>
    </row>
    <row r="201" spans="1:13" x14ac:dyDescent="0.25">
      <c r="A201" s="48">
        <v>42538</v>
      </c>
      <c r="B201" s="49">
        <v>167.75556</v>
      </c>
      <c r="C201" s="49">
        <v>222.93440000000001</v>
      </c>
      <c r="D201" s="49">
        <v>288.35284000000001</v>
      </c>
      <c r="E201" s="49">
        <v>410.47116999999997</v>
      </c>
      <c r="F201" s="49">
        <v>689.10587999999996</v>
      </c>
      <c r="G201" s="49">
        <v>0</v>
      </c>
      <c r="H201" s="49">
        <v>166.33817999999999</v>
      </c>
      <c r="I201" s="49">
        <v>248.46057999999999</v>
      </c>
      <c r="J201" s="49">
        <v>357.19994000000003</v>
      </c>
      <c r="K201" s="49">
        <v>549.80399999999997</v>
      </c>
      <c r="L201" s="49">
        <v>918.28114000000005</v>
      </c>
      <c r="M201" s="49">
        <v>1371.8929000000001</v>
      </c>
    </row>
    <row r="202" spans="1:13" x14ac:dyDescent="0.25">
      <c r="A202" s="48">
        <v>42541</v>
      </c>
      <c r="B202" s="49">
        <v>167.94574</v>
      </c>
      <c r="C202" s="49">
        <v>223.05180999999999</v>
      </c>
      <c r="D202" s="49">
        <v>288.36622999999997</v>
      </c>
      <c r="E202" s="49">
        <v>410.50261999999998</v>
      </c>
      <c r="F202" s="49">
        <v>689.11689000000001</v>
      </c>
      <c r="G202" s="49">
        <v>0</v>
      </c>
      <c r="H202" s="49">
        <v>166.33994000000001</v>
      </c>
      <c r="I202" s="49">
        <v>248.45984000000001</v>
      </c>
      <c r="J202" s="49">
        <v>357.24349000000001</v>
      </c>
      <c r="K202" s="49">
        <v>549.72203000000002</v>
      </c>
      <c r="L202" s="49">
        <v>918.33735000000001</v>
      </c>
      <c r="M202" s="49">
        <v>1371.95138</v>
      </c>
    </row>
    <row r="203" spans="1:13" x14ac:dyDescent="0.25">
      <c r="A203" s="48">
        <v>42542</v>
      </c>
      <c r="B203" s="49">
        <v>168.11471</v>
      </c>
      <c r="C203" s="49">
        <v>223.31074000000001</v>
      </c>
      <c r="D203" s="49">
        <v>288.58870999999999</v>
      </c>
      <c r="E203" s="49">
        <v>410.76004</v>
      </c>
      <c r="F203" s="49">
        <v>692.25207999999998</v>
      </c>
      <c r="G203" s="49">
        <v>0</v>
      </c>
      <c r="H203" s="49">
        <v>166.28276</v>
      </c>
      <c r="I203" s="49">
        <v>248.40128000000001</v>
      </c>
      <c r="J203" s="49">
        <v>357.21555000000001</v>
      </c>
      <c r="K203" s="49">
        <v>549.50216999999998</v>
      </c>
      <c r="L203" s="49">
        <v>918.69200999999998</v>
      </c>
      <c r="M203" s="49">
        <v>1372.94238</v>
      </c>
    </row>
    <row r="204" spans="1:13" x14ac:dyDescent="0.25">
      <c r="A204" s="48">
        <v>42543</v>
      </c>
      <c r="B204" s="49">
        <v>168.28144</v>
      </c>
      <c r="C204" s="49">
        <v>223.49301</v>
      </c>
      <c r="D204" s="49">
        <v>288.87355000000002</v>
      </c>
      <c r="E204" s="49">
        <v>410.88857999999999</v>
      </c>
      <c r="F204" s="49">
        <v>692.35163999999997</v>
      </c>
      <c r="G204" s="49">
        <v>0</v>
      </c>
      <c r="H204" s="49">
        <v>160.80581000000001</v>
      </c>
      <c r="I204" s="49">
        <v>248.4573</v>
      </c>
      <c r="J204" s="49">
        <v>357.07254</v>
      </c>
      <c r="K204" s="49">
        <v>549.49337000000003</v>
      </c>
      <c r="L204" s="49">
        <v>918.70425</v>
      </c>
      <c r="M204" s="49">
        <v>1372.9711</v>
      </c>
    </row>
    <row r="205" spans="1:13" x14ac:dyDescent="0.25">
      <c r="A205" s="48">
        <v>42544</v>
      </c>
      <c r="B205" s="49">
        <v>168.29275000000001</v>
      </c>
      <c r="C205" s="49">
        <v>223.50747000000001</v>
      </c>
      <c r="D205" s="49">
        <v>288.90253000000001</v>
      </c>
      <c r="E205" s="49">
        <v>410.90507000000002</v>
      </c>
      <c r="F205" s="49">
        <v>692.40120999999999</v>
      </c>
      <c r="G205" s="49">
        <v>0</v>
      </c>
      <c r="H205" s="49">
        <v>160.83113</v>
      </c>
      <c r="I205" s="49">
        <v>248.46106</v>
      </c>
      <c r="J205" s="49">
        <v>357.08192000000003</v>
      </c>
      <c r="K205" s="49">
        <v>549.50071000000003</v>
      </c>
      <c r="L205" s="49">
        <v>922.93338000000006</v>
      </c>
      <c r="M205" s="49">
        <v>1373.00298</v>
      </c>
    </row>
    <row r="206" spans="1:13" x14ac:dyDescent="0.25">
      <c r="A206" s="48">
        <v>42545</v>
      </c>
      <c r="B206" s="49">
        <v>175.86407</v>
      </c>
      <c r="C206" s="49">
        <v>238.48468</v>
      </c>
      <c r="D206" s="49">
        <v>309.67435</v>
      </c>
      <c r="E206" s="49">
        <v>435.40082000000001</v>
      </c>
      <c r="F206" s="49">
        <v>720.68688999999995</v>
      </c>
      <c r="G206" s="49">
        <v>0</v>
      </c>
      <c r="H206" s="49">
        <v>172.02644000000001</v>
      </c>
      <c r="I206" s="49">
        <v>262.97525999999999</v>
      </c>
      <c r="J206" s="49">
        <v>383.53273000000002</v>
      </c>
      <c r="K206" s="49">
        <v>605.10797000000002</v>
      </c>
      <c r="L206" s="49">
        <v>988.39952000000005</v>
      </c>
      <c r="M206" s="49">
        <v>1468.80386</v>
      </c>
    </row>
    <row r="207" spans="1:13" x14ac:dyDescent="0.25">
      <c r="A207" s="48">
        <v>42548</v>
      </c>
      <c r="B207" s="49">
        <v>175.73877999999999</v>
      </c>
      <c r="C207" s="49">
        <v>238.50991999999999</v>
      </c>
      <c r="D207" s="49">
        <v>309.76557000000003</v>
      </c>
      <c r="E207" s="49">
        <v>435.464</v>
      </c>
      <c r="F207" s="49">
        <v>720.59178999999995</v>
      </c>
      <c r="G207" s="49">
        <v>0</v>
      </c>
      <c r="H207" s="49">
        <v>171.93992</v>
      </c>
      <c r="I207" s="49">
        <v>262.96086000000003</v>
      </c>
      <c r="J207" s="49">
        <v>383.27728000000002</v>
      </c>
      <c r="K207" s="49">
        <v>584.81325000000004</v>
      </c>
      <c r="L207" s="49">
        <v>987.80893000000003</v>
      </c>
      <c r="M207" s="49">
        <v>1468.3445999999999</v>
      </c>
    </row>
    <row r="208" spans="1:13" x14ac:dyDescent="0.25">
      <c r="A208" s="48">
        <v>42549</v>
      </c>
      <c r="B208" s="49">
        <v>175.72489999999999</v>
      </c>
      <c r="C208" s="49">
        <v>238.74252999999999</v>
      </c>
      <c r="D208" s="49">
        <v>310.57902999999999</v>
      </c>
      <c r="E208" s="49">
        <v>440.67666000000003</v>
      </c>
      <c r="F208" s="49">
        <v>722.74057000000005</v>
      </c>
      <c r="G208" s="49">
        <v>0</v>
      </c>
      <c r="H208" s="49">
        <v>171.91107</v>
      </c>
      <c r="I208" s="49">
        <v>262.96161999999998</v>
      </c>
      <c r="J208" s="49">
        <v>381.29381999999998</v>
      </c>
      <c r="K208" s="49">
        <v>583.56994999999995</v>
      </c>
      <c r="L208" s="49">
        <v>974.70011999999997</v>
      </c>
      <c r="M208" s="49">
        <v>1468.0181</v>
      </c>
    </row>
    <row r="209" spans="1:13" x14ac:dyDescent="0.25">
      <c r="A209" s="48">
        <v>42550</v>
      </c>
      <c r="B209" s="49">
        <v>175.60862</v>
      </c>
      <c r="C209" s="49">
        <v>238.86543</v>
      </c>
      <c r="D209" s="49">
        <v>310.45348999999999</v>
      </c>
      <c r="E209" s="49">
        <v>438.76866999999999</v>
      </c>
      <c r="F209" s="49">
        <v>720.12126999999998</v>
      </c>
      <c r="G209" s="49">
        <v>0</v>
      </c>
      <c r="H209" s="49">
        <v>171.61743000000001</v>
      </c>
      <c r="I209" s="49">
        <v>256.64947999999998</v>
      </c>
      <c r="J209" s="49">
        <v>381.21976999999998</v>
      </c>
      <c r="K209" s="49">
        <v>582.90706999999998</v>
      </c>
      <c r="L209" s="49">
        <v>974.50694999999996</v>
      </c>
      <c r="M209" s="49">
        <v>1468.38149</v>
      </c>
    </row>
    <row r="210" spans="1:13" x14ac:dyDescent="0.25">
      <c r="A210" s="48">
        <v>42551</v>
      </c>
      <c r="B210" s="49">
        <v>168.33477999999999</v>
      </c>
      <c r="C210" s="49">
        <v>224.33027999999999</v>
      </c>
      <c r="D210" s="49">
        <v>289.8107</v>
      </c>
      <c r="E210" s="49">
        <v>410.30596000000003</v>
      </c>
      <c r="F210" s="49">
        <v>691.45351000000005</v>
      </c>
      <c r="G210" s="49">
        <v>0</v>
      </c>
      <c r="H210" s="49">
        <v>171.53919999999999</v>
      </c>
      <c r="I210" s="49">
        <v>256.18385000000001</v>
      </c>
      <c r="J210" s="49">
        <v>374.38799</v>
      </c>
      <c r="K210" s="49">
        <v>540.43530999999996</v>
      </c>
      <c r="L210" s="49">
        <v>941.73703</v>
      </c>
      <c r="M210" s="49">
        <v>1418.08924</v>
      </c>
    </row>
    <row r="211" spans="1:13" x14ac:dyDescent="0.25">
      <c r="A211" s="48">
        <v>42552</v>
      </c>
      <c r="B211" s="49">
        <v>168.37826000000001</v>
      </c>
      <c r="C211" s="49">
        <v>224.31914</v>
      </c>
      <c r="D211" s="49">
        <v>289.72856999999999</v>
      </c>
      <c r="E211" s="49">
        <v>410.31968999999998</v>
      </c>
      <c r="F211" s="49">
        <v>690.45662000000004</v>
      </c>
      <c r="G211" s="49">
        <v>0</v>
      </c>
      <c r="H211" s="49">
        <v>171.38978</v>
      </c>
      <c r="I211" s="49">
        <v>256.16609999999997</v>
      </c>
      <c r="J211" s="49">
        <v>374.34949999999998</v>
      </c>
      <c r="K211" s="49">
        <v>540.21666000000005</v>
      </c>
      <c r="L211" s="49">
        <v>941.61870999999996</v>
      </c>
      <c r="M211" s="49">
        <v>1417.6635699999999</v>
      </c>
    </row>
    <row r="212" spans="1:13" x14ac:dyDescent="0.25">
      <c r="A212" s="48">
        <v>42556</v>
      </c>
      <c r="B212" s="49">
        <v>168.46233000000001</v>
      </c>
      <c r="C212" s="49">
        <v>224.35074</v>
      </c>
      <c r="D212" s="49">
        <v>289.86117000000002</v>
      </c>
      <c r="E212" s="49">
        <v>411.04363000000001</v>
      </c>
      <c r="F212" s="49">
        <v>690.55595000000005</v>
      </c>
      <c r="G212" s="49">
        <v>0</v>
      </c>
      <c r="H212" s="49">
        <v>171.37923000000001</v>
      </c>
      <c r="I212" s="49">
        <v>256.16755000000001</v>
      </c>
      <c r="J212" s="49">
        <v>374.24245999999999</v>
      </c>
      <c r="K212" s="49">
        <v>540.17837999999995</v>
      </c>
      <c r="L212" s="49">
        <v>941.66042000000004</v>
      </c>
      <c r="M212" s="49">
        <v>1417.6785199999999</v>
      </c>
    </row>
    <row r="213" spans="1:13" x14ac:dyDescent="0.25">
      <c r="A213" s="48">
        <v>42557</v>
      </c>
      <c r="B213" s="49">
        <v>168.21077</v>
      </c>
      <c r="C213" s="49">
        <v>224.24078</v>
      </c>
      <c r="D213" s="49">
        <v>290.00387999999998</v>
      </c>
      <c r="E213" s="49">
        <v>412.07967000000002</v>
      </c>
      <c r="F213" s="49">
        <v>690.90853000000004</v>
      </c>
      <c r="G213" s="49">
        <v>0</v>
      </c>
      <c r="H213" s="49">
        <v>171.37569999999999</v>
      </c>
      <c r="I213" s="49">
        <v>256.16037</v>
      </c>
      <c r="J213" s="49">
        <v>373.91951999999998</v>
      </c>
      <c r="K213" s="49">
        <v>539.57339999999999</v>
      </c>
      <c r="L213" s="49">
        <v>941.07730000000004</v>
      </c>
      <c r="M213" s="49">
        <v>1417.2764199999999</v>
      </c>
    </row>
    <row r="214" spans="1:13" x14ac:dyDescent="0.25">
      <c r="A214" s="48">
        <v>42558</v>
      </c>
      <c r="B214" s="49">
        <v>167.34938</v>
      </c>
      <c r="C214" s="49">
        <v>224.38879</v>
      </c>
      <c r="D214" s="49">
        <v>289.16867999999999</v>
      </c>
      <c r="E214" s="49">
        <v>410.63715000000002</v>
      </c>
      <c r="F214" s="49">
        <v>690.65884000000005</v>
      </c>
      <c r="G214" s="49">
        <v>0</v>
      </c>
      <c r="H214" s="49">
        <v>171.33634000000001</v>
      </c>
      <c r="I214" s="49">
        <v>256.12948999999998</v>
      </c>
      <c r="J214" s="49">
        <v>373.87128000000001</v>
      </c>
      <c r="K214" s="49">
        <v>539.65743999999995</v>
      </c>
      <c r="L214" s="49">
        <v>940.22771</v>
      </c>
      <c r="M214" s="49">
        <v>1417.39302</v>
      </c>
    </row>
    <row r="215" spans="1:13" x14ac:dyDescent="0.25">
      <c r="A215" s="48">
        <v>42559</v>
      </c>
      <c r="B215" s="49">
        <v>167.30749</v>
      </c>
      <c r="C215" s="49">
        <v>224.41614000000001</v>
      </c>
      <c r="D215" s="49">
        <v>289.23401000000001</v>
      </c>
      <c r="E215" s="49">
        <v>410.77494000000002</v>
      </c>
      <c r="F215" s="49">
        <v>687.83</v>
      </c>
      <c r="G215" s="49">
        <v>0</v>
      </c>
      <c r="H215" s="49">
        <v>171.31345999999999</v>
      </c>
      <c r="I215" s="49">
        <v>256.12693999999999</v>
      </c>
      <c r="J215" s="49">
        <v>373.86072999999999</v>
      </c>
      <c r="K215" s="49">
        <v>539.97010999999998</v>
      </c>
      <c r="L215" s="49">
        <v>940.07322999999997</v>
      </c>
      <c r="M215" s="49">
        <v>1416.8466100000001</v>
      </c>
    </row>
    <row r="216" spans="1:13" x14ac:dyDescent="0.25">
      <c r="A216" s="48">
        <v>42562</v>
      </c>
      <c r="B216" s="49">
        <v>167.34656000000001</v>
      </c>
      <c r="C216" s="49">
        <v>224.14662000000001</v>
      </c>
      <c r="D216" s="49">
        <v>289.25205999999997</v>
      </c>
      <c r="E216" s="49">
        <v>410.51553000000001</v>
      </c>
      <c r="F216" s="49">
        <v>687.30052000000001</v>
      </c>
      <c r="G216" s="49">
        <v>0</v>
      </c>
      <c r="H216" s="49">
        <v>171.35407000000001</v>
      </c>
      <c r="I216" s="49">
        <v>256.12939</v>
      </c>
      <c r="J216" s="49">
        <v>373.68970999999999</v>
      </c>
      <c r="K216" s="49">
        <v>539.42759000000001</v>
      </c>
      <c r="L216" s="49">
        <v>938.64817000000005</v>
      </c>
      <c r="M216" s="49">
        <v>1416.1433500000001</v>
      </c>
    </row>
    <row r="217" spans="1:13" x14ac:dyDescent="0.25">
      <c r="A217" s="48">
        <v>42563</v>
      </c>
      <c r="B217" s="49">
        <v>167.0848</v>
      </c>
      <c r="C217" s="49">
        <v>224.01291000000001</v>
      </c>
      <c r="D217" s="49">
        <v>289.07288999999997</v>
      </c>
      <c r="E217" s="49">
        <v>410.22160000000002</v>
      </c>
      <c r="F217" s="49">
        <v>683.01716999999996</v>
      </c>
      <c r="G217" s="49">
        <v>0</v>
      </c>
      <c r="H217" s="49">
        <v>171.40375</v>
      </c>
      <c r="I217" s="49">
        <v>256.10079999999999</v>
      </c>
      <c r="J217" s="49">
        <v>358.13441999999998</v>
      </c>
      <c r="K217" s="49">
        <v>527.00896</v>
      </c>
      <c r="L217" s="49">
        <v>909.61006999999995</v>
      </c>
      <c r="M217" s="49">
        <v>1414.4482399999999</v>
      </c>
    </row>
    <row r="218" spans="1:13" x14ac:dyDescent="0.25">
      <c r="A218" s="48">
        <v>42564</v>
      </c>
      <c r="B218" s="49">
        <v>164.18010000000001</v>
      </c>
      <c r="C218" s="49">
        <v>220.84766999999999</v>
      </c>
      <c r="D218" s="49">
        <v>285.18063999999998</v>
      </c>
      <c r="E218" s="49">
        <v>404.29845</v>
      </c>
      <c r="F218" s="49">
        <v>676.84414000000004</v>
      </c>
      <c r="G218" s="49">
        <v>0</v>
      </c>
      <c r="H218" s="49">
        <v>171.38113999999999</v>
      </c>
      <c r="I218" s="49">
        <v>245.12180000000001</v>
      </c>
      <c r="J218" s="49">
        <v>358.31274999999999</v>
      </c>
      <c r="K218" s="49">
        <v>526.68364999999994</v>
      </c>
      <c r="L218" s="49">
        <v>908.54404</v>
      </c>
      <c r="M218" s="49">
        <v>1334.7212300000001</v>
      </c>
    </row>
    <row r="219" spans="1:13" x14ac:dyDescent="0.25">
      <c r="A219" s="48">
        <v>42565</v>
      </c>
      <c r="B219" s="49">
        <v>161.44714999999999</v>
      </c>
      <c r="C219" s="49">
        <v>216.93276</v>
      </c>
      <c r="D219" s="49">
        <v>279.17415999999997</v>
      </c>
      <c r="E219" s="49">
        <v>395.68849999999998</v>
      </c>
      <c r="F219" s="49">
        <v>669.48135000000002</v>
      </c>
      <c r="G219" s="49">
        <v>0</v>
      </c>
      <c r="H219" s="49">
        <v>170.13772</v>
      </c>
      <c r="I219" s="49">
        <v>245.05322000000001</v>
      </c>
      <c r="J219" s="49">
        <v>358.17574999999999</v>
      </c>
      <c r="K219" s="49">
        <v>526.16110000000003</v>
      </c>
      <c r="L219" s="49">
        <v>889.18922999999995</v>
      </c>
      <c r="M219" s="49">
        <v>1333.61186</v>
      </c>
    </row>
    <row r="220" spans="1:13" x14ac:dyDescent="0.25">
      <c r="A220" s="48">
        <v>42566</v>
      </c>
      <c r="B220" s="49">
        <v>160.97897</v>
      </c>
      <c r="C220" s="49">
        <v>217.25030000000001</v>
      </c>
      <c r="D220" s="49">
        <v>279.44652000000002</v>
      </c>
      <c r="E220" s="49">
        <v>396.53316000000001</v>
      </c>
      <c r="F220" s="49">
        <v>669.44006000000002</v>
      </c>
      <c r="G220" s="49">
        <v>0</v>
      </c>
      <c r="H220" s="49">
        <v>169.86098999999999</v>
      </c>
      <c r="I220" s="49">
        <v>244.92841000000001</v>
      </c>
      <c r="J220" s="49">
        <v>357.89296999999999</v>
      </c>
      <c r="K220" s="49">
        <v>525.79556000000002</v>
      </c>
      <c r="L220" s="49">
        <v>888.95448999999996</v>
      </c>
      <c r="M220" s="49">
        <v>1290.0292199999999</v>
      </c>
    </row>
    <row r="221" spans="1:13" x14ac:dyDescent="0.25">
      <c r="A221" s="48">
        <v>42569</v>
      </c>
      <c r="B221" s="49">
        <v>160.89529999999999</v>
      </c>
      <c r="C221" s="49">
        <v>216.97603000000001</v>
      </c>
      <c r="D221" s="49">
        <v>277.07898999999998</v>
      </c>
      <c r="E221" s="49">
        <v>394.32490999999999</v>
      </c>
      <c r="F221" s="49">
        <v>668.34016999999994</v>
      </c>
      <c r="G221" s="49">
        <v>0</v>
      </c>
      <c r="H221" s="49">
        <v>169.83770000000001</v>
      </c>
      <c r="I221" s="49">
        <v>244.88105999999999</v>
      </c>
      <c r="J221" s="49">
        <v>357.83728000000002</v>
      </c>
      <c r="K221" s="49">
        <v>525.77999</v>
      </c>
      <c r="L221" s="49">
        <v>888.42561999999998</v>
      </c>
      <c r="M221" s="49">
        <v>1289.7999400000001</v>
      </c>
    </row>
    <row r="222" spans="1:13" x14ac:dyDescent="0.25">
      <c r="A222" s="48">
        <v>42570</v>
      </c>
      <c r="B222" s="49">
        <v>160.60647</v>
      </c>
      <c r="C222" s="49">
        <v>215.40582000000001</v>
      </c>
      <c r="D222" s="49">
        <v>274.83866</v>
      </c>
      <c r="E222" s="49">
        <v>391.91608000000002</v>
      </c>
      <c r="F222" s="49">
        <v>671.02323999999999</v>
      </c>
      <c r="G222" s="49">
        <v>0</v>
      </c>
      <c r="H222" s="49">
        <v>169.87212</v>
      </c>
      <c r="I222" s="49">
        <v>244.88983999999999</v>
      </c>
      <c r="J222" s="49">
        <v>357.79696000000001</v>
      </c>
      <c r="K222" s="49">
        <v>523.84339</v>
      </c>
      <c r="L222" s="49">
        <v>884.74567000000002</v>
      </c>
      <c r="M222" s="49">
        <v>1289.0373999999999</v>
      </c>
    </row>
    <row r="223" spans="1:13" x14ac:dyDescent="0.25">
      <c r="A223" s="48">
        <v>42571</v>
      </c>
      <c r="B223" s="49">
        <v>160.48267999999999</v>
      </c>
      <c r="C223" s="49">
        <v>215.32596000000001</v>
      </c>
      <c r="D223" s="49">
        <v>274.89936999999998</v>
      </c>
      <c r="E223" s="49">
        <v>391.87722000000002</v>
      </c>
      <c r="F223" s="49">
        <v>670.28191000000004</v>
      </c>
      <c r="G223" s="49">
        <v>0</v>
      </c>
      <c r="H223" s="49">
        <v>169.87794</v>
      </c>
      <c r="I223" s="49">
        <v>244.90926999999999</v>
      </c>
      <c r="J223" s="49">
        <v>349.45841999999999</v>
      </c>
      <c r="K223" s="49">
        <v>523.77963</v>
      </c>
      <c r="L223" s="49">
        <v>817.64164000000005</v>
      </c>
      <c r="M223" s="49">
        <v>1287.7803100000001</v>
      </c>
    </row>
    <row r="224" spans="1:13" x14ac:dyDescent="0.25">
      <c r="A224" s="48">
        <v>42572</v>
      </c>
      <c r="B224" s="49">
        <v>160.43824000000001</v>
      </c>
      <c r="C224" s="49">
        <v>215.36556999999999</v>
      </c>
      <c r="D224" s="49">
        <v>275.00934999999998</v>
      </c>
      <c r="E224" s="49">
        <v>391.64861999999999</v>
      </c>
      <c r="F224" s="49">
        <v>669.40764999999999</v>
      </c>
      <c r="G224" s="49">
        <v>0</v>
      </c>
      <c r="H224" s="49">
        <v>168.37529000000001</v>
      </c>
      <c r="I224" s="49">
        <v>244.88188</v>
      </c>
      <c r="J224" s="49">
        <v>345.87776000000002</v>
      </c>
      <c r="K224" s="49">
        <v>515.94231000000002</v>
      </c>
      <c r="L224" s="49">
        <v>809.63257999999996</v>
      </c>
      <c r="M224" s="49">
        <v>1287.0359000000001</v>
      </c>
    </row>
    <row r="225" spans="1:13" x14ac:dyDescent="0.25">
      <c r="A225" s="48">
        <v>42573</v>
      </c>
      <c r="B225" s="49">
        <v>161.33641</v>
      </c>
      <c r="C225" s="49">
        <v>215.18353999999999</v>
      </c>
      <c r="D225" s="49">
        <v>274.59938</v>
      </c>
      <c r="E225" s="49">
        <v>391.04624999999999</v>
      </c>
      <c r="F225" s="49">
        <v>668.49726999999996</v>
      </c>
      <c r="G225" s="49">
        <v>0</v>
      </c>
      <c r="H225" s="49">
        <v>168.36606</v>
      </c>
      <c r="I225" s="49">
        <v>244.94271000000001</v>
      </c>
      <c r="J225" s="49">
        <v>345.88042000000002</v>
      </c>
      <c r="K225" s="49">
        <v>512.78256999999996</v>
      </c>
      <c r="L225" s="49">
        <v>809.50370999999996</v>
      </c>
      <c r="M225" s="49">
        <v>1287.0438799999999</v>
      </c>
    </row>
    <row r="226" spans="1:13" x14ac:dyDescent="0.25">
      <c r="A226" s="48">
        <v>42576</v>
      </c>
      <c r="B226" s="49">
        <v>161.86515</v>
      </c>
      <c r="C226" s="49">
        <v>215.51664</v>
      </c>
      <c r="D226" s="49">
        <v>274.57920000000001</v>
      </c>
      <c r="E226" s="49">
        <v>390.58846999999997</v>
      </c>
      <c r="F226" s="49">
        <v>668.15040999999997</v>
      </c>
      <c r="G226" s="49">
        <v>0</v>
      </c>
      <c r="H226" s="49">
        <v>168.45475999999999</v>
      </c>
      <c r="I226" s="49">
        <v>244.94990000000001</v>
      </c>
      <c r="J226" s="49">
        <v>345.31533000000002</v>
      </c>
      <c r="K226" s="49">
        <v>512.50824</v>
      </c>
      <c r="L226" s="49">
        <v>808.53881000000001</v>
      </c>
      <c r="M226" s="49">
        <v>1286.45714</v>
      </c>
    </row>
    <row r="227" spans="1:13" x14ac:dyDescent="0.25">
      <c r="A227" s="48">
        <v>42577</v>
      </c>
      <c r="B227" s="49">
        <v>159.53479999999999</v>
      </c>
      <c r="C227" s="49">
        <v>213.28103999999999</v>
      </c>
      <c r="D227" s="49">
        <v>271.01605000000001</v>
      </c>
      <c r="E227" s="49">
        <v>389.31580000000002</v>
      </c>
      <c r="F227" s="49">
        <v>662.58031000000005</v>
      </c>
      <c r="G227" s="49">
        <v>0</v>
      </c>
      <c r="H227" s="49">
        <v>168.28431</v>
      </c>
      <c r="I227" s="49">
        <v>244.89213000000001</v>
      </c>
      <c r="J227" s="49">
        <v>345.16226999999998</v>
      </c>
      <c r="K227" s="49">
        <v>512.27607</v>
      </c>
      <c r="L227" s="49">
        <v>807.49905999999999</v>
      </c>
      <c r="M227" s="49">
        <v>1284.10617</v>
      </c>
    </row>
    <row r="228" spans="1:13" x14ac:dyDescent="0.25">
      <c r="A228" s="48">
        <v>42578</v>
      </c>
      <c r="B228" s="49">
        <v>157.12989999999999</v>
      </c>
      <c r="C228" s="49">
        <v>211.16797</v>
      </c>
      <c r="D228" s="49">
        <v>270.05529999999999</v>
      </c>
      <c r="E228" s="49">
        <v>390.46519999999998</v>
      </c>
      <c r="F228" s="49">
        <v>655.26392999999996</v>
      </c>
      <c r="G228" s="49">
        <v>0</v>
      </c>
      <c r="H228" s="49">
        <v>168.25522000000001</v>
      </c>
      <c r="I228" s="49">
        <v>244.01098999999999</v>
      </c>
      <c r="J228" s="49">
        <v>344.72035</v>
      </c>
      <c r="K228" s="49">
        <v>510.6524</v>
      </c>
      <c r="L228" s="49">
        <v>806.17817000000002</v>
      </c>
      <c r="M228" s="49">
        <v>1281.4226799999999</v>
      </c>
    </row>
    <row r="229" spans="1:13" x14ac:dyDescent="0.25">
      <c r="A229" s="48">
        <v>42579</v>
      </c>
      <c r="B229" s="49">
        <v>157.1507</v>
      </c>
      <c r="C229" s="49">
        <v>207.47824</v>
      </c>
      <c r="D229" s="49">
        <v>268.12286999999998</v>
      </c>
      <c r="E229" s="49">
        <v>389.94866000000002</v>
      </c>
      <c r="F229" s="49">
        <v>654.67539999999997</v>
      </c>
      <c r="G229" s="49">
        <v>0</v>
      </c>
      <c r="H229" s="49">
        <v>168.07253</v>
      </c>
      <c r="I229" s="49">
        <v>234.09859</v>
      </c>
      <c r="J229" s="49">
        <v>344.34980999999999</v>
      </c>
      <c r="K229" s="49">
        <v>465.48957000000001</v>
      </c>
      <c r="L229" s="49">
        <v>805.69070999999997</v>
      </c>
      <c r="M229" s="49">
        <v>1280.9028900000001</v>
      </c>
    </row>
    <row r="230" spans="1:13" x14ac:dyDescent="0.25">
      <c r="A230" s="48">
        <v>42580</v>
      </c>
      <c r="B230" s="49">
        <v>147.70484999999999</v>
      </c>
      <c r="C230" s="49">
        <v>199.26983999999999</v>
      </c>
      <c r="D230" s="49">
        <v>258.09066000000001</v>
      </c>
      <c r="E230" s="49">
        <v>374.74223999999998</v>
      </c>
      <c r="F230" s="49">
        <v>631.42746999999997</v>
      </c>
      <c r="G230" s="49">
        <v>0</v>
      </c>
      <c r="H230" s="49">
        <v>154.32257000000001</v>
      </c>
      <c r="I230" s="49">
        <v>234.17157</v>
      </c>
      <c r="J230" s="49">
        <v>316.28699999999998</v>
      </c>
      <c r="K230" s="49">
        <v>465.34201000000002</v>
      </c>
      <c r="L230" s="49">
        <v>770.68381999999997</v>
      </c>
      <c r="M230" s="49">
        <v>1276.3790100000001</v>
      </c>
    </row>
    <row r="231" spans="1:13" x14ac:dyDescent="0.25">
      <c r="A231" s="48">
        <v>42583</v>
      </c>
      <c r="B231" s="49">
        <v>147.76178999999999</v>
      </c>
      <c r="C231" s="49">
        <v>199.18331000000001</v>
      </c>
      <c r="D231" s="49">
        <v>258.02114</v>
      </c>
      <c r="E231" s="49">
        <v>374.43063999999998</v>
      </c>
      <c r="F231" s="49">
        <v>626.96702000000005</v>
      </c>
      <c r="G231" s="49">
        <v>0</v>
      </c>
      <c r="H231" s="49">
        <v>154.34952999999999</v>
      </c>
      <c r="I231" s="49">
        <v>234.17713000000001</v>
      </c>
      <c r="J231" s="49">
        <v>316.31653999999997</v>
      </c>
      <c r="K231" s="49">
        <v>465.18333000000001</v>
      </c>
      <c r="L231" s="49">
        <v>771.71900000000005</v>
      </c>
      <c r="M231" s="49">
        <v>1276.0590299999999</v>
      </c>
    </row>
    <row r="232" spans="1:13" x14ac:dyDescent="0.25">
      <c r="A232" s="48">
        <v>42584</v>
      </c>
      <c r="B232" s="49">
        <v>147.71154000000001</v>
      </c>
      <c r="C232" s="49">
        <v>198.81470999999999</v>
      </c>
      <c r="D232" s="49">
        <v>257.83330000000001</v>
      </c>
      <c r="E232" s="49">
        <v>373.59773999999999</v>
      </c>
      <c r="F232" s="49">
        <v>626.16141000000005</v>
      </c>
      <c r="G232" s="49">
        <v>0</v>
      </c>
      <c r="H232" s="49">
        <v>154.30670000000001</v>
      </c>
      <c r="I232" s="49">
        <v>234.16659000000001</v>
      </c>
      <c r="J232" s="49">
        <v>316.32717000000002</v>
      </c>
      <c r="K232" s="49">
        <v>465.18540999999999</v>
      </c>
      <c r="L232" s="49">
        <v>774.11096999999995</v>
      </c>
      <c r="M232" s="49">
        <v>1275.10338</v>
      </c>
    </row>
    <row r="233" spans="1:13" x14ac:dyDescent="0.25">
      <c r="A233" s="48">
        <v>42585</v>
      </c>
      <c r="B233" s="49">
        <v>145.01634999999999</v>
      </c>
      <c r="C233" s="49">
        <v>194.376</v>
      </c>
      <c r="D233" s="49">
        <v>254.2859</v>
      </c>
      <c r="E233" s="49">
        <v>371.89771000000002</v>
      </c>
      <c r="F233" s="49">
        <v>624.03249000000005</v>
      </c>
      <c r="G233" s="49">
        <v>0</v>
      </c>
      <c r="H233" s="49">
        <v>154.37056999999999</v>
      </c>
      <c r="I233" s="49">
        <v>234.19775000000001</v>
      </c>
      <c r="J233" s="49">
        <v>316.49196999999998</v>
      </c>
      <c r="K233" s="49">
        <v>464.80326000000002</v>
      </c>
      <c r="L233" s="49">
        <v>775.03432999999995</v>
      </c>
      <c r="M233" s="49">
        <v>1273.0236500000001</v>
      </c>
    </row>
    <row r="234" spans="1:13" x14ac:dyDescent="0.25">
      <c r="A234" s="48">
        <v>42586</v>
      </c>
      <c r="B234" s="49">
        <v>145.22234</v>
      </c>
      <c r="C234" s="49">
        <v>194.12536</v>
      </c>
      <c r="D234" s="49">
        <v>252.86091999999999</v>
      </c>
      <c r="E234" s="49">
        <v>370.40845000000002</v>
      </c>
      <c r="F234" s="49">
        <v>617.20349999999996</v>
      </c>
      <c r="G234" s="49">
        <v>0</v>
      </c>
      <c r="H234" s="49">
        <v>154.38944000000001</v>
      </c>
      <c r="I234" s="49">
        <v>234.18859</v>
      </c>
      <c r="J234" s="49">
        <v>316.43928</v>
      </c>
      <c r="K234" s="49">
        <v>465.34163000000001</v>
      </c>
      <c r="L234" s="49">
        <v>776.09802000000002</v>
      </c>
      <c r="M234" s="49">
        <v>1266.7925499999999</v>
      </c>
    </row>
    <row r="235" spans="1:13" x14ac:dyDescent="0.25">
      <c r="A235" s="48">
        <v>42587</v>
      </c>
      <c r="B235" s="49">
        <v>145.15946</v>
      </c>
      <c r="C235" s="49">
        <v>193.65967000000001</v>
      </c>
      <c r="D235" s="49">
        <v>252.34168</v>
      </c>
      <c r="E235" s="49">
        <v>370.42117000000002</v>
      </c>
      <c r="F235" s="49">
        <v>616.93979000000002</v>
      </c>
      <c r="G235" s="49">
        <v>0</v>
      </c>
      <c r="H235" s="49">
        <v>154.34698</v>
      </c>
      <c r="I235" s="49">
        <v>233.99701999999999</v>
      </c>
      <c r="J235" s="49">
        <v>316.07342</v>
      </c>
      <c r="K235" s="49">
        <v>465.08641999999998</v>
      </c>
      <c r="L235" s="49">
        <v>776.91081999999994</v>
      </c>
      <c r="M235" s="49">
        <v>1266.3025500000001</v>
      </c>
    </row>
    <row r="236" spans="1:13" x14ac:dyDescent="0.25">
      <c r="A236" s="48">
        <v>42590</v>
      </c>
      <c r="B236" s="49">
        <v>145.31653</v>
      </c>
      <c r="C236" s="49">
        <v>193.77739</v>
      </c>
      <c r="D236" s="49">
        <v>252.66505000000001</v>
      </c>
      <c r="E236" s="49">
        <v>370.87833000000001</v>
      </c>
      <c r="F236" s="49">
        <v>611.57012999999995</v>
      </c>
      <c r="G236" s="49">
        <v>0</v>
      </c>
      <c r="H236" s="49">
        <v>154.34914000000001</v>
      </c>
      <c r="I236" s="49">
        <v>233.97443000000001</v>
      </c>
      <c r="J236" s="49">
        <v>315.71850000000001</v>
      </c>
      <c r="K236" s="49">
        <v>465.09323000000001</v>
      </c>
      <c r="L236" s="49">
        <v>777.14936</v>
      </c>
      <c r="M236" s="49">
        <v>1266.33582</v>
      </c>
    </row>
    <row r="237" spans="1:13" x14ac:dyDescent="0.25">
      <c r="A237" s="48">
        <v>42591</v>
      </c>
      <c r="B237" s="49">
        <v>145.32947999999999</v>
      </c>
      <c r="C237" s="49">
        <v>193.79863</v>
      </c>
      <c r="D237" s="49">
        <v>252.43145999999999</v>
      </c>
      <c r="E237" s="49">
        <v>369.51546999999999</v>
      </c>
      <c r="F237" s="49">
        <v>608.66010000000006</v>
      </c>
      <c r="G237" s="49">
        <v>0</v>
      </c>
      <c r="H237" s="49">
        <v>154.32456999999999</v>
      </c>
      <c r="I237" s="49">
        <v>233.99024</v>
      </c>
      <c r="J237" s="49">
        <v>315.72212000000002</v>
      </c>
      <c r="K237" s="49">
        <v>465.29518000000002</v>
      </c>
      <c r="L237" s="49">
        <v>777.12166999999999</v>
      </c>
      <c r="M237" s="49">
        <v>1264.2180699999999</v>
      </c>
    </row>
    <row r="238" spans="1:13" x14ac:dyDescent="0.25">
      <c r="A238" s="48">
        <v>42592</v>
      </c>
      <c r="B238" s="49">
        <v>145.08977999999999</v>
      </c>
      <c r="C238" s="49">
        <v>193.29352</v>
      </c>
      <c r="D238" s="49">
        <v>252.51750000000001</v>
      </c>
      <c r="E238" s="49">
        <v>369.47667000000001</v>
      </c>
      <c r="F238" s="49">
        <v>608.14265999999998</v>
      </c>
      <c r="G238" s="49">
        <v>0</v>
      </c>
      <c r="H238" s="49">
        <v>154.31917999999999</v>
      </c>
      <c r="I238" s="49">
        <v>234.01559</v>
      </c>
      <c r="J238" s="49">
        <v>315.69231000000002</v>
      </c>
      <c r="K238" s="49">
        <v>465.10912999999999</v>
      </c>
      <c r="L238" s="49">
        <v>777.27930000000003</v>
      </c>
      <c r="M238" s="49">
        <v>1175.8621900000001</v>
      </c>
    </row>
    <row r="239" spans="1:13" x14ac:dyDescent="0.25">
      <c r="A239" s="48">
        <v>42593</v>
      </c>
      <c r="B239" s="49">
        <v>144.87644</v>
      </c>
      <c r="C239" s="49">
        <v>193.16222999999999</v>
      </c>
      <c r="D239" s="49">
        <v>251.58672999999999</v>
      </c>
      <c r="E239" s="49">
        <v>368.98860999999999</v>
      </c>
      <c r="F239" s="49">
        <v>606.42637000000002</v>
      </c>
      <c r="G239" s="49">
        <v>0</v>
      </c>
      <c r="H239" s="49">
        <v>153.75439</v>
      </c>
      <c r="I239" s="49">
        <v>232.68795</v>
      </c>
      <c r="J239" s="49">
        <v>313.34721999999999</v>
      </c>
      <c r="K239" s="49">
        <v>464.07733999999999</v>
      </c>
      <c r="L239" s="49">
        <v>776.37413000000004</v>
      </c>
      <c r="M239" s="49">
        <v>1176.3079499999999</v>
      </c>
    </row>
    <row r="240" spans="1:13" x14ac:dyDescent="0.25">
      <c r="A240" s="48">
        <v>42594</v>
      </c>
      <c r="B240" s="49">
        <v>144.92466999999999</v>
      </c>
      <c r="C240" s="49">
        <v>192.20809</v>
      </c>
      <c r="D240" s="49">
        <v>251.88807</v>
      </c>
      <c r="E240" s="49">
        <v>369.01871</v>
      </c>
      <c r="F240" s="49">
        <v>605.95695000000001</v>
      </c>
      <c r="G240" s="49">
        <v>0</v>
      </c>
      <c r="H240" s="49">
        <v>153.98813000000001</v>
      </c>
      <c r="I240" s="49">
        <v>232.40565000000001</v>
      </c>
      <c r="J240" s="49">
        <v>313.32166000000001</v>
      </c>
      <c r="K240" s="49">
        <v>464.03336000000002</v>
      </c>
      <c r="L240" s="49">
        <v>776.49809000000005</v>
      </c>
      <c r="M240" s="49">
        <v>1175.55792</v>
      </c>
    </row>
    <row r="241" spans="1:13" x14ac:dyDescent="0.25">
      <c r="A241" s="48">
        <v>42597</v>
      </c>
      <c r="B241" s="49">
        <v>144.51268999999999</v>
      </c>
      <c r="C241" s="49">
        <v>191.87482</v>
      </c>
      <c r="D241" s="49">
        <v>252.22837000000001</v>
      </c>
      <c r="E241" s="49">
        <v>369.89355999999998</v>
      </c>
      <c r="F241" s="49">
        <v>608.49878000000001</v>
      </c>
      <c r="G241" s="49">
        <v>0</v>
      </c>
      <c r="H241" s="49">
        <v>153.99055999999999</v>
      </c>
      <c r="I241" s="49">
        <v>232.39685</v>
      </c>
      <c r="J241" s="49">
        <v>313.41998999999998</v>
      </c>
      <c r="K241" s="49">
        <v>464.04865000000001</v>
      </c>
      <c r="L241" s="49">
        <v>776.54065000000003</v>
      </c>
      <c r="M241" s="49">
        <v>1175.4114099999999</v>
      </c>
    </row>
    <row r="242" spans="1:13" x14ac:dyDescent="0.25">
      <c r="A242" s="48">
        <v>42598</v>
      </c>
      <c r="B242" s="49">
        <v>144.56501</v>
      </c>
      <c r="C242" s="49">
        <v>191.89998</v>
      </c>
      <c r="D242" s="49">
        <v>252.26418000000001</v>
      </c>
      <c r="E242" s="49">
        <v>369.96355999999997</v>
      </c>
      <c r="F242" s="49">
        <v>608.02152999999998</v>
      </c>
      <c r="G242" s="49">
        <v>0</v>
      </c>
      <c r="H242" s="49">
        <v>153.98276999999999</v>
      </c>
      <c r="I242" s="49">
        <v>232.45701</v>
      </c>
      <c r="J242" s="49">
        <v>313.56720999999999</v>
      </c>
      <c r="K242" s="49">
        <v>463.86595999999997</v>
      </c>
      <c r="L242" s="49">
        <v>776.36487999999997</v>
      </c>
      <c r="M242" s="49">
        <v>1175.2366999999999</v>
      </c>
    </row>
    <row r="243" spans="1:13" x14ac:dyDescent="0.25">
      <c r="A243" s="48">
        <v>42599</v>
      </c>
      <c r="B243" s="49">
        <v>144.61076</v>
      </c>
      <c r="C243" s="49">
        <v>190.21850000000001</v>
      </c>
      <c r="D243" s="49">
        <v>251.87190000000001</v>
      </c>
      <c r="E243" s="49">
        <v>370.16104000000001</v>
      </c>
      <c r="F243" s="49">
        <v>608.18230000000005</v>
      </c>
      <c r="G243" s="49">
        <v>0</v>
      </c>
      <c r="H243" s="49">
        <v>153.96826999999999</v>
      </c>
      <c r="I243" s="49">
        <v>232.48095000000001</v>
      </c>
      <c r="J243" s="49">
        <v>313.58051</v>
      </c>
      <c r="K243" s="49">
        <v>463.85451</v>
      </c>
      <c r="L243" s="49">
        <v>775.98230999999998</v>
      </c>
      <c r="M243" s="49">
        <v>1175.45532</v>
      </c>
    </row>
    <row r="244" spans="1:13" x14ac:dyDescent="0.25">
      <c r="A244" s="48">
        <v>42600</v>
      </c>
      <c r="B244" s="49">
        <v>144.14353</v>
      </c>
      <c r="C244" s="49">
        <v>188.63151999999999</v>
      </c>
      <c r="D244" s="49">
        <v>250.65481</v>
      </c>
      <c r="E244" s="49">
        <v>367.35579999999999</v>
      </c>
      <c r="F244" s="49">
        <v>605.82721000000004</v>
      </c>
      <c r="G244" s="49">
        <v>0</v>
      </c>
      <c r="H244" s="49">
        <v>153.95864</v>
      </c>
      <c r="I244" s="49">
        <v>231.98106000000001</v>
      </c>
      <c r="J244" s="49">
        <v>313.59509000000003</v>
      </c>
      <c r="K244" s="49">
        <v>463.72870999999998</v>
      </c>
      <c r="L244" s="49">
        <v>776.14567999999997</v>
      </c>
      <c r="M244" s="49">
        <v>1175.05026</v>
      </c>
    </row>
    <row r="245" spans="1:13" x14ac:dyDescent="0.25">
      <c r="A245" s="48">
        <v>42601</v>
      </c>
      <c r="B245" s="49">
        <v>144.09450000000001</v>
      </c>
      <c r="C245" s="49">
        <v>188.63410999999999</v>
      </c>
      <c r="D245" s="49">
        <v>249.87481</v>
      </c>
      <c r="E245" s="49">
        <v>365.83695999999998</v>
      </c>
      <c r="F245" s="49">
        <v>604.74712</v>
      </c>
      <c r="G245" s="49">
        <v>0</v>
      </c>
      <c r="H245" s="49">
        <v>153.93263999999999</v>
      </c>
      <c r="I245" s="49">
        <v>231.49454</v>
      </c>
      <c r="J245" s="49">
        <v>313.43304999999998</v>
      </c>
      <c r="K245" s="49">
        <v>463.61005999999998</v>
      </c>
      <c r="L245" s="49">
        <v>776.15301999999997</v>
      </c>
      <c r="M245" s="49">
        <v>1175.2371800000001</v>
      </c>
    </row>
    <row r="246" spans="1:13" x14ac:dyDescent="0.25">
      <c r="A246" s="48">
        <v>42604</v>
      </c>
      <c r="B246" s="49">
        <v>143.08609999999999</v>
      </c>
      <c r="C246" s="49">
        <v>186.52643</v>
      </c>
      <c r="D246" s="49">
        <v>248.97968</v>
      </c>
      <c r="E246" s="49">
        <v>365.38833</v>
      </c>
      <c r="F246" s="49">
        <v>605.11523</v>
      </c>
      <c r="G246" s="49">
        <v>0</v>
      </c>
      <c r="H246" s="49">
        <v>153.93916999999999</v>
      </c>
      <c r="I246" s="49">
        <v>231.56712999999999</v>
      </c>
      <c r="J246" s="49">
        <v>313.66003999999998</v>
      </c>
      <c r="K246" s="49">
        <v>463.68531000000002</v>
      </c>
      <c r="L246" s="49">
        <v>776.34374000000003</v>
      </c>
      <c r="M246" s="49">
        <v>1175.1351099999999</v>
      </c>
    </row>
    <row r="247" spans="1:13" x14ac:dyDescent="0.25">
      <c r="A247" s="48">
        <v>42605</v>
      </c>
      <c r="B247" s="49">
        <v>140.24725000000001</v>
      </c>
      <c r="C247" s="49">
        <v>181.94341</v>
      </c>
      <c r="D247" s="49">
        <v>242.69134</v>
      </c>
      <c r="E247" s="49">
        <v>353.97554000000002</v>
      </c>
      <c r="F247" s="49">
        <v>594.61644999999999</v>
      </c>
      <c r="G247" s="49">
        <v>0</v>
      </c>
      <c r="H247" s="49">
        <v>153.95535000000001</v>
      </c>
      <c r="I247" s="49">
        <v>231.4502</v>
      </c>
      <c r="J247" s="49">
        <v>313.08069999999998</v>
      </c>
      <c r="K247" s="49">
        <v>463.75074999999998</v>
      </c>
      <c r="L247" s="49">
        <v>776.45794999999998</v>
      </c>
      <c r="M247" s="49">
        <v>1174.94812</v>
      </c>
    </row>
    <row r="248" spans="1:13" x14ac:dyDescent="0.25">
      <c r="A248" s="48">
        <v>42606</v>
      </c>
      <c r="B248" s="49">
        <v>129.49011999999999</v>
      </c>
      <c r="C248" s="49">
        <v>182.5575</v>
      </c>
      <c r="D248" s="49">
        <v>243.62268</v>
      </c>
      <c r="E248" s="49">
        <v>356.31133</v>
      </c>
      <c r="F248" s="49">
        <v>593.90782999999999</v>
      </c>
      <c r="G248" s="49">
        <v>0</v>
      </c>
      <c r="H248" s="49">
        <v>154.04866000000001</v>
      </c>
      <c r="I248" s="49">
        <v>231.43922000000001</v>
      </c>
      <c r="J248" s="49">
        <v>308.13947000000002</v>
      </c>
      <c r="K248" s="49">
        <v>463.85061999999999</v>
      </c>
      <c r="L248" s="49">
        <v>776.42048999999997</v>
      </c>
      <c r="M248" s="49">
        <v>1174.96794</v>
      </c>
    </row>
    <row r="249" spans="1:13" x14ac:dyDescent="0.25">
      <c r="A249" s="48">
        <v>42607</v>
      </c>
      <c r="B249" s="49">
        <v>128.70976999999999</v>
      </c>
      <c r="C249" s="49">
        <v>149.56334000000001</v>
      </c>
      <c r="D249" s="49">
        <v>210.94667000000001</v>
      </c>
      <c r="E249" s="49">
        <v>318.78429999999997</v>
      </c>
      <c r="F249" s="49">
        <v>511.9085</v>
      </c>
      <c r="G249" s="49">
        <v>0</v>
      </c>
      <c r="H249" s="49">
        <v>154.02307999999999</v>
      </c>
      <c r="I249" s="49">
        <v>231.14934</v>
      </c>
      <c r="J249" s="49">
        <v>307.69636000000003</v>
      </c>
      <c r="K249" s="49">
        <v>463.87479000000002</v>
      </c>
      <c r="L249" s="49">
        <v>775.67373999999995</v>
      </c>
      <c r="M249" s="49">
        <v>1174.9615699999999</v>
      </c>
    </row>
    <row r="250" spans="1:13" x14ac:dyDescent="0.25">
      <c r="A250" s="48">
        <v>42608</v>
      </c>
      <c r="B250" s="49">
        <v>128.83840000000001</v>
      </c>
      <c r="C250" s="49">
        <v>149.64505</v>
      </c>
      <c r="D250" s="49">
        <v>210.99235999999999</v>
      </c>
      <c r="E250" s="49">
        <v>318.81713000000002</v>
      </c>
      <c r="F250" s="49">
        <v>512.89364999999998</v>
      </c>
      <c r="G250" s="49">
        <v>0</v>
      </c>
      <c r="H250" s="49">
        <v>154.03201000000001</v>
      </c>
      <c r="I250" s="49">
        <v>231.15717000000001</v>
      </c>
      <c r="J250" s="49">
        <v>307.74173999999999</v>
      </c>
      <c r="K250" s="49">
        <v>463.89542</v>
      </c>
      <c r="L250" s="49">
        <v>775.94533000000001</v>
      </c>
      <c r="M250" s="49">
        <v>1175.0949499999999</v>
      </c>
    </row>
    <row r="251" spans="1:13" x14ac:dyDescent="0.25">
      <c r="A251" s="48">
        <v>42611</v>
      </c>
      <c r="B251" s="49">
        <v>126.60966000000001</v>
      </c>
      <c r="C251" s="49">
        <v>149.56790000000001</v>
      </c>
      <c r="D251" s="49">
        <v>211.24712</v>
      </c>
      <c r="E251" s="49">
        <v>318.97849000000002</v>
      </c>
      <c r="F251" s="49">
        <v>513.02908000000002</v>
      </c>
      <c r="G251" s="49">
        <v>0</v>
      </c>
      <c r="H251" s="49">
        <v>153.90788000000001</v>
      </c>
      <c r="I251" s="49">
        <v>230.82973000000001</v>
      </c>
      <c r="J251" s="49">
        <v>304.40102000000002</v>
      </c>
      <c r="K251" s="49">
        <v>463.88209000000001</v>
      </c>
      <c r="L251" s="49">
        <v>775.69707000000005</v>
      </c>
      <c r="M251" s="49">
        <v>1175.04459</v>
      </c>
    </row>
    <row r="252" spans="1:13" x14ac:dyDescent="0.25">
      <c r="A252" s="48">
        <v>42612</v>
      </c>
      <c r="B252" s="49">
        <v>125.78942000000001</v>
      </c>
      <c r="C252" s="49">
        <v>149.58939000000001</v>
      </c>
      <c r="D252" s="49">
        <v>211.92083</v>
      </c>
      <c r="E252" s="49">
        <v>318.29050999999998</v>
      </c>
      <c r="F252" s="49">
        <v>513.10886000000005</v>
      </c>
      <c r="G252" s="49">
        <v>0</v>
      </c>
      <c r="H252" s="49">
        <v>153.73406</v>
      </c>
      <c r="I252" s="49">
        <v>221.89127999999999</v>
      </c>
      <c r="J252" s="49">
        <v>304.09082000000001</v>
      </c>
      <c r="K252" s="49">
        <v>463.59035999999998</v>
      </c>
      <c r="L252" s="49">
        <v>775.50031000000001</v>
      </c>
      <c r="M252" s="49">
        <v>1174.8810699999999</v>
      </c>
    </row>
    <row r="253" spans="1:13" x14ac:dyDescent="0.25">
      <c r="A253" s="48">
        <v>42613</v>
      </c>
      <c r="B253" s="49">
        <v>125.87757999999999</v>
      </c>
      <c r="C253" s="49">
        <v>149.73713000000001</v>
      </c>
      <c r="D253" s="49">
        <v>212.256</v>
      </c>
      <c r="E253" s="49">
        <v>318.45907999999997</v>
      </c>
      <c r="F253" s="49">
        <v>515.73638000000005</v>
      </c>
      <c r="G253" s="49">
        <v>0</v>
      </c>
      <c r="H253" s="49">
        <v>153.75986</v>
      </c>
      <c r="I253" s="49">
        <v>221.91498000000001</v>
      </c>
      <c r="J253" s="49">
        <v>303.53104999999999</v>
      </c>
      <c r="K253" s="49">
        <v>463.13520999999997</v>
      </c>
      <c r="L253" s="49">
        <v>775.05466999999999</v>
      </c>
      <c r="M253" s="49">
        <v>1174.3205499999999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B050"/>
  </sheetPr>
  <dimension ref="A1:R31"/>
  <sheetViews>
    <sheetView workbookViewId="0">
      <pane xSplit="1" ySplit="3" topLeftCell="B10" activePane="bottomRight" state="frozen"/>
      <selection activeCell="J32" sqref="J32"/>
      <selection pane="topRight" activeCell="J32" sqref="J32"/>
      <selection pane="bottomLeft" activeCell="J32" sqref="J32"/>
      <selection pane="bottomRight" activeCell="E29" sqref="E29"/>
    </sheetView>
  </sheetViews>
  <sheetFormatPr defaultRowHeight="15" x14ac:dyDescent="0.25"/>
  <cols>
    <col min="1" max="1" width="10.7109375" style="61" bestFit="1" customWidth="1"/>
    <col min="2" max="3" width="13" style="61" customWidth="1"/>
    <col min="4" max="11" width="13" style="60" customWidth="1"/>
    <col min="12" max="12" width="2.7109375" style="59" customWidth="1"/>
    <col min="13" max="13" width="38.42578125" style="60" customWidth="1"/>
    <col min="14" max="14" width="30.140625" style="60" bestFit="1" customWidth="1"/>
    <col min="15" max="15" width="10.7109375" style="60" bestFit="1" customWidth="1"/>
    <col min="16" max="16" width="13.42578125" style="60" bestFit="1" customWidth="1"/>
    <col min="17" max="17" width="17.5703125" style="60" bestFit="1" customWidth="1"/>
  </cols>
  <sheetData>
    <row r="1" spans="1:18" ht="15.75" x14ac:dyDescent="0.25">
      <c r="A1" s="83" t="s">
        <v>115</v>
      </c>
      <c r="B1" s="83"/>
      <c r="C1" s="83"/>
      <c r="D1" s="84"/>
      <c r="E1" s="84"/>
      <c r="F1" s="84"/>
      <c r="G1" s="84"/>
      <c r="H1" s="84"/>
      <c r="I1" s="84"/>
      <c r="J1" s="84"/>
      <c r="K1" s="84"/>
      <c r="M1" s="60" t="s">
        <v>58</v>
      </c>
      <c r="O1" s="60" t="s">
        <v>29</v>
      </c>
      <c r="P1" s="60" t="s">
        <v>116</v>
      </c>
    </row>
    <row r="2" spans="1:18" ht="75" x14ac:dyDescent="0.25">
      <c r="A2" s="85"/>
      <c r="B2" s="163" t="s">
        <v>169</v>
      </c>
      <c r="C2" s="163" t="s">
        <v>172</v>
      </c>
      <c r="D2" s="87" t="s">
        <v>117</v>
      </c>
      <c r="E2" s="87" t="str">
        <f t="shared" ref="E2:K2" si="0">$A$1&amp;" "&amp;E3</f>
        <v>JPM Leveraged Loan Index BBB</v>
      </c>
      <c r="F2" s="87" t="str">
        <f t="shared" si="0"/>
        <v>JPM Leveraged Loan Index Split-BBB</v>
      </c>
      <c r="G2" s="87" t="str">
        <f t="shared" si="0"/>
        <v>JPM Leveraged Loan Index BB</v>
      </c>
      <c r="H2" s="87" t="str">
        <f t="shared" si="0"/>
        <v>JPM Leveraged Loan Index Split-BB</v>
      </c>
      <c r="I2" s="87" t="str">
        <f t="shared" si="0"/>
        <v>JPM Leveraged Loan Index B</v>
      </c>
      <c r="J2" s="87" t="str">
        <f t="shared" si="0"/>
        <v>JPM Leveraged Loan Index Split-B/CCC</v>
      </c>
      <c r="K2" s="87" t="str">
        <f t="shared" si="0"/>
        <v>JPM Leveraged Loan Index NR</v>
      </c>
      <c r="L2" s="63"/>
      <c r="M2" s="179">
        <f>Valuation_Date</f>
        <v>42613</v>
      </c>
      <c r="N2" s="62"/>
      <c r="O2" s="62"/>
      <c r="P2" s="62"/>
      <c r="Q2" s="62"/>
    </row>
    <row r="3" spans="1:18" x14ac:dyDescent="0.25">
      <c r="A3" s="85"/>
      <c r="B3" s="85" t="s">
        <v>170</v>
      </c>
      <c r="C3" s="85" t="s">
        <v>173</v>
      </c>
      <c r="D3" s="86"/>
      <c r="E3" s="86" t="s">
        <v>12</v>
      </c>
      <c r="F3" s="86" t="s">
        <v>118</v>
      </c>
      <c r="G3" s="86" t="s">
        <v>64</v>
      </c>
      <c r="H3" s="86" t="s">
        <v>119</v>
      </c>
      <c r="I3" s="86" t="s">
        <v>63</v>
      </c>
      <c r="J3" s="86" t="s">
        <v>120</v>
      </c>
      <c r="K3" s="86" t="s">
        <v>13</v>
      </c>
      <c r="L3" s="63"/>
      <c r="M3" s="62" t="s">
        <v>6</v>
      </c>
      <c r="N3" s="165" t="s">
        <v>121</v>
      </c>
      <c r="O3" s="62" t="s">
        <v>121</v>
      </c>
      <c r="P3" s="62" t="s">
        <v>122</v>
      </c>
      <c r="Q3" s="62" t="s">
        <v>123</v>
      </c>
      <c r="R3" s="62" t="s">
        <v>217</v>
      </c>
    </row>
    <row r="4" spans="1:18" x14ac:dyDescent="0.25">
      <c r="A4" s="61">
        <v>39813</v>
      </c>
      <c r="B4" s="60"/>
      <c r="C4" s="60"/>
      <c r="D4" s="60">
        <v>1967</v>
      </c>
      <c r="E4" s="60">
        <v>841</v>
      </c>
      <c r="F4" s="60">
        <v>929</v>
      </c>
      <c r="G4" s="60">
        <v>1415</v>
      </c>
      <c r="H4" s="60">
        <v>1947</v>
      </c>
      <c r="I4" s="60">
        <v>2412</v>
      </c>
      <c r="J4" s="60">
        <v>3630</v>
      </c>
      <c r="K4" s="60">
        <v>1963</v>
      </c>
      <c r="M4" s="60" t="s">
        <v>124</v>
      </c>
      <c r="N4" s="51" t="s">
        <v>125</v>
      </c>
      <c r="O4" s="64" t="s">
        <v>126</v>
      </c>
      <c r="P4" s="125">
        <f>'[3]Liquidity Spreads'!$F$3</f>
        <v>0.8</v>
      </c>
      <c r="R4" s="15">
        <f>'[3]Liquidity Spreads'!$H$3</f>
        <v>0.82</v>
      </c>
    </row>
    <row r="5" spans="1:18" x14ac:dyDescent="0.25">
      <c r="A5" s="61">
        <v>40178</v>
      </c>
      <c r="B5" s="60"/>
      <c r="C5" s="60"/>
      <c r="D5" s="60">
        <v>695</v>
      </c>
      <c r="E5" s="60">
        <v>305</v>
      </c>
      <c r="F5" s="60">
        <v>356</v>
      </c>
      <c r="G5" s="60">
        <v>426</v>
      </c>
      <c r="H5" s="60">
        <v>675</v>
      </c>
      <c r="I5" s="60">
        <v>679</v>
      </c>
      <c r="J5" s="60">
        <v>1163</v>
      </c>
      <c r="K5" s="60">
        <v>999</v>
      </c>
      <c r="M5" s="60" t="s">
        <v>127</v>
      </c>
      <c r="N5" s="51" t="s">
        <v>128</v>
      </c>
      <c r="O5" s="64" t="s">
        <v>126</v>
      </c>
      <c r="P5" s="125">
        <f>'[3]Liquidity Spreads'!$F$4</f>
        <v>0.82</v>
      </c>
      <c r="Q5" s="64">
        <f t="shared" ref="Q5:Q10" si="1">MIN(+P5-P4,2)</f>
        <v>1.9999999999999907E-2</v>
      </c>
      <c r="R5" s="15">
        <f>'[3]Liquidity Spreads'!$H$4</f>
        <v>0.88</v>
      </c>
    </row>
    <row r="6" spans="1:18" x14ac:dyDescent="0.25">
      <c r="A6" s="61">
        <v>40543</v>
      </c>
      <c r="B6" s="60"/>
      <c r="C6" s="60"/>
      <c r="D6" s="60">
        <v>532</v>
      </c>
      <c r="E6" s="60">
        <v>231</v>
      </c>
      <c r="F6" s="60">
        <v>318</v>
      </c>
      <c r="G6" s="60">
        <v>365</v>
      </c>
      <c r="H6" s="60">
        <v>568</v>
      </c>
      <c r="I6" s="60">
        <v>555</v>
      </c>
      <c r="J6" s="60">
        <v>862</v>
      </c>
      <c r="K6" s="60">
        <v>734</v>
      </c>
      <c r="M6" s="60" t="s">
        <v>129</v>
      </c>
      <c r="N6" s="51" t="s">
        <v>130</v>
      </c>
      <c r="O6" s="64" t="s">
        <v>126</v>
      </c>
      <c r="P6" s="125">
        <f>'[3]Liquidity Spreads'!$F$5</f>
        <v>1.0900000000000001</v>
      </c>
      <c r="Q6" s="64">
        <f t="shared" si="1"/>
        <v>0.27000000000000013</v>
      </c>
      <c r="R6" s="15">
        <f>'[3]Liquidity Spreads'!$H$5</f>
        <v>1.17</v>
      </c>
    </row>
    <row r="7" spans="1:18" x14ac:dyDescent="0.25">
      <c r="A7" s="61">
        <v>40907</v>
      </c>
      <c r="B7" s="60"/>
      <c r="C7" s="60"/>
      <c r="D7" s="60">
        <v>676</v>
      </c>
      <c r="E7" s="60">
        <v>261</v>
      </c>
      <c r="F7" s="60">
        <v>335</v>
      </c>
      <c r="G7" s="60">
        <v>446</v>
      </c>
      <c r="H7" s="60">
        <v>534</v>
      </c>
      <c r="I7" s="60">
        <v>811</v>
      </c>
      <c r="J7" s="60">
        <v>1745</v>
      </c>
      <c r="K7" s="60">
        <v>972</v>
      </c>
      <c r="M7" s="60" t="s">
        <v>131</v>
      </c>
      <c r="N7" s="51" t="s">
        <v>132</v>
      </c>
      <c r="O7" s="64" t="s">
        <v>126</v>
      </c>
      <c r="P7" s="125">
        <f>'[3]Liquidity Spreads'!$F$6</f>
        <v>1.83</v>
      </c>
      <c r="Q7" s="64">
        <f t="shared" si="1"/>
        <v>0.74</v>
      </c>
      <c r="R7" s="15">
        <f>'[3]Liquidity Spreads'!$H$6</f>
        <v>1.97</v>
      </c>
    </row>
    <row r="8" spans="1:18" x14ac:dyDescent="0.25">
      <c r="A8" s="61">
        <v>41274</v>
      </c>
      <c r="B8" s="60"/>
      <c r="C8" s="60"/>
      <c r="D8" s="60">
        <v>563</v>
      </c>
      <c r="E8" s="60">
        <v>262</v>
      </c>
      <c r="F8" s="60">
        <v>302</v>
      </c>
      <c r="G8" s="60">
        <v>384</v>
      </c>
      <c r="H8" s="60">
        <v>477</v>
      </c>
      <c r="I8" s="60">
        <v>563</v>
      </c>
      <c r="J8" s="60">
        <v>1677</v>
      </c>
      <c r="K8" s="60">
        <v>747</v>
      </c>
      <c r="M8" s="60" t="s">
        <v>133</v>
      </c>
      <c r="N8" s="51" t="s">
        <v>134</v>
      </c>
      <c r="O8" s="64" t="s">
        <v>126</v>
      </c>
      <c r="P8" s="125">
        <f>'[3]Liquidity Spreads'!$F$7</f>
        <v>3.2</v>
      </c>
      <c r="Q8" s="64">
        <f t="shared" si="1"/>
        <v>1.37</v>
      </c>
      <c r="R8" s="15">
        <f>'[3]Liquidity Spreads'!$H$7</f>
        <v>3.53</v>
      </c>
    </row>
    <row r="9" spans="1:18" x14ac:dyDescent="0.25">
      <c r="A9" s="61">
        <v>41639</v>
      </c>
      <c r="B9" s="60"/>
      <c r="C9" s="60"/>
      <c r="D9" s="60">
        <v>435</v>
      </c>
      <c r="E9" s="60">
        <v>285</v>
      </c>
      <c r="F9" s="60">
        <v>271</v>
      </c>
      <c r="G9" s="60">
        <v>312</v>
      </c>
      <c r="H9" s="60">
        <v>382</v>
      </c>
      <c r="I9" s="60">
        <v>464</v>
      </c>
      <c r="J9" s="60">
        <v>1271</v>
      </c>
      <c r="K9" s="60">
        <v>678</v>
      </c>
      <c r="M9" s="60" t="s">
        <v>135</v>
      </c>
      <c r="N9" s="51" t="s">
        <v>136</v>
      </c>
      <c r="O9" s="64" t="s">
        <v>126</v>
      </c>
      <c r="P9" s="125">
        <f>'[3]Liquidity Spreads'!$F$8</f>
        <v>5.0199999999999996</v>
      </c>
      <c r="Q9" s="64">
        <f t="shared" si="1"/>
        <v>1.8199999999999994</v>
      </c>
      <c r="R9" s="15">
        <f>'[3]Liquidity Spreads'!$H$8</f>
        <v>5.68</v>
      </c>
    </row>
    <row r="10" spans="1:18" x14ac:dyDescent="0.25">
      <c r="A10" s="61">
        <v>42004</v>
      </c>
      <c r="B10" s="60"/>
      <c r="C10" s="60"/>
      <c r="D10" s="60">
        <v>491</v>
      </c>
      <c r="E10" s="60">
        <v>433</v>
      </c>
      <c r="F10" s="60">
        <v>326</v>
      </c>
      <c r="G10" s="60">
        <v>379</v>
      </c>
      <c r="H10" s="60">
        <v>454</v>
      </c>
      <c r="I10" s="60">
        <v>541</v>
      </c>
      <c r="J10" s="60">
        <v>1110</v>
      </c>
      <c r="K10" s="60">
        <v>724</v>
      </c>
      <c r="M10" s="60" t="s">
        <v>137</v>
      </c>
      <c r="N10" s="51" t="s">
        <v>138</v>
      </c>
      <c r="O10" s="64" t="s">
        <v>126</v>
      </c>
      <c r="P10" s="125">
        <f>'[3]Liquidity Spreads'!$F$9</f>
        <v>12.38</v>
      </c>
      <c r="Q10" s="64">
        <f t="shared" si="1"/>
        <v>2</v>
      </c>
      <c r="R10" s="15">
        <f>'[3]Liquidity Spreads'!$H$9</f>
        <v>13.16</v>
      </c>
    </row>
    <row r="11" spans="1:18" x14ac:dyDescent="0.25">
      <c r="A11" s="61">
        <v>42124</v>
      </c>
      <c r="B11" s="60"/>
      <c r="C11" s="60"/>
      <c r="D11" s="60">
        <v>427</v>
      </c>
      <c r="E11" s="60">
        <v>243</v>
      </c>
      <c r="F11" s="60">
        <v>268</v>
      </c>
      <c r="G11" s="60">
        <v>331</v>
      </c>
      <c r="H11" s="60">
        <v>389</v>
      </c>
      <c r="I11" s="60">
        <v>484</v>
      </c>
      <c r="J11" s="60">
        <v>1036</v>
      </c>
      <c r="K11" s="60">
        <v>549</v>
      </c>
    </row>
    <row r="12" spans="1:18" x14ac:dyDescent="0.25">
      <c r="A12" s="61">
        <v>42153</v>
      </c>
      <c r="B12" s="60"/>
      <c r="C12" s="60"/>
      <c r="D12" s="60">
        <v>435</v>
      </c>
      <c r="E12" s="60">
        <v>235</v>
      </c>
      <c r="F12" s="60">
        <v>276</v>
      </c>
      <c r="G12" s="60">
        <v>335</v>
      </c>
      <c r="H12" s="60">
        <v>387</v>
      </c>
      <c r="I12" s="60">
        <v>487</v>
      </c>
      <c r="J12" s="60">
        <v>1174</v>
      </c>
      <c r="K12" s="60">
        <v>561</v>
      </c>
      <c r="M12" s="60" t="s">
        <v>139</v>
      </c>
      <c r="N12" s="51" t="s">
        <v>140</v>
      </c>
      <c r="O12" s="64" t="s">
        <v>126</v>
      </c>
      <c r="P12" s="125">
        <f>'[3]Liquidity Spreads'!$F$10</f>
        <v>2.19</v>
      </c>
      <c r="R12" s="15">
        <f>'[3]Liquidity Spreads'!$H$10</f>
        <v>2.31</v>
      </c>
    </row>
    <row r="13" spans="1:18" x14ac:dyDescent="0.25">
      <c r="A13" s="61">
        <v>42185</v>
      </c>
      <c r="B13" s="60"/>
      <c r="C13" s="60"/>
      <c r="D13" s="60">
        <v>458</v>
      </c>
      <c r="E13" s="60">
        <v>246</v>
      </c>
      <c r="F13" s="60">
        <v>282</v>
      </c>
      <c r="G13" s="60">
        <v>346</v>
      </c>
      <c r="H13" s="60">
        <v>404</v>
      </c>
      <c r="I13" s="60">
        <v>513</v>
      </c>
      <c r="J13" s="60">
        <v>1303</v>
      </c>
      <c r="K13" s="60">
        <v>648</v>
      </c>
      <c r="M13" s="60" t="s">
        <v>69</v>
      </c>
      <c r="N13" s="51" t="s">
        <v>141</v>
      </c>
      <c r="O13" s="64" t="s">
        <v>126</v>
      </c>
      <c r="P13" s="125">
        <f>'[3]Liquidity Spreads'!$F$11</f>
        <v>2.0299999999999998</v>
      </c>
      <c r="R13" s="15">
        <f>'[3]Liquidity Spreads'!$H$11</f>
        <v>2.17</v>
      </c>
    </row>
    <row r="14" spans="1:18" x14ac:dyDescent="0.25">
      <c r="A14" s="61">
        <v>42216</v>
      </c>
      <c r="B14" s="60"/>
      <c r="C14" s="60"/>
      <c r="D14" s="60">
        <v>461</v>
      </c>
      <c r="E14" s="60">
        <v>243</v>
      </c>
      <c r="F14" s="60">
        <v>283</v>
      </c>
      <c r="G14" s="60">
        <v>348</v>
      </c>
      <c r="H14" s="60">
        <v>406</v>
      </c>
      <c r="I14" s="60">
        <v>513</v>
      </c>
      <c r="J14" s="60">
        <v>1460</v>
      </c>
      <c r="K14" s="60">
        <v>719</v>
      </c>
      <c r="M14" s="60" t="s">
        <v>142</v>
      </c>
      <c r="N14" s="51" t="s">
        <v>143</v>
      </c>
      <c r="O14" s="64" t="s">
        <v>126</v>
      </c>
      <c r="P14" s="125">
        <f>'[3]Liquidity Spreads'!$F$12</f>
        <v>1.82</v>
      </c>
      <c r="R14" s="15">
        <f>'[3]Liquidity Spreads'!$H$12</f>
        <v>1.96</v>
      </c>
    </row>
    <row r="15" spans="1:18" x14ac:dyDescent="0.25">
      <c r="A15" s="61">
        <v>42247</v>
      </c>
      <c r="B15" s="60"/>
      <c r="C15" s="60"/>
      <c r="D15" s="60">
        <v>495</v>
      </c>
      <c r="E15" s="60">
        <v>250</v>
      </c>
      <c r="F15" s="60">
        <v>295</v>
      </c>
      <c r="G15" s="60">
        <v>372</v>
      </c>
      <c r="H15" s="60">
        <v>441</v>
      </c>
      <c r="I15" s="60">
        <v>547</v>
      </c>
      <c r="J15" s="60">
        <v>1672</v>
      </c>
      <c r="K15" s="60">
        <v>745</v>
      </c>
      <c r="M15" s="60" t="s">
        <v>72</v>
      </c>
      <c r="N15" s="60" t="s">
        <v>73</v>
      </c>
      <c r="O15" s="64" t="s">
        <v>126</v>
      </c>
      <c r="P15" s="125">
        <v>12</v>
      </c>
      <c r="R15">
        <v>13.02</v>
      </c>
    </row>
    <row r="16" spans="1:18" x14ac:dyDescent="0.25">
      <c r="A16" s="61">
        <v>42277</v>
      </c>
      <c r="B16" s="60"/>
      <c r="C16" s="60"/>
      <c r="D16" s="60">
        <v>531</v>
      </c>
      <c r="E16" s="60">
        <v>251</v>
      </c>
      <c r="F16" s="60">
        <v>304</v>
      </c>
      <c r="G16" s="60">
        <v>389</v>
      </c>
      <c r="H16" s="60">
        <v>467</v>
      </c>
      <c r="I16" s="60">
        <v>587</v>
      </c>
      <c r="J16" s="60">
        <v>1918</v>
      </c>
      <c r="K16" s="60">
        <v>766</v>
      </c>
      <c r="M16" s="60" t="s">
        <v>176</v>
      </c>
      <c r="N16" s="60" t="s">
        <v>177</v>
      </c>
      <c r="O16" s="64" t="s">
        <v>126</v>
      </c>
      <c r="P16" s="125">
        <f>1092.7062095292/100</f>
        <v>10.927062095291999</v>
      </c>
      <c r="R16">
        <v>11.317610769999998</v>
      </c>
    </row>
    <row r="17" spans="1:18" x14ac:dyDescent="0.25">
      <c r="A17" s="61">
        <v>42307</v>
      </c>
      <c r="B17" s="60"/>
      <c r="C17" s="60"/>
      <c r="D17" s="60">
        <v>542</v>
      </c>
      <c r="E17" s="60">
        <v>247</v>
      </c>
      <c r="F17" s="60">
        <v>295</v>
      </c>
      <c r="G17" s="60">
        <v>375</v>
      </c>
      <c r="H17" s="60">
        <v>501</v>
      </c>
      <c r="I17" s="60">
        <v>587</v>
      </c>
      <c r="J17" s="60">
        <v>2031</v>
      </c>
      <c r="K17" s="60">
        <v>792</v>
      </c>
      <c r="M17" s="60" t="s">
        <v>179</v>
      </c>
      <c r="N17" s="51" t="s">
        <v>178</v>
      </c>
      <c r="O17" s="64" t="s">
        <v>126</v>
      </c>
      <c r="P17" s="125">
        <f>1686.83324228287/100</f>
        <v>16.868332422828701</v>
      </c>
      <c r="R17">
        <v>20.075145110000001</v>
      </c>
    </row>
    <row r="18" spans="1:18" x14ac:dyDescent="0.25">
      <c r="A18" s="61">
        <v>42338</v>
      </c>
      <c r="B18" s="60">
        <v>494</v>
      </c>
      <c r="C18" s="60">
        <v>811</v>
      </c>
      <c r="D18" s="60">
        <v>578</v>
      </c>
      <c r="E18" s="60">
        <v>261</v>
      </c>
      <c r="F18" s="60">
        <v>319</v>
      </c>
      <c r="G18" s="60">
        <v>407</v>
      </c>
      <c r="H18" s="60">
        <v>531</v>
      </c>
      <c r="I18" s="60">
        <v>629</v>
      </c>
      <c r="J18" s="60">
        <v>2388</v>
      </c>
      <c r="K18" s="60">
        <v>862</v>
      </c>
      <c r="M18" s="60" t="s">
        <v>186</v>
      </c>
      <c r="N18" s="51" t="s">
        <v>187</v>
      </c>
      <c r="O18" s="64" t="s">
        <v>126</v>
      </c>
      <c r="P18" s="125">
        <f>246.338590571924/100</f>
        <v>2.4633859057192398</v>
      </c>
      <c r="R18">
        <v>2.769421597</v>
      </c>
    </row>
    <row r="19" spans="1:18" x14ac:dyDescent="0.25">
      <c r="A19" s="61">
        <v>42369</v>
      </c>
      <c r="B19" s="60">
        <v>526</v>
      </c>
      <c r="C19" s="60">
        <v>753</v>
      </c>
      <c r="D19" s="60">
        <v>617</v>
      </c>
      <c r="E19" s="60">
        <v>285</v>
      </c>
      <c r="F19" s="60">
        <v>323</v>
      </c>
      <c r="G19" s="60">
        <v>429</v>
      </c>
      <c r="H19" s="60">
        <v>528</v>
      </c>
      <c r="I19" s="60">
        <v>705</v>
      </c>
      <c r="J19" s="60">
        <v>2498</v>
      </c>
      <c r="K19" s="60">
        <v>858</v>
      </c>
      <c r="M19" s="60" t="s">
        <v>189</v>
      </c>
      <c r="N19" s="51" t="s">
        <v>190</v>
      </c>
      <c r="O19" s="64" t="s">
        <v>126</v>
      </c>
      <c r="P19" s="125">
        <f>401.674377328381/100</f>
        <v>4.0167437732838103</v>
      </c>
      <c r="R19">
        <v>4.6659471349999997</v>
      </c>
    </row>
    <row r="20" spans="1:18" x14ac:dyDescent="0.25">
      <c r="A20" s="61">
        <v>42398</v>
      </c>
      <c r="B20" s="60">
        <v>576</v>
      </c>
      <c r="C20" s="60">
        <v>697</v>
      </c>
      <c r="D20" s="60">
        <v>647</v>
      </c>
      <c r="E20" s="60">
        <v>284</v>
      </c>
      <c r="F20" s="60">
        <v>332</v>
      </c>
      <c r="G20" s="60">
        <v>457</v>
      </c>
      <c r="H20" s="60">
        <v>546</v>
      </c>
      <c r="I20" s="60">
        <v>746</v>
      </c>
      <c r="J20" s="60">
        <v>2557</v>
      </c>
      <c r="K20" s="60">
        <v>737</v>
      </c>
    </row>
    <row r="21" spans="1:18" x14ac:dyDescent="0.25">
      <c r="A21" s="61">
        <v>42429</v>
      </c>
      <c r="B21" s="60">
        <v>599</v>
      </c>
      <c r="C21" s="60">
        <v>753</v>
      </c>
      <c r="D21" s="60">
        <v>680</v>
      </c>
      <c r="E21" s="60">
        <v>285</v>
      </c>
      <c r="F21" s="60">
        <v>336</v>
      </c>
      <c r="G21" s="60">
        <v>458</v>
      </c>
      <c r="H21" s="60">
        <v>578</v>
      </c>
      <c r="I21" s="60">
        <v>782</v>
      </c>
      <c r="J21" s="60">
        <v>2634</v>
      </c>
      <c r="K21" s="60">
        <v>783</v>
      </c>
      <c r="P21" s="196"/>
    </row>
    <row r="22" spans="1:18" x14ac:dyDescent="0.25">
      <c r="A22" s="61">
        <v>42460</v>
      </c>
      <c r="B22" s="60">
        <v>520</v>
      </c>
      <c r="C22" s="60">
        <v>636</v>
      </c>
      <c r="D22" s="60">
        <v>601</v>
      </c>
      <c r="E22" s="60">
        <v>273</v>
      </c>
      <c r="F22" s="60">
        <v>326</v>
      </c>
      <c r="G22" s="60">
        <v>399</v>
      </c>
      <c r="H22" s="60">
        <v>491</v>
      </c>
      <c r="I22" s="60">
        <v>666</v>
      </c>
      <c r="J22" s="60">
        <v>2396</v>
      </c>
      <c r="K22" s="60">
        <v>781</v>
      </c>
    </row>
    <row r="23" spans="1:18" x14ac:dyDescent="0.25">
      <c r="A23" s="61">
        <v>42489</v>
      </c>
      <c r="B23" s="60">
        <v>492</v>
      </c>
      <c r="C23" s="60">
        <v>607</v>
      </c>
      <c r="D23" s="60">
        <v>559</v>
      </c>
      <c r="E23" s="60">
        <v>283</v>
      </c>
      <c r="F23" s="60">
        <v>313</v>
      </c>
      <c r="G23" s="60">
        <v>371</v>
      </c>
      <c r="H23" s="60">
        <v>450</v>
      </c>
      <c r="I23" s="60">
        <v>601</v>
      </c>
      <c r="J23" s="60">
        <v>2078</v>
      </c>
      <c r="K23" s="60">
        <v>859</v>
      </c>
    </row>
    <row r="24" spans="1:18" x14ac:dyDescent="0.25">
      <c r="A24" s="61">
        <v>42521</v>
      </c>
      <c r="B24" s="60">
        <v>485</v>
      </c>
      <c r="C24" s="60">
        <v>550</v>
      </c>
      <c r="D24" s="60">
        <v>539</v>
      </c>
      <c r="E24" s="60">
        <v>272</v>
      </c>
      <c r="F24" s="60">
        <v>309</v>
      </c>
      <c r="G24" s="60">
        <v>359</v>
      </c>
      <c r="H24" s="60">
        <v>433</v>
      </c>
      <c r="I24" s="60">
        <v>582</v>
      </c>
      <c r="J24" s="60">
        <v>1879</v>
      </c>
      <c r="K24" s="60">
        <v>845</v>
      </c>
    </row>
    <row r="25" spans="1:18" x14ac:dyDescent="0.25">
      <c r="A25" s="61">
        <v>42551</v>
      </c>
      <c r="B25" s="60">
        <v>524</v>
      </c>
      <c r="C25" s="60">
        <v>612</v>
      </c>
      <c r="D25" s="60">
        <v>571</v>
      </c>
      <c r="E25" s="60">
        <v>317</v>
      </c>
      <c r="F25" s="60">
        <v>328</v>
      </c>
      <c r="G25" s="60">
        <v>391</v>
      </c>
      <c r="H25" s="60">
        <v>477</v>
      </c>
      <c r="I25" s="60">
        <v>622</v>
      </c>
      <c r="J25" s="60">
        <v>1920</v>
      </c>
      <c r="K25" s="60">
        <v>877</v>
      </c>
    </row>
    <row r="26" spans="1:18" x14ac:dyDescent="0.25">
      <c r="A26" s="61">
        <v>42580</v>
      </c>
      <c r="B26" s="60">
        <v>498</v>
      </c>
      <c r="C26" s="60">
        <v>567</v>
      </c>
      <c r="D26" s="60">
        <v>533</v>
      </c>
      <c r="E26" s="60">
        <v>306</v>
      </c>
      <c r="F26" s="60">
        <v>321</v>
      </c>
      <c r="G26" s="60">
        <v>362</v>
      </c>
      <c r="H26" s="60">
        <v>435</v>
      </c>
      <c r="I26" s="60">
        <v>575</v>
      </c>
      <c r="J26" s="60">
        <v>1792</v>
      </c>
      <c r="K26" s="60">
        <v>781</v>
      </c>
    </row>
    <row r="27" spans="1:18" x14ac:dyDescent="0.25">
      <c r="A27" s="61">
        <v>42613</v>
      </c>
      <c r="B27" s="60">
        <v>483</v>
      </c>
      <c r="C27" s="60">
        <v>539</v>
      </c>
      <c r="D27" s="60">
        <v>517</v>
      </c>
      <c r="E27" s="60">
        <v>294</v>
      </c>
      <c r="F27" s="60">
        <v>289</v>
      </c>
      <c r="G27" s="60">
        <v>346</v>
      </c>
      <c r="H27" s="60">
        <v>433</v>
      </c>
      <c r="I27" s="60">
        <v>551</v>
      </c>
      <c r="J27" s="60">
        <v>1671</v>
      </c>
      <c r="K27" s="60">
        <v>774</v>
      </c>
    </row>
    <row r="28" spans="1:18" x14ac:dyDescent="0.25">
      <c r="B28" s="60"/>
      <c r="C28" s="60"/>
    </row>
    <row r="29" spans="1:18" x14ac:dyDescent="0.25">
      <c r="B29" s="60"/>
      <c r="C29" s="60"/>
    </row>
    <row r="30" spans="1:18" x14ac:dyDescent="0.25">
      <c r="B30" s="60"/>
      <c r="C30" s="60"/>
    </row>
    <row r="31" spans="1:18" x14ac:dyDescent="0.25">
      <c r="B31" s="60"/>
      <c r="C31" s="6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8"/>
  <sheetViews>
    <sheetView workbookViewId="0">
      <selection activeCell="M35" sqref="M35"/>
    </sheetView>
  </sheetViews>
  <sheetFormatPr defaultRowHeight="15" x14ac:dyDescent="0.25"/>
  <cols>
    <col min="1" max="1" width="10" bestFit="1" customWidth="1"/>
    <col min="2" max="2" width="17.28515625" bestFit="1" customWidth="1"/>
  </cols>
  <sheetData>
    <row r="1" spans="1:2" x14ac:dyDescent="0.25">
      <c r="A1" s="126" t="s">
        <v>158</v>
      </c>
      <c r="B1" s="126" t="s">
        <v>165</v>
      </c>
    </row>
    <row r="2" spans="1:2" x14ac:dyDescent="0.25">
      <c r="A2" s="31" t="s">
        <v>159</v>
      </c>
      <c r="B2" s="31" t="s">
        <v>12</v>
      </c>
    </row>
    <row r="3" spans="1:2" x14ac:dyDescent="0.25">
      <c r="A3" t="s">
        <v>147</v>
      </c>
      <c r="B3" t="s">
        <v>12</v>
      </c>
    </row>
    <row r="4" spans="1:2" x14ac:dyDescent="0.25">
      <c r="A4" t="s">
        <v>146</v>
      </c>
      <c r="B4" t="s">
        <v>64</v>
      </c>
    </row>
    <row r="5" spans="1:2" x14ac:dyDescent="0.25">
      <c r="A5" t="s">
        <v>78</v>
      </c>
      <c r="B5" t="s">
        <v>64</v>
      </c>
    </row>
    <row r="6" spans="1:2" x14ac:dyDescent="0.25">
      <c r="A6" t="s">
        <v>160</v>
      </c>
      <c r="B6" t="s">
        <v>63</v>
      </c>
    </row>
    <row r="7" spans="1:2" x14ac:dyDescent="0.25">
      <c r="A7" t="s">
        <v>161</v>
      </c>
      <c r="B7" t="s">
        <v>74</v>
      </c>
    </row>
    <row r="8" spans="1:2" x14ac:dyDescent="0.25">
      <c r="A8" t="s">
        <v>162</v>
      </c>
      <c r="B8" t="s">
        <v>163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AK23"/>
  <sheetViews>
    <sheetView zoomScaleNormal="100" workbookViewId="0">
      <selection activeCell="X3" sqref="X3"/>
    </sheetView>
  </sheetViews>
  <sheetFormatPr defaultRowHeight="15" outlineLevelCol="1" x14ac:dyDescent="0.25"/>
  <cols>
    <col min="1" max="1" width="23" customWidth="1"/>
    <col min="2" max="2" width="14.140625" customWidth="1"/>
    <col min="3" max="3" width="11" bestFit="1" customWidth="1"/>
    <col min="4" max="4" width="9.7109375" bestFit="1" customWidth="1"/>
    <col min="5" max="5" width="9.7109375" customWidth="1"/>
    <col min="6" max="6" width="8.7109375" bestFit="1" customWidth="1"/>
    <col min="7" max="7" width="8.85546875" style="67" customWidth="1"/>
    <col min="8" max="8" width="13.42578125" customWidth="1" outlineLevel="1"/>
    <col min="9" max="9" width="17.5703125" customWidth="1" outlineLevel="1"/>
    <col min="10" max="10" width="10.28515625" customWidth="1" outlineLevel="1"/>
    <col min="11" max="11" width="6.140625" customWidth="1" outlineLevel="1"/>
    <col min="12" max="12" width="8.7109375" customWidth="1" outlineLevel="1"/>
    <col min="13" max="13" width="17.28515625" customWidth="1" outlineLevel="1"/>
    <col min="14" max="14" width="5.7109375" customWidth="1" outlineLevel="1"/>
    <col min="15" max="15" width="9" bestFit="1" customWidth="1"/>
    <col min="16" max="16" width="14.7109375" customWidth="1"/>
    <col min="17" max="17" width="8.28515625" customWidth="1"/>
    <col min="18" max="18" width="13.7109375" customWidth="1"/>
    <col min="19" max="19" width="8.42578125" customWidth="1"/>
    <col min="20" max="20" width="10.7109375" bestFit="1" customWidth="1"/>
    <col min="21" max="21" width="10.85546875" bestFit="1" customWidth="1"/>
    <col min="22" max="22" width="10.28515625" bestFit="1" customWidth="1"/>
    <col min="23" max="23" width="10.28515625" style="191" customWidth="1"/>
    <col min="24" max="24" width="6.140625" customWidth="1"/>
    <col min="25" max="25" width="8.7109375" bestFit="1" customWidth="1"/>
    <col min="26" max="26" width="8.42578125" bestFit="1" customWidth="1"/>
    <col min="27" max="27" width="10" bestFit="1" customWidth="1"/>
    <col min="28" max="28" width="9" bestFit="1" customWidth="1"/>
    <col min="29" max="29" width="17.85546875" bestFit="1" customWidth="1"/>
    <col min="30" max="30" width="10.140625" bestFit="1" customWidth="1"/>
  </cols>
  <sheetData>
    <row r="1" spans="1:37" s="67" customFormat="1" x14ac:dyDescent="0.25">
      <c r="A1" s="81"/>
      <c r="B1" s="154" t="s">
        <v>25</v>
      </c>
      <c r="C1" s="173">
        <f>Valuation_Date</f>
        <v>42613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154" t="s">
        <v>157</v>
      </c>
      <c r="U1" s="173">
        <f>LIBOR_Date</f>
        <v>42613</v>
      </c>
      <c r="V1" s="81"/>
      <c r="W1" s="81"/>
      <c r="X1" s="81"/>
      <c r="Y1" s="81"/>
      <c r="Z1" s="81"/>
      <c r="AA1" s="81"/>
      <c r="AB1" s="81"/>
      <c r="AC1" s="81"/>
      <c r="AD1" s="81"/>
    </row>
    <row r="2" spans="1:37" s="167" customFormat="1" ht="30" x14ac:dyDescent="0.25">
      <c r="A2" s="166" t="s">
        <v>0</v>
      </c>
      <c r="B2" s="166" t="s">
        <v>6</v>
      </c>
      <c r="C2" s="166" t="s">
        <v>1</v>
      </c>
      <c r="D2" s="166" t="s">
        <v>58</v>
      </c>
      <c r="E2" s="166" t="s">
        <v>2</v>
      </c>
      <c r="F2" s="166" t="s">
        <v>55</v>
      </c>
      <c r="G2" s="166" t="s">
        <v>150</v>
      </c>
      <c r="H2" s="166" t="s">
        <v>108</v>
      </c>
      <c r="I2" s="166" t="s">
        <v>109</v>
      </c>
      <c r="J2" s="166" t="s">
        <v>5</v>
      </c>
      <c r="K2" s="166" t="s">
        <v>103</v>
      </c>
      <c r="L2" s="166" t="s">
        <v>11</v>
      </c>
      <c r="M2" s="166" t="s">
        <v>107</v>
      </c>
      <c r="N2" s="166" t="s">
        <v>96</v>
      </c>
      <c r="O2" s="166" t="s">
        <v>97</v>
      </c>
      <c r="P2" s="166" t="s">
        <v>98</v>
      </c>
      <c r="Q2" s="166" t="s">
        <v>99</v>
      </c>
      <c r="R2" s="166" t="s">
        <v>100</v>
      </c>
      <c r="S2" s="166" t="s">
        <v>29</v>
      </c>
      <c r="T2" s="166" t="s">
        <v>110</v>
      </c>
      <c r="U2" s="166" t="s">
        <v>104</v>
      </c>
      <c r="V2" s="166" t="s">
        <v>111</v>
      </c>
      <c r="W2" s="166" t="s">
        <v>191</v>
      </c>
      <c r="X2" s="166" t="s">
        <v>22</v>
      </c>
      <c r="Y2" s="166" t="s">
        <v>21</v>
      </c>
      <c r="Z2" s="166" t="s">
        <v>23</v>
      </c>
      <c r="AA2" s="166" t="s">
        <v>112</v>
      </c>
      <c r="AB2" s="166" t="s">
        <v>24</v>
      </c>
      <c r="AC2" s="166" t="s">
        <v>113</v>
      </c>
      <c r="AD2" s="166" t="s">
        <v>114</v>
      </c>
      <c r="AK2" s="168"/>
    </row>
    <row r="3" spans="1:37" s="53" customFormat="1" x14ac:dyDescent="0.25">
      <c r="A3" s="155"/>
      <c r="B3" s="155"/>
      <c r="C3" s="156"/>
      <c r="D3" s="156">
        <v>41814</v>
      </c>
      <c r="E3" s="156">
        <v>45841</v>
      </c>
      <c r="F3" s="201">
        <f>C1+2</f>
        <v>42615</v>
      </c>
      <c r="G3" s="160">
        <f>INDEX(D13:D16,MATCH(C1,B13:B16,1))</f>
        <v>102</v>
      </c>
      <c r="H3" s="155"/>
      <c r="I3" s="103">
        <v>5.5E-2</v>
      </c>
      <c r="J3" s="155">
        <v>4</v>
      </c>
      <c r="K3" s="155">
        <v>2</v>
      </c>
      <c r="L3" s="54" t="e">
        <f ca="1">DURATION($C$1,E3,H3/100,Z3,J3,K3)</f>
        <v>#NAME?</v>
      </c>
      <c r="M3" s="54" t="e">
        <f ca="1">DURATION($C$1,F3,I3/100,Z3,J3,K3)</f>
        <v>#NAME?</v>
      </c>
      <c r="N3" s="155" t="s">
        <v>64</v>
      </c>
      <c r="O3" s="157" t="s">
        <v>54</v>
      </c>
      <c r="P3" s="51" t="str">
        <f t="shared" ref="P3" si="0">+O3&amp;" index"</f>
        <v>USSW9 index</v>
      </c>
      <c r="Q3" s="157" t="s">
        <v>101</v>
      </c>
      <c r="R3" s="51" t="str">
        <f t="shared" ref="R3" si="1">+Q3&amp;" Index"</f>
        <v>US0001M Index</v>
      </c>
      <c r="S3" s="158" t="e">
        <f ca="1">_xll.BDH(P3,$S$2,$C$1)</f>
        <v>#NAME?</v>
      </c>
      <c r="T3" s="69" t="e">
        <f ca="1">+S3+I3*100</f>
        <v>#NAME?</v>
      </c>
      <c r="U3" s="158" t="e">
        <f ca="1">_xll.BDH(R3,$U$8,$U$1)</f>
        <v>#NAME?</v>
      </c>
      <c r="V3" s="54" t="e">
        <f ca="1">+U3+I3*100</f>
        <v>#NAME?</v>
      </c>
      <c r="W3" s="195" t="s">
        <v>94</v>
      </c>
      <c r="X3" s="222">
        <f>X10</f>
        <v>3.3000000000000002E-2</v>
      </c>
      <c r="Y3" s="70">
        <f>'[3]Liquidity Spreads'!$G$7*100</f>
        <v>137</v>
      </c>
      <c r="Z3" s="71" t="e">
        <f ca="1">(+S3/100+X3+Y3/10000)</f>
        <v>#NAME?</v>
      </c>
      <c r="AA3" s="55" t="e">
        <f ca="1">(+U3/100+X3+Y3/10000)</f>
        <v>#NAME?</v>
      </c>
      <c r="AB3" s="56" t="e">
        <f ca="1">+MIN(102,PRICE($C$1,E3,T3/100,Z3,100,J3,K3))</f>
        <v>#NAME?</v>
      </c>
      <c r="AC3" s="56" t="e">
        <f ca="1">+PRICE($C$1,F3,V3/100,AA3,100,J3,K3)</f>
        <v>#NAME?</v>
      </c>
      <c r="AD3" s="56" t="e">
        <f t="shared" ref="AD3" ca="1" si="2">+MIN(AB3,AC3)</f>
        <v>#NAME?</v>
      </c>
      <c r="AK3" s="57"/>
    </row>
    <row r="7" spans="1:37" s="49" customFormat="1" x14ac:dyDescent="0.25">
      <c r="A7" s="81" t="s">
        <v>16</v>
      </c>
      <c r="B7" s="81"/>
      <c r="C7" s="81"/>
      <c r="D7" s="81"/>
      <c r="E7" s="81"/>
      <c r="F7" s="81" t="s">
        <v>31</v>
      </c>
      <c r="G7" s="81"/>
      <c r="H7" s="81"/>
      <c r="I7" s="81"/>
      <c r="J7" s="111"/>
      <c r="K7" s="153"/>
      <c r="L7" s="112"/>
      <c r="M7" s="112"/>
      <c r="N7" s="112"/>
      <c r="O7" s="81" t="s">
        <v>52</v>
      </c>
      <c r="P7" s="81" t="s">
        <v>52</v>
      </c>
      <c r="Q7" s="81"/>
      <c r="R7" s="81"/>
      <c r="S7" s="113"/>
      <c r="T7" s="113"/>
      <c r="U7" s="113"/>
      <c r="V7" s="113"/>
      <c r="W7" s="113"/>
      <c r="X7" s="81"/>
      <c r="Y7" s="81"/>
      <c r="Z7" s="81"/>
      <c r="AA7" s="81"/>
      <c r="AB7" s="114"/>
      <c r="AC7" s="81"/>
      <c r="AD7" s="81"/>
    </row>
    <row r="8" spans="1:37" s="7" customFormat="1" x14ac:dyDescent="0.25">
      <c r="A8" s="88" t="s">
        <v>0</v>
      </c>
      <c r="B8" s="88" t="s">
        <v>6</v>
      </c>
      <c r="C8" s="88" t="s">
        <v>1</v>
      </c>
      <c r="D8" s="88"/>
      <c r="E8" s="88" t="s">
        <v>2</v>
      </c>
      <c r="F8" s="88" t="s">
        <v>33</v>
      </c>
      <c r="G8" s="88"/>
      <c r="H8" s="88" t="s">
        <v>48</v>
      </c>
      <c r="I8" s="88"/>
      <c r="J8" s="89"/>
      <c r="K8" s="88"/>
      <c r="L8" s="115" t="s">
        <v>11</v>
      </c>
      <c r="M8" s="115"/>
      <c r="N8" s="115"/>
      <c r="O8" s="88" t="s">
        <v>32</v>
      </c>
      <c r="P8" s="88" t="s">
        <v>38</v>
      </c>
      <c r="Q8" s="88"/>
      <c r="R8" s="88"/>
      <c r="S8" s="88" t="s">
        <v>19</v>
      </c>
      <c r="T8" s="88"/>
      <c r="U8" s="152" t="s">
        <v>29</v>
      </c>
      <c r="V8" s="88"/>
      <c r="W8" s="88"/>
      <c r="X8" s="88" t="s">
        <v>26</v>
      </c>
      <c r="Y8" s="88"/>
      <c r="Z8" s="88"/>
      <c r="AA8" s="116" t="s">
        <v>23</v>
      </c>
      <c r="AB8" s="88"/>
      <c r="AC8" s="88"/>
      <c r="AD8" s="88"/>
    </row>
    <row r="9" spans="1:37" x14ac:dyDescent="0.25">
      <c r="A9" s="133" t="s">
        <v>51</v>
      </c>
      <c r="B9" s="101" t="s">
        <v>94</v>
      </c>
      <c r="C9" s="101"/>
      <c r="O9" s="101" t="s">
        <v>39</v>
      </c>
      <c r="P9" s="49" t="str">
        <f t="shared" ref="P9" si="3">O9&amp;" index"</f>
        <v>US0003M index</v>
      </c>
      <c r="X9" s="159">
        <f>INDEX('CLOIE Pre and Post Crisis Index'!A:M,MATCH('Auto Loan CLO'!$C$1,'CLOIE Pre and Post Crisis Index'!$A:$A,0),MATCH('Auto Loan CLO'!B9,'CLOIE Pre and Post Crisis Index'!1:1,0))/10000</f>
        <v>7.7505466999999995E-2</v>
      </c>
    </row>
    <row r="10" spans="1:37" x14ac:dyDescent="0.25">
      <c r="A10" s="223" t="s">
        <v>216</v>
      </c>
      <c r="X10" s="221">
        <v>3.3000000000000002E-2</v>
      </c>
    </row>
    <row r="12" spans="1:37" x14ac:dyDescent="0.25">
      <c r="A12" s="52" t="s">
        <v>0</v>
      </c>
      <c r="B12" s="52" t="s">
        <v>55</v>
      </c>
      <c r="C12" s="52" t="s">
        <v>151</v>
      </c>
      <c r="D12" s="52" t="s">
        <v>150</v>
      </c>
    </row>
    <row r="13" spans="1:37" x14ac:dyDescent="0.25">
      <c r="B13" s="50">
        <f>D3+365</f>
        <v>42179</v>
      </c>
      <c r="C13" t="s">
        <v>152</v>
      </c>
      <c r="D13">
        <v>103</v>
      </c>
    </row>
    <row r="14" spans="1:37" x14ac:dyDescent="0.25">
      <c r="B14" s="50">
        <f>B13+366</f>
        <v>42545</v>
      </c>
      <c r="C14" t="s">
        <v>153</v>
      </c>
      <c r="D14">
        <v>102</v>
      </c>
    </row>
    <row r="15" spans="1:37" x14ac:dyDescent="0.25">
      <c r="B15" s="50">
        <f>B14+365</f>
        <v>42910</v>
      </c>
      <c r="C15" t="s">
        <v>154</v>
      </c>
      <c r="D15">
        <v>101</v>
      </c>
    </row>
    <row r="16" spans="1:37" x14ac:dyDescent="0.25">
      <c r="B16" s="50">
        <f>B15+365</f>
        <v>43275</v>
      </c>
      <c r="C16" t="s">
        <v>155</v>
      </c>
      <c r="D16">
        <v>100</v>
      </c>
    </row>
    <row r="18" spans="1:2" x14ac:dyDescent="0.25">
      <c r="B18" s="50"/>
    </row>
    <row r="19" spans="1:2" x14ac:dyDescent="0.25">
      <c r="B19" s="50"/>
    </row>
    <row r="20" spans="1:2" x14ac:dyDescent="0.25">
      <c r="B20" s="50"/>
    </row>
    <row r="21" spans="1:2" x14ac:dyDescent="0.25">
      <c r="B21" s="50"/>
    </row>
    <row r="22" spans="1:2" x14ac:dyDescent="0.25">
      <c r="A22" t="s">
        <v>184</v>
      </c>
    </row>
    <row r="23" spans="1:2" x14ac:dyDescent="0.25">
      <c r="A23" s="50">
        <v>42473</v>
      </c>
      <c r="B23" t="s">
        <v>185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"/>
  <sheetViews>
    <sheetView zoomScaleNormal="100" workbookViewId="0">
      <selection activeCell="F1" sqref="F1"/>
    </sheetView>
  </sheetViews>
  <sheetFormatPr defaultColWidth="9.140625" defaultRowHeight="15" x14ac:dyDescent="0.25"/>
  <cols>
    <col min="1" max="1" width="6.28515625" style="191" bestFit="1" customWidth="1"/>
    <col min="2" max="2" width="9.85546875" style="191" bestFit="1" customWidth="1"/>
    <col min="3" max="3" width="14.28515625" style="191" customWidth="1"/>
    <col min="4" max="4" width="10.140625" style="191" customWidth="1"/>
    <col min="5" max="5" width="13.5703125" style="191" customWidth="1"/>
    <col min="6" max="6" width="7.85546875" style="191" customWidth="1"/>
    <col min="7" max="7" width="10.28515625" style="191" customWidth="1"/>
    <col min="8" max="8" width="10" style="191" customWidth="1"/>
    <col min="9" max="9" width="8.7109375" style="191" customWidth="1"/>
    <col min="10" max="10" width="5.42578125" style="191" bestFit="1" customWidth="1"/>
    <col min="11" max="11" width="11.5703125" style="191" customWidth="1"/>
    <col min="12" max="12" width="15.28515625" style="191" customWidth="1"/>
    <col min="13" max="13" width="20" style="191" customWidth="1"/>
    <col min="14" max="14" width="10.85546875" style="191" customWidth="1"/>
    <col min="15" max="15" width="37.7109375" style="191" bestFit="1" customWidth="1"/>
    <col min="16" max="16" width="7" style="191" customWidth="1"/>
    <col min="17" max="17" width="8.42578125" style="191" customWidth="1"/>
    <col min="18" max="18" width="9" style="191" bestFit="1" customWidth="1"/>
    <col min="19" max="16384" width="9.140625" style="191"/>
  </cols>
  <sheetData>
    <row r="1" spans="1:18" s="117" customFormat="1" x14ac:dyDescent="0.25">
      <c r="A1" s="141"/>
      <c r="B1" s="141"/>
      <c r="C1" s="148" t="s">
        <v>25</v>
      </c>
      <c r="D1" s="173">
        <f>Valuation_Date</f>
        <v>42613</v>
      </c>
      <c r="E1" s="193" t="s">
        <v>175</v>
      </c>
      <c r="F1" s="127"/>
      <c r="G1" s="142"/>
      <c r="H1" s="142"/>
      <c r="I1" s="142"/>
      <c r="J1" s="142"/>
      <c r="K1" s="142"/>
      <c r="L1" s="141"/>
      <c r="M1" s="141"/>
      <c r="N1" s="141"/>
      <c r="O1" s="141"/>
      <c r="P1" s="141"/>
      <c r="Q1" s="141"/>
      <c r="R1" s="141"/>
    </row>
    <row r="2" spans="1:18" s="117" customFormat="1" x14ac:dyDescent="0.25">
      <c r="A2" s="123" t="s">
        <v>0</v>
      </c>
      <c r="B2" s="123" t="s">
        <v>199</v>
      </c>
      <c r="C2" s="123" t="s">
        <v>6</v>
      </c>
      <c r="D2" s="123" t="s">
        <v>1</v>
      </c>
      <c r="E2" s="123" t="s">
        <v>2</v>
      </c>
      <c r="F2" s="123" t="s">
        <v>3</v>
      </c>
      <c r="G2" s="124" t="s">
        <v>5</v>
      </c>
      <c r="H2" s="124" t="s">
        <v>103</v>
      </c>
      <c r="I2" s="124" t="s">
        <v>11</v>
      </c>
      <c r="J2" s="124" t="s">
        <v>14</v>
      </c>
      <c r="K2" s="124" t="s">
        <v>164</v>
      </c>
      <c r="L2" s="123" t="s">
        <v>18</v>
      </c>
      <c r="M2" s="123"/>
      <c r="N2" s="123" t="s">
        <v>19</v>
      </c>
      <c r="O2" s="123" t="s">
        <v>191</v>
      </c>
      <c r="P2" s="123" t="s">
        <v>22</v>
      </c>
      <c r="Q2" s="123" t="s">
        <v>23</v>
      </c>
      <c r="R2" s="123" t="s">
        <v>24</v>
      </c>
    </row>
    <row r="3" spans="1:18" s="77" customFormat="1" x14ac:dyDescent="0.25">
      <c r="A3" s="129"/>
      <c r="B3" s="129"/>
      <c r="C3" s="129" t="s">
        <v>77</v>
      </c>
      <c r="D3" s="129"/>
      <c r="E3" s="139">
        <v>44008</v>
      </c>
      <c r="F3" s="120">
        <v>5.18</v>
      </c>
      <c r="G3" s="188">
        <v>4</v>
      </c>
      <c r="H3" s="188">
        <v>2</v>
      </c>
      <c r="I3" s="76" t="e">
        <f t="shared" ref="I3:I10" ca="1" si="0">DURATION($D$1,E3,F3/100,Q3/100,G3,H3)</f>
        <v>#NAME?</v>
      </c>
      <c r="J3" s="188" t="s">
        <v>146</v>
      </c>
      <c r="K3" s="119" t="str">
        <f>INDEX('[2]CM Equivalencies'!B:B,MATCH(CMLs!J3,'[2]CM Equivalencies'!A:A,0))</f>
        <v>BB</v>
      </c>
      <c r="L3" s="189" t="s">
        <v>148</v>
      </c>
      <c r="M3" s="77" t="str">
        <f t="shared" ref="M3:M6" si="1">L3&amp;" Govt"</f>
        <v>T 1.625 06/30/20 Govt</v>
      </c>
      <c r="N3" s="121" t="e">
        <f ca="1">_xll.BDH(M3,$N$2,$D$1)</f>
        <v>#NAME?</v>
      </c>
      <c r="O3" s="120" t="s">
        <v>195</v>
      </c>
      <c r="P3" s="194">
        <v>400</v>
      </c>
      <c r="Q3" s="73" t="e">
        <f ca="1">(+N3+P3/100)</f>
        <v>#NAME?</v>
      </c>
      <c r="R3" s="78" t="e">
        <f t="shared" ref="R3:R10" ca="1" si="2">MIN(PRICE($D$1,E3,F3/100,Q3/100,100,G3,H3),100)</f>
        <v>#NAME?</v>
      </c>
    </row>
    <row r="4" spans="1:18" s="77" customFormat="1" x14ac:dyDescent="0.25">
      <c r="A4" s="129"/>
      <c r="B4" s="129"/>
      <c r="C4" s="129" t="s">
        <v>77</v>
      </c>
      <c r="D4" s="129"/>
      <c r="E4" s="139">
        <v>43269</v>
      </c>
      <c r="F4" s="120">
        <v>5.43</v>
      </c>
      <c r="G4" s="188">
        <v>4</v>
      </c>
      <c r="H4" s="188">
        <v>2</v>
      </c>
      <c r="I4" s="76" t="e">
        <f t="shared" ca="1" si="0"/>
        <v>#NAME?</v>
      </c>
      <c r="J4" s="188" t="s">
        <v>159</v>
      </c>
      <c r="K4" s="119" t="str">
        <f>INDEX('[2]CM Equivalencies'!B:B,MATCH(CMLs!J4,'[2]CM Equivalencies'!A:A,0))</f>
        <v>BBB</v>
      </c>
      <c r="L4" s="189" t="s">
        <v>149</v>
      </c>
      <c r="M4" s="77" t="str">
        <f t="shared" si="1"/>
        <v>T 1.125 06/15/18 Govt</v>
      </c>
      <c r="N4" s="121" t="e">
        <f ca="1">_xll.BDH(M4,$N$2,$D$1)</f>
        <v>#NAME?</v>
      </c>
      <c r="O4" s="120" t="s">
        <v>195</v>
      </c>
      <c r="P4" s="194">
        <v>167.5</v>
      </c>
      <c r="Q4" s="73" t="e">
        <f t="shared" ref="Q4:Q10" ca="1" si="3">(+N4+P4/100)</f>
        <v>#NAME?</v>
      </c>
      <c r="R4" s="78" t="e">
        <f t="shared" ca="1" si="2"/>
        <v>#NAME?</v>
      </c>
    </row>
    <row r="5" spans="1:18" s="77" customFormat="1" x14ac:dyDescent="0.25">
      <c r="A5" s="129"/>
      <c r="B5" s="129"/>
      <c r="C5" s="129" t="s">
        <v>77</v>
      </c>
      <c r="D5" s="129"/>
      <c r="E5" s="139">
        <v>43669</v>
      </c>
      <c r="F5" s="189">
        <v>6.89</v>
      </c>
      <c r="G5" s="188">
        <v>4</v>
      </c>
      <c r="H5" s="188">
        <v>3</v>
      </c>
      <c r="I5" s="76" t="e">
        <f t="shared" ca="1" si="0"/>
        <v>#NAME?</v>
      </c>
      <c r="J5" s="188" t="s">
        <v>147</v>
      </c>
      <c r="K5" s="119" t="str">
        <f>INDEX('[2]CM Equivalencies'!B:B,MATCH(CMLs!J5,'[2]CM Equivalencies'!A:A,0))</f>
        <v>BBB</v>
      </c>
      <c r="L5" s="189" t="s">
        <v>148</v>
      </c>
      <c r="M5" s="77" t="str">
        <f t="shared" si="1"/>
        <v>T 1.625 06/30/20 Govt</v>
      </c>
      <c r="N5" s="121" t="e">
        <f ca="1">_xll.BDH(M5,$N$2,$D$1)</f>
        <v>#NAME?</v>
      </c>
      <c r="O5" s="120" t="s">
        <v>195</v>
      </c>
      <c r="P5" s="194">
        <v>487.08333333333337</v>
      </c>
      <c r="Q5" s="73" t="e">
        <f t="shared" ca="1" si="3"/>
        <v>#NAME?</v>
      </c>
      <c r="R5" s="78" t="e">
        <f t="shared" ca="1" si="2"/>
        <v>#NAME?</v>
      </c>
    </row>
    <row r="6" spans="1:18" s="77" customFormat="1" x14ac:dyDescent="0.25">
      <c r="A6" s="129"/>
      <c r="B6" s="129"/>
      <c r="C6" s="129" t="s">
        <v>77</v>
      </c>
      <c r="D6" s="129"/>
      <c r="E6" s="139">
        <v>43669</v>
      </c>
      <c r="F6" s="189">
        <v>6.89</v>
      </c>
      <c r="G6" s="188">
        <v>4</v>
      </c>
      <c r="H6" s="188">
        <v>3</v>
      </c>
      <c r="I6" s="76" t="e">
        <f t="shared" ca="1" si="0"/>
        <v>#NAME?</v>
      </c>
      <c r="J6" s="188" t="s">
        <v>147</v>
      </c>
      <c r="K6" s="119" t="str">
        <f>INDEX('[2]CM Equivalencies'!B:B,MATCH(CMLs!J6,'[2]CM Equivalencies'!A:A,0))</f>
        <v>BBB</v>
      </c>
      <c r="L6" s="189" t="s">
        <v>148</v>
      </c>
      <c r="M6" s="77" t="str">
        <f t="shared" si="1"/>
        <v>T 1.625 06/30/20 Govt</v>
      </c>
      <c r="N6" s="121" t="e">
        <f ca="1">_xll.BDH(M6,$N$2,$D$1)</f>
        <v>#NAME?</v>
      </c>
      <c r="O6" s="120" t="s">
        <v>195</v>
      </c>
      <c r="P6" s="194">
        <v>487.08333333333337</v>
      </c>
      <c r="Q6" s="73" t="e">
        <f t="shared" ca="1" si="3"/>
        <v>#NAME?</v>
      </c>
      <c r="R6" s="78" t="e">
        <f t="shared" ca="1" si="2"/>
        <v>#NAME?</v>
      </c>
    </row>
    <row r="7" spans="1:18" s="77" customFormat="1" x14ac:dyDescent="0.25">
      <c r="A7" s="129"/>
      <c r="B7" s="129"/>
      <c r="C7" s="129" t="s">
        <v>77</v>
      </c>
      <c r="D7" s="129"/>
      <c r="E7" s="139">
        <v>43084</v>
      </c>
      <c r="F7" s="189">
        <v>5.25</v>
      </c>
      <c r="G7" s="188">
        <v>4</v>
      </c>
      <c r="H7" s="188">
        <v>2</v>
      </c>
      <c r="I7" s="76" t="e">
        <f t="shared" ca="1" si="0"/>
        <v>#NAME?</v>
      </c>
      <c r="J7" s="188" t="s">
        <v>147</v>
      </c>
      <c r="K7" s="119" t="str">
        <f>INDEX('[2]CM Equivalencies'!B:B,MATCH(CMLs!J7,'[2]CM Equivalencies'!A:A,0))</f>
        <v>BBB</v>
      </c>
      <c r="L7" s="189" t="s">
        <v>166</v>
      </c>
      <c r="M7" s="77" t="str">
        <f>L7&amp;" Govt"</f>
        <v>frtr 4.25 10/17 Govt</v>
      </c>
      <c r="N7" s="121" t="e">
        <f ca="1">_xll.BDH(M7,$N$2,IF($F$1,$F$1,$D$1))</f>
        <v>#NAME?</v>
      </c>
      <c r="O7" s="120" t="s">
        <v>195</v>
      </c>
      <c r="P7" s="194">
        <v>487.08333333333337</v>
      </c>
      <c r="Q7" s="73" t="e">
        <f t="shared" ca="1" si="3"/>
        <v>#NAME?</v>
      </c>
      <c r="R7" s="78" t="e">
        <f t="shared" ca="1" si="2"/>
        <v>#NAME?</v>
      </c>
    </row>
    <row r="8" spans="1:18" s="77" customFormat="1" x14ac:dyDescent="0.25">
      <c r="A8" s="129"/>
      <c r="B8" s="129"/>
      <c r="C8" s="129" t="s">
        <v>77</v>
      </c>
      <c r="D8" s="129"/>
      <c r="E8" s="139">
        <v>43921</v>
      </c>
      <c r="F8" s="189">
        <v>7.5</v>
      </c>
      <c r="G8" s="188">
        <v>4</v>
      </c>
      <c r="H8" s="188">
        <v>2</v>
      </c>
      <c r="I8" s="76" t="e">
        <f t="shared" ca="1" si="0"/>
        <v>#NAME?</v>
      </c>
      <c r="J8" s="188" t="s">
        <v>147</v>
      </c>
      <c r="K8" s="119" t="str">
        <f>INDEX('[2]CM Equivalencies'!B:B,MATCH(CMLs!J8,'[2]CM Equivalencies'!A:A,0))</f>
        <v>BBB</v>
      </c>
      <c r="L8" s="189" t="s">
        <v>192</v>
      </c>
      <c r="M8" s="77" t="str">
        <f>L8&amp;" Govt"</f>
        <v>T 1.125 03/31/20 Govt</v>
      </c>
      <c r="N8" s="121" t="e">
        <f ca="1">_xll.BDH(M8,$N$2,IF($F$1,$F$1,$D$1))</f>
        <v>#NAME?</v>
      </c>
      <c r="O8" s="120" t="s">
        <v>195</v>
      </c>
      <c r="P8" s="194">
        <v>487.08333333333337</v>
      </c>
      <c r="Q8" s="73" t="e">
        <f t="shared" ca="1" si="3"/>
        <v>#NAME?</v>
      </c>
      <c r="R8" s="78" t="e">
        <f t="shared" ca="1" si="2"/>
        <v>#NAME?</v>
      </c>
    </row>
    <row r="9" spans="1:18" s="77" customFormat="1" x14ac:dyDescent="0.25">
      <c r="A9" s="129"/>
      <c r="B9" s="129"/>
      <c r="C9" s="129" t="s">
        <v>77</v>
      </c>
      <c r="D9" s="129"/>
      <c r="E9" s="139">
        <v>44286</v>
      </c>
      <c r="F9" s="189">
        <v>7.5</v>
      </c>
      <c r="G9" s="188">
        <v>4</v>
      </c>
      <c r="H9" s="188">
        <v>2</v>
      </c>
      <c r="I9" s="76" t="e">
        <f t="shared" ca="1" si="0"/>
        <v>#NAME?</v>
      </c>
      <c r="J9" s="188" t="s">
        <v>147</v>
      </c>
      <c r="K9" s="119" t="str">
        <f>INDEX('[2]CM Equivalencies'!B:B,MATCH(CMLs!J9,'[2]CM Equivalencies'!A:A,0))</f>
        <v>BBB</v>
      </c>
      <c r="L9" s="189" t="s">
        <v>193</v>
      </c>
      <c r="M9" s="77" t="str">
        <f>L9&amp;" Govt"</f>
        <v>T 2.25 03/31/21 Govt</v>
      </c>
      <c r="N9" s="121" t="e">
        <f ca="1">_xll.BDH(M9,$N$2,IF($F$1,$F$1,$D$1))</f>
        <v>#NAME?</v>
      </c>
      <c r="O9" s="120" t="s">
        <v>195</v>
      </c>
      <c r="P9" s="194">
        <v>487.08333333333337</v>
      </c>
      <c r="Q9" s="73" t="e">
        <f t="shared" ca="1" si="3"/>
        <v>#NAME?</v>
      </c>
      <c r="R9" s="78" t="e">
        <f t="shared" ca="1" si="2"/>
        <v>#NAME?</v>
      </c>
    </row>
    <row r="10" spans="1:18" s="77" customFormat="1" x14ac:dyDescent="0.25">
      <c r="A10" s="129"/>
      <c r="B10" s="129"/>
      <c r="C10" s="129" t="s">
        <v>77</v>
      </c>
      <c r="D10" s="129"/>
      <c r="E10" s="139">
        <v>44439</v>
      </c>
      <c r="F10" s="189">
        <v>7.5</v>
      </c>
      <c r="G10" s="188">
        <v>4</v>
      </c>
      <c r="H10" s="188">
        <v>2</v>
      </c>
      <c r="I10" s="76" t="e">
        <f t="shared" ca="1" si="0"/>
        <v>#NAME?</v>
      </c>
      <c r="J10" s="188" t="s">
        <v>147</v>
      </c>
      <c r="K10" s="119" t="str">
        <f>INDEX('[2]CM Equivalencies'!B:B,MATCH(CMLs!J10,'[2]CM Equivalencies'!A:A,0))</f>
        <v>BBB</v>
      </c>
      <c r="L10" s="189" t="s">
        <v>194</v>
      </c>
      <c r="M10" s="77" t="str">
        <f>L10&amp;" Govt"</f>
        <v>T 2 08/31/21 Govt</v>
      </c>
      <c r="N10" s="121" t="e">
        <f ca="1">_xll.BDH(M10,$N$2,IF($F$1,$F$1,$D$1))</f>
        <v>#NAME?</v>
      </c>
      <c r="O10" s="120" t="s">
        <v>195</v>
      </c>
      <c r="P10" s="194">
        <v>487.08333333333337</v>
      </c>
      <c r="Q10" s="73" t="e">
        <f t="shared" ca="1" si="3"/>
        <v>#NAME?</v>
      </c>
      <c r="R10" s="78" t="e">
        <f t="shared" ca="1" si="2"/>
        <v>#NAME?</v>
      </c>
    </row>
    <row r="11" spans="1:18" s="77" customFormat="1" x14ac:dyDescent="0.25">
      <c r="A11" s="66"/>
      <c r="B11" s="66"/>
      <c r="D11" s="66"/>
      <c r="G11" s="75"/>
      <c r="H11" s="75"/>
      <c r="I11" s="76"/>
      <c r="J11" s="75"/>
      <c r="K11" s="75"/>
      <c r="N11" s="79"/>
      <c r="O11" s="79"/>
      <c r="R11" s="73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U31"/>
  <sheetViews>
    <sheetView zoomScaleNormal="100" workbookViewId="0">
      <selection activeCell="C32" sqref="C32"/>
    </sheetView>
  </sheetViews>
  <sheetFormatPr defaultRowHeight="15" outlineLevelCol="1" x14ac:dyDescent="0.25"/>
  <cols>
    <col min="1" max="1" width="35.85546875" customWidth="1"/>
    <col min="2" max="2" width="12.140625" customWidth="1"/>
    <col min="3" max="3" width="10.5703125" bestFit="1" customWidth="1"/>
    <col min="4" max="4" width="10.85546875" bestFit="1" customWidth="1"/>
    <col min="5" max="5" width="7.140625" bestFit="1" customWidth="1" outlineLevel="1"/>
    <col min="6" max="6" width="14.28515625" customWidth="1" outlineLevel="1"/>
    <col min="7" max="7" width="14.28515625" bestFit="1" customWidth="1" outlineLevel="1"/>
    <col min="8" max="8" width="10.42578125" style="10" customWidth="1" outlineLevel="1"/>
    <col min="9" max="9" width="6.28515625" style="10" bestFit="1" customWidth="1" outlineLevel="1"/>
    <col min="10" max="10" width="10.140625" style="10" bestFit="1" customWidth="1" outlineLevel="1"/>
    <col min="11" max="11" width="4.7109375" style="10" customWidth="1" outlineLevel="1"/>
    <col min="12" max="12" width="5.42578125" style="10" customWidth="1" outlineLevel="1"/>
    <col min="13" max="13" width="11.42578125" bestFit="1" customWidth="1"/>
    <col min="14" max="14" width="15" bestFit="1" customWidth="1"/>
    <col min="15" max="15" width="8.42578125" bestFit="1" customWidth="1"/>
    <col min="16" max="16" width="7.5703125" bestFit="1" customWidth="1"/>
    <col min="17" max="17" width="13.28515625" customWidth="1"/>
    <col min="18" max="18" width="9" bestFit="1" customWidth="1"/>
    <col min="19" max="19" width="12.7109375" bestFit="1" customWidth="1"/>
    <col min="20" max="20" width="9.28515625" bestFit="1" customWidth="1"/>
    <col min="21" max="21" width="9" bestFit="1" customWidth="1"/>
  </cols>
  <sheetData>
    <row r="1" spans="1:21" s="67" customFormat="1" x14ac:dyDescent="0.25">
      <c r="A1" s="81"/>
      <c r="B1" s="81" t="s">
        <v>25</v>
      </c>
      <c r="C1" s="173">
        <f>Valuation_Date</f>
        <v>42613</v>
      </c>
      <c r="D1" s="81"/>
      <c r="E1" s="81"/>
      <c r="F1" s="81"/>
      <c r="G1" s="81"/>
      <c r="H1" s="111"/>
      <c r="I1" s="111"/>
      <c r="J1" s="111"/>
      <c r="K1" s="111"/>
      <c r="L1" s="111"/>
      <c r="M1" s="81" t="s">
        <v>157</v>
      </c>
      <c r="N1" s="173">
        <f>LIBOR_Date</f>
        <v>42613</v>
      </c>
      <c r="O1" s="81"/>
      <c r="P1" s="81"/>
      <c r="Q1" s="81"/>
      <c r="R1" s="81"/>
      <c r="S1" s="81"/>
      <c r="T1" s="81"/>
      <c r="U1" s="81"/>
    </row>
    <row r="2" spans="1:21" s="136" customFormat="1" ht="30" x14ac:dyDescent="0.25">
      <c r="A2" s="123" t="s">
        <v>0</v>
      </c>
      <c r="B2" s="123" t="s">
        <v>6</v>
      </c>
      <c r="C2" s="123" t="s">
        <v>1</v>
      </c>
      <c r="D2" s="123" t="s">
        <v>2</v>
      </c>
      <c r="E2" s="123" t="s">
        <v>196</v>
      </c>
      <c r="F2" s="123" t="s">
        <v>4</v>
      </c>
      <c r="G2" s="123" t="s">
        <v>10</v>
      </c>
      <c r="H2" s="124" t="s">
        <v>5</v>
      </c>
      <c r="I2" s="124" t="s">
        <v>103</v>
      </c>
      <c r="J2" s="124" t="s">
        <v>102</v>
      </c>
      <c r="K2" s="124" t="s">
        <v>8</v>
      </c>
      <c r="L2" s="124" t="s">
        <v>14</v>
      </c>
      <c r="M2" s="123" t="s">
        <v>104</v>
      </c>
      <c r="N2" s="123" t="s">
        <v>105</v>
      </c>
      <c r="O2" s="123" t="s">
        <v>29</v>
      </c>
      <c r="P2" s="123" t="s">
        <v>22</v>
      </c>
      <c r="Q2" s="123" t="s">
        <v>191</v>
      </c>
      <c r="R2" s="123" t="s">
        <v>21</v>
      </c>
      <c r="S2" s="123" t="s">
        <v>106</v>
      </c>
      <c r="T2" s="123" t="s">
        <v>23</v>
      </c>
      <c r="U2" s="123" t="s">
        <v>24</v>
      </c>
    </row>
    <row r="3" spans="1:21" s="31" customFormat="1" x14ac:dyDescent="0.25">
      <c r="A3" s="90"/>
      <c r="B3" s="91"/>
      <c r="C3" s="91"/>
      <c r="D3" s="92">
        <v>42941</v>
      </c>
      <c r="E3" s="93">
        <v>3.5000000000000003E-2</v>
      </c>
      <c r="F3" s="91"/>
      <c r="G3" s="94">
        <v>66666666.670000002</v>
      </c>
      <c r="H3" s="95">
        <v>4</v>
      </c>
      <c r="I3" s="95">
        <v>2</v>
      </c>
      <c r="J3" s="20" t="e">
        <f ca="1">(1-EXP((-1)*(O3/100+$B$21)*(B23)))/(O3/100+$B$21)</f>
        <v>#NAME?</v>
      </c>
      <c r="K3" s="95"/>
      <c r="L3" s="95"/>
      <c r="M3" s="101" t="s">
        <v>39</v>
      </c>
      <c r="N3" t="str">
        <f>M3&amp;" index"</f>
        <v>US0003M index</v>
      </c>
      <c r="O3" s="109" t="e">
        <f ca="1">_xll.BDH(N3,$O$2,$C$1)</f>
        <v>#NAME?</v>
      </c>
      <c r="P3" s="32">
        <f>+P18</f>
        <v>2.014467625E-2</v>
      </c>
      <c r="R3" s="72">
        <f>'[3]Liquidity Spreads'!$G$6*100</f>
        <v>74</v>
      </c>
      <c r="S3" s="18"/>
    </row>
    <row r="4" spans="1:21" s="31" customFormat="1" x14ac:dyDescent="0.25">
      <c r="A4" s="91"/>
      <c r="B4" s="91"/>
      <c r="C4" s="91"/>
      <c r="D4" s="92">
        <v>43306</v>
      </c>
      <c r="E4" s="93">
        <v>3.5000000000000003E-2</v>
      </c>
      <c r="F4" s="91"/>
      <c r="G4" s="94">
        <v>66666666.670000002</v>
      </c>
      <c r="H4" s="95">
        <v>4</v>
      </c>
      <c r="I4" s="95">
        <v>2</v>
      </c>
      <c r="J4" s="20" t="e">
        <f ca="1">(1-EXP((-1)*(O4/100+$B$21)*(B24)))/(O4/100+$B$21)</f>
        <v>#NAME?</v>
      </c>
      <c r="K4" s="95"/>
      <c r="L4" s="95"/>
      <c r="M4" s="101" t="s">
        <v>39</v>
      </c>
      <c r="N4" t="str">
        <f t="shared" ref="N4:N5" si="0">M4&amp;" index"</f>
        <v>US0003M index</v>
      </c>
      <c r="O4" s="109" t="e">
        <f ca="1">_xll.BDH(N4,$O$2,$C$1)</f>
        <v>#NAME?</v>
      </c>
      <c r="P4" s="32">
        <f>+P3</f>
        <v>2.014467625E-2</v>
      </c>
      <c r="R4" s="37">
        <f>++R3</f>
        <v>74</v>
      </c>
      <c r="S4" s="37"/>
    </row>
    <row r="5" spans="1:21" s="31" customFormat="1" x14ac:dyDescent="0.25">
      <c r="A5" s="96"/>
      <c r="B5" s="96"/>
      <c r="C5" s="96"/>
      <c r="D5" s="97">
        <v>43671</v>
      </c>
      <c r="E5" s="98">
        <v>3.5000000000000003E-2</v>
      </c>
      <c r="F5" s="96"/>
      <c r="G5" s="99">
        <v>66666666.670000002</v>
      </c>
      <c r="H5" s="100">
        <v>4</v>
      </c>
      <c r="I5" s="100">
        <v>2</v>
      </c>
      <c r="J5" s="41" t="e">
        <f ca="1">(1-EXP((-1)*(O5/100+$B$21)*(B25)))/(O5/100+$B$21)</f>
        <v>#NAME?</v>
      </c>
      <c r="K5" s="100"/>
      <c r="L5" s="100"/>
      <c r="M5" s="96" t="s">
        <v>39</v>
      </c>
      <c r="N5" s="7" t="str">
        <f t="shared" si="0"/>
        <v>US0003M index</v>
      </c>
      <c r="O5" s="109" t="e">
        <f ca="1">_xll.BDH(N5,$O$2,$C$1)</f>
        <v>#NAME?</v>
      </c>
      <c r="P5" s="39">
        <f>+P4</f>
        <v>2.014467625E-2</v>
      </c>
      <c r="Q5" s="7"/>
      <c r="R5" s="17">
        <f>+R3</f>
        <v>74</v>
      </c>
      <c r="S5" s="17"/>
      <c r="T5" s="7"/>
      <c r="U5" s="7"/>
    </row>
    <row r="6" spans="1:21" x14ac:dyDescent="0.25">
      <c r="A6" s="90"/>
      <c r="B6" s="90"/>
      <c r="C6" s="101"/>
      <c r="D6" s="92">
        <v>43671</v>
      </c>
      <c r="E6" s="103">
        <v>3.5000000000000003E-2</v>
      </c>
      <c r="F6" s="104">
        <v>175000000</v>
      </c>
      <c r="G6" s="104">
        <v>200000000</v>
      </c>
      <c r="H6" s="105">
        <v>4</v>
      </c>
      <c r="I6" s="105">
        <v>2</v>
      </c>
      <c r="J6" s="20" t="e">
        <f ca="1">SUMPRODUCT(J3:J5,G3:G5)/G6</f>
        <v>#NAME?</v>
      </c>
      <c r="K6" s="105" t="s">
        <v>12</v>
      </c>
      <c r="L6" s="105" t="s">
        <v>27</v>
      </c>
      <c r="M6" s="101" t="s">
        <v>39</v>
      </c>
      <c r="N6" t="str">
        <f>M6&amp;" index"</f>
        <v>US0003M index</v>
      </c>
      <c r="O6" s="110" t="e">
        <f ca="1">_xll.BDH(N6,$O$2,$C$1)</f>
        <v>#NAME?</v>
      </c>
      <c r="P6" s="14">
        <f>+P3</f>
        <v>2.014467625E-2</v>
      </c>
      <c r="Q6" s="8" t="str">
        <f>B16&amp;" &amp; "&amp;B17</f>
        <v>CLO Post A Portfolio Discount Margin &amp; CLO Pre A Portfolio Discount Margin</v>
      </c>
      <c r="R6" s="44">
        <f>+R3</f>
        <v>74</v>
      </c>
      <c r="S6" s="43">
        <f>+P6+R6/10000</f>
        <v>2.754467625E-2</v>
      </c>
      <c r="T6" s="14" t="e">
        <f ca="1">+S6+O6/100</f>
        <v>#NAME?</v>
      </c>
      <c r="U6" s="13" t="e">
        <f ca="1">+(E6-S6)*J6*100+100</f>
        <v>#NAME?</v>
      </c>
    </row>
    <row r="7" spans="1:21" x14ac:dyDescent="0.25">
      <c r="A7" s="1"/>
      <c r="D7" s="4"/>
      <c r="F7" s="3"/>
      <c r="G7" s="3"/>
      <c r="J7" s="12"/>
      <c r="K7" s="107"/>
      <c r="L7" s="107"/>
      <c r="O7" s="5"/>
      <c r="P7" s="8"/>
      <c r="Q7" s="8"/>
      <c r="S7" s="42"/>
      <c r="T7" s="5"/>
      <c r="U7" s="13"/>
    </row>
    <row r="8" spans="1:21" x14ac:dyDescent="0.25">
      <c r="A8" s="1"/>
      <c r="D8" s="4"/>
      <c r="F8" s="3"/>
      <c r="G8" s="3"/>
      <c r="J8" s="12"/>
      <c r="K8" s="107"/>
      <c r="L8" s="107"/>
      <c r="O8" s="5"/>
      <c r="P8" s="8"/>
      <c r="Q8" s="8"/>
      <c r="T8" s="5"/>
      <c r="U8" s="13"/>
    </row>
    <row r="9" spans="1:21" x14ac:dyDescent="0.25">
      <c r="A9" s="1"/>
      <c r="D9" s="4"/>
      <c r="F9" s="3"/>
      <c r="G9" s="3"/>
      <c r="J9" s="12"/>
      <c r="K9" s="107"/>
      <c r="L9" s="107"/>
      <c r="O9" s="5"/>
      <c r="P9" s="8"/>
      <c r="Q9" s="8"/>
      <c r="T9" s="5"/>
      <c r="U9" s="13"/>
    </row>
    <row r="10" spans="1:21" x14ac:dyDescent="0.25">
      <c r="J10" s="12"/>
      <c r="K10" s="107"/>
      <c r="L10" s="107"/>
      <c r="O10" s="9"/>
      <c r="T10" s="5"/>
    </row>
    <row r="11" spans="1:21" x14ac:dyDescent="0.25">
      <c r="A11" s="81" t="s">
        <v>16</v>
      </c>
      <c r="B11" s="81"/>
      <c r="C11" s="81"/>
      <c r="D11" s="81"/>
      <c r="E11" s="81" t="s">
        <v>197</v>
      </c>
      <c r="F11" s="81"/>
      <c r="G11" s="81"/>
      <c r="H11" s="111"/>
      <c r="I11" s="111"/>
      <c r="J11" s="112"/>
      <c r="K11" s="111"/>
      <c r="L11" s="111"/>
      <c r="M11" s="81" t="s">
        <v>52</v>
      </c>
      <c r="N11" s="81" t="s">
        <v>52</v>
      </c>
      <c r="O11" s="113"/>
      <c r="P11" s="81"/>
      <c r="Q11" s="81"/>
      <c r="R11" s="81"/>
      <c r="S11" s="81"/>
      <c r="T11" s="114"/>
      <c r="U11" s="144"/>
    </row>
    <row r="12" spans="1:21" s="7" customFormat="1" x14ac:dyDescent="0.25">
      <c r="A12" s="88" t="s">
        <v>0</v>
      </c>
      <c r="B12" s="88" t="s">
        <v>6</v>
      </c>
      <c r="C12" s="88" t="s">
        <v>1</v>
      </c>
      <c r="D12" s="88" t="s">
        <v>2</v>
      </c>
      <c r="E12" s="88" t="s">
        <v>33</v>
      </c>
      <c r="F12" s="88" t="s">
        <v>48</v>
      </c>
      <c r="G12" s="88" t="s">
        <v>49</v>
      </c>
      <c r="H12" s="89" t="s">
        <v>50</v>
      </c>
      <c r="I12" s="89"/>
      <c r="J12" s="115" t="s">
        <v>11</v>
      </c>
      <c r="K12" s="89" t="s">
        <v>8</v>
      </c>
      <c r="L12" s="89" t="s">
        <v>14</v>
      </c>
      <c r="M12" s="88" t="s">
        <v>32</v>
      </c>
      <c r="N12" s="88" t="s">
        <v>38</v>
      </c>
      <c r="O12" s="88" t="s">
        <v>29</v>
      </c>
      <c r="P12" s="88" t="s">
        <v>26</v>
      </c>
      <c r="Q12" s="88"/>
      <c r="R12" s="88"/>
      <c r="S12" s="88"/>
      <c r="T12" s="116" t="s">
        <v>23</v>
      </c>
      <c r="U12" s="143"/>
    </row>
    <row r="13" spans="1:21" s="31" customFormat="1" x14ac:dyDescent="0.25">
      <c r="A13" s="133" t="s">
        <v>30</v>
      </c>
      <c r="B13" s="133" t="s">
        <v>45</v>
      </c>
      <c r="C13" s="91"/>
      <c r="D13" s="91"/>
      <c r="E13" s="93">
        <v>3.5000000000000003E-2</v>
      </c>
      <c r="F13" s="94">
        <v>1123000000</v>
      </c>
      <c r="G13" s="94">
        <v>2570000000</v>
      </c>
      <c r="H13" s="146">
        <f>+F13/G13</f>
        <v>0.43696498054474708</v>
      </c>
      <c r="I13" s="6"/>
      <c r="J13" s="36"/>
      <c r="K13" s="106"/>
      <c r="L13" s="106"/>
      <c r="M13" s="101" t="s">
        <v>39</v>
      </c>
      <c r="N13" t="str">
        <f>M13&amp;" index"</f>
        <v>US0003M index</v>
      </c>
      <c r="O13" s="109" t="e">
        <f ca="1">_xll.BDH(N13,$O$2,$C$1)</f>
        <v>#NAME?</v>
      </c>
      <c r="P13" s="18"/>
      <c r="T13" s="33"/>
    </row>
    <row r="14" spans="1:21" s="31" customFormat="1" x14ac:dyDescent="0.25">
      <c r="A14" s="91" t="s">
        <v>43</v>
      </c>
      <c r="B14" s="91" t="s">
        <v>45</v>
      </c>
      <c r="C14" s="91" t="s">
        <v>46</v>
      </c>
      <c r="D14" s="145">
        <v>43799</v>
      </c>
      <c r="E14" s="93">
        <v>1.4500000000000001E-2</v>
      </c>
      <c r="F14" s="94">
        <v>147200000</v>
      </c>
      <c r="G14" s="94">
        <v>564000000</v>
      </c>
      <c r="H14" s="146">
        <f>+F14/G14</f>
        <v>0.26099290780141843</v>
      </c>
      <c r="I14" s="6"/>
      <c r="J14" s="36"/>
      <c r="K14" s="106"/>
      <c r="L14" s="106"/>
      <c r="M14" s="101" t="s">
        <v>39</v>
      </c>
      <c r="N14" t="str">
        <f>M14&amp;" index"</f>
        <v>US0003M index</v>
      </c>
      <c r="O14" s="109" t="e">
        <f ca="1">_xll.BDH(N14,$O$2,$C$1)</f>
        <v>#NAME?</v>
      </c>
      <c r="P14" s="38">
        <v>1.4500000000000001E-2</v>
      </c>
      <c r="T14" s="33"/>
    </row>
    <row r="15" spans="1:21" s="31" customFormat="1" x14ac:dyDescent="0.25">
      <c r="A15" s="133" t="s">
        <v>44</v>
      </c>
      <c r="B15" s="91" t="s">
        <v>45</v>
      </c>
      <c r="C15" s="91" t="s">
        <v>47</v>
      </c>
      <c r="D15" s="92">
        <v>43889</v>
      </c>
      <c r="E15" s="93">
        <v>1.4500000000000001E-2</v>
      </c>
      <c r="F15" s="94">
        <v>46200000</v>
      </c>
      <c r="G15" s="94">
        <v>170000000</v>
      </c>
      <c r="H15" s="146">
        <f t="shared" ref="H15" si="1">+F15/G15</f>
        <v>0.27176470588235296</v>
      </c>
      <c r="I15" s="6"/>
      <c r="J15" s="36"/>
      <c r="K15" s="106"/>
      <c r="L15" s="106"/>
      <c r="M15" s="101" t="s">
        <v>39</v>
      </c>
      <c r="N15" t="str">
        <f t="shared" ref="N15:N16" si="2">M15&amp;" index"</f>
        <v>US0003M index</v>
      </c>
      <c r="O15" s="109" t="e">
        <f ca="1">_xll.BDH(N15,$O$2,$C$1)</f>
        <v>#NAME?</v>
      </c>
      <c r="P15" s="38">
        <v>1.4500000000000001E-2</v>
      </c>
      <c r="T15" s="33"/>
    </row>
    <row r="16" spans="1:21" s="31" customFormat="1" x14ac:dyDescent="0.25">
      <c r="A16" s="133" t="s">
        <v>51</v>
      </c>
      <c r="B16" s="133" t="s">
        <v>92</v>
      </c>
      <c r="C16" s="91"/>
      <c r="D16" s="91"/>
      <c r="E16" s="93"/>
      <c r="F16" s="91"/>
      <c r="G16" s="91"/>
      <c r="H16" s="95"/>
      <c r="I16" s="6"/>
      <c r="J16" s="132">
        <v>4.7</v>
      </c>
      <c r="K16" s="106"/>
      <c r="L16" s="106"/>
      <c r="M16" s="101" t="s">
        <v>39</v>
      </c>
      <c r="N16" t="str">
        <f t="shared" si="2"/>
        <v>US0003M index</v>
      </c>
      <c r="O16" s="109" t="e">
        <f ca="1">_xll.BDH(N16,$O$2,$C$1)</f>
        <v>#NAME?</v>
      </c>
      <c r="P16" s="147">
        <f>INDEX('CLOIE Pre and Post Crisis Index'!A:M,MATCH(CV!$C$1,'CLOIE Pre and Post Crisis Index'!A:A,0),MATCH(CV!$B16,'CLOIE Pre and Post Crisis Index'!$1:$1,0))/10000</f>
        <v>3.0353104999999998E-2</v>
      </c>
      <c r="T16" s="33"/>
    </row>
    <row r="17" spans="1:20" s="31" customFormat="1" x14ac:dyDescent="0.25">
      <c r="A17" s="133" t="s">
        <v>51</v>
      </c>
      <c r="B17" s="133" t="s">
        <v>86</v>
      </c>
      <c r="C17" s="91"/>
      <c r="D17" s="91"/>
      <c r="E17" s="91"/>
      <c r="F17" s="91"/>
      <c r="G17" s="91"/>
      <c r="H17" s="95"/>
      <c r="I17" s="6"/>
      <c r="J17" s="132">
        <v>2.8</v>
      </c>
      <c r="K17" s="6"/>
      <c r="L17" s="6"/>
      <c r="P17" s="147">
        <f>INDEX('CLOIE Pre and Post Crisis Index'!A:M,MATCH(CV!$C$1,'CLOIE Pre and Post Crisis Index'!A:A,0),MATCH(CV!$B17,'CLOIE Pre and Post Crisis Index'!$1:$1,0))/10000</f>
        <v>2.1225600000000001E-2</v>
      </c>
      <c r="T17" s="33"/>
    </row>
    <row r="18" spans="1:20" ht="15.75" thickBot="1" x14ac:dyDescent="0.3">
      <c r="P18" s="19">
        <f>AVERAGE(P14:P17)</f>
        <v>2.014467625E-2</v>
      </c>
    </row>
    <row r="19" spans="1:20" ht="15.75" thickBot="1" x14ac:dyDescent="0.3">
      <c r="A19" s="29" t="s">
        <v>36</v>
      </c>
      <c r="B19" s="30"/>
    </row>
    <row r="20" spans="1:20" x14ac:dyDescent="0.25">
      <c r="A20" s="22" t="s">
        <v>37</v>
      </c>
      <c r="B20" s="23"/>
    </row>
    <row r="21" spans="1:20" x14ac:dyDescent="0.25">
      <c r="A21" s="24" t="s">
        <v>35</v>
      </c>
      <c r="B21" s="25">
        <f>+E6/(1-B22)</f>
        <v>5.8333333333333341E-2</v>
      </c>
    </row>
    <row r="22" spans="1:20" x14ac:dyDescent="0.25">
      <c r="A22" s="24" t="s">
        <v>34</v>
      </c>
      <c r="B22" s="26">
        <v>0.4</v>
      </c>
    </row>
    <row r="23" spans="1:20" x14ac:dyDescent="0.25">
      <c r="A23" s="24" t="s">
        <v>40</v>
      </c>
      <c r="B23" s="35">
        <f>YEARFRAC(C1,D3)</f>
        <v>0.90277777777777779</v>
      </c>
    </row>
    <row r="24" spans="1:20" x14ac:dyDescent="0.25">
      <c r="A24" s="24" t="s">
        <v>41</v>
      </c>
      <c r="B24" s="35">
        <f>YEARFRAC(C1,D4)</f>
        <v>1.9027777777777777</v>
      </c>
    </row>
    <row r="25" spans="1:20" ht="15.75" thickBot="1" x14ac:dyDescent="0.3">
      <c r="A25" s="27" t="s">
        <v>42</v>
      </c>
      <c r="B25" s="28">
        <f>YEARFRAC(C1,D6)</f>
        <v>2.9027777777777777</v>
      </c>
    </row>
    <row r="27" spans="1:20" x14ac:dyDescent="0.25">
      <c r="D27" s="19"/>
    </row>
    <row r="29" spans="1:20" x14ac:dyDescent="0.25">
      <c r="M29" s="68"/>
    </row>
    <row r="30" spans="1:20" x14ac:dyDescent="0.25">
      <c r="A30" s="16"/>
      <c r="B30" s="1"/>
    </row>
    <row r="31" spans="1:20" x14ac:dyDescent="0.25">
      <c r="B31" s="2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X12"/>
  <sheetViews>
    <sheetView zoomScaleNormal="100" workbookViewId="0">
      <selection activeCell="G3" sqref="G3"/>
    </sheetView>
  </sheetViews>
  <sheetFormatPr defaultRowHeight="15" outlineLevelCol="1" x14ac:dyDescent="0.25"/>
  <cols>
    <col min="1" max="1" width="28.42578125" bestFit="1" customWidth="1"/>
    <col min="2" max="2" width="29.7109375" bestFit="1" customWidth="1"/>
    <col min="3" max="3" width="12.42578125" bestFit="1" customWidth="1"/>
    <col min="4" max="4" width="0" hidden="1" customWidth="1"/>
    <col min="5" max="5" width="9.7109375" bestFit="1" customWidth="1"/>
    <col min="6" max="6" width="8.85546875" customWidth="1" outlineLevel="1"/>
    <col min="7" max="7" width="7.85546875" customWidth="1" outlineLevel="1"/>
    <col min="8" max="8" width="12.7109375" customWidth="1" outlineLevel="1"/>
    <col min="9" max="9" width="12.5703125" customWidth="1" outlineLevel="1"/>
    <col min="10" max="10" width="10.28515625" customWidth="1" outlineLevel="1"/>
    <col min="11" max="11" width="6.28515625" customWidth="1" outlineLevel="1"/>
    <col min="12" max="12" width="8.7109375" customWidth="1" outlineLevel="1"/>
    <col min="13" max="13" width="9.28515625" customWidth="1" outlineLevel="1"/>
    <col min="14" max="14" width="5.42578125" customWidth="1" outlineLevel="1"/>
    <col min="15" max="15" width="10.85546875" bestFit="1" customWidth="1"/>
    <col min="16" max="16" width="14.5703125" bestFit="1" customWidth="1"/>
    <col min="17" max="17" width="8.42578125" bestFit="1" customWidth="1"/>
    <col min="18" max="18" width="6.140625" bestFit="1" customWidth="1"/>
    <col min="19" max="19" width="6.140625" style="191" customWidth="1"/>
    <col min="20" max="20" width="7.42578125" bestFit="1" customWidth="1"/>
    <col min="21" max="21" width="8.7109375" bestFit="1" customWidth="1"/>
    <col min="22" max="22" width="8.42578125" bestFit="1" customWidth="1"/>
    <col min="23" max="23" width="9" bestFit="1" customWidth="1"/>
  </cols>
  <sheetData>
    <row r="1" spans="1:24" s="67" customFormat="1" x14ac:dyDescent="0.25">
      <c r="A1" s="81"/>
      <c r="B1" s="148" t="s">
        <v>25</v>
      </c>
      <c r="C1" s="173">
        <f>Valuation_Date</f>
        <v>42613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 t="s">
        <v>156</v>
      </c>
      <c r="P1" s="173">
        <f>LIBOR_Date</f>
        <v>42613</v>
      </c>
      <c r="Q1" s="81"/>
      <c r="R1" s="81"/>
      <c r="S1" s="81"/>
      <c r="T1" s="81"/>
      <c r="U1" s="81"/>
      <c r="V1" s="81"/>
      <c r="W1" s="81"/>
    </row>
    <row r="2" spans="1:24" s="7" customFormat="1" x14ac:dyDescent="0.25">
      <c r="A2" s="88" t="s">
        <v>0</v>
      </c>
      <c r="B2" s="88" t="s">
        <v>6</v>
      </c>
      <c r="C2" s="88" t="s">
        <v>1</v>
      </c>
      <c r="D2" s="88" t="s">
        <v>60</v>
      </c>
      <c r="E2" s="88" t="s">
        <v>2</v>
      </c>
      <c r="F2" s="88" t="s">
        <v>55</v>
      </c>
      <c r="G2" s="88" t="s">
        <v>3</v>
      </c>
      <c r="H2" s="88" t="s">
        <v>4</v>
      </c>
      <c r="I2" s="88" t="s">
        <v>10</v>
      </c>
      <c r="J2" s="89" t="s">
        <v>5</v>
      </c>
      <c r="K2" s="89" t="s">
        <v>103</v>
      </c>
      <c r="L2" s="89" t="s">
        <v>11</v>
      </c>
      <c r="M2" s="89" t="s">
        <v>107</v>
      </c>
      <c r="N2" s="89" t="s">
        <v>14</v>
      </c>
      <c r="O2" s="88" t="s">
        <v>104</v>
      </c>
      <c r="P2" s="88" t="s">
        <v>105</v>
      </c>
      <c r="Q2" s="88" t="s">
        <v>29</v>
      </c>
      <c r="R2" s="88" t="s">
        <v>22</v>
      </c>
      <c r="S2" s="88" t="s">
        <v>191</v>
      </c>
      <c r="T2" s="88" t="s">
        <v>20</v>
      </c>
      <c r="U2" s="88" t="s">
        <v>21</v>
      </c>
      <c r="V2" s="88" t="s">
        <v>23</v>
      </c>
      <c r="W2" s="88" t="s">
        <v>24</v>
      </c>
    </row>
    <row r="3" spans="1:24" x14ac:dyDescent="0.25">
      <c r="A3" s="90"/>
      <c r="B3" s="90"/>
      <c r="C3" s="129"/>
      <c r="D3" s="90" t="s">
        <v>57</v>
      </c>
      <c r="E3" s="102">
        <v>45066</v>
      </c>
      <c r="F3" s="74">
        <f>Valuation_Date+1</f>
        <v>42614</v>
      </c>
      <c r="G3" s="101">
        <v>7</v>
      </c>
      <c r="H3" s="104">
        <v>54847500</v>
      </c>
      <c r="I3" s="104">
        <v>201250000</v>
      </c>
      <c r="J3" s="105">
        <v>1</v>
      </c>
      <c r="K3" s="105">
        <v>0</v>
      </c>
      <c r="L3" s="12" t="e">
        <f ca="1">DURATION($C$1,E3,G3/100,V3/100,J3,K3)</f>
        <v>#NAME?</v>
      </c>
      <c r="M3" s="150">
        <v>0</v>
      </c>
      <c r="N3" s="105" t="s">
        <v>53</v>
      </c>
      <c r="O3" s="101" t="s">
        <v>168</v>
      </c>
      <c r="P3" t="str">
        <f>O3&amp;" Curncy"</f>
        <v>USSW7 Curncy</v>
      </c>
      <c r="Q3" s="109" t="e">
        <f ca="1">_xll.BDH(P3,$Q$2,$C$1)</f>
        <v>#NAME?</v>
      </c>
      <c r="R3" s="14">
        <f>+T10</f>
        <v>5.5100000000000003E-2</v>
      </c>
      <c r="S3" s="185" t="str">
        <f>A10</f>
        <v>JPM Leveraged Loan Index B</v>
      </c>
      <c r="T3" s="122">
        <v>0</v>
      </c>
      <c r="U3" s="58">
        <f>'[3]Liquidity Spreads'!$G$8*100</f>
        <v>181.99999999999994</v>
      </c>
      <c r="V3" s="5" t="e">
        <f ca="1">(+Q3+R3*100+T3+U3/100)</f>
        <v>#NAME?</v>
      </c>
      <c r="W3" s="13" t="e">
        <f ca="1">MIN(PRICE($C$1,E3,G3/100,V3/100,100,J3,K3),100)</f>
        <v>#NAME?</v>
      </c>
    </row>
    <row r="4" spans="1:24" x14ac:dyDescent="0.25">
      <c r="A4" s="101"/>
      <c r="B4" s="90"/>
      <c r="C4" s="90"/>
      <c r="D4" s="90" t="s">
        <v>57</v>
      </c>
      <c r="E4" s="102">
        <v>43971</v>
      </c>
      <c r="F4" s="74">
        <f>Valuation_Date+1</f>
        <v>42614</v>
      </c>
      <c r="G4" s="101">
        <v>6.9</v>
      </c>
      <c r="H4" s="104">
        <v>25152500</v>
      </c>
      <c r="I4" s="104">
        <v>158750000</v>
      </c>
      <c r="J4" s="105">
        <v>1</v>
      </c>
      <c r="K4" s="105">
        <v>0</v>
      </c>
      <c r="L4" s="12" t="e">
        <f ca="1">DURATION($C$1,E4,G4/100,V4/100,J4,K4)</f>
        <v>#NAME?</v>
      </c>
      <c r="M4" s="150">
        <v>0</v>
      </c>
      <c r="N4" s="105" t="s">
        <v>53</v>
      </c>
      <c r="O4" s="101" t="s">
        <v>70</v>
      </c>
      <c r="P4" t="str">
        <f>O4&amp;" Curncy"</f>
        <v>USSW4 Curncy</v>
      </c>
      <c r="Q4" s="109" t="e">
        <f ca="1">_xll.BDH(P4,$Q$2,$C$1)</f>
        <v>#NAME?</v>
      </c>
      <c r="R4" s="14">
        <f>+R3</f>
        <v>5.5100000000000003E-2</v>
      </c>
      <c r="S4" s="185" t="str">
        <f>A10</f>
        <v>JPM Leveraged Loan Index B</v>
      </c>
      <c r="T4" s="122">
        <v>0</v>
      </c>
      <c r="U4" s="44">
        <f>+U3</f>
        <v>181.99999999999994</v>
      </c>
      <c r="V4" s="5" t="e">
        <f ca="1">(+Q4+R4*100+T4+U4/100)</f>
        <v>#NAME?</v>
      </c>
      <c r="W4" s="13" t="e">
        <f ca="1">MIN(PRICE($C$1,E4,G4/100,V4/100,100,J4,K4),100)</f>
        <v>#NAME?</v>
      </c>
    </row>
    <row r="5" spans="1:24" x14ac:dyDescent="0.25">
      <c r="C5" s="1"/>
      <c r="D5" s="1"/>
      <c r="E5" s="2"/>
      <c r="F5" s="4"/>
      <c r="H5" s="3"/>
      <c r="I5" s="3"/>
      <c r="J5" s="10"/>
      <c r="K5" s="10"/>
      <c r="L5" s="12"/>
      <c r="M5" s="12"/>
      <c r="N5" s="10"/>
      <c r="Q5" s="5"/>
      <c r="R5" s="14"/>
      <c r="S5" s="185"/>
      <c r="T5" s="8"/>
      <c r="U5" s="16"/>
      <c r="V5" s="5"/>
      <c r="W5" s="13"/>
    </row>
    <row r="6" spans="1:24" x14ac:dyDescent="0.25">
      <c r="C6" s="1"/>
      <c r="D6" s="1"/>
      <c r="J6" s="10"/>
      <c r="K6" s="10"/>
      <c r="L6" s="12"/>
      <c r="M6" s="12"/>
      <c r="N6" s="10"/>
      <c r="Q6" s="9"/>
      <c r="V6" s="5"/>
    </row>
    <row r="7" spans="1:24" x14ac:dyDescent="0.25">
      <c r="C7" s="1"/>
      <c r="D7" s="1"/>
      <c r="J7" s="10"/>
      <c r="K7" s="10"/>
      <c r="L7" s="12"/>
      <c r="M7" s="12"/>
      <c r="N7" s="10"/>
      <c r="Q7" s="9"/>
      <c r="V7" s="5"/>
    </row>
    <row r="8" spans="1:24" x14ac:dyDescent="0.25">
      <c r="A8" s="81" t="s">
        <v>16</v>
      </c>
      <c r="B8" s="81"/>
      <c r="C8" s="81"/>
      <c r="D8" s="81"/>
      <c r="E8" s="81"/>
      <c r="F8" s="81"/>
      <c r="G8" s="81" t="s">
        <v>31</v>
      </c>
      <c r="H8" s="81"/>
      <c r="I8" s="81"/>
      <c r="J8" s="111"/>
      <c r="K8" s="111"/>
      <c r="L8" s="111"/>
      <c r="M8" s="111"/>
      <c r="N8" s="111"/>
      <c r="O8" s="81" t="s">
        <v>52</v>
      </c>
      <c r="P8" s="81" t="s">
        <v>52</v>
      </c>
      <c r="Q8" s="113"/>
      <c r="R8" s="144"/>
      <c r="S8" s="144"/>
      <c r="T8" s="81"/>
      <c r="U8" s="81"/>
      <c r="V8" s="81"/>
      <c r="W8" s="81"/>
      <c r="X8" s="5"/>
    </row>
    <row r="9" spans="1:24" s="7" customFormat="1" x14ac:dyDescent="0.25">
      <c r="A9" s="88" t="s">
        <v>0</v>
      </c>
      <c r="B9" s="88" t="s">
        <v>6</v>
      </c>
      <c r="C9" s="88" t="s">
        <v>1</v>
      </c>
      <c r="D9" s="88" t="s">
        <v>61</v>
      </c>
      <c r="E9" s="88" t="s">
        <v>2</v>
      </c>
      <c r="F9" s="88"/>
      <c r="G9" s="88" t="s">
        <v>33</v>
      </c>
      <c r="H9" s="88" t="s">
        <v>48</v>
      </c>
      <c r="I9" s="88" t="s">
        <v>49</v>
      </c>
      <c r="J9" s="89" t="s">
        <v>50</v>
      </c>
      <c r="K9" s="89"/>
      <c r="L9" s="89"/>
      <c r="M9" s="115" t="s">
        <v>11</v>
      </c>
      <c r="N9" s="89" t="s">
        <v>14</v>
      </c>
      <c r="O9" s="88" t="s">
        <v>32</v>
      </c>
      <c r="P9" s="88" t="s">
        <v>38</v>
      </c>
      <c r="Q9" s="88" t="s">
        <v>29</v>
      </c>
      <c r="R9" s="143"/>
      <c r="S9" s="143"/>
      <c r="T9" s="88" t="s">
        <v>26</v>
      </c>
      <c r="U9" s="88"/>
      <c r="V9" s="88"/>
      <c r="W9" s="88"/>
      <c r="X9" s="11"/>
    </row>
    <row r="10" spans="1:24" s="31" customFormat="1" x14ac:dyDescent="0.25">
      <c r="A10" s="133" t="s">
        <v>145</v>
      </c>
      <c r="B10" s="133" t="s">
        <v>65</v>
      </c>
      <c r="C10" s="91"/>
      <c r="D10" s="135"/>
      <c r="E10" s="91"/>
      <c r="G10" s="32"/>
      <c r="J10" s="6"/>
      <c r="K10" s="6"/>
      <c r="L10" s="6"/>
      <c r="M10" s="132">
        <v>3</v>
      </c>
      <c r="N10" s="6"/>
      <c r="O10" s="101" t="s">
        <v>39</v>
      </c>
      <c r="P10" t="str">
        <f t="shared" ref="P10" si="0">O10&amp;" index"</f>
        <v>US0003M index</v>
      </c>
      <c r="Q10" s="109" t="e">
        <f ca="1">_xll.BDH(P10,$Q$9,$P$1)</f>
        <v>#NAME?</v>
      </c>
      <c r="T10" s="147">
        <f>INDEX(Indices!A:K,MATCH($C$1,Indices!A:A,0),MATCH(A10,Indices!$A$2:$K$2,0))/10000</f>
        <v>5.5100000000000003E-2</v>
      </c>
      <c r="U10" s="65"/>
      <c r="X10" s="33"/>
    </row>
    <row r="11" spans="1:24" x14ac:dyDescent="0.25">
      <c r="A11" s="133"/>
      <c r="B11" s="133"/>
      <c r="C11" s="101"/>
      <c r="D11" s="149"/>
      <c r="E11" s="101"/>
      <c r="J11" s="10"/>
      <c r="K11" s="10"/>
      <c r="L11" s="10"/>
      <c r="M11" s="10"/>
      <c r="N11" s="6"/>
      <c r="O11" s="6"/>
      <c r="R11" s="5"/>
      <c r="S11" s="183"/>
      <c r="T11" s="38"/>
    </row>
    <row r="12" spans="1:24" x14ac:dyDescent="0.25">
      <c r="J12" s="10"/>
      <c r="K12" s="10"/>
      <c r="L12" s="10"/>
      <c r="M12" s="10"/>
      <c r="N12" s="10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B23"/>
  <sheetViews>
    <sheetView zoomScaleNormal="100" workbookViewId="0">
      <pane ySplit="2" topLeftCell="A3" activePane="bottomLeft" state="frozen"/>
      <selection pane="bottomLeft" activeCell="S12" sqref="S12"/>
    </sheetView>
  </sheetViews>
  <sheetFormatPr defaultRowHeight="15" outlineLevelCol="1" x14ac:dyDescent="0.25"/>
  <cols>
    <col min="1" max="1" width="25.85546875" customWidth="1"/>
    <col min="2" max="2" width="23" bestFit="1" customWidth="1"/>
    <col min="3" max="3" width="12.42578125" bestFit="1" customWidth="1"/>
    <col min="4" max="4" width="5.42578125" bestFit="1" customWidth="1"/>
    <col min="5" max="5" width="9.7109375" bestFit="1" customWidth="1"/>
    <col min="6" max="6" width="5.140625" customWidth="1" outlineLevel="1"/>
    <col min="7" max="7" width="8.7109375" customWidth="1" outlineLevel="1"/>
    <col min="8" max="8" width="7.85546875" customWidth="1" outlineLevel="1"/>
    <col min="9" max="9" width="12.7109375" customWidth="1" outlineLevel="1"/>
    <col min="10" max="10" width="12.5703125" customWidth="1" outlineLevel="1"/>
    <col min="11" max="11" width="10.28515625" customWidth="1" outlineLevel="1"/>
    <col min="12" max="12" width="6.28515625" customWidth="1" outlineLevel="1"/>
    <col min="13" max="13" width="8.7109375" customWidth="1" outlineLevel="1"/>
    <col min="14" max="14" width="8.85546875" customWidth="1" outlineLevel="1"/>
    <col min="15" max="15" width="5.42578125" customWidth="1" outlineLevel="1"/>
    <col min="16" max="16" width="13.140625" customWidth="1"/>
    <col min="17" max="17" width="17.7109375" customWidth="1"/>
    <col min="18" max="18" width="8.42578125" style="67" bestFit="1" customWidth="1"/>
    <col min="19" max="19" width="13.7109375" style="67" bestFit="1" customWidth="1"/>
    <col min="20" max="20" width="13.7109375" style="182" customWidth="1"/>
    <col min="21" max="21" width="10.7109375" bestFit="1" customWidth="1"/>
    <col min="22" max="22" width="10.7109375" style="191" customWidth="1"/>
    <col min="23" max="23" width="9.85546875" style="67" bestFit="1" customWidth="1"/>
    <col min="24" max="24" width="7" bestFit="1" customWidth="1"/>
    <col min="25" max="25" width="8.7109375" bestFit="1" customWidth="1"/>
    <col min="26" max="27" width="9" bestFit="1" customWidth="1"/>
  </cols>
  <sheetData>
    <row r="1" spans="1:28" s="67" customFormat="1" x14ac:dyDescent="0.25">
      <c r="A1" s="81"/>
      <c r="B1" s="148" t="s">
        <v>25</v>
      </c>
      <c r="C1" s="173">
        <f>Valuation_Date</f>
        <v>42613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48"/>
      <c r="R1" s="148"/>
      <c r="S1" s="148"/>
      <c r="T1" s="148" t="s">
        <v>157</v>
      </c>
      <c r="U1" s="173">
        <f>LIBOR_Date</f>
        <v>42613</v>
      </c>
      <c r="V1" s="173"/>
      <c r="W1" s="81"/>
      <c r="X1" s="81"/>
      <c r="Y1" s="81"/>
      <c r="Z1" s="81"/>
      <c r="AA1" s="81"/>
    </row>
    <row r="2" spans="1:28" s="136" customFormat="1" ht="30" x14ac:dyDescent="0.25">
      <c r="A2" s="123" t="s">
        <v>0</v>
      </c>
      <c r="B2" s="123" t="s">
        <v>6</v>
      </c>
      <c r="C2" s="123" t="s">
        <v>1</v>
      </c>
      <c r="D2" s="123" t="s">
        <v>60</v>
      </c>
      <c r="E2" s="123" t="s">
        <v>2</v>
      </c>
      <c r="F2" s="123" t="s">
        <v>59</v>
      </c>
      <c r="G2" s="123" t="s">
        <v>55</v>
      </c>
      <c r="H2" s="123" t="s">
        <v>3</v>
      </c>
      <c r="I2" s="123" t="s">
        <v>4</v>
      </c>
      <c r="J2" s="123" t="s">
        <v>10</v>
      </c>
      <c r="K2" s="124" t="s">
        <v>5</v>
      </c>
      <c r="L2" s="124" t="s">
        <v>103</v>
      </c>
      <c r="M2" s="124" t="s">
        <v>11</v>
      </c>
      <c r="N2" s="124" t="s">
        <v>107</v>
      </c>
      <c r="O2" s="124" t="s">
        <v>14</v>
      </c>
      <c r="P2" s="123" t="s">
        <v>97</v>
      </c>
      <c r="Q2" s="123" t="s">
        <v>98</v>
      </c>
      <c r="R2" s="123" t="s">
        <v>29</v>
      </c>
      <c r="S2" s="123" t="s">
        <v>98</v>
      </c>
      <c r="T2" s="123" t="s">
        <v>29</v>
      </c>
      <c r="U2" s="123" t="s">
        <v>105</v>
      </c>
      <c r="V2" s="123" t="s">
        <v>191</v>
      </c>
      <c r="W2" s="123" t="s">
        <v>22</v>
      </c>
      <c r="X2" s="123" t="s">
        <v>21</v>
      </c>
      <c r="Y2" s="123" t="s">
        <v>23</v>
      </c>
      <c r="Z2" s="123" t="s">
        <v>24</v>
      </c>
    </row>
    <row r="3" spans="1:28" x14ac:dyDescent="0.25">
      <c r="A3" s="90"/>
      <c r="B3" s="90"/>
      <c r="C3" s="90"/>
      <c r="D3" s="90" t="s">
        <v>56</v>
      </c>
      <c r="E3" s="102">
        <v>44297</v>
      </c>
      <c r="F3" s="102"/>
      <c r="G3" s="200">
        <f>+C1</f>
        <v>42613</v>
      </c>
      <c r="H3" s="108">
        <v>7</v>
      </c>
      <c r="I3" s="104">
        <v>100000000</v>
      </c>
      <c r="J3" s="104">
        <v>240000000</v>
      </c>
      <c r="K3" s="105">
        <v>1</v>
      </c>
      <c r="L3" s="105">
        <v>0</v>
      </c>
      <c r="M3" s="12" t="e">
        <f ca="1">DURATION($C$1,E3,H3/100,Y3/100,K3,L3)</f>
        <v>#NAME?</v>
      </c>
      <c r="N3" s="150">
        <v>0</v>
      </c>
      <c r="O3" s="105" t="s">
        <v>53</v>
      </c>
      <c r="P3" s="181" t="str">
        <f>"USSW"&amp;ROUNDDOWN(DAYS360($C$1,E3)/360,0)</f>
        <v>USSW4</v>
      </c>
      <c r="Q3" t="str">
        <f>P3&amp;" Curncy"</f>
        <v>USSW4 Curncy</v>
      </c>
      <c r="R3" s="109" t="e">
        <f ca="1">IF(_xll.BDH(Q3,R$2,$C$1)="#N/A Invalid Security",0,_xll.BDH(Q3,R$2,$C$1))</f>
        <v>#NAME?</v>
      </c>
      <c r="S3" s="67" t="str">
        <f>"USSW"&amp;ROUNDUP(DAYS360($C$1,E3)/360,0)&amp;" Curncy"</f>
        <v>USSW5 Curncy</v>
      </c>
      <c r="T3" s="190" t="e">
        <f ca="1">IF(_xll.BDH(S3,T$2,$C$1)="#N/A Invalid Security",0,_xll.BDH(S3,T$2,$C$1))</f>
        <v>#NAME?</v>
      </c>
      <c r="U3" s="161" t="e">
        <f ca="1">(T3-R3)*((DAYS360($C$1,E3)/360)-ROUNDDOWN(DAYS360($C$1,E3)/360,0))+R3</f>
        <v>#NAME?</v>
      </c>
      <c r="V3" s="161" t="str">
        <f>A11</f>
        <v>JPM Leveraged Loan Index Financials</v>
      </c>
      <c r="W3" s="14">
        <f>+X11</f>
        <v>4.8300000000000003E-2</v>
      </c>
      <c r="X3" s="172">
        <f>Reuters_Liquidity_Premium</f>
        <v>110</v>
      </c>
      <c r="Y3" s="5" t="e">
        <f ca="1">(+U3+W3*100+X3/100)</f>
        <v>#NAME?</v>
      </c>
      <c r="Z3" s="78" t="e">
        <f ca="1">MIN(PRICE($C$1,E3,H3/100,Y3/100,100,K3,L3),100)</f>
        <v>#NAME?</v>
      </c>
      <c r="AA3" s="77"/>
    </row>
    <row r="4" spans="1:28" x14ac:dyDescent="0.25">
      <c r="A4" s="101"/>
      <c r="B4" s="90"/>
      <c r="C4" s="90"/>
      <c r="D4" s="90" t="s">
        <v>66</v>
      </c>
      <c r="E4" s="102">
        <v>45456</v>
      </c>
      <c r="F4" s="131"/>
      <c r="G4" s="200">
        <f>+C1</f>
        <v>42613</v>
      </c>
      <c r="H4" s="108">
        <v>6.75</v>
      </c>
      <c r="I4" s="104">
        <v>70000000</v>
      </c>
      <c r="J4" s="104">
        <v>205000000</v>
      </c>
      <c r="K4" s="105">
        <v>1</v>
      </c>
      <c r="L4" s="105">
        <v>0</v>
      </c>
      <c r="M4" s="12" t="e">
        <f ca="1">DURATION($C$1,E4,H4/100,Y4/100,K4,L4)</f>
        <v>#NAME?</v>
      </c>
      <c r="N4" s="150">
        <v>0</v>
      </c>
      <c r="O4" s="105" t="s">
        <v>53</v>
      </c>
      <c r="P4" s="181" t="str">
        <f>"USSW"&amp;ROUNDDOWN(DAYS360($C$1,E4)/360,0)</f>
        <v>USSW7</v>
      </c>
      <c r="Q4" t="str">
        <f>P4&amp;" Curncy"</f>
        <v>USSW7 Curncy</v>
      </c>
      <c r="R4" s="190" t="e">
        <f ca="1">IF(_xll.BDH(Q4,$R$2,$C$1)="#N/A Invalid Security",0,_xll.BDH(Q4,$R$2,$C$1))</f>
        <v>#NAME?</v>
      </c>
      <c r="S4" s="191" t="str">
        <f>"USSW"&amp;ROUNDUP(DAYS360($C$1,E4)/360,0)&amp;" Curncy"</f>
        <v>USSW8 Curncy</v>
      </c>
      <c r="T4" s="192" t="e">
        <f ca="1">IF(_xll.BDH(S4,T$2,$C$1)="#N/A Invalid Security",0,_xll.BDH(S4,T$2,$C$1))</f>
        <v>#NAME?</v>
      </c>
      <c r="U4" s="161" t="e">
        <f ca="1">(T4-R4)*((DAYS360($C$1,E4)/360)-ROUNDDOWN(DAYS360($C$1,E4)/360,0))+R4</f>
        <v>#NAME?</v>
      </c>
      <c r="V4" s="161" t="str">
        <f>A11</f>
        <v>JPM Leveraged Loan Index Financials</v>
      </c>
      <c r="W4" s="14">
        <f>+W3</f>
        <v>4.8300000000000003E-2</v>
      </c>
      <c r="X4" s="44">
        <f>+X3</f>
        <v>110</v>
      </c>
      <c r="Y4" s="183" t="e">
        <f ca="1">(+U4+W4*100+X4/100)</f>
        <v>#NAME?</v>
      </c>
      <c r="Z4" s="78" t="e">
        <f ca="1">MIN(PRICE($C$1,E4,H4/100,Y4/100,100,K4,L4),100)</f>
        <v>#NAME?</v>
      </c>
      <c r="AA4" s="77"/>
    </row>
    <row r="5" spans="1:28" x14ac:dyDescent="0.25">
      <c r="A5" s="101"/>
      <c r="B5" s="90"/>
      <c r="C5" s="90"/>
      <c r="D5" s="90" t="s">
        <v>67</v>
      </c>
      <c r="E5" s="102">
        <v>45456</v>
      </c>
      <c r="F5" s="108"/>
      <c r="G5" s="200">
        <f>+C1</f>
        <v>42613</v>
      </c>
      <c r="H5" s="108">
        <v>6.75</v>
      </c>
      <c r="I5" s="104">
        <v>70000000</v>
      </c>
      <c r="J5" s="104">
        <v>175000000</v>
      </c>
      <c r="K5" s="105">
        <v>1</v>
      </c>
      <c r="L5" s="105">
        <v>0</v>
      </c>
      <c r="M5" s="12" t="e">
        <f ca="1">DURATION($C$1,E5,H5/100,Y5/100,K5,L5)</f>
        <v>#NAME?</v>
      </c>
      <c r="N5" s="151"/>
      <c r="O5" s="105" t="s">
        <v>53</v>
      </c>
      <c r="P5" s="181" t="str">
        <f>"USSW"&amp;ROUNDDOWN(DAYS360($C$1,E5)/360,0)</f>
        <v>USSW7</v>
      </c>
      <c r="Q5" t="str">
        <f>P5&amp;" Curncy"</f>
        <v>USSW7 Curncy</v>
      </c>
      <c r="R5" s="190" t="e">
        <f ca="1">IF(_xll.BDH(Q5,$R$2,$C$1)="#N/A Invalid Security",0,_xll.BDH(Q5,$R$2,$C$1))</f>
        <v>#NAME?</v>
      </c>
      <c r="S5" s="191" t="str">
        <f>"USSW"&amp;ROUNDUP(DAYS360($C$1,E5)/360,0)&amp;" Curncy"</f>
        <v>USSW8 Curncy</v>
      </c>
      <c r="T5" s="192" t="e">
        <f ca="1">IF(_xll.BDH(S5,T$2,$C$1)="#N/A Invalid Security",0,_xll.BDH(S5,T$2,$C$1))</f>
        <v>#NAME?</v>
      </c>
      <c r="U5" s="161" t="e">
        <f ca="1">(T5-R5)*((DAYS360($C$1,E5)/360)-ROUNDDOWN(DAYS360($C$1,E5)/360,0))+R5</f>
        <v>#NAME?</v>
      </c>
      <c r="V5" s="161" t="str">
        <f>A11</f>
        <v>JPM Leveraged Loan Index Financials</v>
      </c>
      <c r="W5" s="14">
        <f>+W4</f>
        <v>4.8300000000000003E-2</v>
      </c>
      <c r="X5" s="44">
        <f>+X3</f>
        <v>110</v>
      </c>
      <c r="Y5" s="183" t="e">
        <f ca="1">(+U5+W5*100+X5/100)</f>
        <v>#NAME?</v>
      </c>
      <c r="Z5" s="78" t="e">
        <f ca="1">MIN(PRICE($C$1,E5,H5/100,Y5/100,100,K5,L5),100)</f>
        <v>#NAME?</v>
      </c>
      <c r="AA5" s="77"/>
    </row>
    <row r="6" spans="1:28" x14ac:dyDescent="0.25">
      <c r="C6" s="1"/>
      <c r="D6" s="1"/>
      <c r="K6" s="10"/>
      <c r="L6" s="10"/>
      <c r="M6" s="12"/>
      <c r="N6" s="12"/>
      <c r="O6" s="10"/>
      <c r="U6" s="9"/>
      <c r="V6" s="9"/>
      <c r="W6" s="9"/>
      <c r="Z6" s="5"/>
    </row>
    <row r="7" spans="1:28" x14ac:dyDescent="0.25">
      <c r="C7" s="1"/>
      <c r="D7" s="1"/>
      <c r="K7" s="10"/>
      <c r="L7" s="10"/>
      <c r="M7" s="12"/>
      <c r="N7" s="12"/>
      <c r="O7" s="10"/>
      <c r="U7" s="9"/>
      <c r="V7" s="9"/>
      <c r="W7" s="9"/>
      <c r="Z7" s="5"/>
    </row>
    <row r="8" spans="1:28" x14ac:dyDescent="0.25">
      <c r="A8" s="81" t="s">
        <v>16</v>
      </c>
      <c r="B8" s="81"/>
      <c r="C8" s="81"/>
      <c r="D8" s="81"/>
      <c r="E8" s="81"/>
      <c r="F8" s="81"/>
      <c r="G8" s="81"/>
      <c r="H8" s="81" t="s">
        <v>31</v>
      </c>
      <c r="I8" s="81"/>
      <c r="J8" s="81"/>
      <c r="K8" s="111"/>
      <c r="L8" s="111"/>
      <c r="M8" s="111"/>
      <c r="N8" s="111"/>
      <c r="O8" s="111"/>
      <c r="P8" s="81"/>
      <c r="Q8" s="81"/>
      <c r="R8" s="81"/>
      <c r="S8" s="81"/>
      <c r="T8" s="81"/>
      <c r="U8" s="113"/>
      <c r="V8" s="113"/>
      <c r="W8" s="113"/>
      <c r="X8" s="81"/>
      <c r="Y8" s="81"/>
      <c r="Z8" s="81"/>
      <c r="AA8" s="81"/>
      <c r="AB8" s="5"/>
    </row>
    <row r="9" spans="1:28" s="7" customFormat="1" x14ac:dyDescent="0.25">
      <c r="A9" s="88" t="s">
        <v>0</v>
      </c>
      <c r="B9" s="88" t="s">
        <v>6</v>
      </c>
      <c r="C9" s="88" t="s">
        <v>1</v>
      </c>
      <c r="D9" s="88" t="s">
        <v>61</v>
      </c>
      <c r="E9" s="88" t="s">
        <v>2</v>
      </c>
      <c r="F9" s="88"/>
      <c r="G9" s="88"/>
      <c r="H9" s="88" t="s">
        <v>33</v>
      </c>
      <c r="I9" s="88" t="s">
        <v>48</v>
      </c>
      <c r="J9" s="88" t="s">
        <v>49</v>
      </c>
      <c r="K9" s="89" t="s">
        <v>50</v>
      </c>
      <c r="L9" s="89"/>
      <c r="M9" s="115" t="s">
        <v>11</v>
      </c>
      <c r="N9" s="89"/>
      <c r="O9" s="89" t="s">
        <v>14</v>
      </c>
      <c r="P9" s="88"/>
      <c r="Q9" s="88"/>
      <c r="R9" s="88"/>
      <c r="S9" s="88"/>
      <c r="T9" s="88"/>
      <c r="U9" s="88"/>
      <c r="V9" s="88"/>
      <c r="W9" s="88"/>
      <c r="X9" s="88" t="s">
        <v>26</v>
      </c>
      <c r="Y9" s="88"/>
      <c r="Z9" s="88"/>
      <c r="AA9" s="88"/>
      <c r="AB9" s="11"/>
    </row>
    <row r="10" spans="1:28" s="31" customFormat="1" x14ac:dyDescent="0.25">
      <c r="A10" s="133" t="s">
        <v>145</v>
      </c>
      <c r="B10" s="133" t="s">
        <v>65</v>
      </c>
      <c r="C10" s="91"/>
      <c r="D10" s="135"/>
      <c r="E10" s="91"/>
      <c r="F10" s="91"/>
      <c r="G10" s="91"/>
      <c r="H10" s="93"/>
      <c r="I10" s="91"/>
      <c r="J10" s="91"/>
      <c r="K10" s="95"/>
      <c r="L10" s="95"/>
      <c r="M10" s="132">
        <v>3</v>
      </c>
      <c r="N10" s="6"/>
      <c r="O10" s="6"/>
      <c r="P10" s="101"/>
      <c r="Q10"/>
      <c r="R10" s="67"/>
      <c r="S10" s="67"/>
      <c r="T10" s="182"/>
      <c r="U10" s="109"/>
      <c r="V10" s="192"/>
      <c r="W10" s="109"/>
      <c r="X10" s="147">
        <f>INDEX(Indices!A:K,MATCH($C$1,Indices!A:A,0),MATCH(A10,Indices!$A$2:$K$2,0))/10000</f>
        <v>5.5100000000000003E-2</v>
      </c>
      <c r="Y10" s="65"/>
      <c r="AB10" s="33"/>
    </row>
    <row r="11" spans="1:28" x14ac:dyDescent="0.25">
      <c r="A11" s="133" t="s">
        <v>169</v>
      </c>
      <c r="B11" s="133" t="s">
        <v>171</v>
      </c>
      <c r="D11" s="21"/>
      <c r="K11" s="10"/>
      <c r="L11" s="10"/>
      <c r="M11" s="132">
        <v>3</v>
      </c>
      <c r="N11" s="10"/>
      <c r="O11" s="6"/>
      <c r="P11" s="101" t="str">
        <f>"USSW"&amp;ROUNDDOWN(YEAR(E3)-YEAR(C1),0)</f>
        <v>USSW5</v>
      </c>
      <c r="Q11" s="67"/>
      <c r="U11" s="109"/>
      <c r="V11" s="192"/>
      <c r="X11" s="147">
        <f>INDEX(Indices!A:K,MATCH($C$1,Indices!A:A,0),MATCH(A11,Indices!$A$2:$K$2,0))/10000</f>
        <v>4.8300000000000003E-2</v>
      </c>
    </row>
    <row r="12" spans="1:28" x14ac:dyDescent="0.25">
      <c r="K12" s="10"/>
      <c r="L12" s="10"/>
      <c r="M12" s="10"/>
      <c r="N12" s="10"/>
      <c r="O12" s="10"/>
      <c r="P12" s="164"/>
    </row>
    <row r="13" spans="1:28" x14ac:dyDescent="0.25">
      <c r="K13" s="10"/>
      <c r="L13" s="10"/>
      <c r="M13" s="10"/>
      <c r="N13" s="10"/>
      <c r="O13" s="10"/>
    </row>
    <row r="15" spans="1:28" x14ac:dyDescent="0.25">
      <c r="P15" s="101" t="s">
        <v>167</v>
      </c>
      <c r="Q15" s="67" t="str">
        <f>P15&amp;" Curncy"</f>
        <v>USSW5 Curncy</v>
      </c>
      <c r="U15" s="109">
        <v>1.5668</v>
      </c>
      <c r="V15" s="192"/>
      <c r="W15" s="109"/>
    </row>
    <row r="16" spans="1:28" x14ac:dyDescent="0.25">
      <c r="P16" s="101" t="s">
        <v>68</v>
      </c>
      <c r="Q16" s="67" t="str">
        <f>P16&amp;" Curncy"</f>
        <v>USSW6 Curncy</v>
      </c>
      <c r="U16" s="109">
        <v>1.6968999999999999</v>
      </c>
      <c r="V16" s="192"/>
      <c r="W16" s="109"/>
    </row>
    <row r="17" spans="16:23" x14ac:dyDescent="0.25">
      <c r="P17" s="101" t="s">
        <v>168</v>
      </c>
      <c r="Q17" s="67" t="str">
        <f>P17&amp;" Curncy"</f>
        <v>USSW7 Curncy</v>
      </c>
      <c r="U17" s="109">
        <v>1.8102</v>
      </c>
      <c r="V17" s="192"/>
      <c r="W17" s="109"/>
    </row>
    <row r="18" spans="16:23" x14ac:dyDescent="0.25">
      <c r="P18" s="101" t="s">
        <v>62</v>
      </c>
      <c r="Q18" s="67" t="str">
        <f>P18&amp;" Curncy"</f>
        <v>USSW8 Curncy</v>
      </c>
      <c r="U18" s="109">
        <v>1.9087000000000001</v>
      </c>
      <c r="V18" s="192"/>
      <c r="W18" s="109"/>
    </row>
    <row r="19" spans="16:23" x14ac:dyDescent="0.25">
      <c r="P19" s="101" t="s">
        <v>54</v>
      </c>
      <c r="Q19" s="67" t="str">
        <f>P19&amp;" Curncy"</f>
        <v>USSW9 Curncy</v>
      </c>
      <c r="U19" s="109">
        <v>1.9935</v>
      </c>
      <c r="V19" s="192"/>
      <c r="W19" s="109"/>
    </row>
    <row r="23" spans="16:23" x14ac:dyDescent="0.25">
      <c r="S23" s="162"/>
      <c r="T23" s="162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W22"/>
  <sheetViews>
    <sheetView zoomScaleNormal="100" workbookViewId="0">
      <pane ySplit="3" topLeftCell="A4" activePane="bottomLeft" state="frozen"/>
      <selection pane="bottomLeft" activeCell="K8" sqref="K8"/>
    </sheetView>
  </sheetViews>
  <sheetFormatPr defaultRowHeight="15" outlineLevelCol="1" x14ac:dyDescent="0.25"/>
  <cols>
    <col min="1" max="1" width="41.7109375" customWidth="1"/>
    <col min="2" max="2" width="18" bestFit="1" customWidth="1"/>
    <col min="3" max="3" width="12.140625" bestFit="1" customWidth="1"/>
    <col min="4" max="4" width="8.7109375" bestFit="1" customWidth="1"/>
    <col min="5" max="5" width="6" customWidth="1" outlineLevel="1"/>
    <col min="6" max="6" width="10.7109375" customWidth="1" outlineLevel="1"/>
    <col min="7" max="7" width="7.85546875" customWidth="1" outlineLevel="1"/>
    <col min="8" max="8" width="11.5703125" customWidth="1" outlineLevel="1"/>
    <col min="9" max="9" width="10" customWidth="1" outlineLevel="1"/>
    <col min="10" max="10" width="8.85546875" customWidth="1" outlineLevel="1"/>
    <col min="11" max="11" width="9.42578125" customWidth="1" outlineLevel="1"/>
    <col min="12" max="13" width="5.42578125" customWidth="1" outlineLevel="1"/>
    <col min="14" max="14" width="17.42578125" bestFit="1" customWidth="1"/>
    <col min="15" max="15" width="22.140625" bestFit="1" customWidth="1"/>
    <col min="16" max="16" width="10.85546875" bestFit="1" customWidth="1"/>
    <col min="17" max="17" width="10.85546875" style="191" bestFit="1" customWidth="1"/>
    <col min="18" max="18" width="9.85546875" bestFit="1" customWidth="1"/>
    <col min="19" max="19" width="8.7109375" bestFit="1" customWidth="1"/>
    <col min="20" max="20" width="42.85546875" bestFit="1" customWidth="1"/>
    <col min="21" max="21" width="10.7109375" customWidth="1"/>
    <col min="22" max="22" width="10.5703125" bestFit="1" customWidth="1"/>
    <col min="23" max="23" width="8.85546875" bestFit="1" customWidth="1"/>
    <col min="24" max="24" width="12.5703125" bestFit="1" customWidth="1"/>
    <col min="27" max="27" width="9.7109375" bestFit="1" customWidth="1"/>
    <col min="28" max="28" width="16.7109375" style="3" bestFit="1" customWidth="1"/>
    <col min="29" max="29" width="10.5703125" bestFit="1" customWidth="1"/>
    <col min="30" max="30" width="8.85546875" bestFit="1" customWidth="1"/>
    <col min="31" max="31" width="12.5703125" bestFit="1" customWidth="1"/>
    <col min="33" max="33" width="9.7109375" bestFit="1" customWidth="1"/>
    <col min="34" max="34" width="11.5703125" bestFit="1" customWidth="1"/>
    <col min="35" max="35" width="10.5703125" bestFit="1" customWidth="1"/>
    <col min="36" max="36" width="8.85546875" bestFit="1" customWidth="1"/>
    <col min="37" max="37" width="11.5703125" bestFit="1" customWidth="1"/>
    <col min="39" max="39" width="9.7109375" bestFit="1" customWidth="1"/>
    <col min="40" max="40" width="12.5703125" bestFit="1" customWidth="1"/>
    <col min="41" max="41" width="10.5703125" bestFit="1" customWidth="1"/>
    <col min="42" max="42" width="8.85546875" bestFit="1" customWidth="1"/>
    <col min="43" max="43" width="12.5703125" bestFit="1" customWidth="1"/>
    <col min="45" max="45" width="9.7109375" bestFit="1" customWidth="1"/>
    <col min="46" max="47" width="12.5703125" bestFit="1" customWidth="1"/>
    <col min="48" max="48" width="8.85546875" bestFit="1" customWidth="1"/>
    <col min="49" max="49" width="11.5703125" bestFit="1" customWidth="1"/>
  </cols>
  <sheetData>
    <row r="1" spans="1:31" s="67" customFormat="1" x14ac:dyDescent="0.25">
      <c r="A1" s="144"/>
      <c r="B1" s="148" t="s">
        <v>25</v>
      </c>
      <c r="C1" s="173">
        <f>Valuation_Date</f>
        <v>42613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AE1" s="3"/>
    </row>
    <row r="2" spans="1:31" s="191" customFormat="1" x14ac:dyDescent="0.25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219" t="s">
        <v>198</v>
      </c>
      <c r="O2" s="219" t="s">
        <v>198</v>
      </c>
      <c r="P2" s="219" t="s">
        <v>198</v>
      </c>
      <c r="Q2" s="219" t="s">
        <v>2</v>
      </c>
      <c r="R2" s="219" t="s">
        <v>2</v>
      </c>
      <c r="S2" s="219" t="s">
        <v>2</v>
      </c>
      <c r="T2" s="142"/>
      <c r="U2" s="142"/>
      <c r="V2" s="142"/>
      <c r="W2" s="142"/>
      <c r="X2" s="142"/>
      <c r="AE2" s="3"/>
    </row>
    <row r="3" spans="1:31" s="136" customFormat="1" x14ac:dyDescent="0.25">
      <c r="A3" s="123" t="s">
        <v>0</v>
      </c>
      <c r="B3" s="123" t="s">
        <v>6</v>
      </c>
      <c r="C3" s="123" t="s">
        <v>1</v>
      </c>
      <c r="D3" s="123" t="s">
        <v>2</v>
      </c>
      <c r="E3" s="123" t="s">
        <v>59</v>
      </c>
      <c r="F3" s="123" t="s">
        <v>55</v>
      </c>
      <c r="G3" s="123" t="s">
        <v>3</v>
      </c>
      <c r="H3" s="124" t="s">
        <v>5</v>
      </c>
      <c r="I3" s="124" t="s">
        <v>103</v>
      </c>
      <c r="J3" s="124" t="s">
        <v>11</v>
      </c>
      <c r="K3" s="124" t="s">
        <v>7</v>
      </c>
      <c r="L3" s="124" t="s">
        <v>8</v>
      </c>
      <c r="M3" s="124" t="s">
        <v>14</v>
      </c>
      <c r="N3" s="123" t="s">
        <v>104</v>
      </c>
      <c r="O3" s="123" t="s">
        <v>105</v>
      </c>
      <c r="P3" s="123" t="s">
        <v>29</v>
      </c>
      <c r="Q3" s="123" t="s">
        <v>104</v>
      </c>
      <c r="R3" s="123" t="s">
        <v>105</v>
      </c>
      <c r="S3" s="123" t="s">
        <v>29</v>
      </c>
      <c r="T3" s="123" t="s">
        <v>191</v>
      </c>
      <c r="U3" s="123" t="s">
        <v>22</v>
      </c>
      <c r="V3" s="123" t="s">
        <v>21</v>
      </c>
      <c r="W3" s="123" t="s">
        <v>23</v>
      </c>
      <c r="X3" s="123" t="s">
        <v>24</v>
      </c>
      <c r="AE3" s="137"/>
    </row>
    <row r="4" spans="1:31" x14ac:dyDescent="0.25">
      <c r="A4" s="129"/>
      <c r="B4" s="90"/>
      <c r="C4" s="129"/>
      <c r="D4" s="102">
        <v>52305</v>
      </c>
      <c r="E4" s="130"/>
      <c r="F4" s="102">
        <v>45000</v>
      </c>
      <c r="G4" s="108">
        <v>6.17</v>
      </c>
      <c r="H4" s="105">
        <v>2</v>
      </c>
      <c r="I4" s="105">
        <v>0</v>
      </c>
      <c r="J4" s="12" t="e">
        <f ca="1">DURATION($C$1,D4,G4/100,W4/100,H4,I4)</f>
        <v>#NAME?</v>
      </c>
      <c r="K4" s="10"/>
      <c r="L4" s="105" t="s">
        <v>17</v>
      </c>
      <c r="M4" s="105" t="s">
        <v>27</v>
      </c>
      <c r="N4" s="101" t="s">
        <v>79</v>
      </c>
      <c r="O4" t="str">
        <f t="shared" ref="O4:O9" si="0">N4&amp;" Govt"</f>
        <v>T 1.75 5/15/2023 Govt</v>
      </c>
      <c r="P4" s="109" t="e">
        <f ca="1">_xll.BDH(O4,$P$14,$C$1)</f>
        <v>#NAME?</v>
      </c>
      <c r="Q4" s="101"/>
      <c r="R4" s="191"/>
      <c r="S4" s="192"/>
      <c r="T4" s="108" t="s">
        <v>69</v>
      </c>
      <c r="U4" s="185">
        <f>$R$15</f>
        <v>2.0299999999999999E-2</v>
      </c>
      <c r="V4" s="220">
        <f>$V$15</f>
        <v>74</v>
      </c>
      <c r="W4" s="5" t="e">
        <f ca="1">(+P4+U4*100+V4/100)</f>
        <v>#NAME?</v>
      </c>
      <c r="X4" s="13" t="e">
        <f ca="1">PRICE($C$1,F4,G4/100,W4/100,100,H4,I4)</f>
        <v>#NAME?</v>
      </c>
      <c r="AB4"/>
      <c r="AE4" s="3"/>
    </row>
    <row r="5" spans="1:31" x14ac:dyDescent="0.25">
      <c r="A5" s="129"/>
      <c r="B5" s="90"/>
      <c r="C5" s="129"/>
      <c r="D5" s="102">
        <v>52393</v>
      </c>
      <c r="E5" s="130"/>
      <c r="F5" s="102">
        <v>45271</v>
      </c>
      <c r="G5" s="108">
        <v>5.2</v>
      </c>
      <c r="H5" s="105">
        <v>2</v>
      </c>
      <c r="I5" s="105">
        <v>0</v>
      </c>
      <c r="J5" s="12" t="e">
        <f ca="1">DURATION($C$1,D5,G5/100,W5/100,H5,I5)</f>
        <v>#NAME?</v>
      </c>
      <c r="K5" s="10"/>
      <c r="L5" s="105" t="s">
        <v>17</v>
      </c>
      <c r="M5" s="105" t="s">
        <v>27</v>
      </c>
      <c r="N5" s="101" t="s">
        <v>80</v>
      </c>
      <c r="O5" t="str">
        <f t="shared" si="0"/>
        <v>T 2.75 11/15/2023 Govt</v>
      </c>
      <c r="P5" s="109" t="e">
        <f ca="1">_xll.BDH(O5,$P$14,$C$1)</f>
        <v>#NAME?</v>
      </c>
      <c r="Q5" s="101"/>
      <c r="R5" s="191"/>
      <c r="S5" s="192"/>
      <c r="T5" s="108" t="s">
        <v>69</v>
      </c>
      <c r="U5" s="185">
        <f t="shared" ref="U5:U9" si="1">$R$15</f>
        <v>2.0299999999999999E-2</v>
      </c>
      <c r="V5" s="220">
        <f t="shared" ref="V5:V9" si="2">$V$15</f>
        <v>74</v>
      </c>
      <c r="W5" s="5" t="e">
        <f t="shared" ref="W5:W9" ca="1" si="3">(+P5+U5*100+V5/100)</f>
        <v>#NAME?</v>
      </c>
      <c r="X5" s="184" t="e">
        <f ca="1">PRICE($C$1,F5,G5/100,W5/100,100,H5,I5)</f>
        <v>#NAME?</v>
      </c>
      <c r="AB5"/>
      <c r="AE5" s="3"/>
    </row>
    <row r="6" spans="1:31" x14ac:dyDescent="0.25">
      <c r="A6" s="129"/>
      <c r="B6" s="90"/>
      <c r="C6" s="129"/>
      <c r="D6" s="102">
        <v>51470</v>
      </c>
      <c r="E6" s="130"/>
      <c r="F6" s="102">
        <v>44895</v>
      </c>
      <c r="G6" s="108">
        <v>6.05</v>
      </c>
      <c r="H6" s="105">
        <v>2</v>
      </c>
      <c r="I6" s="105">
        <v>0</v>
      </c>
      <c r="J6" s="12" t="e">
        <f ca="1">DURATION($C$1,D6,G6/100,W6/100,H6,I6)</f>
        <v>#NAME?</v>
      </c>
      <c r="K6" s="10"/>
      <c r="L6" s="105" t="s">
        <v>17</v>
      </c>
      <c r="M6" s="105" t="s">
        <v>27</v>
      </c>
      <c r="N6" s="101" t="s">
        <v>81</v>
      </c>
      <c r="O6" t="str">
        <f t="shared" si="0"/>
        <v>T 1.625 11/15/2022 Govt</v>
      </c>
      <c r="P6" s="109" t="e">
        <f ca="1">_xll.BDH(O6,$P$14,$C$1)</f>
        <v>#NAME?</v>
      </c>
      <c r="Q6" s="101"/>
      <c r="R6" s="191"/>
      <c r="S6" s="192"/>
      <c r="T6" s="108" t="s">
        <v>69</v>
      </c>
      <c r="U6" s="185">
        <f t="shared" si="1"/>
        <v>2.0299999999999999E-2</v>
      </c>
      <c r="V6" s="220">
        <f t="shared" si="2"/>
        <v>74</v>
      </c>
      <c r="W6" s="5" t="e">
        <f t="shared" ca="1" si="3"/>
        <v>#NAME?</v>
      </c>
      <c r="X6" s="184" t="e">
        <f ca="1">PRICE($C$1,F6,G6/100,W6/100,100,H6,I6)</f>
        <v>#NAME?</v>
      </c>
      <c r="AB6"/>
      <c r="AE6" s="3"/>
    </row>
    <row r="7" spans="1:31" x14ac:dyDescent="0.25">
      <c r="A7" s="129"/>
      <c r="B7" s="90"/>
      <c r="C7" s="129"/>
      <c r="D7" s="102">
        <v>51124</v>
      </c>
      <c r="E7" s="130"/>
      <c r="F7" s="102">
        <v>45280</v>
      </c>
      <c r="G7" s="108">
        <v>5.65</v>
      </c>
      <c r="H7" s="105">
        <v>2</v>
      </c>
      <c r="I7" s="105">
        <v>0</v>
      </c>
      <c r="J7" s="12" t="e">
        <f ca="1">DURATION($C$1,D7,G7/100,W7/100,H7,I7)</f>
        <v>#NAME?</v>
      </c>
      <c r="K7" s="10"/>
      <c r="L7" s="105" t="s">
        <v>17</v>
      </c>
      <c r="M7" s="105" t="s">
        <v>27</v>
      </c>
      <c r="N7" s="101" t="s">
        <v>80</v>
      </c>
      <c r="O7" t="str">
        <f t="shared" si="0"/>
        <v>T 2.75 11/15/2023 Govt</v>
      </c>
      <c r="P7" s="109" t="e">
        <f ca="1">_xll.BDH(O7,$P$14,$C$1)</f>
        <v>#NAME?</v>
      </c>
      <c r="Q7" s="101"/>
      <c r="R7" s="191"/>
      <c r="S7" s="192"/>
      <c r="T7" s="108" t="s">
        <v>69</v>
      </c>
      <c r="U7" s="185">
        <f t="shared" si="1"/>
        <v>2.0299999999999999E-2</v>
      </c>
      <c r="V7" s="220">
        <f t="shared" si="2"/>
        <v>74</v>
      </c>
      <c r="W7" s="5" t="e">
        <f t="shared" ca="1" si="3"/>
        <v>#NAME?</v>
      </c>
      <c r="X7" s="184" t="e">
        <f ca="1">PRICE($C$1,F7,G7/100,W7/100,100,H7,I7)</f>
        <v>#NAME?</v>
      </c>
      <c r="AB7"/>
      <c r="AE7" s="3"/>
    </row>
    <row r="8" spans="1:31" x14ac:dyDescent="0.25">
      <c r="A8" s="129"/>
      <c r="B8" s="90"/>
      <c r="C8" s="129"/>
      <c r="D8" s="102">
        <v>51485</v>
      </c>
      <c r="E8" s="130"/>
      <c r="F8" s="102">
        <v>45823</v>
      </c>
      <c r="G8" s="108">
        <v>6.32</v>
      </c>
      <c r="H8" s="105">
        <v>2</v>
      </c>
      <c r="I8" s="105">
        <v>0</v>
      </c>
      <c r="J8" s="12" t="e">
        <f ca="1">DURATION($C$1,D8,G8/100,W8/100,H8,I8)</f>
        <v>#NAME?</v>
      </c>
      <c r="K8" s="10"/>
      <c r="L8" s="105" t="s">
        <v>17</v>
      </c>
      <c r="M8" s="105" t="s">
        <v>27</v>
      </c>
      <c r="N8" s="101" t="s">
        <v>82</v>
      </c>
      <c r="O8" t="str">
        <f t="shared" si="0"/>
        <v>T 2 2/15/2025 Govt</v>
      </c>
      <c r="P8" s="109" t="e">
        <f ca="1">_xll.BDH(O8,$P$14,$C$1)</f>
        <v>#NAME?</v>
      </c>
      <c r="Q8" s="101"/>
      <c r="R8" s="191"/>
      <c r="S8" s="192"/>
      <c r="T8" s="108" t="s">
        <v>69</v>
      </c>
      <c r="U8" s="185">
        <f t="shared" si="1"/>
        <v>2.0299999999999999E-2</v>
      </c>
      <c r="V8" s="220">
        <f t="shared" si="2"/>
        <v>74</v>
      </c>
      <c r="W8" s="5" t="e">
        <f t="shared" ca="1" si="3"/>
        <v>#NAME?</v>
      </c>
      <c r="X8" s="184" t="e">
        <f ca="1">PRICE($C$1,F8,G8/100,W8/100,100,H8,I8)</f>
        <v>#NAME?</v>
      </c>
      <c r="AB8"/>
      <c r="AE8" s="3"/>
    </row>
    <row r="9" spans="1:31" x14ac:dyDescent="0.25">
      <c r="A9" s="129"/>
      <c r="B9" s="90"/>
      <c r="C9" s="129"/>
      <c r="D9" s="102">
        <v>51945</v>
      </c>
      <c r="E9" s="130"/>
      <c r="F9" s="102">
        <v>45189</v>
      </c>
      <c r="G9" s="108">
        <v>5.67</v>
      </c>
      <c r="H9" s="105">
        <v>2</v>
      </c>
      <c r="I9" s="105">
        <v>0</v>
      </c>
      <c r="J9" s="12" t="e">
        <f ca="1">DURATION($C$1,D9,G9/100,W9/100,H9,I9)</f>
        <v>#NAME?</v>
      </c>
      <c r="K9" s="10"/>
      <c r="L9" s="105" t="s">
        <v>17</v>
      </c>
      <c r="M9" s="105" t="s">
        <v>27</v>
      </c>
      <c r="N9" s="101" t="s">
        <v>83</v>
      </c>
      <c r="O9" t="str">
        <f t="shared" si="0"/>
        <v>T 2.5 8/15/2023 Govt</v>
      </c>
      <c r="P9" s="109" t="e">
        <f ca="1">_xll.BDH(O9,$P$14,$C$1)</f>
        <v>#NAME?</v>
      </c>
      <c r="Q9" s="101"/>
      <c r="R9" s="191"/>
      <c r="S9" s="192"/>
      <c r="T9" s="108" t="s">
        <v>69</v>
      </c>
      <c r="U9" s="185">
        <f t="shared" si="1"/>
        <v>2.0299999999999999E-2</v>
      </c>
      <c r="V9" s="220">
        <f t="shared" si="2"/>
        <v>74</v>
      </c>
      <c r="W9" s="5" t="e">
        <f t="shared" ca="1" si="3"/>
        <v>#NAME?</v>
      </c>
      <c r="X9" s="184" t="e">
        <f ca="1">PRICE($C$1,F9,G9/100,W9/100,100,H9,I9)</f>
        <v>#NAME?</v>
      </c>
      <c r="AB9"/>
      <c r="AE9" s="3"/>
    </row>
    <row r="10" spans="1:31" x14ac:dyDescent="0.25">
      <c r="A10" s="45"/>
      <c r="B10" s="1"/>
      <c r="C10" s="45"/>
      <c r="D10" s="4"/>
      <c r="E10" s="15"/>
      <c r="F10" s="2"/>
      <c r="G10" s="5"/>
      <c r="H10" s="10"/>
      <c r="I10" s="10"/>
      <c r="J10" s="12"/>
      <c r="K10" s="10"/>
      <c r="L10" s="10"/>
      <c r="M10" s="10"/>
      <c r="P10" s="5"/>
      <c r="Q10" s="183"/>
      <c r="R10" s="14"/>
      <c r="S10" s="44"/>
      <c r="T10" s="5"/>
      <c r="U10" s="13"/>
    </row>
    <row r="11" spans="1:31" x14ac:dyDescent="0.25">
      <c r="A11" s="45"/>
      <c r="B11" s="1"/>
      <c r="C11" s="45"/>
      <c r="D11" s="4"/>
      <c r="E11" s="15"/>
      <c r="F11" s="2"/>
      <c r="G11" s="5"/>
      <c r="H11" s="10"/>
      <c r="I11" s="10"/>
      <c r="J11" s="12"/>
      <c r="K11" s="10"/>
      <c r="L11" s="10"/>
      <c r="M11" s="10"/>
      <c r="P11" s="5"/>
      <c r="Q11" s="183"/>
      <c r="R11" s="14"/>
      <c r="S11" s="44"/>
      <c r="T11" s="5"/>
      <c r="U11" s="13"/>
    </row>
    <row r="12" spans="1:31" x14ac:dyDescent="0.25">
      <c r="A12" s="45"/>
      <c r="C12" s="1"/>
      <c r="H12" s="10"/>
      <c r="I12" s="10"/>
      <c r="J12" s="12"/>
      <c r="K12" s="10"/>
      <c r="L12" s="10"/>
      <c r="M12" s="10"/>
      <c r="P12" s="9"/>
      <c r="Q12" s="9"/>
      <c r="T12" s="5"/>
    </row>
    <row r="13" spans="1:31" x14ac:dyDescent="0.25">
      <c r="A13" s="81" t="s">
        <v>16</v>
      </c>
      <c r="B13" s="81"/>
      <c r="C13" s="81"/>
      <c r="D13" s="81"/>
      <c r="E13" s="81"/>
      <c r="F13" s="81"/>
      <c r="G13" s="81"/>
      <c r="H13" s="111"/>
      <c r="I13" s="111"/>
      <c r="J13" s="111"/>
      <c r="K13" s="112"/>
      <c r="L13" s="111"/>
      <c r="M13" s="111"/>
      <c r="N13" s="111"/>
      <c r="O13" s="81"/>
      <c r="P13" s="81"/>
      <c r="Q13" s="81"/>
      <c r="R13" s="113"/>
      <c r="S13" s="81"/>
      <c r="T13" s="81"/>
      <c r="U13" s="81"/>
      <c r="V13" s="81"/>
      <c r="W13" s="81"/>
      <c r="X13" s="81"/>
    </row>
    <row r="14" spans="1:31" s="7" customFormat="1" x14ac:dyDescent="0.25">
      <c r="A14" s="88" t="s">
        <v>0</v>
      </c>
      <c r="B14" s="88" t="s">
        <v>6</v>
      </c>
      <c r="C14" s="88" t="s">
        <v>75</v>
      </c>
      <c r="D14" s="88" t="s">
        <v>2</v>
      </c>
      <c r="E14" s="88"/>
      <c r="F14" s="88"/>
      <c r="G14" s="88" t="s">
        <v>3</v>
      </c>
      <c r="H14" s="89" t="s">
        <v>50</v>
      </c>
      <c r="I14" s="89"/>
      <c r="J14" s="115" t="s">
        <v>11</v>
      </c>
      <c r="K14" s="89" t="s">
        <v>7</v>
      </c>
      <c r="L14" s="89" t="s">
        <v>8</v>
      </c>
      <c r="M14" s="89" t="s">
        <v>14</v>
      </c>
      <c r="N14" s="88"/>
      <c r="O14" s="88"/>
      <c r="P14" s="88" t="s">
        <v>19</v>
      </c>
      <c r="Q14" s="88"/>
      <c r="R14" s="88" t="s">
        <v>26</v>
      </c>
      <c r="S14" s="88"/>
      <c r="T14" s="88"/>
      <c r="U14" s="88"/>
      <c r="V14" s="88" t="s">
        <v>21</v>
      </c>
      <c r="W14" s="88"/>
      <c r="X14" s="88"/>
      <c r="AB14" s="40"/>
    </row>
    <row r="15" spans="1:31" s="31" customFormat="1" x14ac:dyDescent="0.25">
      <c r="A15" s="133" t="s">
        <v>69</v>
      </c>
      <c r="B15" s="133"/>
      <c r="C15" s="134" t="s">
        <v>141</v>
      </c>
      <c r="D15" s="91"/>
      <c r="E15" s="91"/>
      <c r="F15" s="91"/>
      <c r="G15" s="93">
        <v>5.4300000000000001E-2</v>
      </c>
      <c r="H15" s="95"/>
      <c r="I15" s="95"/>
      <c r="J15" s="132">
        <v>6.72</v>
      </c>
      <c r="K15" s="95" t="s">
        <v>12</v>
      </c>
      <c r="L15" s="6"/>
      <c r="O15"/>
      <c r="P15"/>
      <c r="Q15" s="191"/>
      <c r="R15" s="147">
        <f>INDEX(Indices!P:P,MATCH(Trust!C15,Indices!N:N,0))/100</f>
        <v>2.0299999999999999E-2</v>
      </c>
      <c r="V15" s="33">
        <f>Indices!$Q$7*100</f>
        <v>74</v>
      </c>
      <c r="AB15" s="34"/>
    </row>
    <row r="16" spans="1:31" x14ac:dyDescent="0.25">
      <c r="A16" s="37"/>
      <c r="B16" s="37"/>
      <c r="H16" s="10"/>
      <c r="I16" s="10"/>
      <c r="J16" s="10"/>
      <c r="K16" s="36"/>
      <c r="L16" s="6"/>
      <c r="M16" s="6"/>
      <c r="N16" s="6"/>
      <c r="R16" s="5"/>
    </row>
    <row r="17" spans="1:49" x14ac:dyDescent="0.25">
      <c r="H17" s="10"/>
      <c r="I17" s="10"/>
      <c r="J17" s="10"/>
      <c r="K17" s="10"/>
      <c r="L17" s="10"/>
      <c r="M17" s="10"/>
    </row>
    <row r="19" spans="1:49" x14ac:dyDescent="0.25">
      <c r="A19" s="16"/>
    </row>
    <row r="21" spans="1:49" x14ac:dyDescent="0.25">
      <c r="AM21" s="67"/>
      <c r="AN21" s="67"/>
      <c r="AO21" s="67"/>
      <c r="AP21" s="67"/>
      <c r="AQ21" s="67"/>
      <c r="AS21" s="67"/>
      <c r="AT21" s="67"/>
      <c r="AU21" s="67"/>
      <c r="AV21" s="67"/>
      <c r="AW21" s="67"/>
    </row>
    <row r="22" spans="1:49" x14ac:dyDescent="0.25">
      <c r="AM22" s="67"/>
      <c r="AN22" s="67"/>
      <c r="AO22" s="67"/>
      <c r="AP22" s="67"/>
      <c r="AQ22" s="67"/>
      <c r="AS22" s="67"/>
      <c r="AT22" s="67"/>
      <c r="AU22" s="67"/>
      <c r="AV22" s="67"/>
      <c r="AW22" s="67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12"/>
  <sheetViews>
    <sheetView zoomScaleNormal="100" workbookViewId="0">
      <selection activeCell="V3" sqref="V3"/>
    </sheetView>
  </sheetViews>
  <sheetFormatPr defaultRowHeight="15" outlineLevelCol="1" x14ac:dyDescent="0.25"/>
  <cols>
    <col min="1" max="1" width="28.42578125" bestFit="1" customWidth="1"/>
    <col min="2" max="2" width="23" bestFit="1" customWidth="1"/>
    <col min="3" max="3" width="11.28515625" bestFit="1" customWidth="1"/>
    <col min="5" max="5" width="8.7109375" bestFit="1" customWidth="1"/>
    <col min="6" max="6" width="10.7109375" hidden="1" customWidth="1" outlineLevel="1"/>
    <col min="7" max="7" width="7.85546875" hidden="1" customWidth="1" outlineLevel="1"/>
    <col min="8" max="8" width="14.28515625" hidden="1" customWidth="1" outlineLevel="1"/>
    <col min="9" max="9" width="8.85546875" hidden="1" customWidth="1" outlineLevel="1"/>
    <col min="10" max="10" width="8.7109375" hidden="1" customWidth="1" outlineLevel="1"/>
    <col min="11" max="12" width="10.140625" hidden="1" customWidth="1" outlineLevel="1"/>
    <col min="13" max="13" width="8" hidden="1" customWidth="1" outlineLevel="1"/>
    <col min="14" max="14" width="17.42578125" bestFit="1" customWidth="1" collapsed="1"/>
    <col min="15" max="15" width="22.140625" bestFit="1" customWidth="1"/>
    <col min="16" max="16" width="14.5703125" bestFit="1" customWidth="1"/>
    <col min="17" max="17" width="38.5703125" style="191" customWidth="1"/>
    <col min="18" max="18" width="14.5703125" style="191" customWidth="1"/>
    <col min="19" max="19" width="13.28515625" bestFit="1" customWidth="1"/>
    <col min="20" max="20" width="11.42578125" customWidth="1"/>
    <col min="21" max="21" width="9.7109375" bestFit="1" customWidth="1"/>
    <col min="22" max="22" width="14.28515625" bestFit="1" customWidth="1"/>
    <col min="23" max="23" width="13.28515625" bestFit="1" customWidth="1"/>
    <col min="25" max="25" width="12.5703125" bestFit="1" customWidth="1"/>
  </cols>
  <sheetData>
    <row r="1" spans="1:23" s="67" customFormat="1" x14ac:dyDescent="0.25">
      <c r="A1" s="144"/>
      <c r="B1" s="148" t="s">
        <v>25</v>
      </c>
      <c r="C1" s="173">
        <f>Valuation_Date</f>
        <v>42613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98" t="s">
        <v>218</v>
      </c>
      <c r="S1" s="144"/>
      <c r="T1" s="144"/>
      <c r="U1" s="199">
        <v>0.9</v>
      </c>
      <c r="V1" s="144"/>
    </row>
    <row r="2" spans="1:23" s="136" customFormat="1" ht="30" x14ac:dyDescent="0.25">
      <c r="A2" s="123" t="s">
        <v>0</v>
      </c>
      <c r="B2" s="123" t="s">
        <v>6</v>
      </c>
      <c r="C2" s="123" t="s">
        <v>1</v>
      </c>
      <c r="D2" s="123" t="s">
        <v>60</v>
      </c>
      <c r="E2" s="123" t="s">
        <v>2</v>
      </c>
      <c r="F2" s="123" t="s">
        <v>55</v>
      </c>
      <c r="G2" s="123" t="s">
        <v>3</v>
      </c>
      <c r="H2" s="124" t="s">
        <v>5</v>
      </c>
      <c r="I2" s="124" t="s">
        <v>103</v>
      </c>
      <c r="J2" s="124" t="s">
        <v>11</v>
      </c>
      <c r="K2" s="124" t="s">
        <v>107</v>
      </c>
      <c r="L2" s="124" t="s">
        <v>7</v>
      </c>
      <c r="M2" s="124" t="s">
        <v>8</v>
      </c>
      <c r="N2" s="123" t="s">
        <v>18</v>
      </c>
      <c r="O2" s="123"/>
      <c r="P2" s="123" t="s">
        <v>19</v>
      </c>
      <c r="Q2" s="123" t="s">
        <v>32</v>
      </c>
      <c r="R2" s="123" t="s">
        <v>188</v>
      </c>
      <c r="S2" s="123" t="s">
        <v>22</v>
      </c>
      <c r="T2" s="123" t="s">
        <v>21</v>
      </c>
      <c r="U2" s="123" t="s">
        <v>23</v>
      </c>
      <c r="V2" s="123" t="s">
        <v>24</v>
      </c>
    </row>
    <row r="3" spans="1:23" x14ac:dyDescent="0.25">
      <c r="A3" s="90"/>
      <c r="B3" s="90"/>
      <c r="C3" s="90"/>
      <c r="D3" s="128">
        <v>0.75</v>
      </c>
      <c r="E3" s="102">
        <v>43291</v>
      </c>
      <c r="F3" s="180">
        <f>Valuation_Date</f>
        <v>42613</v>
      </c>
      <c r="G3" s="108">
        <v>7</v>
      </c>
      <c r="H3" s="105">
        <v>1</v>
      </c>
      <c r="I3" s="105">
        <v>0</v>
      </c>
      <c r="J3" s="12" t="e">
        <f ca="1">DURATION($C$1,E3,G3/100,U3/100,H3,I3)</f>
        <v>#NAME?</v>
      </c>
      <c r="K3" s="150">
        <v>0</v>
      </c>
      <c r="L3" s="10"/>
      <c r="M3" s="10"/>
      <c r="N3" s="101" t="s">
        <v>71</v>
      </c>
      <c r="O3" t="str">
        <f>N3&amp;" Govt"</f>
        <v>T 1.375 07/31/2018 Govt</v>
      </c>
      <c r="P3" s="109" t="e">
        <f ca="1">_xll.BDH(O3,$P$2,$C$1)</f>
        <v>#NAME?</v>
      </c>
      <c r="Q3" s="108" t="s">
        <v>179</v>
      </c>
      <c r="R3" s="108" t="s">
        <v>178</v>
      </c>
      <c r="S3" s="14">
        <f>INDEX(S:S,MATCH(R3,C:C,0))</f>
        <v>0.168683324228287</v>
      </c>
      <c r="T3" s="58">
        <f>'[3]Liquidity Spreads'!$G$9*100</f>
        <v>200</v>
      </c>
      <c r="U3" s="5" t="e">
        <f ca="1">(+P3+S3*100+T3/100)</f>
        <v>#NAME?</v>
      </c>
      <c r="V3" s="13" t="e">
        <f ca="1">(Probability_of_Support*100)+((1-Probability_of_Support)*MIN(PRICE($C$1,E3,G3/100,U3/100,100,H3,I3),100))</f>
        <v>#NAME?</v>
      </c>
    </row>
    <row r="4" spans="1:23" x14ac:dyDescent="0.25">
      <c r="A4" s="45"/>
      <c r="B4" s="1"/>
      <c r="C4" s="45"/>
      <c r="D4" s="1"/>
      <c r="E4" s="4"/>
      <c r="F4" s="2"/>
      <c r="G4" s="5"/>
      <c r="H4" s="10"/>
      <c r="I4" s="10"/>
      <c r="J4" s="12"/>
      <c r="K4" s="12"/>
      <c r="L4" s="10"/>
      <c r="M4" s="10"/>
      <c r="P4" s="5"/>
      <c r="Q4" s="183"/>
      <c r="R4" s="183"/>
      <c r="S4" s="14"/>
      <c r="T4" s="44"/>
      <c r="U4" s="5"/>
      <c r="V4" s="13"/>
    </row>
    <row r="5" spans="1:23" x14ac:dyDescent="0.25">
      <c r="A5" s="45"/>
      <c r="C5" s="1"/>
      <c r="D5" s="1"/>
      <c r="H5" s="10"/>
      <c r="I5" s="10"/>
      <c r="J5" s="12"/>
      <c r="K5" s="12"/>
      <c r="L5" s="10"/>
      <c r="M5" s="10"/>
      <c r="P5" s="9"/>
      <c r="Q5" s="9"/>
      <c r="R5" s="9"/>
      <c r="U5" s="5"/>
    </row>
    <row r="6" spans="1:23" x14ac:dyDescent="0.25">
      <c r="A6" s="81" t="s">
        <v>16</v>
      </c>
      <c r="B6" s="81"/>
      <c r="C6" s="81"/>
      <c r="D6" s="81"/>
      <c r="E6" s="81"/>
      <c r="F6" s="81"/>
      <c r="G6" s="81"/>
      <c r="H6" s="111"/>
      <c r="I6" s="111"/>
      <c r="J6" s="111"/>
      <c r="K6" s="111"/>
      <c r="L6" s="112"/>
      <c r="M6" s="111"/>
      <c r="N6" s="111"/>
      <c r="O6" s="81"/>
      <c r="P6" s="81"/>
      <c r="Q6" s="81"/>
      <c r="R6" s="81"/>
      <c r="S6" s="113"/>
      <c r="T6" s="81"/>
      <c r="U6" s="81"/>
      <c r="V6" s="81"/>
      <c r="W6" s="5"/>
    </row>
    <row r="7" spans="1:23" s="7" customFormat="1" x14ac:dyDescent="0.25">
      <c r="A7" s="88" t="s">
        <v>0</v>
      </c>
      <c r="B7" s="88" t="s">
        <v>6</v>
      </c>
      <c r="C7" s="88" t="s">
        <v>75</v>
      </c>
      <c r="D7" s="88" t="s">
        <v>61</v>
      </c>
      <c r="E7" s="88" t="s">
        <v>2</v>
      </c>
      <c r="F7" s="88"/>
      <c r="G7" s="88" t="s">
        <v>3</v>
      </c>
      <c r="H7" s="89" t="s">
        <v>50</v>
      </c>
      <c r="I7" s="89"/>
      <c r="J7" s="89"/>
      <c r="K7" s="115" t="s">
        <v>11</v>
      </c>
      <c r="L7" s="89" t="s">
        <v>7</v>
      </c>
      <c r="M7" s="89" t="s">
        <v>8</v>
      </c>
      <c r="N7" s="88"/>
      <c r="O7" s="88"/>
      <c r="P7" s="88"/>
      <c r="Q7" s="88"/>
      <c r="R7" s="88"/>
      <c r="S7" s="88" t="s">
        <v>26</v>
      </c>
      <c r="T7" s="88"/>
      <c r="U7" s="88"/>
      <c r="V7" s="88"/>
      <c r="W7" s="11"/>
    </row>
    <row r="8" spans="1:23" s="31" customFormat="1" x14ac:dyDescent="0.25">
      <c r="A8" s="133" t="s">
        <v>72</v>
      </c>
      <c r="B8" s="133"/>
      <c r="C8" s="91" t="s">
        <v>73</v>
      </c>
      <c r="D8" s="135"/>
      <c r="E8" s="91"/>
      <c r="F8" s="91"/>
      <c r="G8" s="93">
        <v>8.6099999999999996E-2</v>
      </c>
      <c r="H8" s="6"/>
      <c r="I8" s="6"/>
      <c r="J8" s="6"/>
      <c r="K8" s="132">
        <v>3.34</v>
      </c>
      <c r="L8" s="6"/>
      <c r="M8" s="95" t="s">
        <v>74</v>
      </c>
      <c r="O8"/>
      <c r="P8"/>
      <c r="Q8" s="191"/>
      <c r="R8" s="191"/>
      <c r="S8" s="147">
        <f>INDEX(Indices!P:P,MATCH('Secured TL'!C8,Indices!N:N,0))/100</f>
        <v>0.12</v>
      </c>
      <c r="W8" s="33"/>
    </row>
    <row r="9" spans="1:23" s="31" customFormat="1" x14ac:dyDescent="0.25">
      <c r="A9" s="133" t="s">
        <v>179</v>
      </c>
      <c r="B9" s="133"/>
      <c r="C9" s="91" t="s">
        <v>178</v>
      </c>
      <c r="D9" s="135"/>
      <c r="E9" s="91"/>
      <c r="F9" s="91"/>
      <c r="G9" s="93"/>
      <c r="H9" s="6"/>
      <c r="I9" s="6"/>
      <c r="J9" s="6"/>
      <c r="K9" s="132"/>
      <c r="L9" s="6"/>
      <c r="M9" s="95"/>
      <c r="O9" s="67"/>
      <c r="P9" s="67"/>
      <c r="Q9" s="191"/>
      <c r="R9" s="191"/>
      <c r="S9" s="147">
        <f>INDEX(Indices!P:P,MATCH('Secured TL'!C9,Indices!N:N,0))/100</f>
        <v>0.168683324228287</v>
      </c>
      <c r="W9" s="33"/>
    </row>
    <row r="10" spans="1:23" x14ac:dyDescent="0.25">
      <c r="H10" s="10"/>
      <c r="I10" s="10"/>
      <c r="J10" s="10"/>
      <c r="K10" s="10"/>
      <c r="L10" s="10"/>
      <c r="M10" s="10"/>
    </row>
    <row r="11" spans="1:23" s="31" customFormat="1" x14ac:dyDescent="0.25">
      <c r="A11" s="133" t="s">
        <v>186</v>
      </c>
      <c r="B11" s="133"/>
      <c r="C11" s="91" t="s">
        <v>187</v>
      </c>
      <c r="D11" s="135"/>
      <c r="E11" s="91"/>
      <c r="F11" s="91"/>
      <c r="G11" s="93"/>
      <c r="H11" s="6"/>
      <c r="I11" s="6"/>
      <c r="J11" s="6"/>
      <c r="K11" s="132"/>
      <c r="L11" s="6"/>
      <c r="M11" s="95"/>
      <c r="O11" s="191"/>
      <c r="P11" s="191"/>
      <c r="Q11" s="191"/>
      <c r="R11" s="191"/>
      <c r="S11" s="147">
        <f>INDEX(Indices!P:P,MATCH('Secured TL'!C11,Indices!N:N,0))/100</f>
        <v>2.4633859057192398E-2</v>
      </c>
      <c r="W11" s="33"/>
    </row>
    <row r="12" spans="1:23" s="31" customFormat="1" x14ac:dyDescent="0.25">
      <c r="A12" s="133" t="s">
        <v>189</v>
      </c>
      <c r="B12" s="133"/>
      <c r="C12" s="91" t="s">
        <v>190</v>
      </c>
      <c r="D12" s="135"/>
      <c r="E12" s="91"/>
      <c r="F12" s="91"/>
      <c r="G12" s="93"/>
      <c r="H12" s="6"/>
      <c r="I12" s="6"/>
      <c r="J12" s="6"/>
      <c r="K12" s="132"/>
      <c r="L12" s="6"/>
      <c r="M12" s="95"/>
      <c r="O12" s="191"/>
      <c r="P12" s="191"/>
      <c r="Q12" s="191"/>
      <c r="R12" s="191"/>
      <c r="S12" s="147">
        <f>INDEX(Indices!P:P,MATCH('Secured TL'!C12,Indices!N:N,0))/100</f>
        <v>4.0167437732838103E-2</v>
      </c>
      <c r="W12" s="3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T36"/>
  <sheetViews>
    <sheetView zoomScaleNormal="100" workbookViewId="0">
      <selection activeCell="L3" sqref="L3"/>
    </sheetView>
  </sheetViews>
  <sheetFormatPr defaultRowHeight="15" outlineLevelCol="1" x14ac:dyDescent="0.25"/>
  <cols>
    <col min="1" max="1" width="28.42578125" bestFit="1" customWidth="1"/>
    <col min="2" max="2" width="23" bestFit="1" customWidth="1"/>
    <col min="3" max="3" width="11.28515625" bestFit="1" customWidth="1"/>
    <col min="5" max="5" width="8.7109375" bestFit="1" customWidth="1"/>
    <col min="6" max="6" width="10.7109375" customWidth="1" outlineLevel="1"/>
    <col min="7" max="7" width="7.85546875" customWidth="1" outlineLevel="1"/>
    <col min="8" max="8" width="14.28515625" customWidth="1" outlineLevel="1"/>
    <col min="9" max="9" width="8.85546875" customWidth="1" outlineLevel="1"/>
    <col min="10" max="10" width="8.7109375" customWidth="1" outlineLevel="1"/>
    <col min="11" max="11" width="13.28515625" customWidth="1" outlineLevel="1"/>
    <col min="12" max="12" width="17.42578125" bestFit="1" customWidth="1"/>
    <col min="13" max="13" width="22.140625" bestFit="1" customWidth="1"/>
    <col min="14" max="14" width="14.5703125" bestFit="1" customWidth="1"/>
    <col min="15" max="15" width="14.5703125" style="191" customWidth="1"/>
    <col min="16" max="16" width="13.28515625" bestFit="1" customWidth="1"/>
    <col min="17" max="17" width="9.5703125" bestFit="1" customWidth="1"/>
    <col min="18" max="18" width="8.42578125" bestFit="1" customWidth="1"/>
    <col min="19" max="19" width="14.28515625" bestFit="1" customWidth="1"/>
    <col min="20" max="20" width="13.28515625" bestFit="1" customWidth="1"/>
    <col min="22" max="22" width="12.5703125" bestFit="1" customWidth="1"/>
  </cols>
  <sheetData>
    <row r="1" spans="1:20" s="67" customFormat="1" x14ac:dyDescent="0.25">
      <c r="A1" s="81"/>
      <c r="B1" s="148" t="s">
        <v>25</v>
      </c>
      <c r="C1" s="173">
        <f>Valuation_Date</f>
        <v>42613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</row>
    <row r="2" spans="1:20" s="7" customFormat="1" x14ac:dyDescent="0.25">
      <c r="A2" s="88" t="s">
        <v>0</v>
      </c>
      <c r="B2" s="88" t="s">
        <v>6</v>
      </c>
      <c r="C2" s="88" t="s">
        <v>1</v>
      </c>
      <c r="D2" s="88" t="s">
        <v>60</v>
      </c>
      <c r="E2" s="88" t="s">
        <v>2</v>
      </c>
      <c r="F2" s="88" t="s">
        <v>55</v>
      </c>
      <c r="G2" s="88" t="s">
        <v>3</v>
      </c>
      <c r="H2" s="89" t="s">
        <v>5</v>
      </c>
      <c r="I2" s="89" t="s">
        <v>103</v>
      </c>
      <c r="J2" s="89" t="s">
        <v>11</v>
      </c>
      <c r="K2" s="89" t="s">
        <v>107</v>
      </c>
      <c r="L2" s="88" t="s">
        <v>18</v>
      </c>
      <c r="M2" s="88"/>
      <c r="N2" s="88" t="s">
        <v>19</v>
      </c>
      <c r="O2" s="88" t="s">
        <v>191</v>
      </c>
      <c r="P2" s="88" t="s">
        <v>22</v>
      </c>
      <c r="Q2" s="88" t="s">
        <v>21</v>
      </c>
      <c r="R2" s="88" t="s">
        <v>23</v>
      </c>
      <c r="S2" s="88" t="s">
        <v>24</v>
      </c>
    </row>
    <row r="3" spans="1:20" x14ac:dyDescent="0.25">
      <c r="A3" s="129"/>
      <c r="B3" s="129"/>
      <c r="C3" s="129"/>
      <c r="D3" s="138">
        <v>0.75</v>
      </c>
      <c r="E3" s="139">
        <v>44226</v>
      </c>
      <c r="F3" s="180">
        <f>C1</f>
        <v>42613</v>
      </c>
      <c r="G3" s="120">
        <v>8</v>
      </c>
      <c r="H3" s="118">
        <v>1</v>
      </c>
      <c r="I3" s="118">
        <v>0</v>
      </c>
      <c r="J3" s="12" t="e">
        <f ca="1">DURATION($C$1,E3,G3/100,R3/100,H3,I3)</f>
        <v>#NAME?</v>
      </c>
      <c r="K3" s="150">
        <v>0</v>
      </c>
      <c r="L3" s="101" t="s">
        <v>76</v>
      </c>
      <c r="M3" t="str">
        <f>L3&amp;" Govt"</f>
        <v>T 2.125 01/31/2021 Govt</v>
      </c>
      <c r="N3" s="109" t="e">
        <f ca="1">N15</f>
        <v>#NAME?</v>
      </c>
      <c r="O3" s="108" t="s">
        <v>172</v>
      </c>
      <c r="P3" s="14">
        <f>P12</f>
        <v>5.3900000000000003E-2</v>
      </c>
      <c r="Q3" s="172">
        <f>Reuters_Liquidity_Premium</f>
        <v>110</v>
      </c>
      <c r="R3" s="5" t="e">
        <f ca="1">(+N3+P3*100+Q3/100)</f>
        <v>#NAME?</v>
      </c>
      <c r="S3" s="78" t="e">
        <f ca="1">MIN(PRICE($C$1,E3,G3/100,R3/100,100,H3,I3),100)</f>
        <v>#NAME?</v>
      </c>
      <c r="T3" s="77"/>
    </row>
    <row r="4" spans="1:20" x14ac:dyDescent="0.25">
      <c r="A4" s="129"/>
      <c r="B4" s="129"/>
      <c r="C4" s="129"/>
      <c r="D4" s="138">
        <v>0.75</v>
      </c>
      <c r="E4" s="139">
        <v>44226</v>
      </c>
      <c r="F4" s="180">
        <f>+C1</f>
        <v>42613</v>
      </c>
      <c r="G4" s="120">
        <v>8</v>
      </c>
      <c r="H4" s="118">
        <v>1</v>
      </c>
      <c r="I4" s="118">
        <v>0</v>
      </c>
      <c r="J4" s="12" t="e">
        <f ca="1">DURATION($C$1,E4,G4/100,R4/100,H4,I4)</f>
        <v>#NAME?</v>
      </c>
      <c r="K4" s="150">
        <v>0</v>
      </c>
      <c r="L4" s="101" t="s">
        <v>76</v>
      </c>
      <c r="M4" t="str">
        <f>L4&amp;" Govt"</f>
        <v>T 2.125 01/31/2021 Govt</v>
      </c>
      <c r="N4" s="109" t="e">
        <f ca="1">N16</f>
        <v>#NAME?</v>
      </c>
      <c r="O4" s="133" t="s">
        <v>172</v>
      </c>
      <c r="P4" s="14">
        <f>+P3</f>
        <v>5.3900000000000003E-2</v>
      </c>
      <c r="Q4" s="44">
        <f>+Q3</f>
        <v>110</v>
      </c>
      <c r="R4" s="5" t="e">
        <f ca="1">(+N4+P4*100+Q4/100)</f>
        <v>#NAME?</v>
      </c>
      <c r="S4" s="78" t="e">
        <f ca="1">MIN(PRICE($C$1,E4,G4/100,R4/100,100,H4,I4),100)</f>
        <v>#NAME?</v>
      </c>
      <c r="T4" s="77"/>
    </row>
    <row r="5" spans="1:20" x14ac:dyDescent="0.25">
      <c r="A5" s="45"/>
      <c r="B5" s="1"/>
      <c r="C5" s="1"/>
      <c r="D5" s="46"/>
      <c r="F5" s="4"/>
      <c r="G5" s="5"/>
      <c r="H5" s="10"/>
      <c r="I5" s="10"/>
      <c r="J5" s="12"/>
      <c r="K5" s="12"/>
      <c r="N5" s="5"/>
      <c r="O5" s="183"/>
      <c r="P5" s="14"/>
      <c r="Q5" s="44"/>
      <c r="R5" s="5"/>
      <c r="S5" s="13"/>
    </row>
    <row r="6" spans="1:20" x14ac:dyDescent="0.25">
      <c r="A6" s="45"/>
      <c r="B6" s="1"/>
      <c r="C6" s="45"/>
      <c r="D6" s="1"/>
      <c r="E6" s="4"/>
      <c r="F6" s="2"/>
      <c r="G6" s="5"/>
      <c r="H6" s="10"/>
      <c r="I6" s="10"/>
      <c r="J6" s="12"/>
      <c r="K6" s="12"/>
      <c r="N6" s="5"/>
      <c r="O6" s="183"/>
      <c r="P6" s="14"/>
      <c r="Q6" s="44"/>
      <c r="R6" s="5"/>
      <c r="S6" s="13"/>
    </row>
    <row r="7" spans="1:20" x14ac:dyDescent="0.25">
      <c r="A7" s="45"/>
      <c r="B7" s="1"/>
      <c r="C7" s="45"/>
      <c r="D7" s="1"/>
      <c r="E7" s="4"/>
      <c r="F7" s="2"/>
      <c r="G7" s="5"/>
      <c r="H7" s="10"/>
      <c r="I7" s="10"/>
      <c r="J7" s="12"/>
      <c r="K7" s="12"/>
      <c r="N7" s="5"/>
      <c r="O7" s="183"/>
      <c r="P7" s="14"/>
      <c r="Q7" s="44"/>
      <c r="R7" s="5"/>
      <c r="S7" s="13"/>
    </row>
    <row r="8" spans="1:20" x14ac:dyDescent="0.25">
      <c r="A8" s="45"/>
      <c r="C8" s="1"/>
      <c r="D8" s="1"/>
      <c r="H8" s="10"/>
      <c r="I8" s="10"/>
      <c r="J8" s="12"/>
      <c r="K8" s="12"/>
      <c r="N8" s="9"/>
      <c r="O8" s="9"/>
      <c r="R8" s="5"/>
    </row>
    <row r="9" spans="1:20" x14ac:dyDescent="0.25">
      <c r="A9" s="81" t="s">
        <v>16</v>
      </c>
      <c r="B9" s="81"/>
      <c r="C9" s="81"/>
      <c r="D9" s="81"/>
      <c r="E9" s="81"/>
      <c r="F9" s="81"/>
      <c r="G9" s="81"/>
      <c r="H9" s="111"/>
      <c r="I9" s="111"/>
      <c r="J9" s="111"/>
      <c r="K9" s="111"/>
      <c r="L9" s="111"/>
      <c r="M9" s="81"/>
      <c r="N9" s="81"/>
      <c r="O9" s="81"/>
      <c r="P9" s="113"/>
      <c r="Q9" s="81"/>
      <c r="R9" s="81"/>
      <c r="S9" s="81"/>
      <c r="T9" s="5"/>
    </row>
    <row r="10" spans="1:20" s="7" customFormat="1" x14ac:dyDescent="0.25">
      <c r="A10" s="88" t="s">
        <v>0</v>
      </c>
      <c r="B10" s="88" t="s">
        <v>6</v>
      </c>
      <c r="C10" s="88" t="s">
        <v>75</v>
      </c>
      <c r="D10" s="88" t="s">
        <v>61</v>
      </c>
      <c r="E10" s="88" t="s">
        <v>2</v>
      </c>
      <c r="F10" s="88"/>
      <c r="G10" s="88" t="s">
        <v>3</v>
      </c>
      <c r="H10" s="89" t="s">
        <v>50</v>
      </c>
      <c r="I10" s="89"/>
      <c r="J10" s="89"/>
      <c r="K10" s="89"/>
      <c r="L10" s="89" t="s">
        <v>14</v>
      </c>
      <c r="M10" s="88"/>
      <c r="N10" s="88"/>
      <c r="O10" s="88"/>
      <c r="P10" s="88" t="s">
        <v>26</v>
      </c>
      <c r="Q10" s="88"/>
      <c r="R10" s="88"/>
      <c r="S10" s="88"/>
      <c r="T10" s="11"/>
    </row>
    <row r="11" spans="1:20" s="31" customFormat="1" x14ac:dyDescent="0.25">
      <c r="A11" s="133" t="s">
        <v>144</v>
      </c>
      <c r="B11" s="133"/>
      <c r="C11" s="91"/>
      <c r="D11" s="135"/>
      <c r="E11" s="91"/>
      <c r="F11" s="91"/>
      <c r="G11" s="93"/>
      <c r="H11" s="6"/>
      <c r="I11" s="6"/>
      <c r="J11" s="6"/>
      <c r="K11" s="6"/>
      <c r="L11" s="6"/>
      <c r="M11"/>
      <c r="N11"/>
      <c r="O11" s="191"/>
      <c r="P11" s="147">
        <f>INDEX(Indices!A:K,MATCH('Media Loan'!$C$1,Indices!A:A,0),MATCH('Media Loan'!A11,Indices!$A$2:$K$2,0))/10000</f>
        <v>7.7399999999999997E-2</v>
      </c>
      <c r="T11" s="33"/>
    </row>
    <row r="12" spans="1:20" x14ac:dyDescent="0.25">
      <c r="A12" s="133" t="s">
        <v>172</v>
      </c>
      <c r="B12" s="133" t="s">
        <v>174</v>
      </c>
      <c r="D12" s="21"/>
      <c r="H12" s="10"/>
      <c r="I12" s="10"/>
      <c r="J12" s="10"/>
      <c r="K12" s="10"/>
      <c r="L12" s="6"/>
      <c r="P12" s="147">
        <f>INDEX(Indices!A:K,MATCH('Media Loan'!$C$1,Indices!A:A,0),MATCH('Media Loan'!A12,Indices!$A$2:$K$2,0))/10000</f>
        <v>5.3900000000000003E-2</v>
      </c>
    </row>
    <row r="13" spans="1:20" x14ac:dyDescent="0.25">
      <c r="H13" s="10"/>
      <c r="I13" s="10"/>
      <c r="J13" s="10"/>
      <c r="K13" s="10"/>
    </row>
    <row r="15" spans="1:20" x14ac:dyDescent="0.25">
      <c r="L15" s="101" t="s">
        <v>76</v>
      </c>
      <c r="M15" s="67" t="str">
        <f>L15&amp;" Govt"</f>
        <v>T 2.125 01/31/2021 Govt</v>
      </c>
      <c r="N15" s="197" t="e">
        <f ca="1">_xll.BDH(M15,N2,$C$1)</f>
        <v>#NAME?</v>
      </c>
      <c r="O15" s="192"/>
    </row>
    <row r="16" spans="1:20" x14ac:dyDescent="0.25">
      <c r="L16" s="101" t="s">
        <v>76</v>
      </c>
      <c r="M16" s="67" t="str">
        <f>L16&amp;" Govt"</f>
        <v>T 2.125 01/31/2021 Govt</v>
      </c>
      <c r="N16" s="197" t="e">
        <f ca="1">_xll.BDH(M16,N2,$C$1)</f>
        <v>#NAME?</v>
      </c>
      <c r="O16" s="192"/>
    </row>
    <row r="36" spans="1:11" x14ac:dyDescent="0.25">
      <c r="A36" s="16"/>
      <c r="D36" s="47"/>
      <c r="H36" s="10"/>
      <c r="I36" s="10"/>
      <c r="J36" s="10"/>
      <c r="K36" s="10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Inputs</vt:lpstr>
      <vt:lpstr>Auto Loan CLO</vt:lpstr>
      <vt:lpstr>CMLs</vt:lpstr>
      <vt:lpstr>CV</vt:lpstr>
      <vt:lpstr>IC_1</vt:lpstr>
      <vt:lpstr>IC_2</vt:lpstr>
      <vt:lpstr>Trust</vt:lpstr>
      <vt:lpstr>Secured TL</vt:lpstr>
      <vt:lpstr>Media Loan</vt:lpstr>
      <vt:lpstr>Hotel</vt:lpstr>
      <vt:lpstr>CLOIE Pre and Post Crisis Index</vt:lpstr>
      <vt:lpstr>Indices</vt:lpstr>
      <vt:lpstr>CM Equivalencies</vt:lpstr>
      <vt:lpstr>LIBOR_Date</vt:lpstr>
      <vt:lpstr>Probability_of_Support</vt:lpstr>
      <vt:lpstr>Reuters_Liquidity_Premium</vt:lpstr>
      <vt:lpstr>Valuation_Date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2019-08-18T04:35:01Z</dcterms:created>
  <dcterms:modified xsi:type="dcterms:W3CDTF">2019-08-18T04:47:17Z</dcterms:modified>
</cp:coreProperties>
</file>