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m96\Box\In progress\CO2 Experiments\Experiments\ST900\GC\"/>
    </mc:Choice>
  </mc:AlternateContent>
  <xr:revisionPtr revIDLastSave="0" documentId="13_ncr:1_{C3B6FAF6-AB53-41AF-ADB5-A8280FA52CF2}" xr6:coauthVersionLast="36" xr6:coauthVersionMax="47" xr10:uidLastSave="{00000000-0000-0000-0000-000000000000}"/>
  <bookViews>
    <workbookView xWindow="-105" yWindow="-105" windowWidth="25815" windowHeight="13905" xr2:uid="{00000000-000D-0000-FFFF-FFFF00000000}"/>
  </bookViews>
  <sheets>
    <sheet name="ST900 1_25_2022" sheetId="8" r:id="rId1"/>
    <sheet name="ST500 8-19-21" sheetId="7" r:id="rId2"/>
    <sheet name="Test 8-19-21" sheetId="4" r:id="rId3"/>
    <sheet name="Calibration (2)" sheetId="5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1" i="8" l="1"/>
  <c r="V81" i="8" s="1"/>
  <c r="O62" i="8"/>
  <c r="V62" i="8" s="1"/>
  <c r="B70" i="8"/>
  <c r="O70" i="8" s="1"/>
  <c r="V70" i="8" s="1"/>
  <c r="B71" i="8"/>
  <c r="O71" i="8" s="1"/>
  <c r="V71" i="8" s="1"/>
  <c r="B72" i="8"/>
  <c r="O72" i="8" s="1"/>
  <c r="V72" i="8" s="1"/>
  <c r="B73" i="8"/>
  <c r="O73" i="8" s="1"/>
  <c r="V73" i="8" s="1"/>
  <c r="B74" i="8"/>
  <c r="O74" i="8" s="1"/>
  <c r="V74" i="8" s="1"/>
  <c r="B75" i="8"/>
  <c r="O75" i="8" s="1"/>
  <c r="V75" i="8" s="1"/>
  <c r="B76" i="8"/>
  <c r="O76" i="8" s="1"/>
  <c r="V76" i="8" s="1"/>
  <c r="B77" i="8"/>
  <c r="O77" i="8" s="1"/>
  <c r="V77" i="8" s="1"/>
  <c r="B78" i="8"/>
  <c r="O78" i="8" s="1"/>
  <c r="V78" i="8" s="1"/>
  <c r="B79" i="8"/>
  <c r="O79" i="8" s="1"/>
  <c r="V79" i="8" s="1"/>
  <c r="B80" i="8"/>
  <c r="O80" i="8" s="1"/>
  <c r="V80" i="8" s="1"/>
  <c r="B63" i="8"/>
  <c r="O63" i="8" s="1"/>
  <c r="V63" i="8" s="1"/>
  <c r="B64" i="8"/>
  <c r="O64" i="8" s="1"/>
  <c r="V64" i="8" s="1"/>
  <c r="B65" i="8"/>
  <c r="O65" i="8" s="1"/>
  <c r="V65" i="8" s="1"/>
  <c r="B66" i="8"/>
  <c r="O66" i="8" s="1"/>
  <c r="V66" i="8" s="1"/>
  <c r="B67" i="8"/>
  <c r="O67" i="8" s="1"/>
  <c r="V67" i="8" s="1"/>
  <c r="B68" i="8"/>
  <c r="O68" i="8" s="1"/>
  <c r="V68" i="8" s="1"/>
  <c r="B69" i="8"/>
  <c r="O69" i="8" s="1"/>
  <c r="V69" i="8" s="1"/>
  <c r="B62" i="8"/>
  <c r="H81" i="8"/>
  <c r="H73" i="8"/>
  <c r="H74" i="8"/>
  <c r="H75" i="8"/>
  <c r="H76" i="8"/>
  <c r="H77" i="8"/>
  <c r="H78" i="8"/>
  <c r="H79" i="8"/>
  <c r="H80" i="8"/>
  <c r="H69" i="8" l="1"/>
  <c r="H62" i="8"/>
  <c r="H72" i="8"/>
  <c r="H71" i="8"/>
  <c r="H70" i="8"/>
  <c r="H68" i="8"/>
  <c r="H67" i="8"/>
  <c r="H66" i="8"/>
  <c r="H65" i="8"/>
  <c r="H64" i="8"/>
  <c r="H63" i="8"/>
  <c r="M6" i="8"/>
  <c r="G6" i="8"/>
  <c r="Q6" i="8" s="1"/>
  <c r="O5" i="8"/>
  <c r="G5" i="8"/>
  <c r="Q5" i="8" s="1"/>
  <c r="N4" i="8"/>
  <c r="G4" i="8"/>
  <c r="G3" i="8"/>
  <c r="S4" i="8" l="1"/>
  <c r="T5" i="8"/>
  <c r="S5" i="8"/>
  <c r="Q4" i="8"/>
  <c r="D54" i="8" s="1"/>
  <c r="T4" i="8"/>
  <c r="T6" i="8"/>
  <c r="S6" i="8"/>
  <c r="G85" i="7"/>
  <c r="G84" i="7"/>
  <c r="G83" i="7"/>
  <c r="G82" i="7"/>
  <c r="G81" i="7"/>
  <c r="O11" i="7"/>
  <c r="G11" i="7"/>
  <c r="G80" i="7"/>
  <c r="N7" i="7"/>
  <c r="G7" i="7"/>
  <c r="G78" i="7"/>
  <c r="G77" i="7"/>
  <c r="G76" i="7"/>
  <c r="G75" i="7"/>
  <c r="G74" i="7"/>
  <c r="G73" i="7"/>
  <c r="G16" i="7"/>
  <c r="G15" i="7"/>
  <c r="T16" i="7" s="1"/>
  <c r="G13" i="7"/>
  <c r="T13" i="7" s="1"/>
  <c r="G12" i="7"/>
  <c r="T12" i="7" s="1"/>
  <c r="G10" i="7"/>
  <c r="G9" i="7"/>
  <c r="S10" i="7" s="1"/>
  <c r="G8" i="7"/>
  <c r="Q10" i="7" s="1"/>
  <c r="G6" i="7"/>
  <c r="G5" i="7"/>
  <c r="Q5" i="7" s="1"/>
  <c r="G3" i="7"/>
  <c r="G4" i="7"/>
  <c r="T6" i="7" s="1"/>
  <c r="O10" i="7"/>
  <c r="N6" i="7"/>
  <c r="O9" i="7"/>
  <c r="K12" i="7"/>
  <c r="K8" i="7"/>
  <c r="K4" i="7"/>
  <c r="J12" i="7"/>
  <c r="J8" i="7"/>
  <c r="J4" i="7"/>
  <c r="I12" i="7"/>
  <c r="I8" i="7"/>
  <c r="I4" i="7"/>
  <c r="G79" i="7"/>
  <c r="M13" i="7"/>
  <c r="M12" i="7"/>
  <c r="O8" i="7"/>
  <c r="N5" i="7"/>
  <c r="N4" i="7"/>
  <c r="G76" i="4"/>
  <c r="W76" i="4" s="1"/>
  <c r="G8" i="4"/>
  <c r="G6" i="4"/>
  <c r="G4" i="4"/>
  <c r="G77" i="4"/>
  <c r="G9" i="4"/>
  <c r="G7" i="4"/>
  <c r="G5" i="4"/>
  <c r="Z6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91" i="4"/>
  <c r="G3" i="4"/>
  <c r="D56" i="8" l="1"/>
  <c r="E56" i="8"/>
  <c r="D55" i="8"/>
  <c r="E55" i="8"/>
  <c r="E54" i="8"/>
  <c r="R63" i="8" s="1"/>
  <c r="S9" i="7"/>
  <c r="Q7" i="7"/>
  <c r="T11" i="7"/>
  <c r="T4" i="7"/>
  <c r="S6" i="7"/>
  <c r="S16" i="7"/>
  <c r="S7" i="7"/>
  <c r="Q11" i="7"/>
  <c r="T10" i="7"/>
  <c r="T7" i="7"/>
  <c r="S11" i="7"/>
  <c r="T15" i="7"/>
  <c r="Q16" i="7"/>
  <c r="Q13" i="7"/>
  <c r="Q6" i="7"/>
  <c r="Q9" i="7"/>
  <c r="T9" i="7"/>
  <c r="Q8" i="7"/>
  <c r="S4" i="7"/>
  <c r="S5" i="7"/>
  <c r="T5" i="7"/>
  <c r="Q15" i="7"/>
  <c r="S15" i="7"/>
  <c r="Q4" i="7"/>
  <c r="S13" i="7"/>
  <c r="S8" i="7"/>
  <c r="Q12" i="7"/>
  <c r="S12" i="7"/>
  <c r="T8" i="7"/>
  <c r="R62" i="8" l="1"/>
  <c r="S73" i="8"/>
  <c r="S75" i="8"/>
  <c r="S77" i="8"/>
  <c r="S79" i="8"/>
  <c r="S81" i="8"/>
  <c r="S74" i="8"/>
  <c r="S76" i="8"/>
  <c r="S78" i="8"/>
  <c r="S80" i="8"/>
  <c r="T73" i="8"/>
  <c r="T75" i="8"/>
  <c r="T77" i="8"/>
  <c r="T79" i="8"/>
  <c r="T81" i="8"/>
  <c r="T74" i="8"/>
  <c r="T76" i="8"/>
  <c r="T78" i="8"/>
  <c r="T80" i="8"/>
  <c r="R73" i="8"/>
  <c r="U73" i="8" s="1"/>
  <c r="AB73" i="8" s="1"/>
  <c r="R75" i="8"/>
  <c r="R77" i="8"/>
  <c r="R79" i="8"/>
  <c r="R81" i="8"/>
  <c r="R74" i="8"/>
  <c r="R76" i="8"/>
  <c r="R78" i="8"/>
  <c r="R80" i="8"/>
  <c r="S62" i="8"/>
  <c r="V6" i="8"/>
  <c r="X6" i="8"/>
  <c r="W5" i="8"/>
  <c r="V5" i="8"/>
  <c r="W6" i="8"/>
  <c r="X5" i="8"/>
  <c r="V4" i="8"/>
  <c r="T62" i="8"/>
  <c r="S69" i="8"/>
  <c r="R70" i="8"/>
  <c r="R66" i="8"/>
  <c r="R69" i="8"/>
  <c r="R65" i="8"/>
  <c r="R72" i="8"/>
  <c r="R68" i="8"/>
  <c r="R64" i="8"/>
  <c r="R71" i="8"/>
  <c r="R67" i="8"/>
  <c r="G54" i="8"/>
  <c r="S66" i="8"/>
  <c r="S72" i="8"/>
  <c r="T72" i="8"/>
  <c r="T68" i="8"/>
  <c r="T64" i="8"/>
  <c r="T71" i="8"/>
  <c r="T67" i="8"/>
  <c r="T63" i="8"/>
  <c r="T70" i="8"/>
  <c r="T66" i="8"/>
  <c r="T69" i="8"/>
  <c r="T65" i="8"/>
  <c r="X4" i="8"/>
  <c r="G56" i="8"/>
  <c r="S70" i="8"/>
  <c r="S71" i="8"/>
  <c r="S65" i="8"/>
  <c r="G55" i="8"/>
  <c r="S63" i="8"/>
  <c r="S68" i="8"/>
  <c r="W4" i="8"/>
  <c r="S67" i="8"/>
  <c r="S64" i="8"/>
  <c r="D64" i="7"/>
  <c r="D66" i="7"/>
  <c r="E66" i="7"/>
  <c r="E64" i="7"/>
  <c r="D65" i="7"/>
  <c r="E65" i="7"/>
  <c r="U77" i="8" l="1"/>
  <c r="AB77" i="8" s="1"/>
  <c r="Q83" i="7"/>
  <c r="V5" i="7"/>
  <c r="X80" i="8"/>
  <c r="Y77" i="8"/>
  <c r="Z69" i="8"/>
  <c r="U78" i="8"/>
  <c r="AB78" i="8" s="1"/>
  <c r="Z77" i="8"/>
  <c r="U76" i="8"/>
  <c r="AB76" i="8" s="1"/>
  <c r="X69" i="8"/>
  <c r="X62" i="8"/>
  <c r="U81" i="8"/>
  <c r="X81" i="8" s="1"/>
  <c r="U80" i="8"/>
  <c r="AB80" i="8" s="1"/>
  <c r="G58" i="8"/>
  <c r="H54" i="8" s="1"/>
  <c r="U74" i="8"/>
  <c r="AB74" i="8" s="1"/>
  <c r="U79" i="8"/>
  <c r="AB79" i="8" s="1"/>
  <c r="U75" i="8"/>
  <c r="AB75" i="8" s="1"/>
  <c r="Z74" i="8"/>
  <c r="Z75" i="8"/>
  <c r="Y79" i="8"/>
  <c r="X73" i="8"/>
  <c r="Y73" i="8"/>
  <c r="Z73" i="8"/>
  <c r="U62" i="8"/>
  <c r="AB62" i="8" s="1"/>
  <c r="Y5" i="8"/>
  <c r="AA5" i="8" s="1"/>
  <c r="Y6" i="8"/>
  <c r="AB6" i="8" s="1"/>
  <c r="U68" i="8"/>
  <c r="AB68" i="8" s="1"/>
  <c r="U72" i="8"/>
  <c r="AB72" i="8" s="1"/>
  <c r="U65" i="8"/>
  <c r="AB65" i="8" s="1"/>
  <c r="U70" i="8"/>
  <c r="AB70" i="8" s="1"/>
  <c r="U67" i="8"/>
  <c r="AB67" i="8" s="1"/>
  <c r="U71" i="8"/>
  <c r="AB71" i="8" s="1"/>
  <c r="U66" i="8"/>
  <c r="AB66" i="8" s="1"/>
  <c r="Y4" i="8"/>
  <c r="AC5" i="8"/>
  <c r="U63" i="8"/>
  <c r="AB63" i="8" s="1"/>
  <c r="U64" i="8"/>
  <c r="U69" i="8"/>
  <c r="AB69" i="8" s="1"/>
  <c r="T78" i="7"/>
  <c r="S83" i="7"/>
  <c r="V11" i="7"/>
  <c r="X7" i="7"/>
  <c r="T83" i="7"/>
  <c r="X11" i="7"/>
  <c r="T82" i="7"/>
  <c r="T81" i="7"/>
  <c r="T77" i="7"/>
  <c r="Q82" i="7"/>
  <c r="X16" i="7"/>
  <c r="AC16" i="7" s="1"/>
  <c r="T76" i="7"/>
  <c r="T80" i="7"/>
  <c r="T79" i="7"/>
  <c r="Q81" i="7"/>
  <c r="S82" i="7"/>
  <c r="S81" i="7"/>
  <c r="T75" i="7"/>
  <c r="W11" i="7"/>
  <c r="W7" i="7"/>
  <c r="S80" i="7"/>
  <c r="V7" i="7"/>
  <c r="Q80" i="7"/>
  <c r="S77" i="7"/>
  <c r="S76" i="7"/>
  <c r="S79" i="7"/>
  <c r="S78" i="7"/>
  <c r="S75" i="7"/>
  <c r="Q78" i="7"/>
  <c r="Q77" i="7"/>
  <c r="Q75" i="7"/>
  <c r="Q79" i="7"/>
  <c r="Q76" i="7"/>
  <c r="X8" i="7"/>
  <c r="X5" i="7"/>
  <c r="X4" i="7"/>
  <c r="X12" i="7"/>
  <c r="X6" i="7"/>
  <c r="X9" i="7"/>
  <c r="X10" i="7"/>
  <c r="T74" i="7"/>
  <c r="X13" i="7"/>
  <c r="X15" i="7"/>
  <c r="S74" i="7"/>
  <c r="Q74" i="7"/>
  <c r="Q73" i="7"/>
  <c r="V16" i="7"/>
  <c r="AA16" i="7" s="1"/>
  <c r="V8" i="7"/>
  <c r="V4" i="7"/>
  <c r="V9" i="7"/>
  <c r="V10" i="7"/>
  <c r="V13" i="7"/>
  <c r="V12" i="7"/>
  <c r="V15" i="7"/>
  <c r="V6" i="7"/>
  <c r="W6" i="7"/>
  <c r="W16" i="7"/>
  <c r="AB16" i="7" s="1"/>
  <c r="W4" i="7"/>
  <c r="W8" i="7"/>
  <c r="W10" i="7"/>
  <c r="W12" i="7"/>
  <c r="W15" i="7"/>
  <c r="W5" i="7"/>
  <c r="W9" i="7"/>
  <c r="W13" i="7"/>
  <c r="T73" i="7"/>
  <c r="G66" i="7"/>
  <c r="S73" i="7"/>
  <c r="G65" i="7"/>
  <c r="G64" i="7"/>
  <c r="Y62" i="8" l="1"/>
  <c r="Y71" i="8"/>
  <c r="Z80" i="8"/>
  <c r="X77" i="8"/>
  <c r="Y80" i="8"/>
  <c r="X78" i="8"/>
  <c r="Y76" i="8"/>
  <c r="X76" i="8"/>
  <c r="Y78" i="8"/>
  <c r="X71" i="8"/>
  <c r="Z78" i="8"/>
  <c r="Z76" i="8"/>
  <c r="Z62" i="8"/>
  <c r="X70" i="8"/>
  <c r="Z70" i="8"/>
  <c r="Y69" i="8"/>
  <c r="Y70" i="8"/>
  <c r="Z71" i="8"/>
  <c r="AB81" i="8"/>
  <c r="Z81" i="8"/>
  <c r="Y81" i="8"/>
  <c r="Z68" i="8"/>
  <c r="X72" i="8"/>
  <c r="Y75" i="8"/>
  <c r="Y74" i="8"/>
  <c r="Z79" i="8"/>
  <c r="X75" i="8"/>
  <c r="X79" i="8"/>
  <c r="X74" i="8"/>
  <c r="X68" i="8"/>
  <c r="Y72" i="8"/>
  <c r="Y68" i="8"/>
  <c r="Z72" i="8"/>
  <c r="Z64" i="8"/>
  <c r="Y64" i="8"/>
  <c r="AB64" i="8"/>
  <c r="AC4" i="8"/>
  <c r="AB4" i="8"/>
  <c r="AA4" i="8"/>
  <c r="AC6" i="8"/>
  <c r="Z65" i="8"/>
  <c r="AA6" i="8"/>
  <c r="Z67" i="8"/>
  <c r="Y67" i="8"/>
  <c r="AB5" i="8"/>
  <c r="H55" i="8"/>
  <c r="H56" i="8"/>
  <c r="Y63" i="8"/>
  <c r="Z63" i="8"/>
  <c r="X63" i="8"/>
  <c r="Y66" i="8"/>
  <c r="X67" i="8"/>
  <c r="Y65" i="8"/>
  <c r="Z66" i="8"/>
  <c r="U81" i="7"/>
  <c r="AA81" i="7" s="1"/>
  <c r="U83" i="7"/>
  <c r="AA83" i="7" s="1"/>
  <c r="U82" i="7"/>
  <c r="AA82" i="7" s="1"/>
  <c r="Y11" i="7"/>
  <c r="AA11" i="7" s="1"/>
  <c r="Y7" i="7"/>
  <c r="AA7" i="7" s="1"/>
  <c r="U80" i="7"/>
  <c r="W80" i="7" s="1"/>
  <c r="U77" i="7"/>
  <c r="W77" i="7" s="1"/>
  <c r="U76" i="7"/>
  <c r="W76" i="7" s="1"/>
  <c r="U78" i="7"/>
  <c r="W78" i="7" s="1"/>
  <c r="U79" i="7"/>
  <c r="W79" i="7" s="1"/>
  <c r="U75" i="7"/>
  <c r="U74" i="7"/>
  <c r="W74" i="7" s="1"/>
  <c r="Y5" i="7"/>
  <c r="AA5" i="7" s="1"/>
  <c r="Y6" i="7"/>
  <c r="AA6" i="7" s="1"/>
  <c r="Y15" i="7"/>
  <c r="AC15" i="7" s="1"/>
  <c r="Y10" i="7"/>
  <c r="AC10" i="7" s="1"/>
  <c r="Y9" i="7"/>
  <c r="AC9" i="7" s="1"/>
  <c r="Y12" i="7"/>
  <c r="AC12" i="7" s="1"/>
  <c r="Y4" i="7"/>
  <c r="Y13" i="7"/>
  <c r="Y8" i="7"/>
  <c r="G68" i="7"/>
  <c r="H66" i="7" s="1"/>
  <c r="U73" i="7"/>
  <c r="W82" i="7" l="1"/>
  <c r="X81" i="7"/>
  <c r="W81" i="7"/>
  <c r="W83" i="7"/>
  <c r="X83" i="7"/>
  <c r="Y81" i="7"/>
  <c r="Y83" i="7"/>
  <c r="X82" i="7"/>
  <c r="AC11" i="7"/>
  <c r="Y82" i="7"/>
  <c r="AB11" i="7"/>
  <c r="X76" i="7"/>
  <c r="X80" i="7"/>
  <c r="AA80" i="7"/>
  <c r="Y80" i="7"/>
  <c r="X77" i="7"/>
  <c r="X79" i="7"/>
  <c r="X78" i="7"/>
  <c r="AA78" i="7"/>
  <c r="Y78" i="7"/>
  <c r="Y79" i="7"/>
  <c r="AA79" i="7"/>
  <c r="W75" i="7"/>
  <c r="X75" i="7"/>
  <c r="Y75" i="7"/>
  <c r="AA75" i="7"/>
  <c r="AA76" i="7"/>
  <c r="Y76" i="7"/>
  <c r="AA77" i="7"/>
  <c r="Y77" i="7"/>
  <c r="AA73" i="7"/>
  <c r="W73" i="7"/>
  <c r="AB9" i="7"/>
  <c r="AA74" i="7"/>
  <c r="Y74" i="7"/>
  <c r="X74" i="7"/>
  <c r="AC6" i="7"/>
  <c r="AB10" i="7"/>
  <c r="AC5" i="7"/>
  <c r="AB5" i="7"/>
  <c r="AA10" i="7"/>
  <c r="AB6" i="7"/>
  <c r="AB15" i="7"/>
  <c r="AA15" i="7"/>
  <c r="AB12" i="7"/>
  <c r="AA9" i="7"/>
  <c r="AA4" i="7"/>
  <c r="AC4" i="7"/>
  <c r="AA8" i="7"/>
  <c r="AB8" i="7"/>
  <c r="AC8" i="7"/>
  <c r="AB4" i="7"/>
  <c r="AA13" i="7"/>
  <c r="AC13" i="7"/>
  <c r="AB13" i="7"/>
  <c r="AA12" i="7"/>
  <c r="H65" i="7"/>
  <c r="Y73" i="7"/>
  <c r="X73" i="7"/>
  <c r="H64" i="7"/>
  <c r="Z73" i="4" l="1"/>
  <c r="Z71" i="4"/>
  <c r="W69" i="4"/>
  <c r="W67" i="4"/>
  <c r="Z67" i="4" s="1"/>
  <c r="E2" i="1"/>
  <c r="L33" i="1"/>
  <c r="E4" i="1"/>
  <c r="L34" i="1"/>
  <c r="E5" i="1"/>
  <c r="L35" i="1"/>
  <c r="E6" i="1"/>
  <c r="L36" i="1"/>
  <c r="E7" i="1"/>
  <c r="E8" i="1"/>
  <c r="L37" i="1"/>
  <c r="E9" i="1"/>
  <c r="L38" i="1"/>
  <c r="E10" i="1"/>
  <c r="L39" i="1"/>
  <c r="E11" i="1"/>
  <c r="L40" i="1"/>
  <c r="E12" i="1"/>
  <c r="E13" i="1"/>
  <c r="E14" i="1"/>
  <c r="H33" i="1"/>
  <c r="I33" i="1"/>
  <c r="J33" i="1"/>
  <c r="H34" i="1"/>
  <c r="I34" i="1"/>
  <c r="J34" i="1"/>
  <c r="J44" i="1" s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O8" i="5"/>
  <c r="G8" i="5"/>
  <c r="S8" i="5" s="1"/>
  <c r="M10" i="5"/>
  <c r="G10" i="5"/>
  <c r="R10" i="5" s="1"/>
  <c r="M9" i="5"/>
  <c r="G9" i="5"/>
  <c r="S9" i="5" s="1"/>
  <c r="O7" i="5"/>
  <c r="G7" i="5"/>
  <c r="R7" i="5" s="1"/>
  <c r="O6" i="5"/>
  <c r="G6" i="5"/>
  <c r="Q6" i="5" s="1"/>
  <c r="N5" i="5"/>
  <c r="G5" i="5"/>
  <c r="N4" i="5"/>
  <c r="G4" i="5"/>
  <c r="S4" i="5" s="1"/>
  <c r="G3" i="5"/>
  <c r="N8" i="4"/>
  <c r="R8" i="4" s="1"/>
  <c r="N9" i="4"/>
  <c r="Q9" i="5" l="1"/>
  <c r="I44" i="1"/>
  <c r="Q8" i="5"/>
  <c r="R8" i="5"/>
  <c r="Z69" i="4"/>
  <c r="AD69" i="4"/>
  <c r="AD67" i="4"/>
  <c r="H49" i="1"/>
  <c r="H45" i="1"/>
  <c r="J49" i="1"/>
  <c r="H43" i="1"/>
  <c r="I43" i="1"/>
  <c r="J43" i="1"/>
  <c r="J48" i="1"/>
  <c r="I48" i="1"/>
  <c r="J45" i="1"/>
  <c r="J47" i="1"/>
  <c r="H47" i="1"/>
  <c r="I47" i="1"/>
  <c r="H46" i="1"/>
  <c r="I46" i="1"/>
  <c r="I49" i="1"/>
  <c r="H48" i="1"/>
  <c r="J46" i="1"/>
  <c r="I45" i="1"/>
  <c r="H44" i="1"/>
  <c r="Q7" i="5"/>
  <c r="R4" i="5"/>
  <c r="Q4" i="5"/>
  <c r="R5" i="5"/>
  <c r="S7" i="5"/>
  <c r="R6" i="5"/>
  <c r="D57" i="5" s="1"/>
  <c r="Q5" i="5"/>
  <c r="R9" i="5"/>
  <c r="Q10" i="5"/>
  <c r="S5" i="5"/>
  <c r="S10" i="5"/>
  <c r="S6" i="5"/>
  <c r="E57" i="5" l="1"/>
  <c r="G57" i="5" s="1"/>
  <c r="E58" i="5"/>
  <c r="D58" i="5"/>
  <c r="E56" i="5"/>
  <c r="D56" i="5"/>
  <c r="G58" i="5" l="1"/>
  <c r="G56" i="5"/>
  <c r="G60" i="5" l="1"/>
  <c r="H57" i="5" s="1"/>
  <c r="H56" i="5" l="1"/>
  <c r="H58" i="5"/>
  <c r="V9" i="4" l="1"/>
  <c r="P7" i="4"/>
  <c r="V7" i="4" s="1"/>
  <c r="O5" i="4"/>
  <c r="U7" i="4" l="1"/>
  <c r="U9" i="4"/>
  <c r="U5" i="4"/>
  <c r="U8" i="4"/>
  <c r="R6" i="4"/>
  <c r="U6" i="4"/>
  <c r="V5" i="4"/>
  <c r="I89" i="1" l="1"/>
  <c r="U89" i="1" s="1"/>
  <c r="H89" i="1"/>
  <c r="T89" i="1" s="1"/>
  <c r="G89" i="1"/>
  <c r="S89" i="1" s="1"/>
  <c r="I83" i="1"/>
  <c r="U83" i="1" s="1"/>
  <c r="H83" i="1"/>
  <c r="T83" i="1" s="1"/>
  <c r="G83" i="1"/>
  <c r="S83" i="1" s="1"/>
  <c r="I80" i="1"/>
  <c r="U80" i="1" s="1"/>
  <c r="I81" i="1"/>
  <c r="U81" i="1" s="1"/>
  <c r="I82" i="1"/>
  <c r="U82" i="1" s="1"/>
  <c r="H82" i="1"/>
  <c r="T82" i="1" s="1"/>
  <c r="G82" i="1"/>
  <c r="S82" i="1" s="1"/>
  <c r="H80" i="1"/>
  <c r="T80" i="1" s="1"/>
  <c r="H81" i="1"/>
  <c r="T81" i="1" s="1"/>
  <c r="G80" i="1"/>
  <c r="S80" i="1" s="1"/>
  <c r="G81" i="1"/>
  <c r="S81" i="1" s="1"/>
  <c r="I79" i="1"/>
  <c r="U79" i="1" s="1"/>
  <c r="H79" i="1"/>
  <c r="T79" i="1" s="1"/>
  <c r="G79" i="1"/>
  <c r="S79" i="1" s="1"/>
  <c r="I87" i="1"/>
  <c r="U87" i="1" s="1"/>
  <c r="H87" i="1"/>
  <c r="T87" i="1" s="1"/>
  <c r="G87" i="1"/>
  <c r="S87" i="1" s="1"/>
  <c r="I86" i="1"/>
  <c r="U86" i="1" s="1"/>
  <c r="H86" i="1"/>
  <c r="T86" i="1" s="1"/>
  <c r="G86" i="1"/>
  <c r="S86" i="1" s="1"/>
  <c r="I85" i="1"/>
  <c r="U85" i="1" s="1"/>
  <c r="H85" i="1"/>
  <c r="T85" i="1" s="1"/>
  <c r="G85" i="1"/>
  <c r="S85" i="1" s="1"/>
  <c r="V8" i="4"/>
  <c r="P6" i="4"/>
  <c r="V6" i="4" s="1"/>
  <c r="O4" i="4"/>
  <c r="V4" i="4"/>
  <c r="V87" i="1" l="1"/>
  <c r="V79" i="1"/>
  <c r="V85" i="1"/>
  <c r="V81" i="1"/>
  <c r="V82" i="1"/>
  <c r="V89" i="1"/>
  <c r="V86" i="1"/>
  <c r="V83" i="1"/>
  <c r="E57" i="4"/>
  <c r="V80" i="1"/>
  <c r="K87" i="1"/>
  <c r="K89" i="1"/>
  <c r="K85" i="1"/>
  <c r="K83" i="1"/>
  <c r="M83" i="1" s="1"/>
  <c r="K79" i="1"/>
  <c r="K80" i="1"/>
  <c r="K81" i="1"/>
  <c r="K86" i="1"/>
  <c r="K82" i="1"/>
  <c r="D57" i="4"/>
  <c r="R4" i="4"/>
  <c r="U4" i="4"/>
  <c r="O83" i="1" l="1"/>
  <c r="V77" i="4"/>
  <c r="V76" i="4"/>
  <c r="V73" i="4"/>
  <c r="AA73" i="4" s="1"/>
  <c r="V91" i="4"/>
  <c r="AA91" i="4" s="1"/>
  <c r="V75" i="4"/>
  <c r="AA75" i="4" s="1"/>
  <c r="V74" i="4"/>
  <c r="V72" i="4"/>
  <c r="V71" i="4"/>
  <c r="AA71" i="4" s="1"/>
  <c r="V70" i="4"/>
  <c r="AA70" i="4" s="1"/>
  <c r="V66" i="4"/>
  <c r="AA66" i="4" s="1"/>
  <c r="V68" i="4"/>
  <c r="V69" i="4"/>
  <c r="AA69" i="4" s="1"/>
  <c r="V67" i="4"/>
  <c r="AA67" i="4" s="1"/>
  <c r="V65" i="4"/>
  <c r="AA65" i="4" s="1"/>
  <c r="V64" i="4"/>
  <c r="AA64" i="4" s="1"/>
  <c r="G57" i="4"/>
  <c r="V63" i="4"/>
  <c r="M85" i="1"/>
  <c r="L85" i="1"/>
  <c r="M89" i="1"/>
  <c r="L89" i="1"/>
  <c r="O82" i="1"/>
  <c r="L82" i="1"/>
  <c r="O85" i="1"/>
  <c r="M79" i="1"/>
  <c r="L79" i="1"/>
  <c r="M87" i="1"/>
  <c r="L87" i="1"/>
  <c r="N86" i="1"/>
  <c r="L86" i="1"/>
  <c r="M81" i="1"/>
  <c r="L81" i="1"/>
  <c r="N83" i="1"/>
  <c r="L83" i="1"/>
  <c r="N85" i="1"/>
  <c r="O80" i="1"/>
  <c r="L80" i="1"/>
  <c r="E56" i="4"/>
  <c r="D56" i="4"/>
  <c r="E55" i="4"/>
  <c r="D55" i="4"/>
  <c r="R76" i="4" s="1"/>
  <c r="Y76" i="4" s="1"/>
  <c r="O81" i="1"/>
  <c r="O87" i="1"/>
  <c r="N89" i="1"/>
  <c r="N87" i="1"/>
  <c r="O89" i="1"/>
  <c r="O79" i="1"/>
  <c r="N82" i="1"/>
  <c r="M80" i="1"/>
  <c r="N80" i="1"/>
  <c r="N79" i="1"/>
  <c r="N81" i="1"/>
  <c r="O86" i="1"/>
  <c r="M86" i="1"/>
  <c r="M82" i="1"/>
  <c r="T72" i="4" l="1"/>
  <c r="R77" i="4"/>
  <c r="S77" i="4" s="1"/>
  <c r="U76" i="4"/>
  <c r="U77" i="4"/>
  <c r="R91" i="4"/>
  <c r="R75" i="4"/>
  <c r="R72" i="4"/>
  <c r="R73" i="4"/>
  <c r="W73" i="4" s="1"/>
  <c r="AD73" i="4" s="1"/>
  <c r="S73" i="4" s="1"/>
  <c r="R71" i="4"/>
  <c r="W71" i="4" s="1"/>
  <c r="AD71" i="4" s="1"/>
  <c r="S71" i="4" s="1"/>
  <c r="Y71" i="4" s="1"/>
  <c r="AB71" i="4" s="1"/>
  <c r="R74" i="4"/>
  <c r="W74" i="4" s="1"/>
  <c r="AA74" i="4" s="1"/>
  <c r="U70" i="4"/>
  <c r="Z70" i="4" s="1"/>
  <c r="U91" i="4"/>
  <c r="Z91" i="4" s="1"/>
  <c r="U75" i="4"/>
  <c r="R70" i="4"/>
  <c r="R65" i="4"/>
  <c r="R63" i="4"/>
  <c r="R67" i="4"/>
  <c r="R66" i="4"/>
  <c r="W66" i="4" s="1"/>
  <c r="R68" i="4"/>
  <c r="W68" i="4" s="1"/>
  <c r="R64" i="4"/>
  <c r="G55" i="4"/>
  <c r="R69" i="4"/>
  <c r="U65" i="4"/>
  <c r="Z65" i="4" s="1"/>
  <c r="U64" i="4"/>
  <c r="Z64" i="4" s="1"/>
  <c r="U63" i="4"/>
  <c r="G56" i="4"/>
  <c r="W72" i="4" l="1"/>
  <c r="Y73" i="4"/>
  <c r="AB73" i="4" s="1"/>
  <c r="W77" i="4"/>
  <c r="Z76" i="4"/>
  <c r="W75" i="4"/>
  <c r="Y75" i="4" s="1"/>
  <c r="Y74" i="4"/>
  <c r="AD74" i="4"/>
  <c r="S74" i="4" s="1"/>
  <c r="Z74" i="4"/>
  <c r="W63" i="4"/>
  <c r="Z63" i="4" s="1"/>
  <c r="W91" i="4"/>
  <c r="G59" i="4"/>
  <c r="H56" i="4" s="1"/>
  <c r="Y69" i="4"/>
  <c r="AB69" i="4" s="1"/>
  <c r="S69" i="4"/>
  <c r="AD66" i="4"/>
  <c r="S66" i="4" s="1"/>
  <c r="Y66" i="4" s="1"/>
  <c r="W70" i="4"/>
  <c r="AD70" i="4" s="1"/>
  <c r="S70" i="4" s="1"/>
  <c r="Y70" i="4" s="1"/>
  <c r="Y67" i="4"/>
  <c r="AB67" i="4" s="1"/>
  <c r="S67" i="4"/>
  <c r="Z68" i="4"/>
  <c r="AD68" i="4"/>
  <c r="S68" i="4" s="1"/>
  <c r="Y68" i="4" s="1"/>
  <c r="AA68" i="4"/>
  <c r="W65" i="4"/>
  <c r="W64" i="4"/>
  <c r="AD75" i="4" l="1"/>
  <c r="S75" i="4" s="1"/>
  <c r="Z72" i="4"/>
  <c r="AD72" i="4"/>
  <c r="S72" i="4" s="1"/>
  <c r="AA72" i="4"/>
  <c r="AB74" i="4"/>
  <c r="Y72" i="4"/>
  <c r="Z75" i="4"/>
  <c r="AB75" i="4" s="1"/>
  <c r="Y77" i="4"/>
  <c r="AA77" i="4"/>
  <c r="Y63" i="4"/>
  <c r="AA63" i="4"/>
  <c r="AD76" i="4"/>
  <c r="S76" i="4" s="1"/>
  <c r="AA76" i="4"/>
  <c r="AB76" i="4" s="1"/>
  <c r="Z77" i="4"/>
  <c r="H57" i="4"/>
  <c r="I96" i="4"/>
  <c r="Y91" i="4"/>
  <c r="H55" i="4"/>
  <c r="AB66" i="4"/>
  <c r="AB70" i="4"/>
  <c r="AB68" i="4"/>
  <c r="AD64" i="4"/>
  <c r="S64" i="4" s="1"/>
  <c r="Y64" i="4" s="1"/>
  <c r="AD65" i="4"/>
  <c r="S65" i="4" s="1"/>
  <c r="Y65" i="4" s="1"/>
  <c r="AD63" i="4"/>
  <c r="S63" i="4" s="1"/>
  <c r="AB77" i="4" l="1"/>
  <c r="AB72" i="4"/>
  <c r="AB64" i="4"/>
  <c r="AB63" i="4"/>
  <c r="AB65" i="4"/>
</calcChain>
</file>

<file path=xl/sharedStrings.xml><?xml version="1.0" encoding="utf-8"?>
<sst xmlns="http://schemas.openxmlformats.org/spreadsheetml/2006/main" count="353" uniqueCount="138">
  <si>
    <t>starting pressure</t>
  </si>
  <si>
    <t>sample loop pressure</t>
  </si>
  <si>
    <t>syringe blank</t>
  </si>
  <si>
    <t>Retention Time</t>
  </si>
  <si>
    <t>Amplitude</t>
  </si>
  <si>
    <t>Area</t>
  </si>
  <si>
    <t>blank</t>
  </si>
  <si>
    <t>air</t>
  </si>
  <si>
    <t>N2</t>
  </si>
  <si>
    <t>CH4</t>
  </si>
  <si>
    <t>CO2</t>
  </si>
  <si>
    <t>O2</t>
  </si>
  <si>
    <t>3FB-4</t>
  </si>
  <si>
    <t>2FB-3</t>
  </si>
  <si>
    <t>8FB-1 #1</t>
  </si>
  <si>
    <t>8FB-1 #2</t>
  </si>
  <si>
    <t>8FB-1 #3</t>
  </si>
  <si>
    <t>1.07% CO2 18.17% N2</t>
  </si>
  <si>
    <t>1.07% CO2 18.17% N2 #2</t>
  </si>
  <si>
    <t>1% N2 19.2% CH4</t>
  </si>
  <si>
    <t>80% N2 1.01% CH4 19% CO2</t>
  </si>
  <si>
    <t>N2+O2</t>
  </si>
  <si>
    <t>Slope</t>
  </si>
  <si>
    <t>Y int</t>
  </si>
  <si>
    <t>N2 area</t>
  </si>
  <si>
    <t>N2 moles</t>
  </si>
  <si>
    <t>CH4 area</t>
  </si>
  <si>
    <t>CH4 moles</t>
  </si>
  <si>
    <t>CO2 area</t>
  </si>
  <si>
    <t>CO2 moles</t>
  </si>
  <si>
    <t>N2 %</t>
  </si>
  <si>
    <t>CH4 %</t>
  </si>
  <si>
    <t>CO2 %</t>
  </si>
  <si>
    <t>(&lt;0.04%)</t>
  </si>
  <si>
    <t>moles gas total</t>
  </si>
  <si>
    <t>run number</t>
  </si>
  <si>
    <t>Sample ID</t>
  </si>
  <si>
    <t>sample loop (ml)</t>
  </si>
  <si>
    <t>end pressure (PSI)</t>
  </si>
  <si>
    <t>moles gas</t>
  </si>
  <si>
    <r>
      <t>Area_N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(t=5.647)</t>
    </r>
  </si>
  <si>
    <r>
      <t>Area 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(t=6.397)</t>
    </r>
  </si>
  <si>
    <r>
      <t>Area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(t=7.581)</t>
    </r>
  </si>
  <si>
    <r>
      <t>N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(%)</t>
    </r>
  </si>
  <si>
    <r>
      <t>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(%)</t>
    </r>
  </si>
  <si>
    <r>
      <t>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(%)</t>
    </r>
  </si>
  <si>
    <r>
      <t>Moles N</t>
    </r>
    <r>
      <rPr>
        <vertAlign val="subscript"/>
        <sz val="11"/>
        <color theme="1"/>
        <rFont val="Times New Roman"/>
        <family val="1"/>
      </rPr>
      <t>2</t>
    </r>
  </si>
  <si>
    <r>
      <t>Moles CH</t>
    </r>
    <r>
      <rPr>
        <vertAlign val="subscript"/>
        <sz val="11"/>
        <color theme="1"/>
        <rFont val="Times New Roman"/>
        <family val="1"/>
      </rPr>
      <t>4</t>
    </r>
  </si>
  <si>
    <r>
      <t>Moles CO</t>
    </r>
    <r>
      <rPr>
        <vertAlign val="subscript"/>
        <sz val="11"/>
        <color theme="1"/>
        <rFont val="Times New Roman"/>
        <family val="1"/>
      </rPr>
      <t>2</t>
    </r>
  </si>
  <si>
    <t>Blank</t>
  </si>
  <si>
    <r>
      <t xml:space="preserve">1% N2 19.2% CH4 </t>
    </r>
    <r>
      <rPr>
        <b/>
        <sz val="11"/>
        <color theme="1"/>
        <rFont val="Times New Roman"/>
        <family val="1"/>
      </rPr>
      <t>(Standard 2)</t>
    </r>
  </si>
  <si>
    <r>
      <t>N</t>
    </r>
    <r>
      <rPr>
        <vertAlign val="subscript"/>
        <sz val="11"/>
        <color theme="1"/>
        <rFont val="Times New Roman"/>
        <family val="1"/>
      </rPr>
      <t>2</t>
    </r>
  </si>
  <si>
    <r>
      <t>CH</t>
    </r>
    <r>
      <rPr>
        <vertAlign val="subscript"/>
        <sz val="11"/>
        <color theme="1"/>
        <rFont val="Times New Roman"/>
        <family val="1"/>
      </rPr>
      <t>4</t>
    </r>
  </si>
  <si>
    <r>
      <t>CO</t>
    </r>
    <r>
      <rPr>
        <vertAlign val="subscript"/>
        <sz val="11"/>
        <color theme="1"/>
        <rFont val="Times New Roman"/>
        <family val="1"/>
      </rPr>
      <t>2</t>
    </r>
  </si>
  <si>
    <t>Note: N2 may be under/over estimate by virtue of co-eleuted O2 peaks in unknows</t>
  </si>
  <si>
    <t>1.07% (CO2)-18.17% (N2)-80.76% (CH4)</t>
  </si>
  <si>
    <t>19%(CO2)- 80%(N2)- 1.01%(CH4)</t>
  </si>
  <si>
    <t>79.8%(CO2)- 1%(N2)- 19.2%(CH4)</t>
  </si>
  <si>
    <t>STANDARDS LOOK GOOD</t>
  </si>
  <si>
    <t>including O2</t>
  </si>
  <si>
    <t>~80% +~20% N2-O2</t>
  </si>
  <si>
    <t>NON NORMALIZED WT %s</t>
  </si>
  <si>
    <t>"missing" (balance)</t>
  </si>
  <si>
    <t xml:space="preserve">Δ moles( %) </t>
  </si>
  <si>
    <t>NA</t>
  </si>
  <si>
    <r>
      <t xml:space="preserve">79.99% N2 1.01% CH4 19% CO2 </t>
    </r>
    <r>
      <rPr>
        <b/>
        <sz val="11"/>
        <color theme="1"/>
        <rFont val="Times New Roman"/>
        <family val="1"/>
      </rPr>
      <t>(Standard 3)</t>
    </r>
  </si>
  <si>
    <r>
      <t xml:space="preserve">80% N2 1.01% CH4 19% CO2 </t>
    </r>
    <r>
      <rPr>
        <b/>
        <sz val="11"/>
        <color theme="1"/>
        <rFont val="Times New Roman"/>
        <family val="1"/>
      </rPr>
      <t>(Standard 3)</t>
    </r>
  </si>
  <si>
    <r>
      <t xml:space="preserve">1.07% CO2 18.17% N2 #2 </t>
    </r>
    <r>
      <rPr>
        <b/>
        <sz val="11"/>
        <color theme="1"/>
        <rFont val="Times New Roman"/>
        <family val="1"/>
      </rPr>
      <t>(Standard 1)</t>
    </r>
  </si>
  <si>
    <t>start pressure (PSI)</t>
  </si>
  <si>
    <r>
      <t xml:space="preserve">1% N2 19.2% CH4 </t>
    </r>
    <r>
      <rPr>
        <b/>
        <strike/>
        <sz val="11"/>
        <color theme="1"/>
        <rFont val="Times New Roman"/>
        <family val="1"/>
      </rPr>
      <t>(Standard 2)</t>
    </r>
  </si>
  <si>
    <t>ST400_4</t>
  </si>
  <si>
    <r>
      <t>%N</t>
    </r>
    <r>
      <rPr>
        <vertAlign val="subscript"/>
        <sz val="11"/>
        <color theme="1"/>
        <rFont val="Times New Roman"/>
        <family val="1"/>
      </rPr>
      <t>2</t>
    </r>
  </si>
  <si>
    <r>
      <t>%CH</t>
    </r>
    <r>
      <rPr>
        <vertAlign val="subscript"/>
        <sz val="11"/>
        <color theme="1"/>
        <rFont val="Times New Roman"/>
        <family val="1"/>
      </rPr>
      <t>4</t>
    </r>
  </si>
  <si>
    <r>
      <t>%CO</t>
    </r>
    <r>
      <rPr>
        <vertAlign val="subscript"/>
        <sz val="11"/>
        <color theme="1"/>
        <rFont val="Times New Roman"/>
        <family val="1"/>
      </rPr>
      <t>2</t>
    </r>
  </si>
  <si>
    <t>Total Moles</t>
  </si>
  <si>
    <t>ST400_5</t>
  </si>
  <si>
    <t>ST400_6</t>
  </si>
  <si>
    <t>ST400_1</t>
  </si>
  <si>
    <t>Corrected Mol N2</t>
  </si>
  <si>
    <t>ST400_2</t>
  </si>
  <si>
    <t>ST400_3</t>
  </si>
  <si>
    <t>ST400_10</t>
  </si>
  <si>
    <t>Air</t>
  </si>
  <si>
    <t>ST500_1</t>
  </si>
  <si>
    <t>Stnd 3</t>
  </si>
  <si>
    <t>STND 3</t>
  </si>
  <si>
    <t>ST500_4</t>
  </si>
  <si>
    <t>Area _O2</t>
  </si>
  <si>
    <t>Moles O2</t>
  </si>
  <si>
    <t>100% N2</t>
  </si>
  <si>
    <t>ST500_2</t>
  </si>
  <si>
    <t>ST500_3</t>
  </si>
  <si>
    <t>ST500_5</t>
  </si>
  <si>
    <t>ST500_6</t>
  </si>
  <si>
    <t>ST500_7</t>
  </si>
  <si>
    <t>STND_1</t>
  </si>
  <si>
    <t>ST500_8</t>
  </si>
  <si>
    <t>STND_2</t>
  </si>
  <si>
    <t>ST500_9</t>
  </si>
  <si>
    <t>ST500_10</t>
  </si>
  <si>
    <t>% Mol Imbalance</t>
  </si>
  <si>
    <t>ST500_11</t>
  </si>
  <si>
    <t>ST500_12</t>
  </si>
  <si>
    <t>STND_3</t>
  </si>
  <si>
    <t>PV</t>
  </si>
  <si>
    <t>CH4 (%)</t>
  </si>
  <si>
    <t>CO2 (%)</t>
  </si>
  <si>
    <t>ST900_1</t>
  </si>
  <si>
    <t>ST900_2</t>
  </si>
  <si>
    <t>ST900_3</t>
  </si>
  <si>
    <t>ST900_4</t>
  </si>
  <si>
    <t>ST900_5</t>
  </si>
  <si>
    <t>ST900_6</t>
  </si>
  <si>
    <t>ST900_7</t>
  </si>
  <si>
    <t>ST900_8</t>
  </si>
  <si>
    <t>ST900_9</t>
  </si>
  <si>
    <t>ST900_10</t>
  </si>
  <si>
    <t>ST900_11</t>
  </si>
  <si>
    <t>ST900_12</t>
  </si>
  <si>
    <t>ST900_13</t>
  </si>
  <si>
    <t>ST900_14</t>
  </si>
  <si>
    <t>ST900_15</t>
  </si>
  <si>
    <t>ST900_16</t>
  </si>
  <si>
    <t>ST900_17</t>
  </si>
  <si>
    <t>ST900_18</t>
  </si>
  <si>
    <t>ST900_19</t>
  </si>
  <si>
    <t>ST900_20</t>
  </si>
  <si>
    <r>
      <t>Area_N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(t=5.2)</t>
    </r>
  </si>
  <si>
    <r>
      <t>Area 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(t=5.9)</t>
    </r>
  </si>
  <si>
    <r>
      <t>Area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(t=7.4)</t>
    </r>
  </si>
  <si>
    <t>Time</t>
  </si>
  <si>
    <t>Time Elapsed</t>
  </si>
  <si>
    <t>XX</t>
  </si>
  <si>
    <t>Qg</t>
  </si>
  <si>
    <t>ml/min</t>
  </si>
  <si>
    <t>PV GAS IN</t>
  </si>
  <si>
    <t>PV in</t>
  </si>
  <si>
    <t>PV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</si>
</sst>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E+00"/>
    <numFmt numFmtId="165" formatCode="0.0E+00"/>
    <numFmt numFmtId="166" formatCode="0.0%"/>
    <numFmt numFmtId="167" formatCode="0.000"/>
    <numFmt numFmtId="168" formatCode="0.0"/>
    <numFmt numFmtId="169" formatCode="0.0000E+00"/>
    <numFmt numFmtId="170" formatCode="0.00000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trike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</font>
    <font>
      <b/>
      <strike/>
      <sz val="11"/>
      <color theme="1"/>
      <name val="Times New Roman"/>
      <family val="1"/>
    </font>
    <font>
      <i/>
      <sz val="11"/>
      <color theme="1"/>
      <name val="Rockwell Extra Bold"/>
      <family val="1"/>
    </font>
    <font>
      <sz val="11"/>
      <color theme="1"/>
      <name val="Rockwell Extra Bold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0" fillId="6" borderId="4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8" borderId="0" xfId="0" applyNumberFormat="1" applyFill="1" applyAlignment="1">
      <alignment horizontal="center" vertical="center"/>
    </xf>
    <xf numFmtId="168" fontId="0" fillId="9" borderId="0" xfId="0" applyNumberFormat="1" applyFill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0" fillId="8" borderId="9" xfId="0" applyNumberForma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164" fontId="2" fillId="10" borderId="0" xfId="0" applyNumberFormat="1" applyFont="1" applyFill="1" applyAlignment="1">
      <alignment horizontal="center"/>
    </xf>
    <xf numFmtId="0" fontId="2" fillId="10" borderId="0" xfId="0" applyNumberFormat="1" applyFont="1" applyFill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2" fillId="1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/>
    </xf>
    <xf numFmtId="0" fontId="2" fillId="11" borderId="0" xfId="0" applyNumberFormat="1" applyFont="1" applyFill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1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" fillId="12" borderId="0" xfId="0" applyNumberFormat="1" applyFont="1" applyFill="1" applyAlignment="1">
      <alignment horizontal="center" vertical="center"/>
    </xf>
    <xf numFmtId="1" fontId="2" fillId="6" borderId="2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4" fillId="10" borderId="0" xfId="0" applyNumberFormat="1" applyFont="1" applyFill="1" applyAlignment="1">
      <alignment horizontal="center"/>
    </xf>
    <xf numFmtId="49" fontId="4" fillId="10" borderId="0" xfId="0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9" fontId="4" fillId="12" borderId="0" xfId="0" applyNumberFormat="1" applyFont="1" applyFill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1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6" fontId="12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169" fontId="2" fillId="3" borderId="2" xfId="0" applyNumberFormat="1" applyFont="1" applyFill="1" applyBorder="1" applyAlignment="1">
      <alignment horizontal="center" vertical="center"/>
    </xf>
    <xf numFmtId="169" fontId="2" fillId="0" borderId="0" xfId="0" applyNumberFormat="1" applyFont="1" applyFill="1" applyAlignment="1">
      <alignment horizontal="center"/>
    </xf>
    <xf numFmtId="169" fontId="12" fillId="0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11" borderId="0" xfId="0" applyNumberFormat="1" applyFont="1" applyFill="1" applyAlignment="1">
      <alignment horizontal="center"/>
    </xf>
    <xf numFmtId="169" fontId="2" fillId="11" borderId="0" xfId="0" applyNumberFormat="1" applyFont="1" applyFill="1" applyAlignment="1">
      <alignment horizontal="center"/>
    </xf>
    <xf numFmtId="166" fontId="2" fillId="11" borderId="0" xfId="1" applyNumberFormat="1" applyFont="1" applyFill="1" applyAlignment="1">
      <alignment horizontal="center"/>
    </xf>
    <xf numFmtId="11" fontId="2" fillId="11" borderId="0" xfId="0" applyNumberFormat="1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3" borderId="1" xfId="0" applyNumberFormat="1" applyFont="1" applyFill="1" applyBorder="1" applyAlignment="1">
      <alignment horizontal="center" vertical="center"/>
    </xf>
    <xf numFmtId="164" fontId="2" fillId="1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9" fontId="2" fillId="0" borderId="0" xfId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20" fontId="2" fillId="0" borderId="0" xfId="0" applyNumberFormat="1" applyFont="1" applyFill="1" applyAlignment="1">
      <alignment horizontal="center"/>
    </xf>
    <xf numFmtId="20" fontId="2" fillId="0" borderId="0" xfId="0" applyNumberFormat="1" applyFont="1" applyAlignment="1">
      <alignment horizontal="center"/>
    </xf>
    <xf numFmtId="20" fontId="2" fillId="14" borderId="0" xfId="0" applyNumberFormat="1" applyFont="1" applyFill="1" applyAlignment="1">
      <alignment horizontal="center"/>
    </xf>
    <xf numFmtId="2" fontId="2" fillId="14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169" fontId="2" fillId="14" borderId="0" xfId="0" applyNumberFormat="1" applyFont="1" applyFill="1" applyAlignment="1">
      <alignment horizontal="center"/>
    </xf>
    <xf numFmtId="164" fontId="2" fillId="14" borderId="0" xfId="0" applyNumberFormat="1" applyFont="1" applyFill="1" applyAlignment="1">
      <alignment horizontal="center"/>
    </xf>
    <xf numFmtId="166" fontId="2" fillId="14" borderId="0" xfId="1" applyNumberFormat="1" applyFont="1" applyFill="1" applyAlignment="1">
      <alignment horizontal="center"/>
    </xf>
    <xf numFmtId="9" fontId="2" fillId="14" borderId="0" xfId="1" applyFont="1" applyFill="1" applyAlignment="1">
      <alignment horizontal="center"/>
    </xf>
    <xf numFmtId="9" fontId="2" fillId="0" borderId="0" xfId="1" applyFont="1" applyFill="1" applyBorder="1" applyAlignment="1">
      <alignment horizontal="center" vertical="center"/>
    </xf>
    <xf numFmtId="0" fontId="2" fillId="14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33"/>
      <color rgb="FF009242"/>
      <color rgb="FFFF33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'ST900 1_25_2022'!$I$4:$I$6</c:f>
              <c:numCache>
                <c:formatCode>General</c:formatCode>
                <c:ptCount val="3"/>
                <c:pt idx="0">
                  <c:v>3291.6</c:v>
                </c:pt>
                <c:pt idx="1">
                  <c:v>203.4</c:v>
                </c:pt>
                <c:pt idx="2">
                  <c:v>12097.9</c:v>
                </c:pt>
              </c:numCache>
            </c:numRef>
          </c:xVal>
          <c:yVal>
            <c:numRef>
              <c:f>'ST900 1_25_2022'!$Q$4:$Q$6</c:f>
              <c:numCache>
                <c:formatCode>General</c:formatCode>
                <c:ptCount val="3"/>
                <c:pt idx="0">
                  <c:v>2.6861645425646379E-5</c:v>
                </c:pt>
                <c:pt idx="1">
                  <c:v>1.4823714171217156E-6</c:v>
                </c:pt>
                <c:pt idx="2" formatCode="0.000000E+00">
                  <c:v>1.1688670478589352E-4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A-473B-81C1-558F0AC2F701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'ST900 1_25_2022'!#REF!</c:f>
            </c:numRef>
          </c:xVal>
          <c:yVal>
            <c:numRef>
              <c:f>'ST900 1_25_2022'!$V$17</c:f>
              <c:numCache>
                <c:formatCode>0.0E+00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A-473B-81C1-558F0AC2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63232"/>
        <c:axId val="181665152"/>
      </c:scatterChart>
      <c:valAx>
        <c:axId val="181663232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665152"/>
        <c:crosses val="autoZero"/>
        <c:crossBetween val="midCat"/>
      </c:valAx>
      <c:valAx>
        <c:axId val="18166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6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N2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('ST500 8-19-21'!$V$73:$V$79,'ST500 8-19-21'!$V$82:$V$83)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('ST500 8-19-21'!$W$73:$W$79,'ST500 8-19-21'!$W$82:$W$83)</c:f>
              <c:numCache>
                <c:formatCode>0.0%</c:formatCode>
                <c:ptCount val="9"/>
                <c:pt idx="0">
                  <c:v>0.25864519130739316</c:v>
                </c:pt>
                <c:pt idx="1">
                  <c:v>0.25771826468592557</c:v>
                </c:pt>
                <c:pt idx="2">
                  <c:v>0.25864185817055041</c:v>
                </c:pt>
                <c:pt idx="3">
                  <c:v>0.77579346180368758</c:v>
                </c:pt>
                <c:pt idx="4">
                  <c:v>0.73282575645333203</c:v>
                </c:pt>
                <c:pt idx="5">
                  <c:v>0.79934389740895562</c:v>
                </c:pt>
                <c:pt idx="6">
                  <c:v>0.79182203864002643</c:v>
                </c:pt>
                <c:pt idx="7">
                  <c:v>0.79510672757997769</c:v>
                </c:pt>
                <c:pt idx="8">
                  <c:v>0.81584673040483835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D-4237-B617-AEA0E8CB0D71}"/>
            </c:ext>
          </c:extLst>
        </c:ser>
        <c:ser>
          <c:idx val="1"/>
          <c:order val="1"/>
          <c:tx>
            <c:v>CH4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('ST500 8-19-21'!$V$73:$V$79,'ST500 8-19-21'!$V$82:$V$83)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('ST500 8-19-21'!$X$73:$X$79,'ST500 8-19-21'!$X$82:$X$83)</c:f>
              <c:numCache>
                <c:formatCode>0.0%</c:formatCode>
                <c:ptCount val="9"/>
                <c:pt idx="0">
                  <c:v>0.73839019935393024</c:v>
                </c:pt>
                <c:pt idx="1">
                  <c:v>0.7393099868846934</c:v>
                </c:pt>
                <c:pt idx="2">
                  <c:v>0.73838819451245596</c:v>
                </c:pt>
                <c:pt idx="3">
                  <c:v>7.8671600039493209E-2</c:v>
                </c:pt>
                <c:pt idx="4">
                  <c:v>0.10412009742475466</c:v>
                </c:pt>
                <c:pt idx="5">
                  <c:v>7.6686561959411342E-2</c:v>
                </c:pt>
                <c:pt idx="6">
                  <c:v>4.7514995839269339E-2</c:v>
                </c:pt>
                <c:pt idx="7">
                  <c:v>3.2728679090920934E-2</c:v>
                </c:pt>
                <c:pt idx="8">
                  <c:v>1.9971609301437973E-2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BD-4237-B617-AEA0E8CB0D71}"/>
            </c:ext>
          </c:extLst>
        </c:ser>
        <c:ser>
          <c:idx val="2"/>
          <c:order val="2"/>
          <c:tx>
            <c:v>CO2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('ST500 8-19-21'!$V$73:$V$79,'ST500 8-19-21'!$V$82:$V$83)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('ST500 8-19-21'!$Y$73:$Y$79,'ST500 8-19-21'!$Y$82:$Y$83)</c:f>
              <c:numCache>
                <c:formatCode>0.0%</c:formatCode>
                <c:ptCount val="9"/>
                <c:pt idx="0">
                  <c:v>2.9646093386765005E-3</c:v>
                </c:pt>
                <c:pt idx="1">
                  <c:v>2.9717484293810786E-3</c:v>
                </c:pt>
                <c:pt idx="2">
                  <c:v>2.9699473169935977E-3</c:v>
                </c:pt>
                <c:pt idx="3">
                  <c:v>0.1455349381568192</c:v>
                </c:pt>
                <c:pt idx="4">
                  <c:v>0.16305414612191332</c:v>
                </c:pt>
                <c:pt idx="5">
                  <c:v>0.12396954063163303</c:v>
                </c:pt>
                <c:pt idx="6">
                  <c:v>0.16066296552070428</c:v>
                </c:pt>
                <c:pt idx="7">
                  <c:v>0.17216459332910136</c:v>
                </c:pt>
                <c:pt idx="8">
                  <c:v>0.16418166029372372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BD-4237-B617-AEA0E8CB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0000"/>
        <c:axId val="189441920"/>
      </c:scatterChart>
      <c:valAx>
        <c:axId val="1894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Gas Injected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1920"/>
        <c:crosses val="autoZero"/>
        <c:crossBetween val="midCat"/>
      </c:valAx>
      <c:valAx>
        <c:axId val="1894419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046142678737571E-2"/>
                  <c:y val="4.9263706291429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8-19-21'!$I$4:$I$9</c:f>
              <c:numCache>
                <c:formatCode>General</c:formatCode>
                <c:ptCount val="6"/>
                <c:pt idx="0">
                  <c:v>2901.1</c:v>
                </c:pt>
                <c:pt idx="2">
                  <c:v>169.5</c:v>
                </c:pt>
                <c:pt idx="4">
                  <c:v>11042.8</c:v>
                </c:pt>
              </c:numCache>
            </c:numRef>
          </c:xVal>
          <c:yVal>
            <c:numRef>
              <c:f>'Test 8-19-21'!$R$4:$R$9</c:f>
              <c:numCache>
                <c:formatCode>General</c:formatCode>
                <c:ptCount val="6"/>
                <c:pt idx="0">
                  <c:v>2.3348019023719663E-5</c:v>
                </c:pt>
                <c:pt idx="2">
                  <c:v>1.2547602544801581E-6</c:v>
                </c:pt>
                <c:pt idx="4" formatCode="0.000000E+00">
                  <c:v>9.6297569678316784E-5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ser>
          <c:idx val="1"/>
          <c:order val="1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49625289515542"/>
                  <c:y val="5.2119106773025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8-19-21'!$K$4:$K$9</c:f>
              <c:numCache>
                <c:formatCode>General</c:formatCode>
                <c:ptCount val="6"/>
                <c:pt idx="0">
                  <c:v>10005.799999999999</c:v>
                </c:pt>
                <c:pt idx="2">
                  <c:v>2469.5</c:v>
                </c:pt>
                <c:pt idx="4">
                  <c:v>115.8</c:v>
                </c:pt>
              </c:numCache>
            </c:numRef>
          </c:xVal>
          <c:yVal>
            <c:numRef>
              <c:f>'Test 8-19-21'!$U$4:$U$9</c:f>
              <c:numCache>
                <c:formatCode>General</c:formatCode>
                <c:ptCount val="6"/>
                <c:pt idx="0">
                  <c:v>1.0377468444444685E-4</c:v>
                </c:pt>
                <c:pt idx="1">
                  <c:v>0</c:v>
                </c:pt>
                <c:pt idx="2">
                  <c:v>2.4091396886019035E-5</c:v>
                </c:pt>
                <c:pt idx="3">
                  <c:v>0</c:v>
                </c:pt>
                <c:pt idx="4">
                  <c:v>1.2159088057894732E-6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4-40EF-B197-00B5983395F2}"/>
            </c:ext>
          </c:extLst>
        </c:ser>
        <c:ser>
          <c:idx val="2"/>
          <c:order val="2"/>
          <c:tx>
            <c:v>CO2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98795790061126"/>
                  <c:y val="7.2487489474305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8-19-21'!$L$4:$L$9</c:f>
              <c:numCache>
                <c:formatCode>General</c:formatCode>
                <c:ptCount val="6"/>
                <c:pt idx="0">
                  <c:v>193.8</c:v>
                </c:pt>
                <c:pt idx="2">
                  <c:v>14770.3</c:v>
                </c:pt>
                <c:pt idx="4">
                  <c:v>3131.5</c:v>
                </c:pt>
              </c:numCache>
            </c:numRef>
          </c:xVal>
          <c:yVal>
            <c:numRef>
              <c:f>'Test 8-19-21'!$V$4:$V$9</c:f>
              <c:numCache>
                <c:formatCode>General</c:formatCode>
                <c:ptCount val="6"/>
                <c:pt idx="0">
                  <c:v>1.3749246205492591E-6</c:v>
                </c:pt>
                <c:pt idx="1">
                  <c:v>0</c:v>
                </c:pt>
                <c:pt idx="2">
                  <c:v>1.001298683075166E-4</c:v>
                </c:pt>
                <c:pt idx="3">
                  <c:v>0</c:v>
                </c:pt>
                <c:pt idx="4">
                  <c:v>2.2873531990099003E-5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1824"/>
        <c:axId val="189503744"/>
      </c:scatterChart>
      <c:valAx>
        <c:axId val="189501824"/>
        <c:scaling>
          <c:orientation val="minMax"/>
          <c:max val="15000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503744"/>
        <c:crosses val="autoZero"/>
        <c:crossBetween val="midCat"/>
      </c:valAx>
      <c:valAx>
        <c:axId val="18950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5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2628845846736E-2"/>
                  <c:y val="-4.3579288192736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('Calibration (2)'!$I$4,'Calibration (2)'!$I$8,'Calibration (2)'!$I$9)</c:f>
              <c:numCache>
                <c:formatCode>General</c:formatCode>
                <c:ptCount val="3"/>
                <c:pt idx="0">
                  <c:v>2660.2</c:v>
                </c:pt>
                <c:pt idx="1">
                  <c:v>175.9</c:v>
                </c:pt>
                <c:pt idx="2">
                  <c:v>11709.3</c:v>
                </c:pt>
              </c:numCache>
            </c:numRef>
          </c:xVal>
          <c:yVal>
            <c:numRef>
              <c:f>('Calibration (2)'!$Q$4,'Calibration (2)'!$Q$8,'Calibration (2)'!$Q$9)</c:f>
              <c:numCache>
                <c:formatCode>General</c:formatCode>
                <c:ptCount val="3"/>
                <c:pt idx="0">
                  <c:v>2.0651256614555363E-5</c:v>
                </c:pt>
                <c:pt idx="1">
                  <c:v>1.1820829847298675E-6</c:v>
                </c:pt>
                <c:pt idx="2">
                  <c:v>9.0159839690641727E-5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ser>
          <c:idx val="1"/>
          <c:order val="1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42619173753346E-2"/>
                  <c:y val="3.670969857093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('Calibration (2)'!$J$4,'Calibration (2)'!$J$8,'Calibration (2)'!$J$9)</c:f>
              <c:numCache>
                <c:formatCode>General</c:formatCode>
                <c:ptCount val="3"/>
                <c:pt idx="0">
                  <c:v>9187.2000000000007</c:v>
                </c:pt>
                <c:pt idx="1">
                  <c:v>2499.8000000000002</c:v>
                </c:pt>
                <c:pt idx="2">
                  <c:v>122.1</c:v>
                </c:pt>
              </c:numCache>
            </c:numRef>
          </c:xVal>
          <c:yVal>
            <c:numRef>
              <c:f>('Calibration (2)'!$R$4,'Calibration (2)'!$R$8,'Calibration (2)'!$R$9)</c:f>
              <c:numCache>
                <c:formatCode>General</c:formatCode>
                <c:ptCount val="3"/>
                <c:pt idx="0">
                  <c:v>9.1788414099696789E-5</c:v>
                </c:pt>
                <c:pt idx="1">
                  <c:v>2.2695993306813455E-5</c:v>
                </c:pt>
                <c:pt idx="2">
                  <c:v>1.1384102773790243E-6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4-40EF-B197-00B5983395F2}"/>
            </c:ext>
          </c:extLst>
        </c:ser>
        <c:ser>
          <c:idx val="2"/>
          <c:order val="2"/>
          <c:tx>
            <c:v>CO2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849342102085718E-2"/>
                  <c:y val="8.1863366049295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('Calibration (2)'!$K$4,'Calibration (2)'!$K$8,'Calibration (2)'!$K$9)</c:f>
              <c:numCache>
                <c:formatCode>General</c:formatCode>
                <c:ptCount val="3"/>
                <c:pt idx="0">
                  <c:v>174.7</c:v>
                </c:pt>
                <c:pt idx="1">
                  <c:v>14984.4</c:v>
                </c:pt>
                <c:pt idx="2">
                  <c:v>3329.4</c:v>
                </c:pt>
              </c:numCache>
            </c:numRef>
          </c:xVal>
          <c:yVal>
            <c:numRef>
              <c:f>('Calibration (2)'!$S$4,'Calibration (2)'!$S$8,'Calibration (2)'!$S$9)</c:f>
              <c:numCache>
                <c:formatCode>General</c:formatCode>
                <c:ptCount val="3"/>
                <c:pt idx="0">
                  <c:v>1.2161169277696334E-6</c:v>
                </c:pt>
                <c:pt idx="1">
                  <c:v>9.4330222181443409E-5</c:v>
                </c:pt>
                <c:pt idx="2">
                  <c:v>2.1415638881387587E-5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8624"/>
        <c:axId val="189180544"/>
      </c:scatterChart>
      <c:valAx>
        <c:axId val="189178624"/>
        <c:scaling>
          <c:orientation val="minMax"/>
          <c:max val="15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180544"/>
        <c:crosses val="autoZero"/>
        <c:crossBetween val="midCat"/>
      </c:valAx>
      <c:valAx>
        <c:axId val="189180544"/>
        <c:scaling>
          <c:orientation val="minMax"/>
          <c:max val="1.0000000000000002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1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'ST900 1_25_2022'!$J$4:$J$6</c:f>
              <c:numCache>
                <c:formatCode>General</c:formatCode>
                <c:ptCount val="3"/>
                <c:pt idx="0">
                  <c:v>9616.2999999999993</c:v>
                </c:pt>
                <c:pt idx="1">
                  <c:v>2482.6999999999998</c:v>
                </c:pt>
                <c:pt idx="2">
                  <c:v>126.9</c:v>
                </c:pt>
              </c:numCache>
            </c:numRef>
          </c:xVal>
          <c:yVal>
            <c:numRef>
              <c:f>'ST900 1_25_2022'!$S$4:$S$6</c:f>
              <c:numCache>
                <c:formatCode>General</c:formatCode>
                <c:ptCount val="3"/>
                <c:pt idx="0">
                  <c:v>1.1939166123143649E-4</c:v>
                </c:pt>
                <c:pt idx="1">
                  <c:v>2.8461531208736938E-5</c:v>
                </c:pt>
                <c:pt idx="2">
                  <c:v>1.4758791328135076E-6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D-4BED-A428-5937707F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0304"/>
        <c:axId val="54852224"/>
      </c:scatterChart>
      <c:valAx>
        <c:axId val="54850304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852224"/>
        <c:crosses val="autoZero"/>
        <c:crossBetween val="midCat"/>
      </c:valAx>
      <c:valAx>
        <c:axId val="54852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8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'ST900 1_25_2022'!$K$4:$K$6</c:f>
              <c:numCache>
                <c:formatCode>General</c:formatCode>
                <c:ptCount val="3"/>
                <c:pt idx="0">
                  <c:v>200.5</c:v>
                </c:pt>
                <c:pt idx="1">
                  <c:v>14874</c:v>
                </c:pt>
                <c:pt idx="2">
                  <c:v>3465.5</c:v>
                </c:pt>
              </c:numCache>
            </c:numRef>
          </c:xVal>
          <c:yVal>
            <c:numRef>
              <c:f>'ST900 1_25_2022'!$T$4:$T$6</c:f>
              <c:numCache>
                <c:formatCode>General</c:formatCode>
                <c:ptCount val="3"/>
                <c:pt idx="0">
                  <c:v>1.5818360267166552E-6</c:v>
                </c:pt>
                <c:pt idx="1">
                  <c:v>1.1829323908631288E-4</c:v>
                </c:pt>
                <c:pt idx="2">
                  <c:v>2.7764062894511529E-5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D-4D26-838A-483A417B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8816"/>
        <c:axId val="55060736"/>
      </c:scatterChart>
      <c:valAx>
        <c:axId val="55058816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60736"/>
        <c:crosses val="autoZero"/>
        <c:crossBetween val="midCat"/>
      </c:valAx>
      <c:valAx>
        <c:axId val="5506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N2</c:v>
          </c:tx>
          <c:spPr>
            <a:ln w="19050" cap="flat"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'ST900 1_25_2022'!$B$62:$B$81</c:f>
              <c:numCache>
                <c:formatCode>0.00</c:formatCode>
                <c:ptCount val="20"/>
                <c:pt idx="0">
                  <c:v>0</c:v>
                </c:pt>
                <c:pt idx="1">
                  <c:v>0.2166666666666659</c:v>
                </c:pt>
                <c:pt idx="2">
                  <c:v>0.39999999999999858</c:v>
                </c:pt>
                <c:pt idx="3">
                  <c:v>0.86666666666666625</c:v>
                </c:pt>
                <c:pt idx="4">
                  <c:v>0.89999999999999947</c:v>
                </c:pt>
                <c:pt idx="5">
                  <c:v>0.93333333333333268</c:v>
                </c:pt>
                <c:pt idx="6">
                  <c:v>1.0166666666666657</c:v>
                </c:pt>
                <c:pt idx="7">
                  <c:v>1.1166666666666654</c:v>
                </c:pt>
                <c:pt idx="8">
                  <c:v>1.2499999999999982</c:v>
                </c:pt>
                <c:pt idx="9">
                  <c:v>1.3999999999999977</c:v>
                </c:pt>
                <c:pt idx="10">
                  <c:v>1.5499999999999998</c:v>
                </c:pt>
                <c:pt idx="11">
                  <c:v>1.6999999999999993</c:v>
                </c:pt>
                <c:pt idx="12">
                  <c:v>1.883333333333332</c:v>
                </c:pt>
                <c:pt idx="13">
                  <c:v>2.1833333333333336</c:v>
                </c:pt>
                <c:pt idx="14">
                  <c:v>2.7499999999999982</c:v>
                </c:pt>
                <c:pt idx="15">
                  <c:v>3.1333333333333329</c:v>
                </c:pt>
                <c:pt idx="16">
                  <c:v>3.4499999999999984</c:v>
                </c:pt>
                <c:pt idx="17">
                  <c:v>3.8833333333333329</c:v>
                </c:pt>
                <c:pt idx="18">
                  <c:v>5.4833333333333325</c:v>
                </c:pt>
                <c:pt idx="19">
                  <c:v>17</c:v>
                </c:pt>
              </c:numCache>
            </c:numRef>
          </c:xVal>
          <c:yVal>
            <c:numRef>
              <c:f>'ST900 1_25_2022'!$X$62:$X$81</c:f>
              <c:numCache>
                <c:formatCode>0.0%</c:formatCode>
                <c:ptCount val="20"/>
                <c:pt idx="0">
                  <c:v>9.0570306709809728E-3</c:v>
                </c:pt>
                <c:pt idx="1">
                  <c:v>1.2076967131522115E-2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0.174872650804482</c:v>
                </c:pt>
                <c:pt idx="6">
                  <c:v>0.33722361068100737</c:v>
                </c:pt>
                <c:pt idx="7">
                  <c:v>0.38207295519566842</c:v>
                </c:pt>
                <c:pt idx="8">
                  <c:v>0.3713004578727972</c:v>
                </c:pt>
                <c:pt idx="9">
                  <c:v>0.36745096609499561</c:v>
                </c:pt>
                <c:pt idx="10">
                  <c:v>0.36483649717526778</c:v>
                </c:pt>
                <c:pt idx="11">
                  <c:v>0.3202910041816705</c:v>
                </c:pt>
                <c:pt idx="12">
                  <c:v>0.41175134106090566</c:v>
                </c:pt>
                <c:pt idx="13">
                  <c:v>0.46859647329643722</c:v>
                </c:pt>
                <c:pt idx="14">
                  <c:v>0.54217833158080231</c:v>
                </c:pt>
                <c:pt idx="15">
                  <c:v>0.5828765947303175</c:v>
                </c:pt>
                <c:pt idx="16">
                  <c:v>0.61927564417084113</c:v>
                </c:pt>
                <c:pt idx="17">
                  <c:v>0.65318284157842077</c:v>
                </c:pt>
                <c:pt idx="18">
                  <c:v>0.73405846397192687</c:v>
                </c:pt>
                <c:pt idx="19">
                  <c:v>0.80688366589422567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89D-9051-3C8255CD01E5}"/>
            </c:ext>
          </c:extLst>
        </c:ser>
        <c:ser>
          <c:idx val="1"/>
          <c:order val="1"/>
          <c:tx>
            <c:v>CH4</c:v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'ST900 1_25_2022'!$B$62:$B$81</c:f>
              <c:numCache>
                <c:formatCode>0.00</c:formatCode>
                <c:ptCount val="20"/>
                <c:pt idx="0">
                  <c:v>0</c:v>
                </c:pt>
                <c:pt idx="1">
                  <c:v>0.2166666666666659</c:v>
                </c:pt>
                <c:pt idx="2">
                  <c:v>0.39999999999999858</c:v>
                </c:pt>
                <c:pt idx="3">
                  <c:v>0.86666666666666625</c:v>
                </c:pt>
                <c:pt idx="4">
                  <c:v>0.89999999999999947</c:v>
                </c:pt>
                <c:pt idx="5">
                  <c:v>0.93333333333333268</c:v>
                </c:pt>
                <c:pt idx="6">
                  <c:v>1.0166666666666657</c:v>
                </c:pt>
                <c:pt idx="7">
                  <c:v>1.1166666666666654</c:v>
                </c:pt>
                <c:pt idx="8">
                  <c:v>1.2499999999999982</c:v>
                </c:pt>
                <c:pt idx="9">
                  <c:v>1.3999999999999977</c:v>
                </c:pt>
                <c:pt idx="10">
                  <c:v>1.5499999999999998</c:v>
                </c:pt>
                <c:pt idx="11">
                  <c:v>1.6999999999999993</c:v>
                </c:pt>
                <c:pt idx="12">
                  <c:v>1.883333333333332</c:v>
                </c:pt>
                <c:pt idx="13">
                  <c:v>2.1833333333333336</c:v>
                </c:pt>
                <c:pt idx="14">
                  <c:v>2.7499999999999982</c:v>
                </c:pt>
                <c:pt idx="15">
                  <c:v>3.1333333333333329</c:v>
                </c:pt>
                <c:pt idx="16">
                  <c:v>3.4499999999999984</c:v>
                </c:pt>
                <c:pt idx="17">
                  <c:v>3.8833333333333329</c:v>
                </c:pt>
                <c:pt idx="18">
                  <c:v>5.4833333333333325</c:v>
                </c:pt>
                <c:pt idx="19">
                  <c:v>17</c:v>
                </c:pt>
              </c:numCache>
            </c:numRef>
          </c:xVal>
          <c:yVal>
            <c:numRef>
              <c:f>'ST900 1_25_2022'!$Y$62:$Y$81</c:f>
              <c:numCache>
                <c:formatCode>0.0%</c:formatCode>
                <c:ptCount val="20"/>
                <c:pt idx="0">
                  <c:v>0.98728875895697343</c:v>
                </c:pt>
                <c:pt idx="1">
                  <c:v>0.98663932988656855</c:v>
                </c:pt>
                <c:pt idx="2">
                  <c:v>0.99858925638227725</c:v>
                </c:pt>
                <c:pt idx="3">
                  <c:v>1.0069600690568459</c:v>
                </c:pt>
                <c:pt idx="4">
                  <c:v>1.0073747144477563</c:v>
                </c:pt>
                <c:pt idx="5">
                  <c:v>0.82260633762607527</c:v>
                </c:pt>
                <c:pt idx="6">
                  <c:v>0.66071609988920832</c:v>
                </c:pt>
                <c:pt idx="7">
                  <c:v>0.61377627355440223</c:v>
                </c:pt>
                <c:pt idx="8">
                  <c:v>0.61997154055255121</c:v>
                </c:pt>
                <c:pt idx="9">
                  <c:v>0.61792374048669407</c:v>
                </c:pt>
                <c:pt idx="10">
                  <c:v>0.60928765994356382</c:v>
                </c:pt>
                <c:pt idx="11">
                  <c:v>0.62807340129056788</c:v>
                </c:pt>
                <c:pt idx="12">
                  <c:v>0.53727384579077797</c:v>
                </c:pt>
                <c:pt idx="13">
                  <c:v>0.46457005945188684</c:v>
                </c:pt>
                <c:pt idx="14">
                  <c:v>0.36727652288109941</c:v>
                </c:pt>
                <c:pt idx="15">
                  <c:v>0.31203728560061667</c:v>
                </c:pt>
                <c:pt idx="16">
                  <c:v>0.26317583751855156</c:v>
                </c:pt>
                <c:pt idx="17">
                  <c:v>0.21454078162902918</c:v>
                </c:pt>
                <c:pt idx="18">
                  <c:v>9.9444782647406388E-2</c:v>
                </c:pt>
                <c:pt idx="19">
                  <c:v>-2.5766388819367238E-3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9-489D-9051-3C8255CD01E5}"/>
            </c:ext>
          </c:extLst>
        </c:ser>
        <c:ser>
          <c:idx val="2"/>
          <c:order val="2"/>
          <c:tx>
            <c:v>CO2</c:v>
          </c:tx>
          <c:spPr>
            <a:ln w="19050">
              <a:solidFill>
                <a:schemeClr val="accent3"/>
              </a:solidFill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0652-4349-A1D6-DFAE12C1C684}"/>
              </c:ext>
            </c:extLst>
          </c:dPt>
          <c:xVal>
            <c:numRef>
              <c:f>'ST900 1_25_2022'!$B$62:$B$81</c:f>
              <c:numCache>
                <c:formatCode>0.00</c:formatCode>
                <c:ptCount val="20"/>
                <c:pt idx="0">
                  <c:v>0</c:v>
                </c:pt>
                <c:pt idx="1">
                  <c:v>0.2166666666666659</c:v>
                </c:pt>
                <c:pt idx="2">
                  <c:v>0.39999999999999858</c:v>
                </c:pt>
                <c:pt idx="3">
                  <c:v>0.86666666666666625</c:v>
                </c:pt>
                <c:pt idx="4">
                  <c:v>0.89999999999999947</c:v>
                </c:pt>
                <c:pt idx="5">
                  <c:v>0.93333333333333268</c:v>
                </c:pt>
                <c:pt idx="6">
                  <c:v>1.0166666666666657</c:v>
                </c:pt>
                <c:pt idx="7">
                  <c:v>1.1166666666666654</c:v>
                </c:pt>
                <c:pt idx="8">
                  <c:v>1.2499999999999982</c:v>
                </c:pt>
                <c:pt idx="9">
                  <c:v>1.3999999999999977</c:v>
                </c:pt>
                <c:pt idx="10">
                  <c:v>1.5499999999999998</c:v>
                </c:pt>
                <c:pt idx="11">
                  <c:v>1.6999999999999993</c:v>
                </c:pt>
                <c:pt idx="12">
                  <c:v>1.883333333333332</c:v>
                </c:pt>
                <c:pt idx="13">
                  <c:v>2.1833333333333336</c:v>
                </c:pt>
                <c:pt idx="14">
                  <c:v>2.7499999999999982</c:v>
                </c:pt>
                <c:pt idx="15">
                  <c:v>3.1333333333333329</c:v>
                </c:pt>
                <c:pt idx="16">
                  <c:v>3.4499999999999984</c:v>
                </c:pt>
                <c:pt idx="17">
                  <c:v>3.8833333333333329</c:v>
                </c:pt>
                <c:pt idx="18">
                  <c:v>5.4833333333333325</c:v>
                </c:pt>
                <c:pt idx="19">
                  <c:v>17</c:v>
                </c:pt>
              </c:numCache>
            </c:numRef>
          </c:xVal>
          <c:yVal>
            <c:numRef>
              <c:f>'ST900 1_25_2022'!$Z$62:$Z$81</c:f>
              <c:numCache>
                <c:formatCode>0.0%</c:formatCode>
                <c:ptCount val="20"/>
                <c:pt idx="0">
                  <c:v>3.6542103720456662E-3</c:v>
                </c:pt>
                <c:pt idx="1">
                  <c:v>1.2837029819093844E-3</c:v>
                </c:pt>
                <c:pt idx="2">
                  <c:v>2.1295112793828005E-3</c:v>
                </c:pt>
                <c:pt idx="3">
                  <c:v>1.0156012989444901E-3</c:v>
                </c:pt>
                <c:pt idx="4">
                  <c:v>2.8490980398830088E-3</c:v>
                </c:pt>
                <c:pt idx="5">
                  <c:v>2.5210115694428137E-3</c:v>
                </c:pt>
                <c:pt idx="6">
                  <c:v>2.0602894297842077E-3</c:v>
                </c:pt>
                <c:pt idx="7">
                  <c:v>4.1507712499294427E-3</c:v>
                </c:pt>
                <c:pt idx="8">
                  <c:v>8.7280015746514956E-3</c:v>
                </c:pt>
                <c:pt idx="9">
                  <c:v>1.4625293418310446E-2</c:v>
                </c:pt>
                <c:pt idx="10">
                  <c:v>2.587584288116853E-2</c:v>
                </c:pt>
                <c:pt idx="11">
                  <c:v>5.1635594527761543E-2</c:v>
                </c:pt>
                <c:pt idx="12">
                  <c:v>5.0974813148316533E-2</c:v>
                </c:pt>
                <c:pt idx="13">
                  <c:v>6.6833467251676063E-2</c:v>
                </c:pt>
                <c:pt idx="14">
                  <c:v>9.0545145538098046E-2</c:v>
                </c:pt>
                <c:pt idx="15">
                  <c:v>0.10508611966906574</c:v>
                </c:pt>
                <c:pt idx="16">
                  <c:v>0.11754851831060721</c:v>
                </c:pt>
                <c:pt idx="17">
                  <c:v>0.13227637679255022</c:v>
                </c:pt>
                <c:pt idx="18">
                  <c:v>0.16649675338066683</c:v>
                </c:pt>
                <c:pt idx="19">
                  <c:v>0.19569297298771116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9-489D-9051-3C8255CD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2080"/>
        <c:axId val="181801728"/>
      </c:scatterChart>
      <c:valAx>
        <c:axId val="55102080"/>
        <c:scaling>
          <c:orientation val="minMax"/>
          <c:max val="1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801728"/>
        <c:crosses val="autoZero"/>
        <c:crossBetween val="midCat"/>
      </c:valAx>
      <c:valAx>
        <c:axId val="18180172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1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9354754753807026"/>
          <c:y val="5.5977103237607566E-2"/>
          <c:w val="0.30539902105180777"/>
          <c:h val="0.10773302313726656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5764572623078E-2"/>
          <c:y val="3.9509682868827008E-2"/>
          <c:w val="0.80075582709288851"/>
          <c:h val="0.84285792034483131"/>
        </c:manualLayout>
      </c:layout>
      <c:scatterChart>
        <c:scatterStyle val="lineMarker"/>
        <c:varyColors val="0"/>
        <c:ser>
          <c:idx val="3"/>
          <c:order val="0"/>
          <c:tx>
            <c:v>N2</c:v>
          </c:tx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1_25_2022'!$X$62:$X$81</c:f>
              <c:numCache>
                <c:formatCode>0.0%</c:formatCode>
                <c:ptCount val="20"/>
                <c:pt idx="0">
                  <c:v>9.0570306709809728E-3</c:v>
                </c:pt>
                <c:pt idx="1">
                  <c:v>1.2076967131522115E-2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0.174872650804482</c:v>
                </c:pt>
                <c:pt idx="6">
                  <c:v>0.33722361068100737</c:v>
                </c:pt>
                <c:pt idx="7">
                  <c:v>0.38207295519566842</c:v>
                </c:pt>
                <c:pt idx="8">
                  <c:v>0.3713004578727972</c:v>
                </c:pt>
                <c:pt idx="9">
                  <c:v>0.36745096609499561</c:v>
                </c:pt>
                <c:pt idx="10">
                  <c:v>0.36483649717526778</c:v>
                </c:pt>
                <c:pt idx="11">
                  <c:v>0.3202910041816705</c:v>
                </c:pt>
                <c:pt idx="12">
                  <c:v>0.41175134106090566</c:v>
                </c:pt>
                <c:pt idx="13">
                  <c:v>0.46859647329643722</c:v>
                </c:pt>
                <c:pt idx="14">
                  <c:v>0.54217833158080231</c:v>
                </c:pt>
                <c:pt idx="15">
                  <c:v>0.5828765947303175</c:v>
                </c:pt>
                <c:pt idx="16">
                  <c:v>0.61927564417084113</c:v>
                </c:pt>
                <c:pt idx="17">
                  <c:v>0.65318284157842077</c:v>
                </c:pt>
                <c:pt idx="18">
                  <c:v>0.73405846397192687</c:v>
                </c:pt>
                <c:pt idx="19">
                  <c:v>0.80688366589422567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EC-4326-994C-8EFF681B9A8B}"/>
            </c:ext>
          </c:extLst>
        </c:ser>
        <c:ser>
          <c:idx val="4"/>
          <c:order val="1"/>
          <c:tx>
            <c:v>CH4</c:v>
          </c:tx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1_25_2022'!$Y$62:$Y$81</c:f>
              <c:numCache>
                <c:formatCode>0.0%</c:formatCode>
                <c:ptCount val="20"/>
                <c:pt idx="0">
                  <c:v>0.98728875895697343</c:v>
                </c:pt>
                <c:pt idx="1">
                  <c:v>0.98663932988656855</c:v>
                </c:pt>
                <c:pt idx="2">
                  <c:v>0.99858925638227725</c:v>
                </c:pt>
                <c:pt idx="3">
                  <c:v>1.0069600690568459</c:v>
                </c:pt>
                <c:pt idx="4">
                  <c:v>1.0073747144477563</c:v>
                </c:pt>
                <c:pt idx="5">
                  <c:v>0.82260633762607527</c:v>
                </c:pt>
                <c:pt idx="6">
                  <c:v>0.66071609988920832</c:v>
                </c:pt>
                <c:pt idx="7">
                  <c:v>0.61377627355440223</c:v>
                </c:pt>
                <c:pt idx="8">
                  <c:v>0.61997154055255121</c:v>
                </c:pt>
                <c:pt idx="9">
                  <c:v>0.61792374048669407</c:v>
                </c:pt>
                <c:pt idx="10">
                  <c:v>0.60928765994356382</c:v>
                </c:pt>
                <c:pt idx="11">
                  <c:v>0.62807340129056788</c:v>
                </c:pt>
                <c:pt idx="12">
                  <c:v>0.53727384579077797</c:v>
                </c:pt>
                <c:pt idx="13">
                  <c:v>0.46457005945188684</c:v>
                </c:pt>
                <c:pt idx="14">
                  <c:v>0.36727652288109941</c:v>
                </c:pt>
                <c:pt idx="15">
                  <c:v>0.31203728560061667</c:v>
                </c:pt>
                <c:pt idx="16">
                  <c:v>0.26317583751855156</c:v>
                </c:pt>
                <c:pt idx="17">
                  <c:v>0.21454078162902918</c:v>
                </c:pt>
                <c:pt idx="18">
                  <c:v>9.9444782647406388E-2</c:v>
                </c:pt>
                <c:pt idx="19">
                  <c:v>-2.5766388819367238E-3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EC-4326-994C-8EFF681B9A8B}"/>
            </c:ext>
          </c:extLst>
        </c:ser>
        <c:ser>
          <c:idx val="5"/>
          <c:order val="2"/>
          <c:tx>
            <c:v>CO2</c:v>
          </c:tx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1_25_2022'!$Z$62:$Z$81</c:f>
              <c:numCache>
                <c:formatCode>0.0%</c:formatCode>
                <c:ptCount val="20"/>
                <c:pt idx="0">
                  <c:v>3.6542103720456662E-3</c:v>
                </c:pt>
                <c:pt idx="1">
                  <c:v>1.2837029819093844E-3</c:v>
                </c:pt>
                <c:pt idx="2">
                  <c:v>2.1295112793828005E-3</c:v>
                </c:pt>
                <c:pt idx="3">
                  <c:v>1.0156012989444901E-3</c:v>
                </c:pt>
                <c:pt idx="4">
                  <c:v>2.8490980398830088E-3</c:v>
                </c:pt>
                <c:pt idx="5">
                  <c:v>2.5210115694428137E-3</c:v>
                </c:pt>
                <c:pt idx="6">
                  <c:v>2.0602894297842077E-3</c:v>
                </c:pt>
                <c:pt idx="7">
                  <c:v>4.1507712499294427E-3</c:v>
                </c:pt>
                <c:pt idx="8">
                  <c:v>8.7280015746514956E-3</c:v>
                </c:pt>
                <c:pt idx="9">
                  <c:v>1.4625293418310446E-2</c:v>
                </c:pt>
                <c:pt idx="10">
                  <c:v>2.587584288116853E-2</c:v>
                </c:pt>
                <c:pt idx="11">
                  <c:v>5.1635594527761543E-2</c:v>
                </c:pt>
                <c:pt idx="12">
                  <c:v>5.0974813148316533E-2</c:v>
                </c:pt>
                <c:pt idx="13">
                  <c:v>6.6833467251676063E-2</c:v>
                </c:pt>
                <c:pt idx="14">
                  <c:v>9.0545145538098046E-2</c:v>
                </c:pt>
                <c:pt idx="15">
                  <c:v>0.10508611966906574</c:v>
                </c:pt>
                <c:pt idx="16">
                  <c:v>0.11754851831060721</c:v>
                </c:pt>
                <c:pt idx="17">
                  <c:v>0.13227637679255022</c:v>
                </c:pt>
                <c:pt idx="18">
                  <c:v>0.16649675338066683</c:v>
                </c:pt>
                <c:pt idx="19">
                  <c:v>0.19569297298771116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EC-4326-994C-8EFF681B9A8B}"/>
            </c:ext>
          </c:extLst>
        </c:ser>
        <c:ser>
          <c:idx val="0"/>
          <c:order val="3"/>
          <c:tx>
            <c:v>N2</c:v>
          </c:tx>
          <c:marker>
            <c:symbol val="circle"/>
            <c:size val="10"/>
          </c:marker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1_25_2022'!$X$62:$X$81</c:f>
              <c:numCache>
                <c:formatCode>0.0%</c:formatCode>
                <c:ptCount val="20"/>
                <c:pt idx="0">
                  <c:v>9.0570306709809728E-3</c:v>
                </c:pt>
                <c:pt idx="1">
                  <c:v>1.2076967131522115E-2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0.174872650804482</c:v>
                </c:pt>
                <c:pt idx="6">
                  <c:v>0.33722361068100737</c:v>
                </c:pt>
                <c:pt idx="7">
                  <c:v>0.38207295519566842</c:v>
                </c:pt>
                <c:pt idx="8">
                  <c:v>0.3713004578727972</c:v>
                </c:pt>
                <c:pt idx="9">
                  <c:v>0.36745096609499561</c:v>
                </c:pt>
                <c:pt idx="10">
                  <c:v>0.36483649717526778</c:v>
                </c:pt>
                <c:pt idx="11">
                  <c:v>0.3202910041816705</c:v>
                </c:pt>
                <c:pt idx="12">
                  <c:v>0.41175134106090566</c:v>
                </c:pt>
                <c:pt idx="13">
                  <c:v>0.46859647329643722</c:v>
                </c:pt>
                <c:pt idx="14">
                  <c:v>0.54217833158080231</c:v>
                </c:pt>
                <c:pt idx="15">
                  <c:v>0.5828765947303175</c:v>
                </c:pt>
                <c:pt idx="16">
                  <c:v>0.61927564417084113</c:v>
                </c:pt>
                <c:pt idx="17">
                  <c:v>0.65318284157842077</c:v>
                </c:pt>
                <c:pt idx="18">
                  <c:v>0.73405846397192687</c:v>
                </c:pt>
                <c:pt idx="19">
                  <c:v>0.80688366589422567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EC-4326-994C-8EFF681B9A8B}"/>
            </c:ext>
          </c:extLst>
        </c:ser>
        <c:ser>
          <c:idx val="1"/>
          <c:order val="4"/>
          <c:tx>
            <c:v>CH4</c:v>
          </c:tx>
          <c:marker>
            <c:symbol val="circle"/>
            <c:size val="10"/>
          </c:marker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1_25_2022'!$Y$62:$Y$81</c:f>
              <c:numCache>
                <c:formatCode>0.0%</c:formatCode>
                <c:ptCount val="20"/>
                <c:pt idx="0">
                  <c:v>0.98728875895697343</c:v>
                </c:pt>
                <c:pt idx="1">
                  <c:v>0.98663932988656855</c:v>
                </c:pt>
                <c:pt idx="2">
                  <c:v>0.99858925638227725</c:v>
                </c:pt>
                <c:pt idx="3">
                  <c:v>1.0069600690568459</c:v>
                </c:pt>
                <c:pt idx="4">
                  <c:v>1.0073747144477563</c:v>
                </c:pt>
                <c:pt idx="5">
                  <c:v>0.82260633762607527</c:v>
                </c:pt>
                <c:pt idx="6">
                  <c:v>0.66071609988920832</c:v>
                </c:pt>
                <c:pt idx="7">
                  <c:v>0.61377627355440223</c:v>
                </c:pt>
                <c:pt idx="8">
                  <c:v>0.61997154055255121</c:v>
                </c:pt>
                <c:pt idx="9">
                  <c:v>0.61792374048669407</c:v>
                </c:pt>
                <c:pt idx="10">
                  <c:v>0.60928765994356382</c:v>
                </c:pt>
                <c:pt idx="11">
                  <c:v>0.62807340129056788</c:v>
                </c:pt>
                <c:pt idx="12">
                  <c:v>0.53727384579077797</c:v>
                </c:pt>
                <c:pt idx="13">
                  <c:v>0.46457005945188684</c:v>
                </c:pt>
                <c:pt idx="14">
                  <c:v>0.36727652288109941</c:v>
                </c:pt>
                <c:pt idx="15">
                  <c:v>0.31203728560061667</c:v>
                </c:pt>
                <c:pt idx="16">
                  <c:v>0.26317583751855156</c:v>
                </c:pt>
                <c:pt idx="17">
                  <c:v>0.21454078162902918</c:v>
                </c:pt>
                <c:pt idx="18">
                  <c:v>9.9444782647406388E-2</c:v>
                </c:pt>
                <c:pt idx="19">
                  <c:v>-2.5766388819367238E-3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EC-4326-994C-8EFF681B9A8B}"/>
            </c:ext>
          </c:extLst>
        </c:ser>
        <c:ser>
          <c:idx val="2"/>
          <c:order val="5"/>
          <c:tx>
            <c:v>CO2</c:v>
          </c:tx>
          <c:marker>
            <c:symbol val="circle"/>
            <c:size val="10"/>
          </c:marker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1_25_2022'!$Z$62:$Z$81</c:f>
              <c:numCache>
                <c:formatCode>0.0%</c:formatCode>
                <c:ptCount val="20"/>
                <c:pt idx="0">
                  <c:v>3.6542103720456662E-3</c:v>
                </c:pt>
                <c:pt idx="1">
                  <c:v>1.2837029819093844E-3</c:v>
                </c:pt>
                <c:pt idx="2">
                  <c:v>2.1295112793828005E-3</c:v>
                </c:pt>
                <c:pt idx="3">
                  <c:v>1.0156012989444901E-3</c:v>
                </c:pt>
                <c:pt idx="4">
                  <c:v>2.8490980398830088E-3</c:v>
                </c:pt>
                <c:pt idx="5">
                  <c:v>2.5210115694428137E-3</c:v>
                </c:pt>
                <c:pt idx="6">
                  <c:v>2.0602894297842077E-3</c:v>
                </c:pt>
                <c:pt idx="7">
                  <c:v>4.1507712499294427E-3</c:v>
                </c:pt>
                <c:pt idx="8">
                  <c:v>8.7280015746514956E-3</c:v>
                </c:pt>
                <c:pt idx="9">
                  <c:v>1.4625293418310446E-2</c:v>
                </c:pt>
                <c:pt idx="10">
                  <c:v>2.587584288116853E-2</c:v>
                </c:pt>
                <c:pt idx="11">
                  <c:v>5.1635594527761543E-2</c:v>
                </c:pt>
                <c:pt idx="12">
                  <c:v>5.0974813148316533E-2</c:v>
                </c:pt>
                <c:pt idx="13">
                  <c:v>6.6833467251676063E-2</c:v>
                </c:pt>
                <c:pt idx="14">
                  <c:v>9.0545145538098046E-2</c:v>
                </c:pt>
                <c:pt idx="15">
                  <c:v>0.10508611966906574</c:v>
                </c:pt>
                <c:pt idx="16">
                  <c:v>0.11754851831060721</c:v>
                </c:pt>
                <c:pt idx="17">
                  <c:v>0.13227637679255022</c:v>
                </c:pt>
                <c:pt idx="18">
                  <c:v>0.16649675338066683</c:v>
                </c:pt>
                <c:pt idx="19">
                  <c:v>0.19569297298771116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EC-4326-994C-8EFF681B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3616"/>
        <c:axId val="166781696"/>
      </c:scatterChart>
      <c:valAx>
        <c:axId val="166783616"/>
        <c:scaling>
          <c:orientation val="minMax"/>
          <c:max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  <a:r>
                  <a:rPr lang="en-US" baseline="0"/>
                  <a:t> of Gas In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81696"/>
        <c:crosses val="autoZero"/>
        <c:crossBetween val="midCat"/>
      </c:valAx>
      <c:valAx>
        <c:axId val="166781696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tx1">
                  <a:lumMod val="25000"/>
                  <a:lumOff val="7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166783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44173919764949"/>
          <c:y val="5.6294821417656696E-2"/>
          <c:w val="0.28904828841645136"/>
          <c:h val="7.9253769708864358E-2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5764572623078E-2"/>
          <c:y val="3.9509682868827008E-2"/>
          <c:w val="0.80075582709288851"/>
          <c:h val="0.84285792034483131"/>
        </c:manualLayout>
      </c:layout>
      <c:scatterChart>
        <c:scatterStyle val="lineMarker"/>
        <c:varyColors val="0"/>
        <c:ser>
          <c:idx val="0"/>
          <c:order val="0"/>
          <c:tx>
            <c:v>N2</c:v>
          </c:tx>
          <c:marker>
            <c:symbol val="circle"/>
            <c:size val="10"/>
          </c:marker>
          <c:xVal>
            <c:numRef>
              <c:f>'ST900 1_25_2022'!$W$62:$W$81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3.3000000000000002E-2</c:v>
                </c:pt>
                <c:pt idx="4">
                  <c:v>3.4000000000000002E-2</c:v>
                </c:pt>
                <c:pt idx="5">
                  <c:v>3.6999999999999998E-2</c:v>
                </c:pt>
                <c:pt idx="6">
                  <c:v>3.9E-2</c:v>
                </c:pt>
                <c:pt idx="7">
                  <c:v>4.2000000000000003E-2</c:v>
                </c:pt>
                <c:pt idx="8">
                  <c:v>4.4999999999999998E-2</c:v>
                </c:pt>
                <c:pt idx="9">
                  <c:v>4.5999999999999999E-2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8.5000000000000006E-2</c:v>
                </c:pt>
                <c:pt idx="13">
                  <c:v>0.15</c:v>
                </c:pt>
                <c:pt idx="14">
                  <c:v>1.2</c:v>
                </c:pt>
                <c:pt idx="15">
                  <c:v>1.6</c:v>
                </c:pt>
                <c:pt idx="16">
                  <c:v>1.9</c:v>
                </c:pt>
                <c:pt idx="17">
                  <c:v>2.2999999999999998</c:v>
                </c:pt>
                <c:pt idx="18">
                  <c:v>3.3</c:v>
                </c:pt>
                <c:pt idx="19">
                  <c:v>10</c:v>
                </c:pt>
              </c:numCache>
            </c:numRef>
          </c:xVal>
          <c:yVal>
            <c:numRef>
              <c:f>'ST900 1_25_2022'!$X$62:$X$81</c:f>
              <c:numCache>
                <c:formatCode>0.0%</c:formatCode>
                <c:ptCount val="20"/>
                <c:pt idx="0">
                  <c:v>9.0570306709809728E-3</c:v>
                </c:pt>
                <c:pt idx="1">
                  <c:v>1.2076967131522115E-2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0.174872650804482</c:v>
                </c:pt>
                <c:pt idx="6">
                  <c:v>0.33722361068100737</c:v>
                </c:pt>
                <c:pt idx="7">
                  <c:v>0.38207295519566842</c:v>
                </c:pt>
                <c:pt idx="8">
                  <c:v>0.3713004578727972</c:v>
                </c:pt>
                <c:pt idx="9">
                  <c:v>0.36745096609499561</c:v>
                </c:pt>
                <c:pt idx="10">
                  <c:v>0.36483649717526778</c:v>
                </c:pt>
                <c:pt idx="11">
                  <c:v>0.3202910041816705</c:v>
                </c:pt>
                <c:pt idx="12">
                  <c:v>0.41175134106090566</c:v>
                </c:pt>
                <c:pt idx="13">
                  <c:v>0.46859647329643722</c:v>
                </c:pt>
                <c:pt idx="14">
                  <c:v>0.54217833158080231</c:v>
                </c:pt>
                <c:pt idx="15">
                  <c:v>0.5828765947303175</c:v>
                </c:pt>
                <c:pt idx="16">
                  <c:v>0.61927564417084113</c:v>
                </c:pt>
                <c:pt idx="17">
                  <c:v>0.65318284157842077</c:v>
                </c:pt>
                <c:pt idx="18">
                  <c:v>0.73405846397192687</c:v>
                </c:pt>
                <c:pt idx="19">
                  <c:v>0.80688366589422567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9-444E-B109-F9C14AB70610}"/>
            </c:ext>
          </c:extLst>
        </c:ser>
        <c:ser>
          <c:idx val="1"/>
          <c:order val="1"/>
          <c:tx>
            <c:v>CH4</c:v>
          </c:tx>
          <c:marker>
            <c:symbol val="circle"/>
            <c:size val="10"/>
          </c:marker>
          <c:xVal>
            <c:numRef>
              <c:f>'ST900 1_25_2022'!$W$62:$W$81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3.3000000000000002E-2</c:v>
                </c:pt>
                <c:pt idx="4">
                  <c:v>3.4000000000000002E-2</c:v>
                </c:pt>
                <c:pt idx="5">
                  <c:v>3.6999999999999998E-2</c:v>
                </c:pt>
                <c:pt idx="6">
                  <c:v>3.9E-2</c:v>
                </c:pt>
                <c:pt idx="7">
                  <c:v>4.2000000000000003E-2</c:v>
                </c:pt>
                <c:pt idx="8">
                  <c:v>4.4999999999999998E-2</c:v>
                </c:pt>
                <c:pt idx="9">
                  <c:v>4.5999999999999999E-2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8.5000000000000006E-2</c:v>
                </c:pt>
                <c:pt idx="13">
                  <c:v>0.15</c:v>
                </c:pt>
                <c:pt idx="14">
                  <c:v>1.2</c:v>
                </c:pt>
                <c:pt idx="15">
                  <c:v>1.6</c:v>
                </c:pt>
                <c:pt idx="16">
                  <c:v>1.9</c:v>
                </c:pt>
                <c:pt idx="17">
                  <c:v>2.2999999999999998</c:v>
                </c:pt>
                <c:pt idx="18">
                  <c:v>3.3</c:v>
                </c:pt>
                <c:pt idx="19">
                  <c:v>10</c:v>
                </c:pt>
              </c:numCache>
            </c:numRef>
          </c:xVal>
          <c:yVal>
            <c:numRef>
              <c:f>'ST900 1_25_2022'!$Y$62:$Y$81</c:f>
              <c:numCache>
                <c:formatCode>0.0%</c:formatCode>
                <c:ptCount val="20"/>
                <c:pt idx="0">
                  <c:v>0.98728875895697343</c:v>
                </c:pt>
                <c:pt idx="1">
                  <c:v>0.98663932988656855</c:v>
                </c:pt>
                <c:pt idx="2">
                  <c:v>0.99858925638227725</c:v>
                </c:pt>
                <c:pt idx="3">
                  <c:v>1.0069600690568459</c:v>
                </c:pt>
                <c:pt idx="4">
                  <c:v>1.0073747144477563</c:v>
                </c:pt>
                <c:pt idx="5">
                  <c:v>0.82260633762607527</c:v>
                </c:pt>
                <c:pt idx="6">
                  <c:v>0.66071609988920832</c:v>
                </c:pt>
                <c:pt idx="7">
                  <c:v>0.61377627355440223</c:v>
                </c:pt>
                <c:pt idx="8">
                  <c:v>0.61997154055255121</c:v>
                </c:pt>
                <c:pt idx="9">
                  <c:v>0.61792374048669407</c:v>
                </c:pt>
                <c:pt idx="10">
                  <c:v>0.60928765994356382</c:v>
                </c:pt>
                <c:pt idx="11">
                  <c:v>0.62807340129056788</c:v>
                </c:pt>
                <c:pt idx="12">
                  <c:v>0.53727384579077797</c:v>
                </c:pt>
                <c:pt idx="13">
                  <c:v>0.46457005945188684</c:v>
                </c:pt>
                <c:pt idx="14">
                  <c:v>0.36727652288109941</c:v>
                </c:pt>
                <c:pt idx="15">
                  <c:v>0.31203728560061667</c:v>
                </c:pt>
                <c:pt idx="16">
                  <c:v>0.26317583751855156</c:v>
                </c:pt>
                <c:pt idx="17">
                  <c:v>0.21454078162902918</c:v>
                </c:pt>
                <c:pt idx="18">
                  <c:v>9.9444782647406388E-2</c:v>
                </c:pt>
                <c:pt idx="19">
                  <c:v>-2.5766388819367238E-3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59-444E-B109-F9C14AB70610}"/>
            </c:ext>
          </c:extLst>
        </c:ser>
        <c:ser>
          <c:idx val="2"/>
          <c:order val="2"/>
          <c:tx>
            <c:v>CO2</c:v>
          </c:tx>
          <c:marker>
            <c:symbol val="circle"/>
            <c:size val="10"/>
          </c:marker>
          <c:xVal>
            <c:numRef>
              <c:f>'ST900 1_25_2022'!$W$62:$W$81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3.3000000000000002E-2</c:v>
                </c:pt>
                <c:pt idx="4">
                  <c:v>3.4000000000000002E-2</c:v>
                </c:pt>
                <c:pt idx="5">
                  <c:v>3.6999999999999998E-2</c:v>
                </c:pt>
                <c:pt idx="6">
                  <c:v>3.9E-2</c:v>
                </c:pt>
                <c:pt idx="7">
                  <c:v>4.2000000000000003E-2</c:v>
                </c:pt>
                <c:pt idx="8">
                  <c:v>4.4999999999999998E-2</c:v>
                </c:pt>
                <c:pt idx="9">
                  <c:v>4.5999999999999999E-2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8.5000000000000006E-2</c:v>
                </c:pt>
                <c:pt idx="13">
                  <c:v>0.15</c:v>
                </c:pt>
                <c:pt idx="14">
                  <c:v>1.2</c:v>
                </c:pt>
                <c:pt idx="15">
                  <c:v>1.6</c:v>
                </c:pt>
                <c:pt idx="16">
                  <c:v>1.9</c:v>
                </c:pt>
                <c:pt idx="17">
                  <c:v>2.2999999999999998</c:v>
                </c:pt>
                <c:pt idx="18">
                  <c:v>3.3</c:v>
                </c:pt>
                <c:pt idx="19">
                  <c:v>10</c:v>
                </c:pt>
              </c:numCache>
            </c:numRef>
          </c:xVal>
          <c:yVal>
            <c:numRef>
              <c:f>'ST900 1_25_2022'!$Z$62:$Z$81</c:f>
              <c:numCache>
                <c:formatCode>0.0%</c:formatCode>
                <c:ptCount val="20"/>
                <c:pt idx="0">
                  <c:v>3.6542103720456662E-3</c:v>
                </c:pt>
                <c:pt idx="1">
                  <c:v>1.2837029819093844E-3</c:v>
                </c:pt>
                <c:pt idx="2">
                  <c:v>2.1295112793828005E-3</c:v>
                </c:pt>
                <c:pt idx="3">
                  <c:v>1.0156012989444901E-3</c:v>
                </c:pt>
                <c:pt idx="4">
                  <c:v>2.8490980398830088E-3</c:v>
                </c:pt>
                <c:pt idx="5">
                  <c:v>2.5210115694428137E-3</c:v>
                </c:pt>
                <c:pt idx="6">
                  <c:v>2.0602894297842077E-3</c:v>
                </c:pt>
                <c:pt idx="7">
                  <c:v>4.1507712499294427E-3</c:v>
                </c:pt>
                <c:pt idx="8">
                  <c:v>8.7280015746514956E-3</c:v>
                </c:pt>
                <c:pt idx="9">
                  <c:v>1.4625293418310446E-2</c:v>
                </c:pt>
                <c:pt idx="10">
                  <c:v>2.587584288116853E-2</c:v>
                </c:pt>
                <c:pt idx="11">
                  <c:v>5.1635594527761543E-2</c:v>
                </c:pt>
                <c:pt idx="12">
                  <c:v>5.0974813148316533E-2</c:v>
                </c:pt>
                <c:pt idx="13">
                  <c:v>6.6833467251676063E-2</c:v>
                </c:pt>
                <c:pt idx="14">
                  <c:v>9.0545145538098046E-2</c:v>
                </c:pt>
                <c:pt idx="15">
                  <c:v>0.10508611966906574</c:v>
                </c:pt>
                <c:pt idx="16">
                  <c:v>0.11754851831060721</c:v>
                </c:pt>
                <c:pt idx="17">
                  <c:v>0.13227637679255022</c:v>
                </c:pt>
                <c:pt idx="18">
                  <c:v>0.16649675338066683</c:v>
                </c:pt>
                <c:pt idx="19">
                  <c:v>0.19569297298771116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59-444E-B109-F9C14AB7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3616"/>
        <c:axId val="166781696"/>
      </c:scatterChart>
      <c:valAx>
        <c:axId val="166783616"/>
        <c:scaling>
          <c:orientation val="minMax"/>
          <c:max val="0.7500000000000001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  <a:r>
                  <a:rPr lang="en-US" baseline="0"/>
                  <a:t> of Gas out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81696"/>
        <c:crosses val="autoZero"/>
        <c:crossBetween val="midCat"/>
      </c:valAx>
      <c:valAx>
        <c:axId val="16678169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lumMod val="25000"/>
                  <a:lumOff val="7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166783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44173919764949"/>
          <c:y val="5.6294821417656696E-2"/>
          <c:w val="0.28904828841645136"/>
          <c:h val="7.9253769708864358E-2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'ST500 8-19-21'!$I$4:$I$15</c:f>
              <c:numCache>
                <c:formatCode>General</c:formatCode>
                <c:ptCount val="12"/>
                <c:pt idx="0">
                  <c:v>2984</c:v>
                </c:pt>
                <c:pt idx="1">
                  <c:v>3507</c:v>
                </c:pt>
                <c:pt idx="2">
                  <c:v>3052.2</c:v>
                </c:pt>
                <c:pt idx="3">
                  <c:v>2992.7</c:v>
                </c:pt>
                <c:pt idx="4">
                  <c:v>169.5</c:v>
                </c:pt>
                <c:pt idx="5">
                  <c:v>186.6</c:v>
                </c:pt>
                <c:pt idx="6">
                  <c:v>186.3</c:v>
                </c:pt>
                <c:pt idx="7">
                  <c:v>183</c:v>
                </c:pt>
                <c:pt idx="8">
                  <c:v>12615.5</c:v>
                </c:pt>
                <c:pt idx="9">
                  <c:v>12638.7</c:v>
                </c:pt>
                <c:pt idx="11">
                  <c:v>15590</c:v>
                </c:pt>
              </c:numCache>
            </c:numRef>
          </c:xVal>
          <c:yVal>
            <c:numRef>
              <c:f>'ST500 8-19-21'!$Q$4:$Q$15</c:f>
              <c:numCache>
                <c:formatCode>General</c:formatCode>
                <c:ptCount val="12"/>
                <c:pt idx="0">
                  <c:v>2.6259038832141052E-5</c:v>
                </c:pt>
                <c:pt idx="1">
                  <c:v>2.6295560443868653E-5</c:v>
                </c:pt>
                <c:pt idx="2">
                  <c:v>2.6259038832141052E-5</c:v>
                </c:pt>
                <c:pt idx="3">
                  <c:v>2.7704225339138355E-5</c:v>
                </c:pt>
                <c:pt idx="4">
                  <c:v>1.5095063515368249E-6</c:v>
                </c:pt>
                <c:pt idx="5">
                  <c:v>1.5095063515368249E-6</c:v>
                </c:pt>
                <c:pt idx="6">
                  <c:v>1.5095063515368249E-6</c:v>
                </c:pt>
                <c:pt idx="7">
                  <c:v>1.5095063515368249E-6</c:v>
                </c:pt>
                <c:pt idx="8" formatCode="0.000000E+00">
                  <c:v>1.1600241747320796E-4</c:v>
                </c:pt>
                <c:pt idx="9" formatCode="0.000000E+00">
                  <c:v>1.1600241747320796E-4</c:v>
                </c:pt>
                <c:pt idx="11" formatCode="0.000E+00">
                  <c:v>1.450211494851956E-4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'ST500 8-19-21'!$I$16</c:f>
              <c:numCache>
                <c:formatCode>General</c:formatCode>
                <c:ptCount val="1"/>
                <c:pt idx="0">
                  <c:v>12144</c:v>
                </c:pt>
              </c:numCache>
            </c:numRef>
          </c:xVal>
          <c:yVal>
            <c:numRef>
              <c:f>'ST500 8-19-21'!$V$16</c:f>
              <c:numCache>
                <c:formatCode>0.0E+00</c:formatCode>
                <c:ptCount val="1"/>
                <c:pt idx="0">
                  <c:v>1.1165331847617911E-4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C-4B3C-AF8A-72813F27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91520"/>
        <c:axId val="189294080"/>
      </c:scatterChart>
      <c:valAx>
        <c:axId val="189291520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294080"/>
        <c:crosses val="autoZero"/>
        <c:crossBetween val="midCat"/>
      </c:valAx>
      <c:valAx>
        <c:axId val="18929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2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'ST500 8-19-21'!$J$4:$J$15</c:f>
              <c:numCache>
                <c:formatCode>General</c:formatCode>
                <c:ptCount val="12"/>
                <c:pt idx="0">
                  <c:v>10353.4</c:v>
                </c:pt>
                <c:pt idx="1">
                  <c:v>12134</c:v>
                </c:pt>
                <c:pt idx="2">
                  <c:v>10573.7</c:v>
                </c:pt>
                <c:pt idx="3">
                  <c:v>10337.700000000001</c:v>
                </c:pt>
                <c:pt idx="4">
                  <c:v>2470.5</c:v>
                </c:pt>
                <c:pt idx="5">
                  <c:v>2684.2</c:v>
                </c:pt>
                <c:pt idx="6">
                  <c:v>2684.3</c:v>
                </c:pt>
                <c:pt idx="7">
                  <c:v>2614</c:v>
                </c:pt>
                <c:pt idx="8">
                  <c:v>131.6</c:v>
                </c:pt>
                <c:pt idx="9">
                  <c:v>132.19999999999999</c:v>
                </c:pt>
                <c:pt idx="11">
                  <c:v>0.01</c:v>
                </c:pt>
              </c:numCache>
            </c:numRef>
          </c:xVal>
          <c:yVal>
            <c:numRef>
              <c:f>'ST500 8-19-21'!$S$4:$S$15</c:f>
              <c:numCache>
                <c:formatCode>General</c:formatCode>
                <c:ptCount val="12"/>
                <c:pt idx="0">
                  <c:v>1.1671326230510241E-4</c:v>
                </c:pt>
                <c:pt idx="1">
                  <c:v>1.1687558951275904E-4</c:v>
                </c:pt>
                <c:pt idx="2">
                  <c:v>1.1671326230510241E-4</c:v>
                </c:pt>
                <c:pt idx="3">
                  <c:v>1.1382288929110779E-4</c:v>
                </c:pt>
                <c:pt idx="4">
                  <c:v>2.8982521949507037E-5</c:v>
                </c:pt>
                <c:pt idx="5">
                  <c:v>2.8461531208736938E-5</c:v>
                </c:pt>
                <c:pt idx="6">
                  <c:v>2.8461531208736938E-5</c:v>
                </c:pt>
                <c:pt idx="7">
                  <c:v>2.8461531208736938E-5</c:v>
                </c:pt>
                <c:pt idx="8">
                  <c:v>1.4647136098004756E-6</c:v>
                </c:pt>
                <c:pt idx="9">
                  <c:v>1.4789242754534254E-6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4768"/>
        <c:axId val="189346944"/>
      </c:scatterChart>
      <c:valAx>
        <c:axId val="189344768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346944"/>
        <c:crosses val="autoZero"/>
        <c:crossBetween val="midCat"/>
      </c:valAx>
      <c:valAx>
        <c:axId val="18934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3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'ST500 8-19-21'!$K$4:$K$16</c:f>
              <c:numCache>
                <c:formatCode>General</c:formatCode>
                <c:ptCount val="13"/>
                <c:pt idx="0">
                  <c:v>197.7</c:v>
                </c:pt>
                <c:pt idx="1">
                  <c:v>222.3</c:v>
                </c:pt>
                <c:pt idx="2">
                  <c:v>193.9</c:v>
                </c:pt>
                <c:pt idx="3">
                  <c:v>195.7</c:v>
                </c:pt>
                <c:pt idx="4">
                  <c:v>14804.6</c:v>
                </c:pt>
                <c:pt idx="5">
                  <c:v>16061.3</c:v>
                </c:pt>
                <c:pt idx="6">
                  <c:v>16075</c:v>
                </c:pt>
                <c:pt idx="7">
                  <c:v>15613</c:v>
                </c:pt>
                <c:pt idx="8">
                  <c:v>3601.2</c:v>
                </c:pt>
                <c:pt idx="9">
                  <c:v>3598.9</c:v>
                </c:pt>
                <c:pt idx="11">
                  <c:v>1.1000000000000001</c:v>
                </c:pt>
                <c:pt idx="12">
                  <c:v>17.399999999999999</c:v>
                </c:pt>
              </c:numCache>
            </c:numRef>
          </c:xVal>
          <c:yVal>
            <c:numRef>
              <c:f>'ST500 8-19-21'!$T$4:$T$16</c:f>
              <c:numCache>
                <c:formatCode>General</c:formatCode>
                <c:ptCount val="13"/>
                <c:pt idx="0">
                  <c:v>1.5463495624871176E-6</c:v>
                </c:pt>
                <c:pt idx="1">
                  <c:v>1.548500257288908E-6</c:v>
                </c:pt>
                <c:pt idx="2">
                  <c:v>1.5463495624871176E-6</c:v>
                </c:pt>
                <c:pt idx="3">
                  <c:v>2.9915360694844232E-6</c:v>
                </c:pt>
                <c:pt idx="4">
                  <c:v>1.2045860685263861E-4</c:v>
                </c:pt>
                <c:pt idx="5">
                  <c:v>1.1829323908631288E-4</c:v>
                </c:pt>
                <c:pt idx="6">
                  <c:v>1.1829323908631288E-4</c:v>
                </c:pt>
                <c:pt idx="7">
                  <c:v>1.1829323908631288E-4</c:v>
                </c:pt>
                <c:pt idx="8">
                  <c:v>2.7554018402187164E-5</c:v>
                </c:pt>
                <c:pt idx="9">
                  <c:v>2.7821347756054537E-5</c:v>
                </c:pt>
                <c:pt idx="11">
                  <c:v>0</c:v>
                </c:pt>
                <c:pt idx="12">
                  <c:v>6.0908882783782153E-8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81248"/>
        <c:axId val="189383424"/>
      </c:scatterChart>
      <c:valAx>
        <c:axId val="189381248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383424"/>
        <c:crosses val="autoZero"/>
        <c:crossBetween val="midCat"/>
      </c:valAx>
      <c:valAx>
        <c:axId val="18938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3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10</xdr:row>
      <xdr:rowOff>23811</xdr:rowOff>
    </xdr:from>
    <xdr:to>
      <xdr:col>5</xdr:col>
      <xdr:colOff>773206</xdr:colOff>
      <xdr:row>38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10</xdr:row>
      <xdr:rowOff>22412</xdr:rowOff>
    </xdr:from>
    <xdr:to>
      <xdr:col>14</xdr:col>
      <xdr:colOff>78569</xdr:colOff>
      <xdr:row>38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113102</xdr:colOff>
      <xdr:row>10</xdr:row>
      <xdr:rowOff>22412</xdr:rowOff>
    </xdr:from>
    <xdr:to>
      <xdr:col>23</xdr:col>
      <xdr:colOff>333936</xdr:colOff>
      <xdr:row>38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485589</xdr:colOff>
      <xdr:row>53</xdr:row>
      <xdr:rowOff>160618</xdr:rowOff>
    </xdr:from>
    <xdr:to>
      <xdr:col>42</xdr:col>
      <xdr:colOff>451971</xdr:colOff>
      <xdr:row>79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627529</xdr:colOff>
      <xdr:row>78</xdr:row>
      <xdr:rowOff>131856</xdr:rowOff>
    </xdr:from>
    <xdr:to>
      <xdr:col>43</xdr:col>
      <xdr:colOff>141942</xdr:colOff>
      <xdr:row>110</xdr:row>
      <xdr:rowOff>7470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366059</xdr:colOff>
      <xdr:row>62</xdr:row>
      <xdr:rowOff>74708</xdr:rowOff>
    </xdr:from>
    <xdr:to>
      <xdr:col>42</xdr:col>
      <xdr:colOff>526676</xdr:colOff>
      <xdr:row>93</xdr:row>
      <xdr:rowOff>137087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9DF242-3A4E-4C68-AB27-1C9AD9F56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10</xdr:row>
      <xdr:rowOff>71435</xdr:rowOff>
    </xdr:from>
    <xdr:to>
      <xdr:col>10</xdr:col>
      <xdr:colOff>1219200</xdr:colOff>
      <xdr:row>53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20</xdr:row>
      <xdr:rowOff>23811</xdr:rowOff>
    </xdr:from>
    <xdr:to>
      <xdr:col>5</xdr:col>
      <xdr:colOff>773206</xdr:colOff>
      <xdr:row>48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20</xdr:row>
      <xdr:rowOff>22412</xdr:rowOff>
    </xdr:from>
    <xdr:to>
      <xdr:col>14</xdr:col>
      <xdr:colOff>78569</xdr:colOff>
      <xdr:row>48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101897</xdr:colOff>
      <xdr:row>20</xdr:row>
      <xdr:rowOff>22413</xdr:rowOff>
    </xdr:from>
    <xdr:to>
      <xdr:col>23</xdr:col>
      <xdr:colOff>322731</xdr:colOff>
      <xdr:row>48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414617</xdr:colOff>
      <xdr:row>84</xdr:row>
      <xdr:rowOff>179295</xdr:rowOff>
    </xdr:from>
    <xdr:to>
      <xdr:col>41</xdr:col>
      <xdr:colOff>478118</xdr:colOff>
      <xdr:row>112</xdr:row>
      <xdr:rowOff>41088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9</xdr:row>
      <xdr:rowOff>71435</xdr:rowOff>
    </xdr:from>
    <xdr:to>
      <xdr:col>11</xdr:col>
      <xdr:colOff>1219200</xdr:colOff>
      <xdr:row>52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2"/>
  <sheetViews>
    <sheetView tabSelected="1" topLeftCell="K41" zoomScale="85" zoomScaleNormal="85" workbookViewId="0">
      <selection activeCell="AA67" sqref="AA67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11.5703125" style="7" customWidth="1"/>
    <col min="9" max="9" width="7.85546875" style="7" customWidth="1"/>
    <col min="10" max="10" width="18.7109375" style="7" bestFit="1" customWidth="1"/>
    <col min="11" max="11" width="19.7109375" style="7" bestFit="1" customWidth="1"/>
    <col min="12" max="12" width="18.140625" style="7" customWidth="1"/>
    <col min="13" max="13" width="3.85546875" style="7" customWidth="1"/>
    <col min="14" max="14" width="4.140625" style="7" customWidth="1"/>
    <col min="15" max="15" width="14" style="7" customWidth="1"/>
    <col min="16" max="16" width="4.42578125" style="7" customWidth="1"/>
    <col min="17" max="17" width="14.140625" style="7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6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  <c r="AA3" s="7" t="s">
        <v>8</v>
      </c>
      <c r="AB3" s="7" t="s">
        <v>105</v>
      </c>
      <c r="AC3" s="7" t="s">
        <v>106</v>
      </c>
    </row>
    <row r="4" spans="1:29" x14ac:dyDescent="0.25">
      <c r="A4" s="70">
        <v>1</v>
      </c>
      <c r="B4" s="51">
        <v>2</v>
      </c>
      <c r="C4" s="52" t="s">
        <v>67</v>
      </c>
      <c r="D4" s="51">
        <v>0.25</v>
      </c>
      <c r="E4" s="52">
        <v>0.02</v>
      </c>
      <c r="F4" s="52">
        <v>14.73</v>
      </c>
      <c r="G4" s="53">
        <f t="shared" si="0"/>
        <v>1.4783514268379953E-4</v>
      </c>
      <c r="H4" s="51"/>
      <c r="I4" s="52">
        <v>3291.6</v>
      </c>
      <c r="J4" s="54">
        <v>9616.2999999999993</v>
      </c>
      <c r="K4" s="55">
        <v>200.5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G4*(M4/100)</f>
        <v>2.6861645425646379E-5</v>
      </c>
      <c r="R4" s="51"/>
      <c r="S4" s="51">
        <f>G4*(N4/100)</f>
        <v>1.1939166123143649E-4</v>
      </c>
      <c r="T4" s="51">
        <f>G4*(O4/100)</f>
        <v>1.5818360267166552E-6</v>
      </c>
      <c r="U4" s="63"/>
      <c r="V4" s="18">
        <f>I4*$D$54+($E$54)</f>
        <v>2.969872571917582E-5</v>
      </c>
      <c r="W4" s="18">
        <f>J4*$D$55+($E$55)</f>
        <v>1.1904254750298197E-4</v>
      </c>
      <c r="X4" s="18">
        <f>K4*$D$56+($E$56)</f>
        <v>1.6818550172702862E-6</v>
      </c>
      <c r="Y4" s="18">
        <f>SUM(V4:X4)</f>
        <v>1.5042312823942809E-4</v>
      </c>
      <c r="AA4" s="71">
        <f>V4/Y4</f>
        <v>0.19743457051301605</v>
      </c>
      <c r="AB4" s="71">
        <f>W4/Y4</f>
        <v>0.79138460219695916</v>
      </c>
      <c r="AC4" s="71">
        <f>X4/Y4</f>
        <v>1.1180827290024724E-2</v>
      </c>
    </row>
    <row r="5" spans="1:29" x14ac:dyDescent="0.25">
      <c r="A5" s="70">
        <v>1</v>
      </c>
      <c r="B5" s="57">
        <v>4</v>
      </c>
      <c r="C5" s="58" t="s">
        <v>50</v>
      </c>
      <c r="D5" s="57">
        <v>0.25</v>
      </c>
      <c r="E5" s="58">
        <v>0.02</v>
      </c>
      <c r="F5" s="58">
        <v>14.77</v>
      </c>
      <c r="G5" s="59">
        <f t="shared" si="0"/>
        <v>1.4823714171217155E-4</v>
      </c>
      <c r="H5" s="57"/>
      <c r="I5" s="58">
        <v>203.4</v>
      </c>
      <c r="J5" s="60">
        <v>2482.6999999999998</v>
      </c>
      <c r="K5" s="61">
        <v>14874</v>
      </c>
      <c r="L5" s="57"/>
      <c r="M5" s="62">
        <v>1</v>
      </c>
      <c r="N5" s="62">
        <v>19.2</v>
      </c>
      <c r="O5" s="57">
        <f>100-(N5+M5)</f>
        <v>79.8</v>
      </c>
      <c r="P5" s="57"/>
      <c r="Q5" s="57">
        <f>G5*(M5/100)</f>
        <v>1.4823714171217156E-6</v>
      </c>
      <c r="R5" s="57"/>
      <c r="S5" s="57">
        <f>G5*(N5/100)</f>
        <v>2.8461531208736938E-5</v>
      </c>
      <c r="T5" s="57">
        <f>G5*(O5/100)</f>
        <v>1.1829323908631288E-4</v>
      </c>
      <c r="U5" s="63"/>
      <c r="V5" s="18">
        <f>I5*$D$54+($E$54)</f>
        <v>-6.1811033401606235E-7</v>
      </c>
      <c r="W5" s="18">
        <f>J5*$D$54+($E$54)</f>
        <v>2.1757760534464042E-5</v>
      </c>
      <c r="X5" s="18">
        <f>K5*$D$54+($E$54)</f>
        <v>1.4340305895617139E-4</v>
      </c>
      <c r="Y5" s="18">
        <f>SUM(V5:X5)</f>
        <v>1.6454270915661936E-4</v>
      </c>
      <c r="AA5" s="71">
        <f>V5/Y5</f>
        <v>-3.7565343197778298E-3</v>
      </c>
      <c r="AB5" s="71">
        <f t="shared" ref="AB5:AB6" si="1">W5/Y5</f>
        <v>0.13223169015501016</v>
      </c>
      <c r="AC5" s="71">
        <f t="shared" ref="AC5:AC6" si="2">X5/Y5</f>
        <v>0.87152484416476772</v>
      </c>
    </row>
    <row r="6" spans="1:29" x14ac:dyDescent="0.25">
      <c r="A6" s="70">
        <v>1</v>
      </c>
      <c r="B6" s="64">
        <v>3</v>
      </c>
      <c r="C6" s="65" t="s">
        <v>65</v>
      </c>
      <c r="D6" s="64">
        <v>0.25</v>
      </c>
      <c r="E6" s="65">
        <v>0.02</v>
      </c>
      <c r="F6" s="65">
        <v>14.56</v>
      </c>
      <c r="G6" s="66">
        <f t="shared" si="0"/>
        <v>1.4612664681321858E-4</v>
      </c>
      <c r="H6" s="64"/>
      <c r="I6" s="65">
        <v>12097.9</v>
      </c>
      <c r="J6" s="67">
        <v>126.9</v>
      </c>
      <c r="K6" s="68">
        <v>3465.5</v>
      </c>
      <c r="L6" s="64"/>
      <c r="M6" s="69">
        <f>100-(N6+O6)</f>
        <v>79.989999999999995</v>
      </c>
      <c r="N6" s="69">
        <v>1.01</v>
      </c>
      <c r="O6" s="64">
        <v>19</v>
      </c>
      <c r="P6" s="64"/>
      <c r="Q6" s="97">
        <f>$G$6*(M6/100)</f>
        <v>1.1688670478589352E-4</v>
      </c>
      <c r="R6" s="64"/>
      <c r="S6" s="64">
        <f>$G$6*(N6/100)</f>
        <v>1.4758791328135076E-6</v>
      </c>
      <c r="T6" s="64">
        <f>$G$6*(O6/100)</f>
        <v>2.7764062894511529E-5</v>
      </c>
      <c r="U6" s="63"/>
      <c r="V6" s="18">
        <f>I6*$D$54+($E$54)</f>
        <v>1.1615010624350186E-4</v>
      </c>
      <c r="W6" s="18">
        <f t="shared" ref="W6" si="3">J6*$D$54+($E$54)</f>
        <v>-1.3691102556756631E-6</v>
      </c>
      <c r="X6" s="18">
        <f t="shared" ref="X6" si="4">K6*$D$54+($E$54)</f>
        <v>3.1405900704490913E-5</v>
      </c>
      <c r="Y6" s="18">
        <f t="shared" ref="Y6" si="5">SUM(V6:X6)</f>
        <v>1.461868966923171E-4</v>
      </c>
      <c r="AA6" s="71">
        <f t="shared" ref="AA6" si="6">V6/Y6</f>
        <v>0.79453158163666093</v>
      </c>
      <c r="AB6" s="71">
        <f t="shared" si="1"/>
        <v>-9.3654786212286917E-3</v>
      </c>
      <c r="AC6" s="71">
        <f t="shared" si="2"/>
        <v>0.21483389698456784</v>
      </c>
    </row>
    <row r="7" spans="1:29" x14ac:dyDescent="0.25">
      <c r="K7" s="86"/>
      <c r="L7" s="86"/>
      <c r="U7" s="63"/>
      <c r="V7" s="18"/>
      <c r="W7" s="18"/>
      <c r="X7" s="18"/>
      <c r="Y7" s="18"/>
      <c r="AA7" s="71"/>
      <c r="AB7" s="71"/>
      <c r="AC7" s="71"/>
    </row>
    <row r="8" spans="1:29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63"/>
      <c r="V8" s="18"/>
      <c r="W8" s="18"/>
      <c r="X8" s="18"/>
      <c r="Y8" s="18"/>
      <c r="AA8" s="71"/>
      <c r="AB8" s="71"/>
      <c r="AC8" s="71"/>
    </row>
    <row r="9" spans="1:29" x14ac:dyDescent="0.25">
      <c r="K9" s="86"/>
      <c r="L9" s="86"/>
      <c r="U9" s="63"/>
      <c r="V9" s="18"/>
      <c r="W9" s="18"/>
      <c r="X9" s="18"/>
      <c r="Y9" s="18"/>
      <c r="AA9" s="71"/>
      <c r="AB9" s="71"/>
      <c r="AC9" s="71"/>
    </row>
    <row r="10" spans="1:29" x14ac:dyDescent="0.25">
      <c r="K10" s="86"/>
      <c r="L10" s="86"/>
      <c r="U10" s="63"/>
      <c r="V10" s="18"/>
      <c r="W10" s="18"/>
      <c r="X10" s="18"/>
      <c r="Y10" s="18"/>
      <c r="AA10" s="71"/>
      <c r="AB10" s="71"/>
      <c r="AC10" s="71"/>
    </row>
    <row r="11" spans="1:29" x14ac:dyDescent="0.25">
      <c r="K11" s="86"/>
      <c r="L11" s="86"/>
      <c r="U11" s="63"/>
      <c r="V11" s="18"/>
      <c r="W11" s="18"/>
      <c r="X11" s="18"/>
      <c r="Y11" s="18"/>
      <c r="AA11" s="71"/>
      <c r="AB11" s="71"/>
      <c r="AC11" s="71"/>
    </row>
    <row r="12" spans="1:29" x14ac:dyDescent="0.25">
      <c r="K12" s="86"/>
      <c r="L12" s="86"/>
      <c r="U12" s="63"/>
      <c r="V12" s="18"/>
      <c r="W12" s="18"/>
      <c r="X12" s="18"/>
      <c r="Y12" s="18"/>
      <c r="AA12" s="71"/>
      <c r="AB12" s="71"/>
      <c r="AC12" s="71"/>
    </row>
    <row r="13" spans="1:29" x14ac:dyDescent="0.25">
      <c r="K13" s="86"/>
      <c r="L13" s="86"/>
      <c r="U13" s="63"/>
      <c r="V13" s="18"/>
      <c r="W13" s="18"/>
      <c r="X13" s="18"/>
      <c r="Y13" s="18"/>
      <c r="AA13" s="71"/>
      <c r="AB13" s="71"/>
      <c r="AC13" s="71"/>
    </row>
    <row r="14" spans="1:29" x14ac:dyDescent="0.25">
      <c r="K14" s="86"/>
      <c r="L14" s="86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K15" s="86"/>
      <c r="L15" s="86"/>
      <c r="U15" s="63"/>
      <c r="V15" s="18"/>
      <c r="W15" s="18"/>
      <c r="X15" s="18"/>
      <c r="Y15" s="18"/>
      <c r="AA15" s="71"/>
      <c r="AB15" s="71"/>
      <c r="AC15" s="71"/>
    </row>
    <row r="16" spans="1:29" x14ac:dyDescent="0.25">
      <c r="K16" s="86"/>
      <c r="L16" s="86"/>
      <c r="U16" s="63"/>
      <c r="V16" s="18"/>
      <c r="W16" s="18"/>
      <c r="X16" s="18"/>
      <c r="Y16" s="18"/>
      <c r="AA16" s="71"/>
      <c r="AB16" s="71"/>
      <c r="AC16" s="71"/>
    </row>
    <row r="17" spans="1:29" x14ac:dyDescent="0.25">
      <c r="K17" s="86"/>
      <c r="L17" s="86"/>
      <c r="U17" s="63"/>
      <c r="V17" s="18"/>
      <c r="W17" s="18"/>
      <c r="X17" s="18"/>
      <c r="Y17" s="13"/>
      <c r="AA17" s="71"/>
      <c r="AB17" s="71"/>
      <c r="AC17" s="71"/>
    </row>
    <row r="18" spans="1:29" x14ac:dyDescent="0.25">
      <c r="K18" s="86"/>
      <c r="L18" s="86"/>
      <c r="U18" s="63"/>
    </row>
    <row r="19" spans="1:29" s="16" customForma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86"/>
      <c r="L19" s="86"/>
      <c r="M19" s="7"/>
      <c r="N19" s="7"/>
      <c r="O19" s="7"/>
      <c r="P19" s="7"/>
      <c r="Q19" s="7"/>
      <c r="R19" s="7"/>
      <c r="S19" s="7"/>
      <c r="T19" s="7"/>
      <c r="U19" s="105"/>
    </row>
    <row r="20" spans="1:29" x14ac:dyDescent="0.25">
      <c r="K20" s="86"/>
      <c r="L20" s="86"/>
    </row>
    <row r="21" spans="1:29" x14ac:dyDescent="0.25">
      <c r="K21" s="86"/>
      <c r="L21" s="86"/>
    </row>
    <row r="22" spans="1:29" x14ac:dyDescent="0.25">
      <c r="K22" s="86"/>
      <c r="L22" s="86"/>
    </row>
    <row r="23" spans="1:29" x14ac:dyDescent="0.25">
      <c r="K23" s="86"/>
      <c r="L23" s="86"/>
    </row>
    <row r="24" spans="1:29" x14ac:dyDescent="0.25">
      <c r="K24" s="86"/>
      <c r="L24" s="86"/>
    </row>
    <row r="25" spans="1:29" x14ac:dyDescent="0.25">
      <c r="K25" s="86"/>
      <c r="L25" s="86"/>
    </row>
    <row r="26" spans="1:29" x14ac:dyDescent="0.25">
      <c r="K26" s="86"/>
      <c r="L26" s="86"/>
    </row>
    <row r="27" spans="1:29" x14ac:dyDescent="0.25">
      <c r="K27" s="86"/>
      <c r="L27" s="86"/>
    </row>
    <row r="28" spans="1:29" x14ac:dyDescent="0.25">
      <c r="K28" s="86"/>
      <c r="L28" s="86"/>
    </row>
    <row r="29" spans="1:29" x14ac:dyDescent="0.25">
      <c r="K29" s="86"/>
      <c r="L29" s="86"/>
    </row>
    <row r="53" spans="1:28" x14ac:dyDescent="0.25">
      <c r="D53" s="7" t="s">
        <v>22</v>
      </c>
      <c r="E53" s="7" t="s">
        <v>23</v>
      </c>
    </row>
    <row r="54" spans="1:28" ht="16.5" x14ac:dyDescent="0.3">
      <c r="C54" s="7" t="s">
        <v>51</v>
      </c>
      <c r="D54" s="13">
        <f>SLOPE(Q4:Q6,I4:I6)</f>
        <v>9.8169924399947819E-9</v>
      </c>
      <c r="E54" s="18">
        <f>INTERCEPT(Q4:Q6,I4:I6)</f>
        <v>-2.6148865963110011E-6</v>
      </c>
      <c r="G54" s="13">
        <f>I5*D54+E54</f>
        <v>-6.1811033401606235E-7</v>
      </c>
      <c r="H54" s="71">
        <f>G54/G58</f>
        <v>-4.1885467436056211E-3</v>
      </c>
    </row>
    <row r="55" spans="1:28" ht="16.5" x14ac:dyDescent="0.3">
      <c r="C55" s="7" t="s">
        <v>52</v>
      </c>
      <c r="D55" s="13">
        <f>SLOPE(S4:S6,J4:J6)</f>
        <v>1.2500666001080371E-8</v>
      </c>
      <c r="E55" s="18">
        <f>INTERCEPT(S4:S6,J4:J6)</f>
        <v>-1.1676069632071906E-6</v>
      </c>
      <c r="G55" s="13">
        <f>J5*D55+E55</f>
        <v>2.9867796517675043E-5</v>
      </c>
      <c r="H55" s="71">
        <f>G55/G58</f>
        <v>0.20239535720095589</v>
      </c>
    </row>
    <row r="56" spans="1:28" ht="16.5" x14ac:dyDescent="0.3">
      <c r="C56" s="7" t="s">
        <v>53</v>
      </c>
      <c r="D56" s="13">
        <f>SLOPE(T4:T6,K4:K6)</f>
        <v>7.9490243306703583E-9</v>
      </c>
      <c r="E56" s="18">
        <f>INTERCEPT(T4:T6,K4:K6)</f>
        <v>8.8075638970879313E-8</v>
      </c>
      <c r="G56" s="13">
        <f>K5*D56+E56</f>
        <v>1.183218635333618E-4</v>
      </c>
      <c r="H56" s="71">
        <f>G56/G58</f>
        <v>0.80179318954264966</v>
      </c>
    </row>
    <row r="58" spans="1:28" x14ac:dyDescent="0.25">
      <c r="G58" s="13">
        <f>SUM(G54:G56)</f>
        <v>1.4757154971702078E-4</v>
      </c>
    </row>
    <row r="59" spans="1:28" x14ac:dyDescent="0.25">
      <c r="I59" s="7" t="s">
        <v>133</v>
      </c>
      <c r="J59" s="7">
        <v>0.8</v>
      </c>
      <c r="K59" s="7" t="s">
        <v>134</v>
      </c>
    </row>
    <row r="61" spans="1:28" ht="16.5" x14ac:dyDescent="0.25">
      <c r="A61" s="7" t="s">
        <v>130</v>
      </c>
      <c r="B61" s="7" t="s">
        <v>131</v>
      </c>
      <c r="C61" s="9" t="s">
        <v>35</v>
      </c>
      <c r="D61" s="9" t="s">
        <v>36</v>
      </c>
      <c r="E61" s="9" t="s">
        <v>37</v>
      </c>
      <c r="F61" s="9" t="s">
        <v>68</v>
      </c>
      <c r="G61" s="9" t="s">
        <v>38</v>
      </c>
      <c r="H61" s="93" t="s">
        <v>39</v>
      </c>
      <c r="I61" s="9"/>
      <c r="J61" s="10" t="s">
        <v>127</v>
      </c>
      <c r="K61" s="9" t="s">
        <v>128</v>
      </c>
      <c r="L61" s="11" t="s">
        <v>129</v>
      </c>
      <c r="N61" s="87"/>
      <c r="O61" s="11" t="s">
        <v>135</v>
      </c>
      <c r="P61" s="87"/>
      <c r="Q61" s="7" t="s">
        <v>131</v>
      </c>
      <c r="R61" s="9" t="s">
        <v>46</v>
      </c>
      <c r="S61" s="9" t="s">
        <v>47</v>
      </c>
      <c r="T61" s="9" t="s">
        <v>48</v>
      </c>
      <c r="U61" s="9" t="s">
        <v>74</v>
      </c>
      <c r="V61" s="7" t="s">
        <v>136</v>
      </c>
      <c r="W61" s="7" t="s">
        <v>137</v>
      </c>
      <c r="X61" s="9" t="s">
        <v>71</v>
      </c>
      <c r="Y61" s="9" t="s">
        <v>72</v>
      </c>
      <c r="Z61" s="9" t="s">
        <v>73</v>
      </c>
      <c r="AA61" s="122" t="s">
        <v>131</v>
      </c>
      <c r="AB61" s="106" t="s">
        <v>100</v>
      </c>
    </row>
    <row r="62" spans="1:28" x14ac:dyDescent="0.25">
      <c r="A62" s="114">
        <v>0.61458333333333337</v>
      </c>
      <c r="B62" s="85">
        <f>(A62-$A$62)*24</f>
        <v>0</v>
      </c>
      <c r="C62" s="63">
        <v>5</v>
      </c>
      <c r="D62" s="63" t="s">
        <v>107</v>
      </c>
      <c r="E62" s="63">
        <v>0.25</v>
      </c>
      <c r="F62" s="63">
        <v>0.02</v>
      </c>
      <c r="G62" s="63">
        <v>14.47</v>
      </c>
      <c r="H62" s="94">
        <f t="shared" ref="H62:H68" si="7">((E62/1000)*(G62-F62))/(0.082057338*(30+273.15))</f>
        <v>1.452221489993816E-4</v>
      </c>
      <c r="I62" s="63"/>
      <c r="J62" s="63">
        <v>404.8</v>
      </c>
      <c r="K62" s="63">
        <v>11944.4</v>
      </c>
      <c r="L62" s="63">
        <v>57.9</v>
      </c>
      <c r="N62" s="63"/>
      <c r="O62" s="63">
        <f>($J$59*60)*B62</f>
        <v>0</v>
      </c>
      <c r="P62" s="63"/>
      <c r="Q62" s="63">
        <v>0</v>
      </c>
      <c r="R62" s="107">
        <f t="shared" ref="R62:R72" si="8">J62*$D$54+$E$54</f>
        <v>1.3590319433988868E-6</v>
      </c>
      <c r="S62" s="107">
        <f t="shared" ref="S62:S72" si="9">K62*$D$55+$E$55</f>
        <v>1.481453480200972E-4</v>
      </c>
      <c r="T62" s="107">
        <f t="shared" ref="T62:T72" si="10">L62*$D$56+$E$56</f>
        <v>5.4832414771669304E-7</v>
      </c>
      <c r="U62" s="107">
        <f t="shared" ref="U62:U72" si="11">SUM(R62,S62,T62)</f>
        <v>1.5005270411121277E-4</v>
      </c>
      <c r="V62" s="63">
        <f t="shared" ref="V62:V81" si="12">O62</f>
        <v>0</v>
      </c>
      <c r="W62" s="63">
        <v>0</v>
      </c>
      <c r="X62" s="108">
        <f t="shared" ref="X62:X75" si="13">R62/$U62</f>
        <v>9.0570306709809728E-3</v>
      </c>
      <c r="Y62" s="108">
        <f t="shared" ref="Y62:Y75" si="14">S62/$U62</f>
        <v>0.98728875895697343</v>
      </c>
      <c r="Z62" s="108">
        <f t="shared" ref="Z62:Z75" si="15">T62/$U62</f>
        <v>3.6542103720456662E-3</v>
      </c>
      <c r="AA62" s="112">
        <v>0</v>
      </c>
      <c r="AB62" s="109">
        <f>(U62-H62)/(H62)</f>
        <v>3.3263211879971138E-2</v>
      </c>
    </row>
    <row r="63" spans="1:28" x14ac:dyDescent="0.25">
      <c r="A63" s="113">
        <v>0.62361111111111112</v>
      </c>
      <c r="B63" s="85">
        <f t="shared" ref="B63:B80" si="16">(A63-$A$62)*24</f>
        <v>0.2166666666666659</v>
      </c>
      <c r="C63" s="63">
        <v>6</v>
      </c>
      <c r="D63" s="63" t="s">
        <v>108</v>
      </c>
      <c r="E63" s="63">
        <v>0.25</v>
      </c>
      <c r="F63" s="63">
        <v>0.02</v>
      </c>
      <c r="G63" s="63">
        <v>14.47</v>
      </c>
      <c r="H63" s="94">
        <f t="shared" si="7"/>
        <v>1.452221489993816E-4</v>
      </c>
      <c r="I63" s="63"/>
      <c r="J63" s="63">
        <v>449.8</v>
      </c>
      <c r="K63" s="63">
        <v>11862.2</v>
      </c>
      <c r="L63" s="63">
        <v>13</v>
      </c>
      <c r="N63" s="63"/>
      <c r="O63" s="63">
        <f t="shared" ref="O63:O81" si="17">(($J$59*60)*B63)/60</f>
        <v>0.17333333333333273</v>
      </c>
      <c r="P63" s="63"/>
      <c r="Q63" s="63">
        <v>0.2166666666666659</v>
      </c>
      <c r="R63" s="107">
        <f t="shared" si="8"/>
        <v>1.8007966031986515E-6</v>
      </c>
      <c r="S63" s="107">
        <f t="shared" si="9"/>
        <v>1.4711779327480841E-4</v>
      </c>
      <c r="T63" s="107">
        <f t="shared" si="10"/>
        <v>1.9141295526959398E-7</v>
      </c>
      <c r="U63" s="107">
        <f t="shared" si="11"/>
        <v>1.4911000283327665E-4</v>
      </c>
      <c r="V63" s="63">
        <f t="shared" si="12"/>
        <v>0.17333333333333273</v>
      </c>
      <c r="W63" s="63">
        <v>0</v>
      </c>
      <c r="X63" s="108">
        <f t="shared" si="13"/>
        <v>1.2076967131522115E-2</v>
      </c>
      <c r="Y63" s="108">
        <f t="shared" si="14"/>
        <v>0.98663932988656855</v>
      </c>
      <c r="Z63" s="108">
        <f t="shared" si="15"/>
        <v>1.2837029819093844E-3</v>
      </c>
      <c r="AA63" s="112">
        <v>0.2166666666666659</v>
      </c>
      <c r="AB63" s="109">
        <f t="shared" ref="AB63:AB67" si="18">(U63-H63)/(H63)</f>
        <v>2.6771769049579393E-2</v>
      </c>
    </row>
    <row r="64" spans="1:28" x14ac:dyDescent="0.25">
      <c r="A64" s="113">
        <v>0.63124999999999998</v>
      </c>
      <c r="B64" s="85">
        <f t="shared" si="16"/>
        <v>0.39999999999999858</v>
      </c>
      <c r="C64" s="63">
        <v>7</v>
      </c>
      <c r="D64" s="63" t="s">
        <v>109</v>
      </c>
      <c r="E64" s="63">
        <v>0.25</v>
      </c>
      <c r="F64" s="63">
        <v>0.02</v>
      </c>
      <c r="G64" s="63">
        <v>14.47</v>
      </c>
      <c r="H64" s="94">
        <f t="shared" si="7"/>
        <v>1.452221489993816E-4</v>
      </c>
      <c r="I64" s="63"/>
      <c r="J64" s="63">
        <v>255.3</v>
      </c>
      <c r="K64" s="63">
        <v>12164</v>
      </c>
      <c r="L64" s="63">
        <v>29.4</v>
      </c>
      <c r="N64" s="63"/>
      <c r="O64" s="63">
        <f t="shared" si="17"/>
        <v>0.31999999999999884</v>
      </c>
      <c r="P64" s="63"/>
      <c r="Q64" s="63">
        <v>0.39999999999999858</v>
      </c>
      <c r="R64" s="107">
        <f t="shared" si="8"/>
        <v>-1.0860842638033301E-7</v>
      </c>
      <c r="S64" s="107">
        <f t="shared" si="9"/>
        <v>1.5089049427393443E-4</v>
      </c>
      <c r="T64" s="107">
        <f t="shared" si="10"/>
        <v>3.2177695429258781E-7</v>
      </c>
      <c r="U64" s="107">
        <f t="shared" si="11"/>
        <v>1.5110366280184667E-4</v>
      </c>
      <c r="V64" s="63">
        <f t="shared" si="12"/>
        <v>0.31999999999999884</v>
      </c>
      <c r="W64" s="63">
        <v>0</v>
      </c>
      <c r="X64" s="108">
        <v>0</v>
      </c>
      <c r="Y64" s="108">
        <f t="shared" si="14"/>
        <v>0.99858925638227725</v>
      </c>
      <c r="Z64" s="108">
        <f t="shared" si="15"/>
        <v>2.1295112793828005E-3</v>
      </c>
      <c r="AA64" s="112">
        <v>0.39999999999999858</v>
      </c>
      <c r="AB64" s="109">
        <f t="shared" si="18"/>
        <v>4.0500115464412512E-2</v>
      </c>
    </row>
    <row r="65" spans="1:28" x14ac:dyDescent="0.25">
      <c r="A65" s="113">
        <v>0.65069444444444446</v>
      </c>
      <c r="B65" s="85">
        <f t="shared" si="16"/>
        <v>0.86666666666666625</v>
      </c>
      <c r="C65" s="63">
        <v>8</v>
      </c>
      <c r="D65" s="63" t="s">
        <v>110</v>
      </c>
      <c r="E65" s="63">
        <v>0.25</v>
      </c>
      <c r="F65" s="63">
        <v>0.02</v>
      </c>
      <c r="G65" s="63">
        <v>14.56</v>
      </c>
      <c r="H65" s="94">
        <f t="shared" si="7"/>
        <v>1.4612664681321858E-4</v>
      </c>
      <c r="I65" s="63"/>
      <c r="J65" s="63">
        <v>144.4</v>
      </c>
      <c r="K65" s="63">
        <v>12186</v>
      </c>
      <c r="L65" s="63">
        <v>8.1</v>
      </c>
      <c r="N65" s="63"/>
      <c r="O65" s="63">
        <f t="shared" si="17"/>
        <v>0.69333333333333302</v>
      </c>
      <c r="P65" s="63"/>
      <c r="Q65" s="63">
        <v>0.86666666666666625</v>
      </c>
      <c r="R65" s="107">
        <f t="shared" si="8"/>
        <v>-1.1973128879757544E-6</v>
      </c>
      <c r="S65" s="107">
        <f t="shared" si="9"/>
        <v>1.5116550892595821E-4</v>
      </c>
      <c r="T65" s="107">
        <f t="shared" si="10"/>
        <v>1.5246273604930923E-7</v>
      </c>
      <c r="U65" s="107">
        <f t="shared" si="11"/>
        <v>1.5012065877403175E-4</v>
      </c>
      <c r="V65" s="63">
        <f t="shared" si="12"/>
        <v>0.69333333333333302</v>
      </c>
      <c r="W65" s="63">
        <v>3.3000000000000002E-2</v>
      </c>
      <c r="X65" s="108">
        <v>0</v>
      </c>
      <c r="Y65" s="108">
        <f t="shared" si="14"/>
        <v>1.0069600690568459</v>
      </c>
      <c r="Z65" s="108">
        <f t="shared" si="15"/>
        <v>1.0156012989444901E-3</v>
      </c>
      <c r="AA65" s="112">
        <v>0.86666666666666625</v>
      </c>
      <c r="AB65" s="109">
        <f t="shared" si="18"/>
        <v>2.733253686385061E-2</v>
      </c>
    </row>
    <row r="66" spans="1:28" x14ac:dyDescent="0.25">
      <c r="A66" s="113">
        <v>0.65208333333333335</v>
      </c>
      <c r="B66" s="85">
        <f t="shared" si="16"/>
        <v>0.89999999999999947</v>
      </c>
      <c r="C66" s="63">
        <v>9</v>
      </c>
      <c r="D66" s="63" t="s">
        <v>111</v>
      </c>
      <c r="E66" s="63">
        <v>0.25</v>
      </c>
      <c r="F66" s="63">
        <v>0.02</v>
      </c>
      <c r="G66" s="63">
        <v>14.68</v>
      </c>
      <c r="H66" s="94">
        <f t="shared" si="7"/>
        <v>1.4733264389833457E-4</v>
      </c>
      <c r="I66" s="63"/>
      <c r="J66" s="63">
        <v>116.2</v>
      </c>
      <c r="K66" s="63">
        <v>11712.9</v>
      </c>
      <c r="L66" s="63">
        <v>40.6</v>
      </c>
      <c r="N66" s="63"/>
      <c r="O66" s="63">
        <f t="shared" si="17"/>
        <v>0.71999999999999953</v>
      </c>
      <c r="P66" s="63"/>
      <c r="Q66" s="63">
        <v>0.89999999999999947</v>
      </c>
      <c r="R66" s="107">
        <f t="shared" si="8"/>
        <v>-1.4741520747836073E-6</v>
      </c>
      <c r="S66" s="107">
        <f t="shared" si="9"/>
        <v>1.452514438408471E-4</v>
      </c>
      <c r="T66" s="107">
        <f t="shared" si="10"/>
        <v>4.1080602679609587E-7</v>
      </c>
      <c r="U66" s="107">
        <f t="shared" si="11"/>
        <v>1.4418809779285959E-4</v>
      </c>
      <c r="V66" s="63">
        <f t="shared" si="12"/>
        <v>0.71999999999999953</v>
      </c>
      <c r="W66" s="63">
        <v>3.4000000000000002E-2</v>
      </c>
      <c r="X66" s="108">
        <v>0</v>
      </c>
      <c r="Y66" s="108">
        <f t="shared" si="14"/>
        <v>1.0073747144477563</v>
      </c>
      <c r="Z66" s="108">
        <f t="shared" si="15"/>
        <v>2.8490980398830088E-3</v>
      </c>
      <c r="AA66" s="112">
        <v>0.89999999999999947</v>
      </c>
      <c r="AB66" s="109">
        <f t="shared" si="18"/>
        <v>-2.1343172987819594E-2</v>
      </c>
    </row>
    <row r="67" spans="1:28" x14ac:dyDescent="0.25">
      <c r="A67" s="113">
        <v>0.65347222222222223</v>
      </c>
      <c r="B67" s="85">
        <f t="shared" si="16"/>
        <v>0.93333333333333268</v>
      </c>
      <c r="C67" s="63">
        <v>10</v>
      </c>
      <c r="D67" s="63" t="s">
        <v>112</v>
      </c>
      <c r="E67" s="63">
        <v>0.25</v>
      </c>
      <c r="F67" s="63">
        <v>0.03</v>
      </c>
      <c r="G67" s="63">
        <v>14.47</v>
      </c>
      <c r="H67" s="94">
        <f t="shared" si="7"/>
        <v>1.4512164924228863E-4</v>
      </c>
      <c r="I67" s="63"/>
      <c r="J67" s="63">
        <v>2972.5</v>
      </c>
      <c r="K67" s="63">
        <v>10090.299999999999</v>
      </c>
      <c r="L67" s="63">
        <v>37.1</v>
      </c>
      <c r="N67" s="110"/>
      <c r="O67" s="63">
        <f t="shared" si="17"/>
        <v>0.74666666666666615</v>
      </c>
      <c r="P67" s="110"/>
      <c r="Q67" s="110">
        <v>0.93333333333333268</v>
      </c>
      <c r="R67" s="107">
        <f t="shared" si="8"/>
        <v>2.6566123431573488E-5</v>
      </c>
      <c r="S67" s="107">
        <f t="shared" si="9"/>
        <v>1.2496786318749406E-4</v>
      </c>
      <c r="T67" s="107">
        <f t="shared" si="10"/>
        <v>3.8298444163874963E-7</v>
      </c>
      <c r="U67" s="107">
        <f t="shared" si="11"/>
        <v>1.5191697106070628E-4</v>
      </c>
      <c r="V67" s="63">
        <f t="shared" si="12"/>
        <v>0.74666666666666615</v>
      </c>
      <c r="W67" s="63">
        <v>3.6999999999999998E-2</v>
      </c>
      <c r="X67" s="108">
        <f t="shared" si="13"/>
        <v>0.174872650804482</v>
      </c>
      <c r="Y67" s="108">
        <f t="shared" si="14"/>
        <v>0.82260633762607527</v>
      </c>
      <c r="Z67" s="108">
        <f t="shared" si="15"/>
        <v>2.5210115694428137E-3</v>
      </c>
      <c r="AA67" s="112">
        <v>0.93333333333333268</v>
      </c>
      <c r="AB67" s="109">
        <f t="shared" si="18"/>
        <v>4.6825004083797889E-2</v>
      </c>
    </row>
    <row r="68" spans="1:28" x14ac:dyDescent="0.25">
      <c r="A68" s="113">
        <v>0.65694444444444444</v>
      </c>
      <c r="B68" s="85">
        <f t="shared" si="16"/>
        <v>1.0166666666666657</v>
      </c>
      <c r="C68" s="63">
        <v>12</v>
      </c>
      <c r="D68" s="63" t="s">
        <v>113</v>
      </c>
      <c r="E68" s="63">
        <v>0.25</v>
      </c>
      <c r="F68" s="63">
        <v>0.02</v>
      </c>
      <c r="G68" s="63">
        <v>14.52</v>
      </c>
      <c r="H68" s="94">
        <f t="shared" si="7"/>
        <v>1.4572464778484659E-4</v>
      </c>
      <c r="I68" s="63"/>
      <c r="J68" s="63">
        <v>5353</v>
      </c>
      <c r="K68" s="63">
        <v>7920</v>
      </c>
      <c r="L68" s="63">
        <v>27.3</v>
      </c>
      <c r="N68" s="63"/>
      <c r="O68" s="63">
        <f t="shared" si="17"/>
        <v>0.81333333333333258</v>
      </c>
      <c r="P68" s="63"/>
      <c r="Q68" s="63">
        <v>1.0166666666666657</v>
      </c>
      <c r="R68" s="107">
        <f t="shared" si="8"/>
        <v>4.9935473934981065E-5</v>
      </c>
      <c r="S68" s="107">
        <f t="shared" si="9"/>
        <v>9.7837667765349342E-5</v>
      </c>
      <c r="T68" s="107">
        <f t="shared" si="10"/>
        <v>3.0508400319818013E-7</v>
      </c>
      <c r="U68" s="107">
        <f t="shared" si="11"/>
        <v>1.4807822570352859E-4</v>
      </c>
      <c r="V68" s="63">
        <f t="shared" si="12"/>
        <v>0.81333333333333258</v>
      </c>
      <c r="W68" s="63">
        <v>3.9E-2</v>
      </c>
      <c r="X68" s="108">
        <f t="shared" si="13"/>
        <v>0.33722361068100737</v>
      </c>
      <c r="Y68" s="108">
        <f t="shared" si="14"/>
        <v>0.66071609988920832</v>
      </c>
      <c r="Z68" s="108">
        <f t="shared" si="15"/>
        <v>2.0602894297842077E-3</v>
      </c>
      <c r="AA68" s="112">
        <v>1.0166666666666657</v>
      </c>
      <c r="AB68" s="109">
        <f t="shared" ref="AB68:AB72" si="19">(U68-H68)/(H68)</f>
        <v>1.6150856800538783E-2</v>
      </c>
    </row>
    <row r="69" spans="1:28" x14ac:dyDescent="0.25">
      <c r="A69" s="113">
        <v>0.66111111111111109</v>
      </c>
      <c r="B69" s="85">
        <f t="shared" si="16"/>
        <v>1.1166666666666654</v>
      </c>
      <c r="C69" s="63">
        <v>18</v>
      </c>
      <c r="D69" s="63" t="s">
        <v>114</v>
      </c>
      <c r="E69" s="63">
        <v>0.25</v>
      </c>
      <c r="F69" s="63">
        <v>0.02</v>
      </c>
      <c r="G69" s="63">
        <v>14.54</v>
      </c>
      <c r="H69" s="94">
        <f>((E69/1000)*(G69-F69))/(0.082057338*(30+273.15))</f>
        <v>1.4592564729903258E-4</v>
      </c>
      <c r="I69" s="63"/>
      <c r="J69" s="63">
        <v>5840</v>
      </c>
      <c r="K69" s="63">
        <v>7124.9</v>
      </c>
      <c r="L69" s="63">
        <v>63.7</v>
      </c>
      <c r="N69" s="110"/>
      <c r="O69" s="63">
        <f t="shared" si="17"/>
        <v>0.89333333333333231</v>
      </c>
      <c r="P69" s="110"/>
      <c r="Q69" s="110">
        <v>1.1166666666666654</v>
      </c>
      <c r="R69" s="107">
        <f t="shared" si="8"/>
        <v>5.4716349253258525E-5</v>
      </c>
      <c r="S69" s="107">
        <f t="shared" si="9"/>
        <v>8.7898388227890338E-5</v>
      </c>
      <c r="T69" s="107">
        <f t="shared" si="10"/>
        <v>5.9442848883458112E-7</v>
      </c>
      <c r="U69" s="107">
        <f t="shared" si="11"/>
        <v>1.4320916596998343E-4</v>
      </c>
      <c r="V69" s="63">
        <f t="shared" si="12"/>
        <v>0.89333333333333231</v>
      </c>
      <c r="W69" s="63">
        <v>4.2000000000000003E-2</v>
      </c>
      <c r="X69" s="108">
        <f t="shared" si="13"/>
        <v>0.38207295519566842</v>
      </c>
      <c r="Y69" s="108">
        <f t="shared" si="14"/>
        <v>0.61377627355440223</v>
      </c>
      <c r="Z69" s="108">
        <f t="shared" si="15"/>
        <v>4.1507712499294427E-3</v>
      </c>
      <c r="AA69" s="112">
        <v>1.1166666666666654</v>
      </c>
      <c r="AB69" s="112">
        <f>(U69-H69)/(H69)</f>
        <v>-1.861551673286397E-2</v>
      </c>
    </row>
    <row r="70" spans="1:28" x14ac:dyDescent="0.25">
      <c r="A70" s="113">
        <v>0.66666666666666663</v>
      </c>
      <c r="B70" s="85">
        <f t="shared" si="16"/>
        <v>1.2499999999999982</v>
      </c>
      <c r="C70" s="63">
        <v>19</v>
      </c>
      <c r="D70" s="63" t="s">
        <v>115</v>
      </c>
      <c r="E70" s="63">
        <v>0.25</v>
      </c>
      <c r="F70" s="63">
        <v>0.02</v>
      </c>
      <c r="G70" s="63">
        <v>14.54</v>
      </c>
      <c r="H70" s="94">
        <f t="shared" ref="H70:H80" si="20">((E70/1000)*(G70-F70))/(0.082057338*(30+273.15))</f>
        <v>1.4592564729903258E-4</v>
      </c>
      <c r="I70" s="63"/>
      <c r="J70" s="87">
        <v>5859.8</v>
      </c>
      <c r="K70" s="17">
        <v>7427.9</v>
      </c>
      <c r="L70" s="17">
        <v>151.30000000000001</v>
      </c>
      <c r="N70" s="63"/>
      <c r="O70" s="63">
        <f t="shared" si="17"/>
        <v>0.99999999999999856</v>
      </c>
      <c r="P70" s="63"/>
      <c r="Q70" s="63">
        <v>1.2499999999999982</v>
      </c>
      <c r="R70" s="107">
        <f t="shared" si="8"/>
        <v>5.4910725703570426E-5</v>
      </c>
      <c r="S70" s="107">
        <f t="shared" si="9"/>
        <v>9.1686090026217685E-5</v>
      </c>
      <c r="T70" s="107">
        <f t="shared" si="10"/>
        <v>1.2907630202013047E-6</v>
      </c>
      <c r="U70" s="107">
        <f t="shared" si="11"/>
        <v>1.4788757874998942E-4</v>
      </c>
      <c r="V70" s="63">
        <f t="shared" si="12"/>
        <v>0.99999999999999856</v>
      </c>
      <c r="W70" s="63">
        <v>4.4999999999999998E-2</v>
      </c>
      <c r="X70" s="108">
        <f t="shared" si="13"/>
        <v>0.3713004578727972</v>
      </c>
      <c r="Y70" s="108">
        <f t="shared" si="14"/>
        <v>0.61997154055255121</v>
      </c>
      <c r="Z70" s="108">
        <f t="shared" si="15"/>
        <v>8.7280015746514956E-3</v>
      </c>
      <c r="AA70" s="112">
        <v>1.2499999999999982</v>
      </c>
      <c r="AB70" s="109">
        <f t="shared" si="19"/>
        <v>1.3444733583647762E-2</v>
      </c>
    </row>
    <row r="71" spans="1:28" x14ac:dyDescent="0.25">
      <c r="A71" s="113">
        <v>0.67291666666666661</v>
      </c>
      <c r="B71" s="85">
        <f t="shared" si="16"/>
        <v>1.3999999999999977</v>
      </c>
      <c r="C71" s="63">
        <v>20</v>
      </c>
      <c r="D71" s="63" t="s">
        <v>116</v>
      </c>
      <c r="E71" s="63">
        <v>0.25</v>
      </c>
      <c r="F71" s="63">
        <v>0.02</v>
      </c>
      <c r="G71" s="63">
        <v>14.53</v>
      </c>
      <c r="H71" s="94">
        <f t="shared" si="20"/>
        <v>1.4582514754193958E-4</v>
      </c>
      <c r="I71" s="110"/>
      <c r="J71" s="63">
        <v>5838.1</v>
      </c>
      <c r="K71" s="63">
        <v>7451.6</v>
      </c>
      <c r="L71" s="63">
        <v>262.8</v>
      </c>
      <c r="N71" s="63"/>
      <c r="O71" s="63">
        <f t="shared" si="17"/>
        <v>1.1199999999999981</v>
      </c>
      <c r="P71" s="63"/>
      <c r="Q71" s="63">
        <v>1.3999999999999977</v>
      </c>
      <c r="R71" s="107">
        <f t="shared" si="8"/>
        <v>5.469769696762254E-5</v>
      </c>
      <c r="S71" s="107">
        <f t="shared" si="9"/>
        <v>9.1982355810443298E-5</v>
      </c>
      <c r="T71" s="107">
        <f t="shared" si="10"/>
        <v>2.1770792330710494E-6</v>
      </c>
      <c r="U71" s="107">
        <f t="shared" si="11"/>
        <v>1.4885713201113687E-4</v>
      </c>
      <c r="V71" s="63">
        <f t="shared" si="12"/>
        <v>1.1199999999999981</v>
      </c>
      <c r="W71" s="63">
        <v>4.5999999999999999E-2</v>
      </c>
      <c r="X71" s="108">
        <f t="shared" si="13"/>
        <v>0.36745096609499561</v>
      </c>
      <c r="Y71" s="108">
        <f t="shared" si="14"/>
        <v>0.61792374048669407</v>
      </c>
      <c r="Z71" s="108">
        <f t="shared" si="15"/>
        <v>1.4625293418310446E-2</v>
      </c>
      <c r="AA71" s="112">
        <v>1.3999999999999977</v>
      </c>
      <c r="AB71" s="109">
        <f t="shared" si="19"/>
        <v>2.0791917719989176E-2</v>
      </c>
    </row>
    <row r="72" spans="1:28" ht="13.5" customHeight="1" x14ac:dyDescent="0.25">
      <c r="A72" s="113">
        <v>0.6791666666666667</v>
      </c>
      <c r="B72" s="85">
        <f t="shared" si="16"/>
        <v>1.5499999999999998</v>
      </c>
      <c r="C72" s="63">
        <v>14</v>
      </c>
      <c r="D72" s="63" t="s">
        <v>117</v>
      </c>
      <c r="E72" s="63">
        <v>0.25</v>
      </c>
      <c r="F72" s="63">
        <v>0.02</v>
      </c>
      <c r="G72" s="63">
        <v>14.5</v>
      </c>
      <c r="H72" s="94">
        <f t="shared" si="20"/>
        <v>1.4552364827066062E-4</v>
      </c>
      <c r="I72" s="110"/>
      <c r="J72" s="63">
        <v>5805.5</v>
      </c>
      <c r="K72" s="63">
        <v>7358</v>
      </c>
      <c r="L72" s="63">
        <v>474.1</v>
      </c>
      <c r="N72" s="63"/>
      <c r="O72" s="63">
        <f t="shared" si="17"/>
        <v>1.2399999999999998</v>
      </c>
      <c r="P72" s="63"/>
      <c r="Q72" s="63">
        <v>1.5499999999999998</v>
      </c>
      <c r="R72" s="107">
        <f t="shared" si="8"/>
        <v>5.4377663014078702E-5</v>
      </c>
      <c r="S72" s="107">
        <f t="shared" si="9"/>
        <v>9.0812293472742172E-5</v>
      </c>
      <c r="T72" s="107">
        <f t="shared" si="10"/>
        <v>3.8567080741416969E-6</v>
      </c>
      <c r="U72" s="107">
        <f t="shared" si="11"/>
        <v>1.4904666456096256E-4</v>
      </c>
      <c r="V72" s="63">
        <f t="shared" si="12"/>
        <v>1.2399999999999998</v>
      </c>
      <c r="W72" s="63">
        <v>0.06</v>
      </c>
      <c r="X72" s="108">
        <f t="shared" si="13"/>
        <v>0.36483649717526778</v>
      </c>
      <c r="Y72" s="108">
        <f t="shared" si="14"/>
        <v>0.60928765994356382</v>
      </c>
      <c r="Z72" s="108">
        <f t="shared" si="15"/>
        <v>2.587584288116853E-2</v>
      </c>
      <c r="AA72" s="112">
        <v>1.5499999999999998</v>
      </c>
      <c r="AB72" s="109">
        <f t="shared" si="19"/>
        <v>2.4209235627115754E-2</v>
      </c>
    </row>
    <row r="73" spans="1:28" s="117" customFormat="1" x14ac:dyDescent="0.25">
      <c r="A73" s="115">
        <v>0.68541666666666667</v>
      </c>
      <c r="B73" s="116">
        <f t="shared" si="16"/>
        <v>1.6999999999999993</v>
      </c>
      <c r="C73" s="117">
        <v>11</v>
      </c>
      <c r="D73" s="117" t="s">
        <v>118</v>
      </c>
      <c r="E73" s="117">
        <v>0.25</v>
      </c>
      <c r="F73" s="117">
        <v>0.02</v>
      </c>
      <c r="G73" s="117">
        <v>14.58</v>
      </c>
      <c r="H73" s="118">
        <f t="shared" si="20"/>
        <v>1.4632764632740457E-4</v>
      </c>
      <c r="J73" s="117">
        <v>5934.8</v>
      </c>
      <c r="K73" s="117">
        <v>8822.6</v>
      </c>
      <c r="L73" s="117">
        <v>1117.5</v>
      </c>
      <c r="O73" s="117">
        <f t="shared" si="17"/>
        <v>1.3599999999999994</v>
      </c>
      <c r="Q73" s="117">
        <v>1.6999999999999993</v>
      </c>
      <c r="R73" s="119">
        <f t="shared" ref="R73:R81" si="21">J73*$D$54+$E$54</f>
        <v>5.5647000136570034E-5</v>
      </c>
      <c r="S73" s="119">
        <f t="shared" ref="S73:S81" si="22">K73*$D$55+$E$55</f>
        <v>1.091207688979245E-4</v>
      </c>
      <c r="T73" s="119">
        <f t="shared" ref="T73:T81" si="23">L73*$D$56+$E$56</f>
        <v>8.9711103284950049E-6</v>
      </c>
      <c r="U73" s="119">
        <f t="shared" ref="U73:U81" si="24">SUM(R73,S73,T73)</f>
        <v>1.7373887936298954E-4</v>
      </c>
      <c r="V73" s="117">
        <f t="shared" si="12"/>
        <v>1.3599999999999994</v>
      </c>
      <c r="W73" s="117">
        <v>7.0000000000000007E-2</v>
      </c>
      <c r="X73" s="120">
        <f t="shared" si="13"/>
        <v>0.3202910041816705</v>
      </c>
      <c r="Y73" s="120">
        <f t="shared" si="14"/>
        <v>0.62807340129056788</v>
      </c>
      <c r="Z73" s="120">
        <f t="shared" si="15"/>
        <v>5.1635594527761543E-2</v>
      </c>
      <c r="AA73" s="123">
        <v>1.6999999999999993</v>
      </c>
      <c r="AB73" s="121">
        <f>(U73-H73)/(H73)</f>
        <v>0.18732777929232181</v>
      </c>
    </row>
    <row r="74" spans="1:28" s="63" customFormat="1" x14ac:dyDescent="0.25">
      <c r="A74" s="113">
        <v>0.69305555555555554</v>
      </c>
      <c r="B74" s="85">
        <f t="shared" si="16"/>
        <v>1.883333333333332</v>
      </c>
      <c r="C74" s="63">
        <v>13</v>
      </c>
      <c r="D74" s="63" t="s">
        <v>119</v>
      </c>
      <c r="E74" s="63">
        <v>0.25</v>
      </c>
      <c r="F74" s="63">
        <v>0.02</v>
      </c>
      <c r="G74" s="63">
        <v>14.54</v>
      </c>
      <c r="H74" s="94">
        <f t="shared" si="20"/>
        <v>1.4592564729903258E-4</v>
      </c>
      <c r="J74" s="63">
        <v>6453.6</v>
      </c>
      <c r="K74" s="63">
        <v>6433.6</v>
      </c>
      <c r="L74" s="63">
        <v>934.9</v>
      </c>
      <c r="O74" s="63">
        <f t="shared" si="17"/>
        <v>1.5066666666666655</v>
      </c>
      <c r="Q74" s="63">
        <v>1.883333333333332</v>
      </c>
      <c r="R74" s="107">
        <f t="shared" si="21"/>
        <v>6.0740055814439324E-5</v>
      </c>
      <c r="S74" s="107">
        <f t="shared" si="22"/>
        <v>7.9256677821343488E-5</v>
      </c>
      <c r="T74" s="107">
        <f t="shared" si="23"/>
        <v>7.5196184857145968E-6</v>
      </c>
      <c r="U74" s="107">
        <f t="shared" si="24"/>
        <v>1.4751635212149739E-4</v>
      </c>
      <c r="V74" s="63">
        <f t="shared" si="12"/>
        <v>1.5066666666666655</v>
      </c>
      <c r="W74" s="63">
        <v>8.5000000000000006E-2</v>
      </c>
      <c r="X74" s="108">
        <f t="shared" si="13"/>
        <v>0.41175134106090566</v>
      </c>
      <c r="Y74" s="108">
        <f t="shared" si="14"/>
        <v>0.53727384579077797</v>
      </c>
      <c r="Z74" s="108">
        <f t="shared" si="15"/>
        <v>5.0974813148316533E-2</v>
      </c>
      <c r="AA74" s="112">
        <v>1.883333333333332</v>
      </c>
      <c r="AB74" s="109">
        <f t="shared" ref="AB74" si="25">(U74-H74)/(H74)</f>
        <v>1.0900789901621077E-2</v>
      </c>
    </row>
    <row r="75" spans="1:28" s="63" customFormat="1" x14ac:dyDescent="0.25">
      <c r="A75" s="113">
        <v>0.7055555555555556</v>
      </c>
      <c r="B75" s="85">
        <f t="shared" si="16"/>
        <v>2.1833333333333336</v>
      </c>
      <c r="C75" s="63">
        <v>16</v>
      </c>
      <c r="D75" s="63" t="s">
        <v>120</v>
      </c>
      <c r="E75" s="63">
        <v>0.25</v>
      </c>
      <c r="F75" s="63">
        <v>0.02</v>
      </c>
      <c r="G75" s="63">
        <v>14.48</v>
      </c>
      <c r="H75" s="94">
        <f t="shared" si="20"/>
        <v>1.453226487564746E-4</v>
      </c>
      <c r="J75" s="63">
        <v>7353.2</v>
      </c>
      <c r="K75" s="63">
        <v>5611</v>
      </c>
      <c r="L75" s="63">
        <v>1237.2</v>
      </c>
      <c r="O75" s="63">
        <f t="shared" si="17"/>
        <v>1.7466666666666668</v>
      </c>
      <c r="Q75" s="63">
        <v>2.1833333333333336</v>
      </c>
      <c r="R75" s="107">
        <f t="shared" si="21"/>
        <v>6.9571422213458628E-5</v>
      </c>
      <c r="S75" s="107">
        <f t="shared" si="22"/>
        <v>6.897362996885477E-5</v>
      </c>
      <c r="T75" s="107">
        <f t="shared" si="23"/>
        <v>9.9226085408762468E-6</v>
      </c>
      <c r="U75" s="107">
        <f t="shared" si="24"/>
        <v>1.4846766072318962E-4</v>
      </c>
      <c r="V75" s="63">
        <f t="shared" si="12"/>
        <v>1.7466666666666668</v>
      </c>
      <c r="W75" s="63">
        <v>0.15</v>
      </c>
      <c r="X75" s="108">
        <f t="shared" si="13"/>
        <v>0.46859647329643722</v>
      </c>
      <c r="Y75" s="108">
        <f t="shared" si="14"/>
        <v>0.46457005945188684</v>
      </c>
      <c r="Z75" s="108">
        <f t="shared" si="15"/>
        <v>6.6833467251676063E-2</v>
      </c>
      <c r="AA75" s="112">
        <v>2.1833333333333336</v>
      </c>
      <c r="AB75" s="109">
        <f t="shared" ref="AB75:AB81" si="26">(U75-H75)/(H75)</f>
        <v>2.164158163663325E-2</v>
      </c>
    </row>
    <row r="76" spans="1:28" s="63" customFormat="1" x14ac:dyDescent="0.25">
      <c r="A76" s="113">
        <v>0.72916666666666663</v>
      </c>
      <c r="B76" s="85">
        <f t="shared" si="16"/>
        <v>2.7499999999999982</v>
      </c>
      <c r="C76" s="63">
        <v>21</v>
      </c>
      <c r="D76" s="63" t="s">
        <v>121</v>
      </c>
      <c r="E76" s="63">
        <v>0.25</v>
      </c>
      <c r="F76" s="63">
        <v>0.02</v>
      </c>
      <c r="G76" s="63">
        <v>14.54</v>
      </c>
      <c r="H76" s="94">
        <f t="shared" si="20"/>
        <v>1.4592564729903258E-4</v>
      </c>
      <c r="J76" s="63">
        <v>8192.2000000000007</v>
      </c>
      <c r="K76" s="63">
        <v>4309.8</v>
      </c>
      <c r="L76" s="63">
        <v>1623.6</v>
      </c>
      <c r="O76" s="63">
        <f t="shared" si="17"/>
        <v>2.1999999999999984</v>
      </c>
      <c r="Q76" s="63">
        <v>2.7499999999999982</v>
      </c>
      <c r="R76" s="107">
        <f t="shared" si="21"/>
        <v>7.7807878870614261E-5</v>
      </c>
      <c r="S76" s="107">
        <f t="shared" si="22"/>
        <v>5.2707763368248993E-5</v>
      </c>
      <c r="T76" s="107">
        <f t="shared" si="23"/>
        <v>1.2994111542247272E-5</v>
      </c>
      <c r="U76" s="107">
        <f t="shared" si="24"/>
        <v>1.4350975378111055E-4</v>
      </c>
      <c r="V76" s="63">
        <f t="shared" si="12"/>
        <v>2.1999999999999984</v>
      </c>
      <c r="W76" s="63">
        <v>1.2</v>
      </c>
      <c r="X76" s="108">
        <f t="shared" ref="X76" si="27">R76/$U76</f>
        <v>0.54217833158080231</v>
      </c>
      <c r="Y76" s="108">
        <f t="shared" ref="Y76" si="28">S76/$U76</f>
        <v>0.36727652288109941</v>
      </c>
      <c r="Z76" s="108">
        <f t="shared" ref="Z76" si="29">T76/$U76</f>
        <v>9.0545145538098046E-2</v>
      </c>
      <c r="AA76" s="112">
        <v>2.7499999999999982</v>
      </c>
      <c r="AB76" s="109">
        <f t="shared" si="26"/>
        <v>-1.6555647089036726E-2</v>
      </c>
    </row>
    <row r="77" spans="1:28" s="63" customFormat="1" x14ac:dyDescent="0.25">
      <c r="A77" s="113">
        <v>0.74513888888888891</v>
      </c>
      <c r="B77" s="85">
        <f t="shared" si="16"/>
        <v>3.1333333333333329</v>
      </c>
      <c r="C77" s="63">
        <v>23</v>
      </c>
      <c r="D77" s="63" t="s">
        <v>122</v>
      </c>
      <c r="E77" s="63">
        <v>0.25</v>
      </c>
      <c r="F77" s="63">
        <v>0.02</v>
      </c>
      <c r="G77" s="63">
        <v>14.51</v>
      </c>
      <c r="H77" s="94">
        <f t="shared" si="20"/>
        <v>1.4562414802775359E-4</v>
      </c>
      <c r="J77" s="63">
        <v>8767.2999999999993</v>
      </c>
      <c r="K77" s="63">
        <v>3667.3</v>
      </c>
      <c r="L77" s="63">
        <v>1881.7</v>
      </c>
      <c r="O77" s="63">
        <f t="shared" si="17"/>
        <v>2.5066666666666664</v>
      </c>
      <c r="Q77" s="63">
        <v>3.1333333333333329</v>
      </c>
      <c r="R77" s="107">
        <f t="shared" si="21"/>
        <v>8.3453631222855237E-5</v>
      </c>
      <c r="S77" s="107">
        <f t="shared" si="22"/>
        <v>4.4676085462554856E-5</v>
      </c>
      <c r="T77" s="107">
        <f t="shared" si="23"/>
        <v>1.5045754721993293E-5</v>
      </c>
      <c r="U77" s="107">
        <f t="shared" si="24"/>
        <v>1.431754714074034E-4</v>
      </c>
      <c r="V77" s="63">
        <f t="shared" si="12"/>
        <v>2.5066666666666664</v>
      </c>
      <c r="W77" s="63">
        <v>1.6</v>
      </c>
      <c r="X77" s="108">
        <f t="shared" ref="X77" si="30">R77/$U77</f>
        <v>0.5828765947303175</v>
      </c>
      <c r="Y77" s="108">
        <f t="shared" ref="Y77" si="31">S77/$U77</f>
        <v>0.31203728560061667</v>
      </c>
      <c r="Z77" s="108">
        <f t="shared" ref="Z77" si="32">T77/$U77</f>
        <v>0.10508611966906574</v>
      </c>
      <c r="AA77" s="112">
        <v>3.1333333333333329</v>
      </c>
      <c r="AB77" s="109">
        <f t="shared" si="26"/>
        <v>-1.6815045124820314E-2</v>
      </c>
    </row>
    <row r="78" spans="1:28" s="111" customFormat="1" x14ac:dyDescent="0.25">
      <c r="A78" s="113">
        <v>0.7583333333333333</v>
      </c>
      <c r="B78" s="85">
        <f t="shared" si="16"/>
        <v>3.4499999999999984</v>
      </c>
      <c r="C78" s="64">
        <v>25</v>
      </c>
      <c r="D78" s="63" t="s">
        <v>123</v>
      </c>
      <c r="E78" s="63">
        <v>0.25</v>
      </c>
      <c r="F78" s="63">
        <v>0.02</v>
      </c>
      <c r="G78" s="63">
        <v>14.53</v>
      </c>
      <c r="H78" s="94">
        <f t="shared" si="20"/>
        <v>1.4582514754193958E-4</v>
      </c>
      <c r="I78" s="63"/>
      <c r="J78" s="63">
        <v>9259.9</v>
      </c>
      <c r="K78" s="63">
        <v>3094.9</v>
      </c>
      <c r="L78" s="63">
        <v>2097.1999999999998</v>
      </c>
      <c r="N78" s="63"/>
      <c r="O78" s="63">
        <f t="shared" si="17"/>
        <v>2.7599999999999985</v>
      </c>
      <c r="P78" s="63"/>
      <c r="Q78" s="63">
        <v>3.4499999999999984</v>
      </c>
      <c r="R78" s="107">
        <f t="shared" si="21"/>
        <v>8.8289481698796676E-5</v>
      </c>
      <c r="S78" s="107">
        <f t="shared" si="22"/>
        <v>3.7520704243536452E-5</v>
      </c>
      <c r="T78" s="107">
        <f t="shared" si="23"/>
        <v>1.6758769465252753E-5</v>
      </c>
      <c r="U78" s="107">
        <f t="shared" si="24"/>
        <v>1.425689554075859E-4</v>
      </c>
      <c r="V78" s="63">
        <f t="shared" si="12"/>
        <v>2.7599999999999985</v>
      </c>
      <c r="W78" s="63">
        <v>1.9</v>
      </c>
      <c r="X78" s="108">
        <f t="shared" ref="X78" si="33">R78/$U78</f>
        <v>0.61927564417084113</v>
      </c>
      <c r="Y78" s="108">
        <f t="shared" ref="Y78" si="34">S78/$U78</f>
        <v>0.26317583751855156</v>
      </c>
      <c r="Z78" s="108">
        <f t="shared" ref="Z78" si="35">T78/$U78</f>
        <v>0.11754851831060721</v>
      </c>
      <c r="AA78" s="112">
        <v>3.4499999999999984</v>
      </c>
      <c r="AB78" s="109">
        <f t="shared" si="26"/>
        <v>-2.2329428011839989E-2</v>
      </c>
    </row>
    <row r="79" spans="1:28" s="63" customFormat="1" x14ac:dyDescent="0.25">
      <c r="A79" s="114">
        <v>0.77638888888888891</v>
      </c>
      <c r="B79" s="85">
        <f t="shared" si="16"/>
        <v>3.8833333333333329</v>
      </c>
      <c r="C79" s="63">
        <v>17</v>
      </c>
      <c r="D79" s="63" t="s">
        <v>124</v>
      </c>
      <c r="E79" s="63">
        <v>0.25</v>
      </c>
      <c r="F79" s="7">
        <v>0.02</v>
      </c>
      <c r="G79" s="7">
        <v>14.55</v>
      </c>
      <c r="H79" s="94">
        <f t="shared" si="20"/>
        <v>1.4602614705612561E-4</v>
      </c>
      <c r="I79" s="7"/>
      <c r="J79" s="7">
        <v>10062</v>
      </c>
      <c r="K79" s="7">
        <v>2620.1</v>
      </c>
      <c r="L79" s="7">
        <v>2438.8000000000002</v>
      </c>
      <c r="N79" s="7"/>
      <c r="O79" s="63">
        <f t="shared" si="17"/>
        <v>3.1066666666666665</v>
      </c>
      <c r="P79" s="7"/>
      <c r="Q79" s="7">
        <v>3.8833333333333329</v>
      </c>
      <c r="R79" s="107">
        <f t="shared" si="21"/>
        <v>9.61636913349165E-5</v>
      </c>
      <c r="S79" s="107">
        <f t="shared" si="22"/>
        <v>3.1585388026223488E-5</v>
      </c>
      <c r="T79" s="107">
        <f t="shared" si="23"/>
        <v>1.9474156176609751E-5</v>
      </c>
      <c r="U79" s="107">
        <f t="shared" si="24"/>
        <v>1.4722323553774971E-4</v>
      </c>
      <c r="V79" s="63">
        <f t="shared" si="12"/>
        <v>3.1066666666666665</v>
      </c>
      <c r="W79" s="63">
        <v>2.2999999999999998</v>
      </c>
      <c r="X79" s="108">
        <f t="shared" ref="X79:Z81" si="36">R79/$U79</f>
        <v>0.65318284157842077</v>
      </c>
      <c r="Y79" s="108">
        <f t="shared" si="36"/>
        <v>0.21454078162902918</v>
      </c>
      <c r="Z79" s="108">
        <f t="shared" si="36"/>
        <v>0.13227637679255022</v>
      </c>
      <c r="AA79" s="112">
        <v>3.8833333333333329</v>
      </c>
      <c r="AB79" s="109">
        <f>(U79-H79)/(H79)</f>
        <v>8.1977680419384365E-3</v>
      </c>
    </row>
    <row r="80" spans="1:28" s="63" customFormat="1" x14ac:dyDescent="0.25">
      <c r="A80" s="114">
        <v>0.84305555555555556</v>
      </c>
      <c r="B80" s="85">
        <f t="shared" si="16"/>
        <v>5.4833333333333325</v>
      </c>
      <c r="C80" s="63">
        <v>22</v>
      </c>
      <c r="D80" s="63" t="s">
        <v>125</v>
      </c>
      <c r="E80" s="63">
        <v>0.25</v>
      </c>
      <c r="F80" s="7">
        <v>0.02</v>
      </c>
      <c r="G80" s="7">
        <v>14.45</v>
      </c>
      <c r="H80" s="94">
        <f t="shared" si="20"/>
        <v>1.450211494851956E-4</v>
      </c>
      <c r="I80" s="7"/>
      <c r="J80" s="7">
        <v>11068.2</v>
      </c>
      <c r="K80" s="7">
        <v>1242.5999999999999</v>
      </c>
      <c r="L80" s="7">
        <v>3014.7</v>
      </c>
      <c r="N80" s="7"/>
      <c r="O80" s="63">
        <f t="shared" si="17"/>
        <v>4.3866666666666658</v>
      </c>
      <c r="P80" s="7"/>
      <c r="Q80" s="7">
        <v>5.4833333333333325</v>
      </c>
      <c r="R80" s="107">
        <f t="shared" si="21"/>
        <v>1.0604154912803925E-4</v>
      </c>
      <c r="S80" s="107">
        <f t="shared" si="22"/>
        <v>1.4365720609735276E-5</v>
      </c>
      <c r="T80" s="107">
        <f t="shared" si="23"/>
        <v>2.4051999288642808E-5</v>
      </c>
      <c r="U80" s="107">
        <f t="shared" si="24"/>
        <v>1.4445926902641732E-4</v>
      </c>
      <c r="V80" s="63">
        <f t="shared" si="12"/>
        <v>4.3866666666666658</v>
      </c>
      <c r="W80" s="63">
        <v>3.3</v>
      </c>
      <c r="X80" s="108">
        <f t="shared" si="36"/>
        <v>0.73405846397192687</v>
      </c>
      <c r="Y80" s="108">
        <f t="shared" si="36"/>
        <v>9.9444782647406388E-2</v>
      </c>
      <c r="Z80" s="108">
        <f t="shared" si="36"/>
        <v>0.16649675338066683</v>
      </c>
      <c r="AA80" s="112">
        <v>5.4833333333333325</v>
      </c>
      <c r="AB80" s="109">
        <f t="shared" si="26"/>
        <v>-3.8744725219244137E-3</v>
      </c>
    </row>
    <row r="81" spans="1:37" s="63" customFormat="1" x14ac:dyDescent="0.25">
      <c r="A81" s="114" t="s">
        <v>132</v>
      </c>
      <c r="B81" s="85">
        <v>17</v>
      </c>
      <c r="C81" s="63">
        <v>24</v>
      </c>
      <c r="D81" s="63" t="s">
        <v>126</v>
      </c>
      <c r="E81" s="63">
        <v>0.25</v>
      </c>
      <c r="F81" s="7">
        <v>0.02</v>
      </c>
      <c r="G81" s="7">
        <v>14.44</v>
      </c>
      <c r="H81" s="94">
        <f>((E81/1000)*(G81-F81))/(0.082057338*(30+273.15))</f>
        <v>1.4492064972810261E-4</v>
      </c>
      <c r="I81" s="7"/>
      <c r="J81" s="7">
        <v>12071.1</v>
      </c>
      <c r="K81" s="7">
        <v>63.8</v>
      </c>
      <c r="L81" s="7">
        <v>3524.7</v>
      </c>
      <c r="N81" s="7"/>
      <c r="O81" s="63">
        <f t="shared" si="17"/>
        <v>13.6</v>
      </c>
      <c r="P81" s="7"/>
      <c r="Q81" s="7">
        <v>17</v>
      </c>
      <c r="R81" s="107">
        <f t="shared" si="21"/>
        <v>1.1588701084611002E-4</v>
      </c>
      <c r="S81" s="107">
        <f t="shared" si="22"/>
        <v>-3.7006447233826297E-7</v>
      </c>
      <c r="T81" s="107">
        <f t="shared" si="23"/>
        <v>2.8106001697284689E-5</v>
      </c>
      <c r="U81" s="107">
        <f t="shared" si="24"/>
        <v>1.4362294807105644E-4</v>
      </c>
      <c r="V81" s="63">
        <f t="shared" si="12"/>
        <v>13.6</v>
      </c>
      <c r="W81" s="63">
        <v>10</v>
      </c>
      <c r="X81" s="108">
        <f t="shared" si="36"/>
        <v>0.80688366589422567</v>
      </c>
      <c r="Y81" s="108">
        <f t="shared" si="36"/>
        <v>-2.5766388819367238E-3</v>
      </c>
      <c r="Z81" s="108">
        <f t="shared" si="36"/>
        <v>0.19569297298771116</v>
      </c>
      <c r="AA81" s="112">
        <v>17</v>
      </c>
      <c r="AB81" s="109">
        <f t="shared" si="26"/>
        <v>-8.954566926665684E-3</v>
      </c>
    </row>
    <row r="82" spans="1:37" s="63" customFormat="1" x14ac:dyDescent="0.25">
      <c r="A82" s="7"/>
      <c r="B82" s="7"/>
      <c r="C82" s="7"/>
      <c r="D82" s="7"/>
      <c r="E82" s="7"/>
      <c r="F82" s="7"/>
      <c r="G82" s="96"/>
      <c r="H82" s="7"/>
      <c r="I82" s="7"/>
      <c r="J82" s="7"/>
      <c r="K82" s="7"/>
      <c r="L82" s="7"/>
      <c r="M82" s="7"/>
      <c r="N82" s="7"/>
      <c r="O82" s="7"/>
      <c r="P82" s="7"/>
      <c r="Q82" s="107"/>
      <c r="R82" s="107"/>
      <c r="S82" s="107"/>
      <c r="T82" s="107"/>
      <c r="V82" s="108"/>
      <c r="W82" s="108"/>
      <c r="X82" s="108"/>
      <c r="Y82" s="108"/>
      <c r="Z82" s="109"/>
    </row>
    <row r="83" spans="1:37" s="63" customFormat="1" x14ac:dyDescent="0.25">
      <c r="A83" s="7"/>
      <c r="B83" s="7"/>
      <c r="C83" s="7"/>
      <c r="D83" s="7"/>
      <c r="E83" s="7"/>
      <c r="F83" s="7"/>
      <c r="G83" s="9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37" s="63" customFormat="1" x14ac:dyDescent="0.25">
      <c r="A84" s="7"/>
      <c r="B84" s="7"/>
      <c r="C84" s="7"/>
      <c r="D84" s="7"/>
      <c r="E84" s="7"/>
      <c r="F84" s="7"/>
      <c r="G84" s="9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37" s="63" customFormat="1" x14ac:dyDescent="0.25">
      <c r="A85" s="7"/>
      <c r="B85" s="7"/>
      <c r="C85" s="7"/>
      <c r="D85" s="7"/>
      <c r="E85" s="7"/>
      <c r="F85" s="7"/>
      <c r="G85" s="9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37" s="63" customFormat="1" x14ac:dyDescent="0.25">
      <c r="A86" s="7"/>
      <c r="B86" s="7"/>
      <c r="C86" s="7"/>
      <c r="D86" s="7"/>
      <c r="E86" s="7"/>
      <c r="F86" s="7"/>
      <c r="G86" s="9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37" s="63" customFormat="1" x14ac:dyDescent="0.25">
      <c r="A87" s="7"/>
      <c r="B87" s="7"/>
      <c r="C87" s="7"/>
      <c r="D87" s="7"/>
      <c r="E87" s="7"/>
      <c r="F87" s="7"/>
      <c r="G87" s="9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37" s="63" customFormat="1" x14ac:dyDescent="0.25">
      <c r="A88" s="7"/>
      <c r="B88" s="7"/>
      <c r="C88" s="7"/>
      <c r="D88" s="7"/>
      <c r="E88" s="7"/>
      <c r="F88" s="7"/>
      <c r="G88" s="9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37" s="63" customFormat="1" x14ac:dyDescent="0.25">
      <c r="A89" s="7"/>
      <c r="B89" s="7"/>
      <c r="C89" s="7"/>
      <c r="D89" s="7"/>
      <c r="E89" s="7"/>
      <c r="F89" s="7"/>
      <c r="G89" s="9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37" x14ac:dyDescent="0.25">
      <c r="G90" s="96"/>
    </row>
    <row r="91" spans="1:37" x14ac:dyDescent="0.25">
      <c r="G91" s="96"/>
    </row>
    <row r="92" spans="1:37" x14ac:dyDescent="0.25">
      <c r="G92" s="96"/>
      <c r="R92" s="63">
        <v>0</v>
      </c>
      <c r="S92" s="63">
        <v>0</v>
      </c>
      <c r="T92" s="63">
        <v>0</v>
      </c>
      <c r="U92" s="63">
        <v>3.3000000000000002E-2</v>
      </c>
      <c r="V92" s="63">
        <v>3.4000000000000002E-2</v>
      </c>
      <c r="W92" s="63">
        <v>3.6999999999999998E-2</v>
      </c>
      <c r="X92" s="63">
        <v>3.9E-2</v>
      </c>
      <c r="Y92" s="63">
        <v>4.2000000000000003E-2</v>
      </c>
      <c r="Z92" s="63">
        <v>4.4999999999999998E-2</v>
      </c>
      <c r="AA92" s="63">
        <v>4.5999999999999999E-2</v>
      </c>
      <c r="AB92" s="63">
        <v>0.06</v>
      </c>
      <c r="AC92" s="117">
        <v>7.0000000000000007E-2</v>
      </c>
      <c r="AD92" s="63">
        <v>8.5000000000000006E-2</v>
      </c>
      <c r="AE92" s="63">
        <v>0.15</v>
      </c>
      <c r="AF92" s="63">
        <v>1.2</v>
      </c>
      <c r="AG92" s="63">
        <v>1.6</v>
      </c>
      <c r="AH92" s="63">
        <v>1.9</v>
      </c>
      <c r="AI92" s="63">
        <v>2.2999999999999998</v>
      </c>
      <c r="AJ92" s="63">
        <v>3.3</v>
      </c>
      <c r="AK92" s="63">
        <v>10</v>
      </c>
    </row>
    <row r="93" spans="1:37" x14ac:dyDescent="0.25">
      <c r="G93" s="96"/>
    </row>
    <row r="94" spans="1:37" x14ac:dyDescent="0.25">
      <c r="G94" s="96"/>
    </row>
    <row r="95" spans="1:37" x14ac:dyDescent="0.25">
      <c r="G95" s="96"/>
    </row>
    <row r="96" spans="1:37" x14ac:dyDescent="0.25">
      <c r="G96" s="96"/>
    </row>
    <row r="97" spans="7:7" x14ac:dyDescent="0.25">
      <c r="G97" s="96"/>
    </row>
    <row r="98" spans="7:7" x14ac:dyDescent="0.25">
      <c r="G98" s="96"/>
    </row>
    <row r="99" spans="7:7" x14ac:dyDescent="0.25">
      <c r="G99" s="96"/>
    </row>
    <row r="100" spans="7:7" x14ac:dyDescent="0.25">
      <c r="G100" s="96"/>
    </row>
    <row r="101" spans="7:7" x14ac:dyDescent="0.25">
      <c r="G101" s="96"/>
    </row>
    <row r="102" spans="7:7" x14ac:dyDescent="0.25">
      <c r="G102" s="9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2"/>
  <sheetViews>
    <sheetView topLeftCell="B73" zoomScale="85" zoomScaleNormal="85" workbookViewId="0">
      <selection activeCell="V5" sqref="V5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9.5703125" style="7" bestFit="1" customWidth="1"/>
    <col min="9" max="9" width="18.28515625" style="7" bestFit="1" customWidth="1"/>
    <col min="10" max="10" width="18.7109375" style="7" bestFit="1" customWidth="1"/>
    <col min="11" max="11" width="19.7109375" style="7" bestFit="1" customWidth="1"/>
    <col min="12" max="12" width="4.7109375" style="7" customWidth="1"/>
    <col min="13" max="13" width="7.42578125" style="7" customWidth="1"/>
    <col min="14" max="15" width="8.5703125" style="7" bestFit="1" customWidth="1"/>
    <col min="16" max="16" width="4.42578125" style="7" customWidth="1"/>
    <col min="17" max="17" width="14" style="7" bestFit="1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13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</row>
    <row r="4" spans="1:29" x14ac:dyDescent="0.25">
      <c r="A4" s="70">
        <v>1</v>
      </c>
      <c r="B4" s="51"/>
      <c r="C4" s="52" t="s">
        <v>67</v>
      </c>
      <c r="D4" s="51">
        <v>0.25</v>
      </c>
      <c r="E4" s="52">
        <v>0.05</v>
      </c>
      <c r="F4" s="52">
        <v>14.43</v>
      </c>
      <c r="G4" s="53">
        <f t="shared" si="0"/>
        <v>1.4451865069973059E-4</v>
      </c>
      <c r="H4" s="51"/>
      <c r="I4" s="52">
        <f>2986.5-I3</f>
        <v>2984</v>
      </c>
      <c r="J4" s="54">
        <f>10354.4-J3</f>
        <v>10353.4</v>
      </c>
      <c r="K4" s="55">
        <f>201.5-K3</f>
        <v>197.7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$G$4*(M4/100)</f>
        <v>2.6259038832141052E-5</v>
      </c>
      <c r="R4" s="51"/>
      <c r="S4" s="51">
        <f>$G$4*(N4/100)</f>
        <v>1.1671326230510241E-4</v>
      </c>
      <c r="T4" s="51">
        <f>$G$4*(O4/100)</f>
        <v>1.5463495624871176E-6</v>
      </c>
      <c r="U4" s="63"/>
      <c r="V4" s="18">
        <f>I4*$D$64+($E$64)</f>
        <v>2.6528178842583003E-5</v>
      </c>
      <c r="W4" s="18">
        <f>J4*$D$65+($E$65)</f>
        <v>1.1029327719087509E-4</v>
      </c>
      <c r="X4" s="18">
        <f t="shared" ref="X4:X13" si="1">K4*$D$66+($E$66)</f>
        <v>1.860813056618265E-6</v>
      </c>
      <c r="Y4" s="18">
        <f>SUM(V4:X4)</f>
        <v>1.3868226909007636E-4</v>
      </c>
      <c r="AA4" s="71">
        <f>V4/Y4</f>
        <v>0.19128745885569931</v>
      </c>
      <c r="AB4" s="71">
        <f>W4/Y4</f>
        <v>0.79529472595547046</v>
      </c>
      <c r="AC4" s="71">
        <f>X4/Y4</f>
        <v>1.341781518883021E-2</v>
      </c>
    </row>
    <row r="5" spans="1:29" x14ac:dyDescent="0.25">
      <c r="A5" s="70">
        <v>2</v>
      </c>
      <c r="B5" s="51"/>
      <c r="C5" s="52" t="s">
        <v>67</v>
      </c>
      <c r="D5" s="51">
        <v>0.25</v>
      </c>
      <c r="E5" s="52">
        <v>0.04</v>
      </c>
      <c r="F5" s="52">
        <v>14.44</v>
      </c>
      <c r="G5" s="53">
        <f t="shared" si="0"/>
        <v>1.4471965021391661E-4</v>
      </c>
      <c r="H5" s="51"/>
      <c r="I5" s="52">
        <v>3507</v>
      </c>
      <c r="J5" s="54">
        <v>12134</v>
      </c>
      <c r="K5" s="55">
        <v>222.3</v>
      </c>
      <c r="L5" s="51"/>
      <c r="M5" s="56">
        <v>18.170000000000002</v>
      </c>
      <c r="N5" s="51">
        <f>100-(M5+O5)</f>
        <v>80.759999999999991</v>
      </c>
      <c r="O5" s="51">
        <v>1.07</v>
      </c>
      <c r="P5" s="51"/>
      <c r="Q5" s="51">
        <f>$G$5*(M5/100)</f>
        <v>2.6295560443868653E-5</v>
      </c>
      <c r="R5" s="51"/>
      <c r="S5" s="51">
        <f>$G$5*(N5/100)</f>
        <v>1.1687558951275904E-4</v>
      </c>
      <c r="T5" s="51">
        <f>$G$5*(O5/100)</f>
        <v>1.548500257288908E-6</v>
      </c>
      <c r="U5" s="63"/>
      <c r="V5" s="18">
        <f>I5*$D$64+($E$64)</f>
        <v>3.1388489762710813E-5</v>
      </c>
      <c r="W5" s="18">
        <f t="shared" ref="W5:W16" si="2">J5*$D$65+($E$65)</f>
        <v>1.2911429282944125E-4</v>
      </c>
      <c r="X5" s="18">
        <f t="shared" si="1"/>
        <v>2.0469377341487819E-6</v>
      </c>
      <c r="Y5" s="18">
        <f t="shared" ref="Y5:Y15" si="3">SUM(V5:X5)</f>
        <v>1.6254972032630084E-4</v>
      </c>
      <c r="AA5" s="71">
        <f t="shared" ref="AA5:AA15" si="4">V5/Y5</f>
        <v>0.19310085369388422</v>
      </c>
      <c r="AB5" s="71">
        <f t="shared" ref="AB5:AB15" si="5">W5/Y5</f>
        <v>0.79430645940367284</v>
      </c>
      <c r="AC5" s="71">
        <f t="shared" ref="AC5:AC15" si="6">X5/Y5</f>
        <v>1.2592686902443005E-2</v>
      </c>
    </row>
    <row r="6" spans="1:29" x14ac:dyDescent="0.25">
      <c r="A6" s="70">
        <v>3</v>
      </c>
      <c r="B6" s="51"/>
      <c r="C6" s="52" t="s">
        <v>67</v>
      </c>
      <c r="D6" s="51">
        <v>0.25</v>
      </c>
      <c r="E6" s="52">
        <v>0.04</v>
      </c>
      <c r="F6" s="52">
        <v>14.44</v>
      </c>
      <c r="G6" s="53">
        <f t="shared" si="0"/>
        <v>1.4471965021391661E-4</v>
      </c>
      <c r="H6" s="51"/>
      <c r="I6" s="52">
        <v>3052.2</v>
      </c>
      <c r="J6" s="54">
        <v>10573.7</v>
      </c>
      <c r="K6" s="55">
        <v>193.9</v>
      </c>
      <c r="L6" s="51"/>
      <c r="M6" s="56">
        <v>18.170000000000002</v>
      </c>
      <c r="N6" s="51">
        <f>100-(M6+O6)</f>
        <v>80.759999999999991</v>
      </c>
      <c r="O6" s="51">
        <v>1.07</v>
      </c>
      <c r="P6" s="51"/>
      <c r="Q6" s="51">
        <f>$G$4*(M6/100)</f>
        <v>2.6259038832141052E-5</v>
      </c>
      <c r="R6" s="51"/>
      <c r="S6" s="51">
        <f>$G$4*(N6/100)</f>
        <v>1.1671326230510241E-4</v>
      </c>
      <c r="T6" s="51">
        <f>$G$4*(O6/100)</f>
        <v>1.5463495624871176E-6</v>
      </c>
      <c r="U6" s="63"/>
      <c r="V6" s="18">
        <f t="shared" ref="V6:V15" si="7">I6*$D$64+($E$64)</f>
        <v>2.7161970821077679E-5</v>
      </c>
      <c r="W6" s="18">
        <f t="shared" si="2"/>
        <v>1.1262185730161088E-4</v>
      </c>
      <c r="X6" s="18">
        <f t="shared" si="1"/>
        <v>1.8320620901704617E-6</v>
      </c>
      <c r="Y6" s="18">
        <f t="shared" si="3"/>
        <v>1.4161589021285901E-4</v>
      </c>
      <c r="AA6" s="71">
        <f t="shared" si="4"/>
        <v>0.19180030419080271</v>
      </c>
      <c r="AB6" s="71">
        <f t="shared" si="5"/>
        <v>0.79526285597140267</v>
      </c>
      <c r="AC6" s="71">
        <f t="shared" si="6"/>
        <v>1.2936839837794607E-2</v>
      </c>
    </row>
    <row r="7" spans="1:29" x14ac:dyDescent="0.25">
      <c r="A7" s="70">
        <v>4</v>
      </c>
      <c r="B7" s="51"/>
      <c r="C7" s="52" t="s">
        <v>67</v>
      </c>
      <c r="D7" s="51">
        <v>0.25</v>
      </c>
      <c r="E7" s="52">
        <v>0.04</v>
      </c>
      <c r="F7" s="52">
        <v>14.42</v>
      </c>
      <c r="G7" s="53">
        <f t="shared" si="0"/>
        <v>1.4451865069973062E-4</v>
      </c>
      <c r="H7" s="51"/>
      <c r="I7" s="52">
        <v>2992.7</v>
      </c>
      <c r="J7" s="54">
        <v>10337.700000000001</v>
      </c>
      <c r="K7" s="55">
        <v>195.7</v>
      </c>
      <c r="L7" s="51"/>
      <c r="M7" s="56">
        <v>19.170000000000002</v>
      </c>
      <c r="N7" s="51">
        <f>100-(M7+O7)</f>
        <v>78.759999999999991</v>
      </c>
      <c r="O7" s="51">
        <v>2.0699999999999998</v>
      </c>
      <c r="P7" s="51"/>
      <c r="Q7" s="51">
        <f>$G$4*(M7/100)</f>
        <v>2.7704225339138355E-5</v>
      </c>
      <c r="R7" s="51"/>
      <c r="S7" s="51">
        <f>$G$4*(N7/100)</f>
        <v>1.1382288929110779E-4</v>
      </c>
      <c r="T7" s="51">
        <f>$G$4*(O7/100)</f>
        <v>2.9915360694844232E-6</v>
      </c>
      <c r="U7" s="63"/>
      <c r="V7" s="18">
        <f t="shared" ref="V7" si="8">I7*$D$64+($E$64)</f>
        <v>2.660902913895989E-5</v>
      </c>
      <c r="W7" s="18">
        <f t="shared" ref="W7" si="9">J7*$D$65+($E$65)</f>
        <v>1.1012732754158526E-4</v>
      </c>
      <c r="X7" s="18">
        <f t="shared" si="1"/>
        <v>1.8456809690141578E-6</v>
      </c>
      <c r="Y7" s="18">
        <f t="shared" ref="Y7" si="10">SUM(V7:X7)</f>
        <v>1.385820376495593E-4</v>
      </c>
      <c r="AA7" s="71">
        <f t="shared" ref="AA7" si="11">V7/Y7</f>
        <v>0.19200922132670423</v>
      </c>
      <c r="AB7" s="71"/>
      <c r="AC7" s="71"/>
    </row>
    <row r="8" spans="1:29" x14ac:dyDescent="0.25">
      <c r="A8" s="70">
        <v>1</v>
      </c>
      <c r="B8" s="57"/>
      <c r="C8" s="58" t="s">
        <v>50</v>
      </c>
      <c r="D8" s="57">
        <v>0.25</v>
      </c>
      <c r="E8" s="58">
        <v>0.05</v>
      </c>
      <c r="F8" s="58">
        <v>15.07</v>
      </c>
      <c r="G8" s="59">
        <f t="shared" si="0"/>
        <v>1.5095063515368248E-4</v>
      </c>
      <c r="H8" s="57"/>
      <c r="I8" s="58">
        <f>172-I3</f>
        <v>169.5</v>
      </c>
      <c r="J8" s="60">
        <f>2471.5-J3</f>
        <v>2470.5</v>
      </c>
      <c r="K8" s="61">
        <f>14808.4-K3</f>
        <v>14804.6</v>
      </c>
      <c r="L8" s="57"/>
      <c r="M8" s="62">
        <v>1</v>
      </c>
      <c r="N8" s="62">
        <v>19.2</v>
      </c>
      <c r="O8" s="57">
        <f>100-(N8+M8)</f>
        <v>79.8</v>
      </c>
      <c r="P8" s="57"/>
      <c r="Q8" s="57">
        <f>$G$8*(M8/100)</f>
        <v>1.5095063515368249E-6</v>
      </c>
      <c r="R8" s="57"/>
      <c r="S8" s="57">
        <f>$G$8*(N8/100)</f>
        <v>2.8982521949507037E-5</v>
      </c>
      <c r="T8" s="57">
        <f>$G$8*(O8/100)</f>
        <v>1.2045860685263861E-4</v>
      </c>
      <c r="U8" s="63"/>
      <c r="V8" s="18">
        <f t="shared" si="7"/>
        <v>3.7264330778428698E-7</v>
      </c>
      <c r="W8" s="18">
        <f t="shared" si="2"/>
        <v>2.6970698185341506E-5</v>
      </c>
      <c r="X8" s="18">
        <f t="shared" si="1"/>
        <v>1.1237725826883407E-4</v>
      </c>
      <c r="Y8" s="18">
        <f t="shared" si="3"/>
        <v>1.3972059976195985E-4</v>
      </c>
      <c r="AA8" s="71">
        <f t="shared" si="4"/>
        <v>2.6670606082363981E-3</v>
      </c>
      <c r="AB8" s="71">
        <f t="shared" si="5"/>
        <v>0.19303308339136196</v>
      </c>
      <c r="AC8" s="71">
        <f t="shared" si="6"/>
        <v>0.80429985600040166</v>
      </c>
    </row>
    <row r="9" spans="1:29" x14ac:dyDescent="0.25">
      <c r="A9" s="70">
        <v>2</v>
      </c>
      <c r="B9" s="57"/>
      <c r="C9" s="58" t="s">
        <v>50</v>
      </c>
      <c r="D9" s="57">
        <v>0.25</v>
      </c>
      <c r="E9" s="58">
        <v>0.04</v>
      </c>
      <c r="F9" s="58">
        <v>14.79</v>
      </c>
      <c r="G9" s="59">
        <f t="shared" si="0"/>
        <v>1.4823714171217155E-4</v>
      </c>
      <c r="H9" s="57"/>
      <c r="I9" s="58">
        <v>186.6</v>
      </c>
      <c r="J9" s="60">
        <v>2684.2</v>
      </c>
      <c r="K9" s="61">
        <v>16061.3</v>
      </c>
      <c r="L9" s="57"/>
      <c r="M9" s="62">
        <v>1</v>
      </c>
      <c r="N9" s="62">
        <v>19.2</v>
      </c>
      <c r="O9" s="57">
        <f>100-(N9+M9)</f>
        <v>79.8</v>
      </c>
      <c r="P9" s="57"/>
      <c r="Q9" s="57">
        <f t="shared" ref="Q9:Q10" si="12">$G$8*(M9/100)</f>
        <v>1.5095063515368249E-6</v>
      </c>
      <c r="R9" s="57"/>
      <c r="S9" s="57">
        <f t="shared" ref="S9:T11" si="13">$G$9*(N9/100)</f>
        <v>2.8461531208736938E-5</v>
      </c>
      <c r="T9" s="57">
        <f t="shared" si="13"/>
        <v>1.1829323908631288E-4</v>
      </c>
      <c r="U9" s="63"/>
      <c r="V9" s="18">
        <f t="shared" si="7"/>
        <v>5.3155595928368566E-7</v>
      </c>
      <c r="W9" s="18">
        <f t="shared" si="2"/>
        <v>2.922951602312741E-5</v>
      </c>
      <c r="X9" s="18">
        <f t="shared" si="1"/>
        <v>1.2188550551487473E-4</v>
      </c>
      <c r="Y9" s="18">
        <f t="shared" si="3"/>
        <v>1.5164657749728582E-4</v>
      </c>
      <c r="AA9" s="71">
        <f t="shared" si="4"/>
        <v>3.5052288555157103E-3</v>
      </c>
      <c r="AB9" s="71">
        <f t="shared" si="5"/>
        <v>0.19274761425888798</v>
      </c>
      <c r="AC9" s="71">
        <f t="shared" si="6"/>
        <v>0.80374715688559628</v>
      </c>
    </row>
    <row r="10" spans="1:29" x14ac:dyDescent="0.25">
      <c r="A10" s="70">
        <v>3</v>
      </c>
      <c r="B10" s="57"/>
      <c r="C10" s="58" t="s">
        <v>50</v>
      </c>
      <c r="D10" s="57">
        <v>0.25</v>
      </c>
      <c r="E10" s="58">
        <v>0.05</v>
      </c>
      <c r="F10" s="58">
        <v>14.62</v>
      </c>
      <c r="G10" s="59">
        <f t="shared" si="0"/>
        <v>1.4642814608449757E-4</v>
      </c>
      <c r="H10" s="57"/>
      <c r="I10" s="58">
        <v>186.3</v>
      </c>
      <c r="J10" s="60">
        <v>2684.3</v>
      </c>
      <c r="K10" s="61">
        <v>16075</v>
      </c>
      <c r="L10" s="57"/>
      <c r="M10" s="62">
        <v>1</v>
      </c>
      <c r="N10" s="62">
        <v>19.2</v>
      </c>
      <c r="O10" s="57">
        <f>100-(N10+M10)</f>
        <v>79.8</v>
      </c>
      <c r="P10" s="57"/>
      <c r="Q10" s="57">
        <f t="shared" si="12"/>
        <v>1.5095063515368249E-6</v>
      </c>
      <c r="R10" s="57"/>
      <c r="S10" s="57">
        <f t="shared" si="13"/>
        <v>2.8461531208736938E-5</v>
      </c>
      <c r="T10" s="57">
        <f t="shared" si="13"/>
        <v>1.1829323908631288E-4</v>
      </c>
      <c r="U10" s="63"/>
      <c r="V10" s="18">
        <f t="shared" si="7"/>
        <v>5.2876801802931046E-7</v>
      </c>
      <c r="W10" s="18">
        <f t="shared" si="2"/>
        <v>2.923057302726302E-5</v>
      </c>
      <c r="X10" s="18">
        <f t="shared" si="1"/>
        <v>1.2198916031496287E-4</v>
      </c>
      <c r="Y10" s="18">
        <f t="shared" si="3"/>
        <v>1.517485013602552E-4</v>
      </c>
      <c r="AA10" s="71">
        <f t="shared" si="4"/>
        <v>3.4845024055558897E-3</v>
      </c>
      <c r="AB10" s="71">
        <f t="shared" si="5"/>
        <v>0.19262511830590551</v>
      </c>
      <c r="AC10" s="71">
        <f t="shared" si="6"/>
        <v>0.80389037928853857</v>
      </c>
    </row>
    <row r="11" spans="1:29" x14ac:dyDescent="0.25">
      <c r="A11" s="70">
        <v>4</v>
      </c>
      <c r="B11" s="57"/>
      <c r="C11" s="58" t="s">
        <v>50</v>
      </c>
      <c r="D11" s="57">
        <v>0.25</v>
      </c>
      <c r="E11" s="58">
        <v>0.05</v>
      </c>
      <c r="F11" s="58">
        <v>14.53</v>
      </c>
      <c r="G11" s="59">
        <f t="shared" si="0"/>
        <v>1.4552364827066059E-4</v>
      </c>
      <c r="H11" s="57"/>
      <c r="I11" s="58">
        <v>183</v>
      </c>
      <c r="J11" s="60">
        <v>2614</v>
      </c>
      <c r="K11" s="61">
        <v>15613</v>
      </c>
      <c r="L11" s="57"/>
      <c r="M11" s="62">
        <v>1</v>
      </c>
      <c r="N11" s="62">
        <v>19.2</v>
      </c>
      <c r="O11" s="57">
        <f>100-(N11+M11)</f>
        <v>79.8</v>
      </c>
      <c r="P11" s="57"/>
      <c r="Q11" s="57">
        <f t="shared" ref="Q11" si="14">$G$8*(M11/100)</f>
        <v>1.5095063515368249E-6</v>
      </c>
      <c r="R11" s="57"/>
      <c r="S11" s="57">
        <f t="shared" si="13"/>
        <v>2.8461531208736938E-5</v>
      </c>
      <c r="T11" s="57">
        <f t="shared" si="13"/>
        <v>1.1829323908631288E-4</v>
      </c>
      <c r="U11" s="63"/>
      <c r="V11" s="18">
        <f t="shared" si="7"/>
        <v>4.9810066423118072E-7</v>
      </c>
      <c r="W11" s="18">
        <f t="shared" si="2"/>
        <v>2.8487499119933352E-5</v>
      </c>
      <c r="X11" s="18">
        <f t="shared" si="1"/>
        <v>1.1849364807841414E-4</v>
      </c>
      <c r="Y11" s="18">
        <f t="shared" si="3"/>
        <v>1.4747924786257866E-4</v>
      </c>
      <c r="AA11" s="71">
        <f t="shared" si="4"/>
        <v>3.3774288345660096E-3</v>
      </c>
      <c r="AB11" s="71">
        <f t="shared" si="5"/>
        <v>0.19316276379764316</v>
      </c>
      <c r="AC11" s="71">
        <f t="shared" si="6"/>
        <v>0.80345980736779088</v>
      </c>
    </row>
    <row r="12" spans="1:29" x14ac:dyDescent="0.25">
      <c r="A12" s="70">
        <v>1</v>
      </c>
      <c r="B12" s="64"/>
      <c r="C12" s="65" t="s">
        <v>65</v>
      </c>
      <c r="D12" s="64">
        <v>0.25</v>
      </c>
      <c r="E12" s="65">
        <v>0.05</v>
      </c>
      <c r="F12" s="65">
        <v>14.48</v>
      </c>
      <c r="G12" s="66">
        <f t="shared" si="0"/>
        <v>1.450211494851956E-4</v>
      </c>
      <c r="H12" s="64"/>
      <c r="I12" s="65">
        <f>12618-I3</f>
        <v>12615.5</v>
      </c>
      <c r="J12" s="67">
        <f>132.6-J3</f>
        <v>131.6</v>
      </c>
      <c r="K12" s="68">
        <f>3605-K3</f>
        <v>3601.2</v>
      </c>
      <c r="L12" s="64"/>
      <c r="M12" s="69">
        <f>100-(N12+O12)</f>
        <v>79.989999999999995</v>
      </c>
      <c r="N12" s="69">
        <v>1.01</v>
      </c>
      <c r="O12" s="64">
        <v>19</v>
      </c>
      <c r="P12" s="64"/>
      <c r="Q12" s="97">
        <f>$G$12*(M12/100)</f>
        <v>1.1600241747320796E-4</v>
      </c>
      <c r="R12" s="64"/>
      <c r="S12" s="64">
        <f>$G$12*(N12/100)</f>
        <v>1.4647136098004756E-6</v>
      </c>
      <c r="T12" s="64">
        <f>$G$12*(O12/100)</f>
        <v>2.7554018402187164E-5</v>
      </c>
      <c r="U12" s="63"/>
      <c r="V12" s="18">
        <f t="shared" si="7"/>
        <v>1.1603503281430581E-4</v>
      </c>
      <c r="W12" s="18">
        <f t="shared" si="2"/>
        <v>2.2484284576978075E-6</v>
      </c>
      <c r="X12" s="18">
        <f t="shared" si="1"/>
        <v>2.7611843136907473E-5</v>
      </c>
      <c r="Y12" s="18">
        <f t="shared" si="3"/>
        <v>1.4589530440891108E-4</v>
      </c>
      <c r="AA12" s="71">
        <f t="shared" si="4"/>
        <v>0.79533082496669127</v>
      </c>
      <c r="AB12" s="71">
        <f t="shared" si="5"/>
        <v>1.5411246213901292E-2</v>
      </c>
      <c r="AC12" s="71">
        <f t="shared" si="6"/>
        <v>0.18925792881940742</v>
      </c>
    </row>
    <row r="13" spans="1:29" x14ac:dyDescent="0.25">
      <c r="A13" s="70">
        <v>2</v>
      </c>
      <c r="B13" s="64"/>
      <c r="C13" s="65" t="s">
        <v>66</v>
      </c>
      <c r="D13" s="64">
        <v>0.25</v>
      </c>
      <c r="E13" s="65">
        <v>0.05</v>
      </c>
      <c r="F13" s="65">
        <v>14.62</v>
      </c>
      <c r="G13" s="66">
        <f t="shared" si="0"/>
        <v>1.4642814608449757E-4</v>
      </c>
      <c r="H13" s="64"/>
      <c r="I13" s="65">
        <v>12638.7</v>
      </c>
      <c r="J13" s="67">
        <v>132.19999999999999</v>
      </c>
      <c r="K13" s="68">
        <v>3598.9</v>
      </c>
      <c r="L13" s="64"/>
      <c r="M13" s="69">
        <f>100-(N13+O13)</f>
        <v>79.989999999999995</v>
      </c>
      <c r="N13" s="69">
        <v>1.01</v>
      </c>
      <c r="O13" s="64">
        <v>19</v>
      </c>
      <c r="P13" s="64"/>
      <c r="Q13" s="97">
        <f>$G$12*(M13/100)</f>
        <v>1.1600241747320796E-4</v>
      </c>
      <c r="R13" s="64"/>
      <c r="S13" s="64">
        <f>$G$13*(N13/100)</f>
        <v>1.4789242754534254E-6</v>
      </c>
      <c r="T13" s="64">
        <f>$G$13*(O13/100)</f>
        <v>2.7821347756054537E-5</v>
      </c>
      <c r="U13" s="63"/>
      <c r="V13" s="18">
        <f t="shared" si="7"/>
        <v>1.1625063360464418E-4</v>
      </c>
      <c r="W13" s="18">
        <f t="shared" si="2"/>
        <v>2.254770482511432E-6</v>
      </c>
      <c r="X13" s="18">
        <f t="shared" si="1"/>
        <v>2.759444123616275E-5</v>
      </c>
      <c r="Y13" s="18">
        <f t="shared" si="3"/>
        <v>1.4609984532331835E-4</v>
      </c>
      <c r="AA13" s="71">
        <f t="shared" si="4"/>
        <v>0.79569306420127972</v>
      </c>
      <c r="AB13" s="71">
        <f t="shared" si="5"/>
        <v>1.5433079189930929E-2</v>
      </c>
      <c r="AC13" s="71">
        <f t="shared" si="6"/>
        <v>0.18887385660878947</v>
      </c>
    </row>
    <row r="14" spans="1:29" x14ac:dyDescent="0.25">
      <c r="A14" s="70"/>
      <c r="B14" s="64"/>
      <c r="C14" s="65" t="s">
        <v>66</v>
      </c>
      <c r="D14" s="64">
        <v>0.25</v>
      </c>
      <c r="E14" s="65"/>
      <c r="F14" s="65"/>
      <c r="G14" s="66"/>
      <c r="H14" s="64"/>
      <c r="I14" s="65"/>
      <c r="J14" s="67"/>
      <c r="K14" s="68"/>
      <c r="L14" s="64"/>
      <c r="M14" s="69"/>
      <c r="N14" s="69"/>
      <c r="O14" s="64"/>
      <c r="P14" s="64"/>
      <c r="Q14" s="97"/>
      <c r="R14" s="64"/>
      <c r="S14" s="64"/>
      <c r="T14" s="64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A15" s="104">
        <v>1</v>
      </c>
      <c r="B15" s="101"/>
      <c r="C15" s="101" t="s">
        <v>89</v>
      </c>
      <c r="D15" s="101">
        <v>0.25</v>
      </c>
      <c r="E15" s="101">
        <v>0.05</v>
      </c>
      <c r="F15" s="101">
        <v>14.48</v>
      </c>
      <c r="G15" s="103">
        <f>((D15/1000)*(F15-E15))/(0.082057338*(30+273.15))</f>
        <v>1.450211494851956E-4</v>
      </c>
      <c r="H15" s="101"/>
      <c r="I15" s="101">
        <v>15590</v>
      </c>
      <c r="J15" s="101">
        <v>0.01</v>
      </c>
      <c r="K15" s="102">
        <v>1.1000000000000001</v>
      </c>
      <c r="L15" s="101"/>
      <c r="M15" s="101">
        <v>100</v>
      </c>
      <c r="N15" s="101">
        <v>0</v>
      </c>
      <c r="O15" s="101">
        <v>0</v>
      </c>
      <c r="P15" s="101"/>
      <c r="Q15" s="103">
        <f>$G$15*(M15/100)</f>
        <v>1.450211494851956E-4</v>
      </c>
      <c r="R15" s="101"/>
      <c r="S15" s="101">
        <f>$G$15*(N15/100)</f>
        <v>0</v>
      </c>
      <c r="T15" s="101">
        <f>$G$15*(O15/100)</f>
        <v>0</v>
      </c>
      <c r="U15" s="63"/>
      <c r="V15" s="18">
        <f t="shared" si="7"/>
        <v>1.4367747035143807E-4</v>
      </c>
      <c r="W15" s="18">
        <f t="shared" si="2"/>
        <v>8.5751671565640587E-7</v>
      </c>
      <c r="X15" s="18">
        <f>K15*$D$66+($E$66)</f>
        <v>3.7332884513453982E-7</v>
      </c>
      <c r="Y15" s="18">
        <f t="shared" si="3"/>
        <v>1.4490831591222901E-4</v>
      </c>
      <c r="AA15" s="71">
        <f t="shared" si="4"/>
        <v>0.99150603915970936</v>
      </c>
      <c r="AB15" s="71">
        <f t="shared" si="5"/>
        <v>5.9176501380072896E-3</v>
      </c>
      <c r="AC15" s="71">
        <f t="shared" si="6"/>
        <v>2.5763107022834021E-3</v>
      </c>
    </row>
    <row r="16" spans="1:29" x14ac:dyDescent="0.25">
      <c r="C16" s="7" t="s">
        <v>82</v>
      </c>
      <c r="D16" s="7">
        <v>0.25</v>
      </c>
      <c r="E16" s="7">
        <v>0.05</v>
      </c>
      <c r="F16" s="7">
        <v>14.45</v>
      </c>
      <c r="G16" s="13">
        <f>((D16/1000)*(F16-E16))/(0.082057338*(30+273.15))</f>
        <v>1.4471965021391661E-4</v>
      </c>
      <c r="I16" s="7">
        <v>12144</v>
      </c>
      <c r="J16" s="7">
        <v>0.01</v>
      </c>
      <c r="K16" s="86">
        <v>17.399999999999999</v>
      </c>
      <c r="L16" s="86"/>
      <c r="M16" s="7">
        <v>78</v>
      </c>
      <c r="O16" s="7">
        <v>4.2000000000000003E-2</v>
      </c>
      <c r="Q16" s="13">
        <f>$G$15*(M16/100)</f>
        <v>1.1311649659845258E-4</v>
      </c>
      <c r="S16" s="7">
        <f>$G$15*(N16/100)</f>
        <v>0</v>
      </c>
      <c r="T16" s="7">
        <f>$G$15*(O16/100)</f>
        <v>6.0908882783782153E-8</v>
      </c>
      <c r="U16" s="63"/>
      <c r="V16" s="18">
        <f>I16*$D$64+($E$64)</f>
        <v>1.1165331847617911E-4</v>
      </c>
      <c r="W16" s="18">
        <f t="shared" si="2"/>
        <v>8.5751671565640587E-7</v>
      </c>
      <c r="X16" s="18">
        <f>K16*$D$66+($E$66)</f>
        <v>4.9665535910801248E-7</v>
      </c>
      <c r="Y16" s="13">
        <v>1.4164349814466999E-4</v>
      </c>
      <c r="AA16" s="71">
        <f t="shared" ref="AA16" si="15">V16/Y16</f>
        <v>0.78826998724742103</v>
      </c>
      <c r="AB16" s="71">
        <f t="shared" ref="AB16" si="16">W16/Y16</f>
        <v>6.0540492637407659E-3</v>
      </c>
      <c r="AC16" s="71">
        <f t="shared" ref="AC16" si="17">X16/Y16</f>
        <v>3.5063759764020026E-3</v>
      </c>
    </row>
    <row r="17" spans="11:21" x14ac:dyDescent="0.25">
      <c r="K17" s="86"/>
      <c r="L17" s="86"/>
      <c r="U17" s="63"/>
    </row>
    <row r="18" spans="11:21" s="16" customFormat="1" x14ac:dyDescent="0.25">
      <c r="U18" s="105"/>
    </row>
    <row r="19" spans="11:21" x14ac:dyDescent="0.25">
      <c r="K19" s="86"/>
      <c r="L19" s="86"/>
    </row>
    <row r="20" spans="11:21" x14ac:dyDescent="0.25">
      <c r="K20" s="86"/>
      <c r="L20" s="86"/>
    </row>
    <row r="21" spans="11:21" x14ac:dyDescent="0.25">
      <c r="K21" s="86"/>
      <c r="L21" s="86"/>
    </row>
    <row r="22" spans="11:21" x14ac:dyDescent="0.25">
      <c r="K22" s="86"/>
      <c r="L22" s="86"/>
    </row>
    <row r="23" spans="11:21" x14ac:dyDescent="0.25">
      <c r="K23" s="86"/>
      <c r="L23" s="86"/>
    </row>
    <row r="24" spans="11:21" x14ac:dyDescent="0.25">
      <c r="K24" s="86"/>
      <c r="L24" s="86"/>
    </row>
    <row r="25" spans="11:21" x14ac:dyDescent="0.25">
      <c r="K25" s="86"/>
      <c r="L25" s="86"/>
    </row>
    <row r="26" spans="11:21" x14ac:dyDescent="0.25">
      <c r="K26" s="86"/>
      <c r="L26" s="86"/>
    </row>
    <row r="27" spans="11:21" x14ac:dyDescent="0.25">
      <c r="K27" s="86"/>
      <c r="L27" s="86"/>
    </row>
    <row r="28" spans="11:21" x14ac:dyDescent="0.25">
      <c r="K28" s="86"/>
      <c r="L28" s="86"/>
    </row>
    <row r="29" spans="11:21" x14ac:dyDescent="0.25">
      <c r="K29" s="86"/>
      <c r="L29" s="86"/>
    </row>
    <row r="30" spans="11:21" x14ac:dyDescent="0.25">
      <c r="K30" s="86"/>
      <c r="L30" s="86"/>
    </row>
    <row r="31" spans="11:21" x14ac:dyDescent="0.25">
      <c r="K31" s="86"/>
      <c r="L31" s="86"/>
    </row>
    <row r="32" spans="11:21" x14ac:dyDescent="0.25">
      <c r="K32" s="86"/>
      <c r="L32" s="86"/>
    </row>
    <row r="33" spans="11:12" x14ac:dyDescent="0.25">
      <c r="K33" s="86"/>
      <c r="L33" s="86"/>
    </row>
    <row r="34" spans="11:12" x14ac:dyDescent="0.25">
      <c r="K34" s="86"/>
      <c r="L34" s="86"/>
    </row>
    <row r="35" spans="11:12" x14ac:dyDescent="0.25">
      <c r="K35" s="86"/>
      <c r="L35" s="86"/>
    </row>
    <row r="36" spans="11:12" x14ac:dyDescent="0.25">
      <c r="K36" s="86"/>
      <c r="L36" s="86"/>
    </row>
    <row r="37" spans="11:12" x14ac:dyDescent="0.25">
      <c r="K37" s="86"/>
      <c r="L37" s="86"/>
    </row>
    <row r="38" spans="11:12" x14ac:dyDescent="0.25">
      <c r="K38" s="86"/>
      <c r="L38" s="86"/>
    </row>
    <row r="39" spans="11:12" x14ac:dyDescent="0.25">
      <c r="K39" s="86"/>
      <c r="L39" s="86"/>
    </row>
    <row r="63" spans="3:8" x14ac:dyDescent="0.25">
      <c r="D63" s="7" t="s">
        <v>22</v>
      </c>
      <c r="E63" s="7" t="s">
        <v>23</v>
      </c>
    </row>
    <row r="64" spans="3:8" ht="16.5" x14ac:dyDescent="0.3">
      <c r="C64" s="7" t="s">
        <v>51</v>
      </c>
      <c r="D64" s="13">
        <f>SLOPE(Q4:Q15,I4:I15)</f>
        <v>9.2931375145847278E-9</v>
      </c>
      <c r="E64" s="18">
        <f>INTERCEPT(Q4:Q15,I4:I15)</f>
        <v>-1.2025435009378245E-6</v>
      </c>
      <c r="G64" s="13">
        <f>I8*D64+E64</f>
        <v>3.7264330778428698E-7</v>
      </c>
      <c r="H64" s="71">
        <f>G64/G68</f>
        <v>2.6670606082363981E-3</v>
      </c>
    </row>
    <row r="65" spans="2:27" ht="16.5" x14ac:dyDescent="0.3">
      <c r="C65" s="7" t="s">
        <v>52</v>
      </c>
      <c r="D65" s="13">
        <f>SLOPE(S4:S15,J4:J15)</f>
        <v>1.0570041356040745E-8</v>
      </c>
      <c r="E65" s="18">
        <f>INTERCEPT(S4:S15,J4:J15)</f>
        <v>8.5741101524284549E-7</v>
      </c>
      <c r="G65" s="13">
        <f>J8*D65+E65</f>
        <v>2.6970698185341506E-5</v>
      </c>
      <c r="H65" s="71">
        <f>G65/G68</f>
        <v>0.19303308339136196</v>
      </c>
    </row>
    <row r="66" spans="2:27" ht="16.5" x14ac:dyDescent="0.3">
      <c r="C66" s="7" t="s">
        <v>53</v>
      </c>
      <c r="D66" s="13">
        <f>SLOPE(T4:T16,K4:K16)</f>
        <v>7.5660438020535359E-9</v>
      </c>
      <c r="E66" s="18">
        <f>INTERCEPT(T4:T16,K4:K16)</f>
        <v>3.6500619695228095E-7</v>
      </c>
      <c r="G66" s="13">
        <f>K8*D66+E66</f>
        <v>1.1237725826883407E-4</v>
      </c>
      <c r="H66" s="71">
        <f>G66/G68</f>
        <v>0.80429985600040166</v>
      </c>
    </row>
    <row r="68" spans="2:27" x14ac:dyDescent="0.25">
      <c r="G68" s="13">
        <f>SUM(G64:G66)</f>
        <v>1.3972059976195985E-4</v>
      </c>
    </row>
    <row r="71" spans="2:27" ht="41.25" customHeight="1" x14ac:dyDescent="0.25">
      <c r="B71" s="9" t="s">
        <v>35</v>
      </c>
      <c r="C71" s="9" t="s">
        <v>36</v>
      </c>
      <c r="D71" s="9" t="s">
        <v>37</v>
      </c>
      <c r="E71" s="9" t="s">
        <v>68</v>
      </c>
      <c r="F71" s="9" t="s">
        <v>38</v>
      </c>
      <c r="G71" s="93" t="s">
        <v>39</v>
      </c>
      <c r="H71" s="9"/>
      <c r="I71" s="10" t="s">
        <v>40</v>
      </c>
      <c r="J71" s="9" t="s">
        <v>41</v>
      </c>
      <c r="K71" s="11" t="s">
        <v>42</v>
      </c>
      <c r="M71" s="87"/>
      <c r="N71" s="87"/>
      <c r="O71" s="87"/>
      <c r="Q71" s="9" t="s">
        <v>46</v>
      </c>
      <c r="R71" s="9"/>
      <c r="S71" s="9" t="s">
        <v>47</v>
      </c>
      <c r="T71" s="9" t="s">
        <v>48</v>
      </c>
      <c r="U71" s="9" t="s">
        <v>74</v>
      </c>
      <c r="V71" s="7" t="s">
        <v>104</v>
      </c>
      <c r="W71" s="9" t="s">
        <v>71</v>
      </c>
      <c r="X71" s="9" t="s">
        <v>72</v>
      </c>
      <c r="Y71" s="9" t="s">
        <v>73</v>
      </c>
      <c r="Z71" s="87"/>
      <c r="AA71" s="106" t="s">
        <v>100</v>
      </c>
    </row>
    <row r="72" spans="2:27" x14ac:dyDescent="0.25">
      <c r="C72" s="7" t="s">
        <v>83</v>
      </c>
      <c r="G72" s="94"/>
      <c r="Q72" s="13"/>
      <c r="R72" s="13"/>
      <c r="S72" s="13"/>
      <c r="T72" s="13"/>
      <c r="U72" s="13"/>
      <c r="V72" s="7">
        <v>0</v>
      </c>
      <c r="W72" s="71">
        <v>0</v>
      </c>
      <c r="X72" s="71">
        <v>0</v>
      </c>
      <c r="Y72" s="71">
        <v>0</v>
      </c>
      <c r="Z72" s="71"/>
      <c r="AA72" s="19"/>
    </row>
    <row r="73" spans="2:27" x14ac:dyDescent="0.25">
      <c r="C73" s="7" t="s">
        <v>90</v>
      </c>
      <c r="D73" s="7">
        <v>0.25</v>
      </c>
      <c r="E73" s="7">
        <v>0.05</v>
      </c>
      <c r="F73" s="7">
        <v>14.46</v>
      </c>
      <c r="G73" s="94">
        <f t="shared" ref="G73:G78" si="18">((D73/1000)*(F73-E73))/(0.082057338*(30+273.15))</f>
        <v>1.4482014997100961E-4</v>
      </c>
      <c r="I73" s="7">
        <v>4046.2</v>
      </c>
      <c r="J73" s="7">
        <v>9749.9</v>
      </c>
      <c r="K73" s="7">
        <v>6.9</v>
      </c>
      <c r="Q73" s="13">
        <f t="shared" ref="Q73:Q83" si="19">I73*$D$64+$E$64</f>
        <v>3.6399349510574902E-5</v>
      </c>
      <c r="R73" s="13"/>
      <c r="S73" s="13">
        <f t="shared" ref="S73:S83" si="20">J73*$D$65+$E$65</f>
        <v>1.039142572325045E-4</v>
      </c>
      <c r="T73" s="13">
        <f t="shared" ref="T73:T83" si="21">K73*$D$66+$E$66</f>
        <v>4.1721189918645034E-7</v>
      </c>
      <c r="U73" s="13">
        <f t="shared" ref="U73:U83" si="22">SUM(Q73,S73,T73)</f>
        <v>1.4073081864226586E-4</v>
      </c>
      <c r="V73" s="7">
        <v>0.1</v>
      </c>
      <c r="W73" s="71">
        <f t="shared" ref="W73:W83" si="23">Q73/$U73</f>
        <v>0.25864519130739316</v>
      </c>
      <c r="X73" s="71">
        <f t="shared" ref="X73:X83" si="24">S73/$U73</f>
        <v>0.73839019935393024</v>
      </c>
      <c r="Y73" s="71">
        <f t="shared" ref="Y73:Y83" si="25">T73/$U73</f>
        <v>2.9646093386765005E-3</v>
      </c>
      <c r="Z73" s="71"/>
      <c r="AA73" s="19">
        <f t="shared" ref="AA73:AA83" si="26">(U73-G73)/(G73)</f>
        <v>-2.8237309031666907E-2</v>
      </c>
    </row>
    <row r="74" spans="2:27" x14ac:dyDescent="0.25">
      <c r="C74" s="7" t="s">
        <v>91</v>
      </c>
      <c r="D74" s="7">
        <v>0.25</v>
      </c>
      <c r="E74" s="7">
        <v>0.05</v>
      </c>
      <c r="F74" s="7">
        <v>14.46</v>
      </c>
      <c r="G74" s="94">
        <f t="shared" si="18"/>
        <v>1.4482014997100961E-4</v>
      </c>
      <c r="I74" s="7">
        <v>3931</v>
      </c>
      <c r="J74" s="7">
        <v>9507</v>
      </c>
      <c r="K74" s="7">
        <v>5.6</v>
      </c>
      <c r="Q74" s="13">
        <f t="shared" si="19"/>
        <v>3.5328780068894738E-5</v>
      </c>
      <c r="R74" s="13"/>
      <c r="S74" s="13">
        <f t="shared" si="20"/>
        <v>1.0134679418712221E-4</v>
      </c>
      <c r="T74" s="13">
        <f t="shared" si="21"/>
        <v>4.0737604224378077E-7</v>
      </c>
      <c r="U74" s="13">
        <f t="shared" si="22"/>
        <v>1.3708295029826072E-4</v>
      </c>
      <c r="V74" s="7">
        <v>0.2</v>
      </c>
      <c r="W74" s="71">
        <f t="shared" si="23"/>
        <v>0.25771826468592557</v>
      </c>
      <c r="X74" s="71">
        <f t="shared" si="24"/>
        <v>0.7393099868846934</v>
      </c>
      <c r="Y74" s="71">
        <f t="shared" si="25"/>
        <v>2.9717484293810786E-3</v>
      </c>
      <c r="Z74" s="71"/>
      <c r="AA74" s="19">
        <f t="shared" si="26"/>
        <v>-5.3426264744911078E-2</v>
      </c>
    </row>
    <row r="75" spans="2:27" x14ac:dyDescent="0.25">
      <c r="C75" s="7" t="s">
        <v>86</v>
      </c>
      <c r="D75" s="7">
        <v>0.25</v>
      </c>
      <c r="E75" s="7">
        <v>0.05</v>
      </c>
      <c r="F75" s="7">
        <v>14.54</v>
      </c>
      <c r="G75" s="94">
        <f t="shared" si="18"/>
        <v>1.4562414802775359E-4</v>
      </c>
      <c r="I75" s="7">
        <v>4046.2</v>
      </c>
      <c r="J75" s="7">
        <v>9750</v>
      </c>
      <c r="K75" s="7">
        <v>7</v>
      </c>
      <c r="Q75" s="13">
        <f t="shared" si="19"/>
        <v>3.6399349510574902E-5</v>
      </c>
      <c r="R75" s="13"/>
      <c r="S75" s="13">
        <f t="shared" si="20"/>
        <v>1.0391531423664011E-4</v>
      </c>
      <c r="T75" s="13">
        <f t="shared" si="21"/>
        <v>4.1796850356665567E-7</v>
      </c>
      <c r="U75" s="13">
        <f t="shared" si="22"/>
        <v>1.4073263225078167E-4</v>
      </c>
      <c r="V75" s="7">
        <v>0.3</v>
      </c>
      <c r="W75" s="71">
        <f t="shared" si="23"/>
        <v>0.25864185817055041</v>
      </c>
      <c r="X75" s="71">
        <f t="shared" si="24"/>
        <v>0.73838819451245596</v>
      </c>
      <c r="Y75" s="71">
        <f t="shared" si="25"/>
        <v>2.9699473169935977E-3</v>
      </c>
      <c r="Z75" s="71"/>
      <c r="AA75" s="19">
        <f t="shared" si="26"/>
        <v>-3.3590004427285471E-2</v>
      </c>
    </row>
    <row r="76" spans="2:27" x14ac:dyDescent="0.25">
      <c r="C76" s="7" t="s">
        <v>92</v>
      </c>
      <c r="D76" s="7">
        <v>0.25</v>
      </c>
      <c r="E76" s="7">
        <v>0.05</v>
      </c>
      <c r="F76" s="7">
        <v>14.42</v>
      </c>
      <c r="G76" s="94">
        <f t="shared" si="18"/>
        <v>1.4441815094263762E-4</v>
      </c>
      <c r="I76" s="7">
        <v>12829.6</v>
      </c>
      <c r="J76" s="7">
        <v>1051.2</v>
      </c>
      <c r="K76" s="7">
        <v>2878.1</v>
      </c>
      <c r="Q76" s="13">
        <f t="shared" si="19"/>
        <v>1.180246935561784E-4</v>
      </c>
      <c r="R76" s="13"/>
      <c r="S76" s="13">
        <f t="shared" si="20"/>
        <v>1.1968638488712877E-5</v>
      </c>
      <c r="T76" s="13">
        <f t="shared" si="21"/>
        <v>2.214083686364256E-5</v>
      </c>
      <c r="U76" s="13">
        <f t="shared" si="22"/>
        <v>1.5213416890853384E-4</v>
      </c>
      <c r="V76" s="7">
        <v>0.4</v>
      </c>
      <c r="W76" s="71">
        <f t="shared" si="23"/>
        <v>0.77579346180368758</v>
      </c>
      <c r="X76" s="71">
        <f t="shared" si="24"/>
        <v>7.8671600039493209E-2</v>
      </c>
      <c r="Y76" s="71">
        <f t="shared" si="25"/>
        <v>0.1455349381568192</v>
      </c>
      <c r="Z76" s="71"/>
      <c r="AA76" s="19">
        <f t="shared" si="26"/>
        <v>5.3428311576714439E-2</v>
      </c>
    </row>
    <row r="77" spans="2:27" s="92" customFormat="1" x14ac:dyDescent="0.25">
      <c r="B77" s="89"/>
      <c r="C77" s="7" t="s">
        <v>93</v>
      </c>
      <c r="D77" s="7">
        <v>0.25</v>
      </c>
      <c r="E77" s="7">
        <v>0.05</v>
      </c>
      <c r="F77" s="7">
        <v>14.47</v>
      </c>
      <c r="G77" s="94">
        <f t="shared" si="18"/>
        <v>1.4492064972810261E-4</v>
      </c>
      <c r="H77" s="7"/>
      <c r="I77" s="7">
        <v>13681.8</v>
      </c>
      <c r="J77" s="7">
        <v>1611.8</v>
      </c>
      <c r="K77" s="7">
        <v>3655.5</v>
      </c>
      <c r="L77" s="89"/>
      <c r="M77" s="89"/>
      <c r="N77" s="89"/>
      <c r="O77" s="89"/>
      <c r="P77" s="89"/>
      <c r="Q77" s="13">
        <f t="shared" si="19"/>
        <v>1.2594430534610751E-4</v>
      </c>
      <c r="R77" s="13"/>
      <c r="S77" s="13">
        <f t="shared" si="20"/>
        <v>1.7894203672909316E-5</v>
      </c>
      <c r="T77" s="13">
        <f t="shared" si="21"/>
        <v>2.802267931535898E-5</v>
      </c>
      <c r="U77" s="13">
        <f t="shared" si="22"/>
        <v>1.718611883343758E-4</v>
      </c>
      <c r="V77" s="7">
        <v>0.5</v>
      </c>
      <c r="W77" s="71">
        <f t="shared" si="23"/>
        <v>0.73282575645333203</v>
      </c>
      <c r="X77" s="71">
        <f t="shared" si="24"/>
        <v>0.10412009742475466</v>
      </c>
      <c r="Y77" s="71">
        <f t="shared" si="25"/>
        <v>0.16305414612191332</v>
      </c>
      <c r="Z77" s="71"/>
      <c r="AA77" s="19">
        <f t="shared" si="26"/>
        <v>0.18589854970163691</v>
      </c>
    </row>
    <row r="78" spans="2:27" x14ac:dyDescent="0.25">
      <c r="C78" s="7" t="s">
        <v>94</v>
      </c>
      <c r="D78" s="7">
        <v>0.25</v>
      </c>
      <c r="E78" s="7">
        <v>0.05</v>
      </c>
      <c r="F78" s="7">
        <v>14.51</v>
      </c>
      <c r="G78" s="94">
        <f t="shared" si="18"/>
        <v>1.453226487564746E-4</v>
      </c>
      <c r="I78" s="7">
        <v>12852</v>
      </c>
      <c r="J78" s="7">
        <v>992</v>
      </c>
      <c r="K78" s="7">
        <v>2375.3000000000002</v>
      </c>
      <c r="Q78" s="13">
        <f t="shared" si="19"/>
        <v>1.182328598365051E-4</v>
      </c>
      <c r="R78" s="13"/>
      <c r="S78" s="13">
        <f t="shared" si="20"/>
        <v>1.1342892040435265E-5</v>
      </c>
      <c r="T78" s="13">
        <f t="shared" si="21"/>
        <v>1.8336630039970047E-5</v>
      </c>
      <c r="U78" s="13">
        <f t="shared" si="22"/>
        <v>1.4791238191691041E-4</v>
      </c>
      <c r="V78" s="7">
        <v>0.6</v>
      </c>
      <c r="W78" s="71">
        <f t="shared" si="23"/>
        <v>0.79934389740895562</v>
      </c>
      <c r="X78" s="71">
        <f t="shared" si="24"/>
        <v>7.6686561959411342E-2</v>
      </c>
      <c r="Y78" s="71">
        <f t="shared" si="25"/>
        <v>0.12396954063163303</v>
      </c>
      <c r="Z78" s="71"/>
      <c r="AA78" s="19">
        <f t="shared" si="26"/>
        <v>1.782057499361699E-2</v>
      </c>
    </row>
    <row r="79" spans="2:27" x14ac:dyDescent="0.25">
      <c r="B79" s="89"/>
      <c r="C79" s="7" t="s">
        <v>96</v>
      </c>
      <c r="D79" s="7">
        <v>0.25</v>
      </c>
      <c r="E79" s="7">
        <v>0.05</v>
      </c>
      <c r="F79" s="7">
        <v>14.49</v>
      </c>
      <c r="G79" s="94">
        <f>((D79/1000)*(F79-E79))/(0.082057338*(32.2+273.15))</f>
        <v>1.4407606997805729E-4</v>
      </c>
      <c r="I79" s="7">
        <v>12499.4</v>
      </c>
      <c r="J79" s="7">
        <v>571.5</v>
      </c>
      <c r="K79" s="7">
        <v>3034.6</v>
      </c>
      <c r="L79" s="89"/>
      <c r="M79" s="89"/>
      <c r="N79" s="89"/>
      <c r="O79" s="89"/>
      <c r="P79" s="89"/>
      <c r="Q79" s="13">
        <f t="shared" si="19"/>
        <v>1.1495609954886252E-4</v>
      </c>
      <c r="R79" s="13"/>
      <c r="S79" s="13">
        <f t="shared" si="20"/>
        <v>6.898189650220131E-6</v>
      </c>
      <c r="T79" s="13">
        <f t="shared" si="21"/>
        <v>2.332492271866394E-5</v>
      </c>
      <c r="U79" s="13">
        <f t="shared" si="22"/>
        <v>1.4517921191774659E-4</v>
      </c>
      <c r="V79" s="7">
        <v>0.7</v>
      </c>
      <c r="W79" s="71">
        <f t="shared" si="23"/>
        <v>0.79182203864002643</v>
      </c>
      <c r="X79" s="71">
        <f t="shared" si="24"/>
        <v>4.7514995839269339E-2</v>
      </c>
      <c r="Y79" s="71">
        <f t="shared" si="25"/>
        <v>0.16066296552070428</v>
      </c>
      <c r="Z79" s="71"/>
      <c r="AA79" s="19">
        <f t="shared" si="26"/>
        <v>7.6566631770099295E-3</v>
      </c>
    </row>
    <row r="80" spans="2:27" x14ac:dyDescent="0.25">
      <c r="C80" s="7" t="s">
        <v>95</v>
      </c>
      <c r="D80" s="7">
        <v>0.25</v>
      </c>
      <c r="E80" s="7">
        <v>0.04</v>
      </c>
      <c r="F80" s="7">
        <v>14.42</v>
      </c>
      <c r="G80" s="94">
        <f t="shared" ref="G80:G85" si="27">((D80/1000)*(F80-E80))/(0.082057338*(30+273.15))</f>
        <v>1.4451865069973062E-4</v>
      </c>
      <c r="I80" s="87">
        <v>2992.7</v>
      </c>
      <c r="J80" s="17">
        <v>10337.700000000001</v>
      </c>
      <c r="K80" s="17">
        <v>195.7</v>
      </c>
      <c r="Q80" s="13">
        <f t="shared" si="19"/>
        <v>2.660902913895989E-5</v>
      </c>
      <c r="R80" s="13"/>
      <c r="S80" s="13">
        <f t="shared" si="20"/>
        <v>1.1012732754158526E-4</v>
      </c>
      <c r="T80" s="13">
        <f t="shared" si="21"/>
        <v>1.8456809690141578E-6</v>
      </c>
      <c r="U80" s="13">
        <f t="shared" si="22"/>
        <v>1.385820376495593E-4</v>
      </c>
      <c r="V80" s="7">
        <v>8</v>
      </c>
      <c r="W80" s="71">
        <f t="shared" si="23"/>
        <v>0.19200922132670423</v>
      </c>
      <c r="X80" s="71">
        <f t="shared" si="24"/>
        <v>0.79467245113014451</v>
      </c>
      <c r="Y80" s="71">
        <f t="shared" si="25"/>
        <v>1.3318327543151312E-2</v>
      </c>
      <c r="Z80" s="71"/>
      <c r="AA80" s="19">
        <f t="shared" si="26"/>
        <v>-4.1078525307477021E-2</v>
      </c>
    </row>
    <row r="81" spans="2:28" x14ac:dyDescent="0.25">
      <c r="C81" s="7" t="s">
        <v>97</v>
      </c>
      <c r="D81" s="7">
        <v>0.25</v>
      </c>
      <c r="E81" s="7">
        <v>0.05</v>
      </c>
      <c r="F81" s="7">
        <v>14.53</v>
      </c>
      <c r="G81" s="94">
        <f t="shared" si="27"/>
        <v>1.4552364827066059E-4</v>
      </c>
      <c r="H81" s="89"/>
      <c r="I81" s="7">
        <v>183</v>
      </c>
      <c r="J81" s="7">
        <v>2614</v>
      </c>
      <c r="K81" s="7">
        <v>15613</v>
      </c>
      <c r="Q81" s="13">
        <f t="shared" si="19"/>
        <v>4.9810066423118072E-7</v>
      </c>
      <c r="R81" s="13"/>
      <c r="S81" s="13">
        <f t="shared" si="20"/>
        <v>2.8487499119933352E-5</v>
      </c>
      <c r="T81" s="13">
        <f t="shared" si="21"/>
        <v>1.1849364807841414E-4</v>
      </c>
      <c r="U81" s="13">
        <f t="shared" si="22"/>
        <v>1.4747924786257866E-4</v>
      </c>
      <c r="V81" s="7">
        <v>9</v>
      </c>
      <c r="W81" s="71">
        <f t="shared" si="23"/>
        <v>3.3774288345660096E-3</v>
      </c>
      <c r="X81" s="71">
        <f t="shared" si="24"/>
        <v>0.19316276379764316</v>
      </c>
      <c r="Y81" s="71">
        <f t="shared" si="25"/>
        <v>0.80345980736779088</v>
      </c>
      <c r="Z81" s="71"/>
      <c r="AA81" s="19">
        <f t="shared" si="26"/>
        <v>1.343836287199752E-2</v>
      </c>
    </row>
    <row r="82" spans="2:28" x14ac:dyDescent="0.25">
      <c r="B82" s="89"/>
      <c r="C82" s="7" t="s">
        <v>98</v>
      </c>
      <c r="D82" s="7">
        <v>0.25</v>
      </c>
      <c r="E82" s="7">
        <v>0.05</v>
      </c>
      <c r="F82" s="7">
        <v>14.59</v>
      </c>
      <c r="G82" s="94">
        <f t="shared" si="27"/>
        <v>1.4612664681321858E-4</v>
      </c>
      <c r="H82" s="89"/>
      <c r="I82" s="7">
        <v>12042</v>
      </c>
      <c r="J82" s="7">
        <v>350</v>
      </c>
      <c r="K82" s="7">
        <v>3120</v>
      </c>
      <c r="Q82" s="13">
        <f t="shared" si="19"/>
        <v>1.1070541844969147E-4</v>
      </c>
      <c r="R82" s="13"/>
      <c r="S82" s="13">
        <f t="shared" si="20"/>
        <v>4.5569254898571058E-6</v>
      </c>
      <c r="T82" s="13">
        <f t="shared" si="21"/>
        <v>2.3971062859359314E-5</v>
      </c>
      <c r="U82" s="13">
        <f t="shared" si="22"/>
        <v>1.392334067989079E-4</v>
      </c>
      <c r="V82" s="7">
        <v>0.8</v>
      </c>
      <c r="W82" s="71">
        <f t="shared" si="23"/>
        <v>0.79510672757997769</v>
      </c>
      <c r="X82" s="71">
        <f t="shared" si="24"/>
        <v>3.2728679090920934E-2</v>
      </c>
      <c r="Y82" s="71">
        <f t="shared" si="25"/>
        <v>0.17216459332910136</v>
      </c>
      <c r="Z82" s="71"/>
      <c r="AA82" s="19">
        <f t="shared" si="26"/>
        <v>-4.7173052722695577E-2</v>
      </c>
    </row>
    <row r="83" spans="2:28" x14ac:dyDescent="0.25">
      <c r="C83" s="7" t="s">
        <v>99</v>
      </c>
      <c r="D83" s="7">
        <v>0.25</v>
      </c>
      <c r="E83" s="7">
        <v>0.05</v>
      </c>
      <c r="F83" s="7">
        <v>14.59</v>
      </c>
      <c r="G83" s="96">
        <f t="shared" si="27"/>
        <v>1.4612664681321858E-4</v>
      </c>
      <c r="I83" s="7">
        <v>12587</v>
      </c>
      <c r="J83" s="7">
        <v>187</v>
      </c>
      <c r="K83" s="7">
        <v>3031</v>
      </c>
      <c r="Q83" s="13">
        <f t="shared" si="19"/>
        <v>1.1577017839514014E-4</v>
      </c>
      <c r="R83" s="13"/>
      <c r="S83" s="13">
        <f t="shared" si="20"/>
        <v>2.8340087488224646E-6</v>
      </c>
      <c r="T83" s="13">
        <f t="shared" si="21"/>
        <v>2.329768496097655E-5</v>
      </c>
      <c r="U83" s="13">
        <f t="shared" si="22"/>
        <v>1.4190187210493915E-4</v>
      </c>
      <c r="V83" s="7">
        <v>0.9</v>
      </c>
      <c r="W83" s="71">
        <f t="shared" si="23"/>
        <v>0.81584673040483835</v>
      </c>
      <c r="X83" s="71">
        <f t="shared" si="24"/>
        <v>1.9971609301437973E-2</v>
      </c>
      <c r="Y83" s="71">
        <f t="shared" si="25"/>
        <v>0.16418166029372372</v>
      </c>
      <c r="Z83" s="71"/>
      <c r="AA83" s="19">
        <f t="shared" si="26"/>
        <v>-2.8911733762560093E-2</v>
      </c>
    </row>
    <row r="84" spans="2:28" x14ac:dyDescent="0.25">
      <c r="B84" s="89"/>
      <c r="C84" s="7" t="s">
        <v>101</v>
      </c>
      <c r="D84" s="7">
        <v>0.25</v>
      </c>
      <c r="G84" s="94">
        <f t="shared" si="27"/>
        <v>0</v>
      </c>
      <c r="Q84" s="90"/>
      <c r="R84" s="90"/>
      <c r="S84" s="90"/>
      <c r="T84" s="90"/>
      <c r="U84" s="90"/>
      <c r="W84" s="91"/>
      <c r="X84" s="91"/>
      <c r="Y84" s="91"/>
      <c r="Z84" s="91"/>
      <c r="AB84" s="90"/>
    </row>
    <row r="85" spans="2:28" x14ac:dyDescent="0.25">
      <c r="C85" s="7" t="s">
        <v>102</v>
      </c>
      <c r="D85" s="7">
        <v>0.25</v>
      </c>
      <c r="G85" s="96">
        <f t="shared" si="27"/>
        <v>0</v>
      </c>
      <c r="Q85" s="13"/>
      <c r="R85" s="13"/>
      <c r="S85" s="13"/>
      <c r="U85" s="13"/>
      <c r="W85" s="71"/>
      <c r="X85" s="71"/>
      <c r="Y85" s="71"/>
      <c r="Z85" s="71"/>
      <c r="AB85" s="13"/>
    </row>
    <row r="86" spans="2:28" x14ac:dyDescent="0.25">
      <c r="C86" s="7" t="s">
        <v>103</v>
      </c>
      <c r="G86" s="96"/>
    </row>
    <row r="87" spans="2:28" x14ac:dyDescent="0.25">
      <c r="G87" s="96"/>
    </row>
    <row r="88" spans="2:28" x14ac:dyDescent="0.25">
      <c r="G88" s="96"/>
    </row>
    <row r="89" spans="2:28" x14ac:dyDescent="0.25">
      <c r="G89" s="96"/>
    </row>
    <row r="90" spans="2:28" x14ac:dyDescent="0.25">
      <c r="G90" s="96"/>
    </row>
    <row r="91" spans="2:28" x14ac:dyDescent="0.25">
      <c r="G91" s="96"/>
    </row>
    <row r="92" spans="2:28" x14ac:dyDescent="0.25">
      <c r="G92" s="96"/>
    </row>
    <row r="93" spans="2:28" x14ac:dyDescent="0.25">
      <c r="G93" s="96"/>
    </row>
    <row r="94" spans="2:28" x14ac:dyDescent="0.25">
      <c r="G94" s="96"/>
    </row>
    <row r="95" spans="2:28" x14ac:dyDescent="0.25">
      <c r="G95" s="96"/>
    </row>
    <row r="96" spans="2:28" x14ac:dyDescent="0.25">
      <c r="G96" s="96"/>
    </row>
    <row r="97" spans="7:7" x14ac:dyDescent="0.25">
      <c r="G97" s="96"/>
    </row>
    <row r="98" spans="7:7" x14ac:dyDescent="0.25">
      <c r="G98" s="96"/>
    </row>
    <row r="99" spans="7:7" x14ac:dyDescent="0.25">
      <c r="G99" s="96"/>
    </row>
    <row r="100" spans="7:7" x14ac:dyDescent="0.25">
      <c r="G100" s="96"/>
    </row>
    <row r="101" spans="7:7" x14ac:dyDescent="0.25">
      <c r="G101" s="96"/>
    </row>
    <row r="102" spans="7:7" x14ac:dyDescent="0.25">
      <c r="G102" s="96"/>
    </row>
    <row r="103" spans="7:7" x14ac:dyDescent="0.25">
      <c r="G103" s="96"/>
    </row>
    <row r="104" spans="7:7" x14ac:dyDescent="0.25">
      <c r="G104" s="96"/>
    </row>
    <row r="105" spans="7:7" x14ac:dyDescent="0.25">
      <c r="G105" s="96"/>
    </row>
    <row r="106" spans="7:7" x14ac:dyDescent="0.25">
      <c r="G106" s="96"/>
    </row>
    <row r="107" spans="7:7" x14ac:dyDescent="0.25">
      <c r="G107" s="96"/>
    </row>
    <row r="108" spans="7:7" x14ac:dyDescent="0.25">
      <c r="G108" s="96"/>
    </row>
    <row r="109" spans="7:7" x14ac:dyDescent="0.25">
      <c r="G109" s="96"/>
    </row>
    <row r="110" spans="7:7" x14ac:dyDescent="0.25">
      <c r="G110" s="96"/>
    </row>
    <row r="111" spans="7:7" x14ac:dyDescent="0.25">
      <c r="G111" s="96"/>
    </row>
    <row r="112" spans="7:7" x14ac:dyDescent="0.25">
      <c r="G112" s="9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8"/>
  <sheetViews>
    <sheetView topLeftCell="C11" workbookViewId="0">
      <selection activeCell="E79" sqref="E79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9.5703125" style="7" bestFit="1" customWidth="1"/>
    <col min="9" max="9" width="18.28515625" style="7" bestFit="1" customWidth="1"/>
    <col min="10" max="10" width="18.28515625" style="7" customWidth="1"/>
    <col min="11" max="11" width="18.7109375" style="7" bestFit="1" customWidth="1"/>
    <col min="12" max="12" width="19.7109375" style="7" bestFit="1" customWidth="1"/>
    <col min="13" max="13" width="4.7109375" style="7" customWidth="1"/>
    <col min="14" max="16" width="7.42578125" style="7" customWidth="1"/>
    <col min="17" max="17" width="4.42578125" style="7" customWidth="1"/>
    <col min="18" max="18" width="14" style="7" bestFit="1" customWidth="1"/>
    <col min="19" max="19" width="16.7109375" style="7" bestFit="1" customWidth="1"/>
    <col min="20" max="20" width="16.7109375" style="7" customWidth="1"/>
    <col min="21" max="21" width="14.42578125" style="7" bestFit="1" customWidth="1"/>
    <col min="22" max="22" width="14" style="7" bestFit="1" customWidth="1"/>
    <col min="23" max="23" width="14.42578125" style="7" bestFit="1" customWidth="1"/>
    <col min="24" max="24" width="9.140625" style="7"/>
    <col min="25" max="26" width="10.140625" style="7" bestFit="1" customWidth="1"/>
    <col min="27" max="27" width="10.42578125" style="7" bestFit="1" customWidth="1"/>
    <col min="28" max="28" width="10.28515625" style="7" customWidth="1"/>
    <col min="29" max="29" width="9.140625" style="7"/>
    <col min="30" max="30" width="22.42578125" style="7" bestFit="1" customWidth="1"/>
    <col min="31" max="16384" width="9.140625" style="7"/>
  </cols>
  <sheetData>
    <row r="1" spans="1:23" x14ac:dyDescent="0.25">
      <c r="L1" s="8"/>
    </row>
    <row r="2" spans="1:23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10"/>
      <c r="K2" s="9" t="s">
        <v>41</v>
      </c>
      <c r="L2" s="11" t="s">
        <v>42</v>
      </c>
      <c r="N2" s="9" t="s">
        <v>43</v>
      </c>
      <c r="O2" s="9" t="s">
        <v>44</v>
      </c>
      <c r="P2" s="9" t="s">
        <v>45</v>
      </c>
      <c r="R2" s="9" t="s">
        <v>46</v>
      </c>
      <c r="S2" s="9"/>
      <c r="T2" s="9"/>
      <c r="U2" s="9" t="s">
        <v>47</v>
      </c>
      <c r="V2" s="9" t="s">
        <v>48</v>
      </c>
      <c r="W2" s="88"/>
    </row>
    <row r="3" spans="1:23" x14ac:dyDescent="0.25">
      <c r="C3" s="7" t="s">
        <v>49</v>
      </c>
      <c r="D3" s="7">
        <v>0.25</v>
      </c>
      <c r="E3" s="12"/>
      <c r="F3" s="12"/>
      <c r="G3" s="13">
        <f>((D3/1000)*(F3-E3))/(0.082057338*(27.55+273.15))</f>
        <v>0</v>
      </c>
      <c r="I3" s="12">
        <v>8</v>
      </c>
      <c r="J3" s="12"/>
      <c r="K3" s="14" t="s">
        <v>64</v>
      </c>
      <c r="L3" s="15" t="s">
        <v>64</v>
      </c>
    </row>
    <row r="4" spans="1:23" x14ac:dyDescent="0.25">
      <c r="A4" s="70">
        <v>1</v>
      </c>
      <c r="B4" s="51">
        <v>1</v>
      </c>
      <c r="C4" s="52" t="s">
        <v>67</v>
      </c>
      <c r="D4" s="51">
        <v>0.25</v>
      </c>
      <c r="E4" s="52">
        <v>0.04</v>
      </c>
      <c r="F4" s="52">
        <v>16.2</v>
      </c>
      <c r="G4" s="53">
        <f>((D4/1000)*(F4-E4))/(0.082057338*(110+273.15))</f>
        <v>1.2849762808871579E-4</v>
      </c>
      <c r="H4" s="51"/>
      <c r="I4" s="52">
        <v>2901.1</v>
      </c>
      <c r="J4" s="52"/>
      <c r="K4" s="54">
        <v>10005.799999999999</v>
      </c>
      <c r="L4" s="55">
        <v>193.8</v>
      </c>
      <c r="M4" s="51"/>
      <c r="N4" s="56">
        <v>18.170000000000002</v>
      </c>
      <c r="O4" s="51">
        <f>100-(N4+P4)</f>
        <v>80.759999999999991</v>
      </c>
      <c r="P4" s="51">
        <v>1.07</v>
      </c>
      <c r="Q4" s="51"/>
      <c r="R4" s="51">
        <f>$G$4*(N4/100)</f>
        <v>2.3348019023719663E-5</v>
      </c>
      <c r="S4" s="51"/>
      <c r="T4" s="51"/>
      <c r="U4" s="51">
        <f>$G$4*(O4/100)</f>
        <v>1.0377468444444685E-4</v>
      </c>
      <c r="V4" s="51">
        <f>$G$4*(P4/100)</f>
        <v>1.3749246205492591E-6</v>
      </c>
      <c r="W4" s="51"/>
    </row>
    <row r="5" spans="1:23" x14ac:dyDescent="0.25">
      <c r="A5" s="70">
        <v>1</v>
      </c>
      <c r="B5" s="51"/>
      <c r="C5" s="52" t="s">
        <v>67</v>
      </c>
      <c r="D5" s="51">
        <v>0.25</v>
      </c>
      <c r="E5" s="52"/>
      <c r="F5" s="52"/>
      <c r="G5" s="53">
        <f>((D5/1000)*(F5-E5))/(0.082057338*(32.2+273.15))</f>
        <v>0</v>
      </c>
      <c r="H5" s="51"/>
      <c r="I5" s="52"/>
      <c r="J5" s="52"/>
      <c r="K5" s="54"/>
      <c r="L5" s="55"/>
      <c r="M5" s="51"/>
      <c r="N5" s="56">
        <v>18.170000000000002</v>
      </c>
      <c r="O5" s="51">
        <f>100-(N5+P5)</f>
        <v>80.759999999999991</v>
      </c>
      <c r="P5" s="51">
        <v>1.07</v>
      </c>
      <c r="Q5" s="51"/>
      <c r="R5" s="51"/>
      <c r="S5" s="51"/>
      <c r="T5" s="51"/>
      <c r="U5" s="51">
        <f>$G$5*(O5/100)</f>
        <v>0</v>
      </c>
      <c r="V5" s="51">
        <f>$G$5*(P5/100)</f>
        <v>0</v>
      </c>
      <c r="W5" s="51"/>
    </row>
    <row r="6" spans="1:23" x14ac:dyDescent="0.25">
      <c r="A6" s="70">
        <v>2</v>
      </c>
      <c r="B6" s="57">
        <v>2</v>
      </c>
      <c r="C6" s="58" t="s">
        <v>50</v>
      </c>
      <c r="D6" s="57">
        <v>0.25</v>
      </c>
      <c r="E6" s="58">
        <v>0.03</v>
      </c>
      <c r="F6" s="58">
        <v>15.81</v>
      </c>
      <c r="G6" s="59">
        <f>((D6/1000)*(F6-E6))/(0.082057338*(110+273.15))</f>
        <v>1.2547602544801581E-4</v>
      </c>
      <c r="H6" s="57"/>
      <c r="I6" s="58">
        <v>169.5</v>
      </c>
      <c r="J6" s="58"/>
      <c r="K6" s="60">
        <v>2469.5</v>
      </c>
      <c r="L6" s="61">
        <v>14770.3</v>
      </c>
      <c r="M6" s="57"/>
      <c r="N6" s="62">
        <v>1</v>
      </c>
      <c r="O6" s="62">
        <v>19.2</v>
      </c>
      <c r="P6" s="57">
        <f>100-(O6+N6)</f>
        <v>79.8</v>
      </c>
      <c r="Q6" s="57"/>
      <c r="R6" s="57">
        <f>$G$6*(N6/100)</f>
        <v>1.2547602544801581E-6</v>
      </c>
      <c r="S6" s="57"/>
      <c r="T6" s="57"/>
      <c r="U6" s="57">
        <f>$G$6*(O6/100)</f>
        <v>2.4091396886019035E-5</v>
      </c>
      <c r="V6" s="57">
        <f>$G$6*(P6/100)</f>
        <v>1.001298683075166E-4</v>
      </c>
      <c r="W6" s="57"/>
    </row>
    <row r="7" spans="1:23" x14ac:dyDescent="0.25">
      <c r="A7" s="70">
        <v>2</v>
      </c>
      <c r="B7" s="57"/>
      <c r="C7" s="58" t="s">
        <v>50</v>
      </c>
      <c r="D7" s="57">
        <v>0.25</v>
      </c>
      <c r="E7" s="58"/>
      <c r="F7" s="58"/>
      <c r="G7" s="59">
        <f>((D7/1000)*(F7-E7))/(0.082057338*(32.2+273.15))</f>
        <v>0</v>
      </c>
      <c r="H7" s="57"/>
      <c r="I7" s="58"/>
      <c r="J7" s="58"/>
      <c r="K7" s="60"/>
      <c r="L7" s="61"/>
      <c r="M7" s="57"/>
      <c r="N7" s="62">
        <v>1</v>
      </c>
      <c r="O7" s="62">
        <v>19.2</v>
      </c>
      <c r="P7" s="57">
        <f>100-(O7+N7)</f>
        <v>79.8</v>
      </c>
      <c r="Q7" s="57"/>
      <c r="R7" s="57"/>
      <c r="S7" s="57"/>
      <c r="T7" s="57"/>
      <c r="U7" s="57">
        <f>$G$7*(O7/100)</f>
        <v>0</v>
      </c>
      <c r="V7" s="57">
        <f>$G$7*(P7/100)</f>
        <v>0</v>
      </c>
      <c r="W7" s="57"/>
    </row>
    <row r="8" spans="1:23" x14ac:dyDescent="0.25">
      <c r="A8" s="70">
        <v>3</v>
      </c>
      <c r="B8" s="64">
        <v>3</v>
      </c>
      <c r="C8" s="65" t="s">
        <v>65</v>
      </c>
      <c r="D8" s="64">
        <v>0.25</v>
      </c>
      <c r="E8" s="65">
        <v>0.04</v>
      </c>
      <c r="F8" s="65">
        <v>15.18</v>
      </c>
      <c r="G8" s="66">
        <f>((D8/1000)*(F8-E8))/(0.082057338*(110+273.15))</f>
        <v>1.2038701047420527E-4</v>
      </c>
      <c r="H8" s="64"/>
      <c r="I8" s="65">
        <v>11042.8</v>
      </c>
      <c r="J8" s="65"/>
      <c r="K8" s="67">
        <v>115.8</v>
      </c>
      <c r="L8" s="68">
        <v>3131.5</v>
      </c>
      <c r="M8" s="64"/>
      <c r="N8" s="69">
        <f>100-(O8+P8)</f>
        <v>79.989999999999995</v>
      </c>
      <c r="O8" s="69">
        <v>1.01</v>
      </c>
      <c r="P8" s="64">
        <v>19</v>
      </c>
      <c r="Q8" s="64"/>
      <c r="R8" s="97">
        <f>$G$8*(N8/100)</f>
        <v>9.6297569678316784E-5</v>
      </c>
      <c r="S8" s="64"/>
      <c r="T8" s="64"/>
      <c r="U8" s="64">
        <f>$G$8*(O8/100)</f>
        <v>1.2159088057894732E-6</v>
      </c>
      <c r="V8" s="64">
        <f>$G$8*(P8/100)</f>
        <v>2.2873531990099003E-5</v>
      </c>
      <c r="W8" s="64"/>
    </row>
    <row r="9" spans="1:23" x14ac:dyDescent="0.25">
      <c r="A9" s="70">
        <v>3</v>
      </c>
      <c r="B9" s="64"/>
      <c r="C9" s="65" t="s">
        <v>66</v>
      </c>
      <c r="D9" s="64">
        <v>0.25</v>
      </c>
      <c r="E9" s="65"/>
      <c r="F9" s="65"/>
      <c r="G9" s="66">
        <f>((D9/1000)*(F9-E9))/(0.082057338*(32.2+273.15))</f>
        <v>0</v>
      </c>
      <c r="H9" s="64"/>
      <c r="I9" s="65"/>
      <c r="J9" s="65"/>
      <c r="K9" s="67"/>
      <c r="L9" s="68"/>
      <c r="M9" s="64"/>
      <c r="N9" s="69">
        <f>100-(O9+P9)</f>
        <v>79.989999999999995</v>
      </c>
      <c r="O9" s="69">
        <v>1.01</v>
      </c>
      <c r="P9" s="64">
        <v>19</v>
      </c>
      <c r="Q9" s="64"/>
      <c r="R9" s="64"/>
      <c r="S9" s="64"/>
      <c r="T9" s="64"/>
      <c r="U9" s="64">
        <f>$G$9*(O9/100)</f>
        <v>0</v>
      </c>
      <c r="V9" s="64">
        <f>$G$9*(P9/100)</f>
        <v>0</v>
      </c>
      <c r="W9" s="64"/>
    </row>
    <row r="10" spans="1:23" x14ac:dyDescent="0.25">
      <c r="L10" s="86"/>
      <c r="M10" s="86"/>
    </row>
    <row r="11" spans="1:23" x14ac:dyDescent="0.25">
      <c r="L11" s="86"/>
      <c r="M11" s="86"/>
    </row>
    <row r="12" spans="1:23" x14ac:dyDescent="0.25">
      <c r="L12" s="86"/>
      <c r="M12" s="86"/>
    </row>
    <row r="13" spans="1:23" x14ac:dyDescent="0.25">
      <c r="L13" s="86"/>
      <c r="M13" s="86"/>
    </row>
    <row r="14" spans="1:23" x14ac:dyDescent="0.25">
      <c r="L14" s="86"/>
      <c r="M14" s="86"/>
    </row>
    <row r="15" spans="1:23" x14ac:dyDescent="0.25">
      <c r="L15" s="86"/>
      <c r="M15" s="86"/>
    </row>
    <row r="16" spans="1:23" x14ac:dyDescent="0.25">
      <c r="L16" s="86"/>
      <c r="M16" s="86"/>
    </row>
    <row r="17" spans="12:13" x14ac:dyDescent="0.25">
      <c r="L17" s="86"/>
      <c r="M17" s="86"/>
    </row>
    <row r="18" spans="12:13" x14ac:dyDescent="0.25">
      <c r="L18" s="86"/>
      <c r="M18" s="86"/>
    </row>
    <row r="19" spans="12:13" x14ac:dyDescent="0.25">
      <c r="L19" s="86"/>
      <c r="M19" s="86"/>
    </row>
    <row r="20" spans="12:13" x14ac:dyDescent="0.25">
      <c r="L20" s="86"/>
      <c r="M20" s="86"/>
    </row>
    <row r="21" spans="12:13" x14ac:dyDescent="0.25">
      <c r="L21" s="86"/>
      <c r="M21" s="86"/>
    </row>
    <row r="22" spans="12:13" x14ac:dyDescent="0.25">
      <c r="L22" s="86"/>
      <c r="M22" s="86"/>
    </row>
    <row r="23" spans="12:13" x14ac:dyDescent="0.25">
      <c r="L23" s="86"/>
      <c r="M23" s="86"/>
    </row>
    <row r="24" spans="12:13" x14ac:dyDescent="0.25">
      <c r="L24" s="86"/>
      <c r="M24" s="86"/>
    </row>
    <row r="25" spans="12:13" x14ac:dyDescent="0.25">
      <c r="L25" s="86"/>
      <c r="M25" s="86"/>
    </row>
    <row r="26" spans="12:13" x14ac:dyDescent="0.25">
      <c r="L26" s="86"/>
      <c r="M26" s="86"/>
    </row>
    <row r="27" spans="12:13" x14ac:dyDescent="0.25">
      <c r="L27" s="86"/>
      <c r="M27" s="86"/>
    </row>
    <row r="28" spans="12:13" x14ac:dyDescent="0.25">
      <c r="L28" s="86"/>
      <c r="M28" s="86"/>
    </row>
    <row r="29" spans="12:13" x14ac:dyDescent="0.25">
      <c r="L29" s="86"/>
      <c r="M29" s="86"/>
    </row>
    <row r="30" spans="12:13" x14ac:dyDescent="0.25">
      <c r="L30" s="86"/>
      <c r="M30" s="86"/>
    </row>
    <row r="31" spans="12:13" x14ac:dyDescent="0.25">
      <c r="L31" s="86"/>
      <c r="M31" s="86"/>
    </row>
    <row r="32" spans="12:13" x14ac:dyDescent="0.25">
      <c r="L32" s="86"/>
      <c r="M32" s="86"/>
    </row>
    <row r="33" spans="12:13" x14ac:dyDescent="0.25">
      <c r="L33" s="86"/>
      <c r="M33" s="86"/>
    </row>
    <row r="34" spans="12:13" x14ac:dyDescent="0.25">
      <c r="L34" s="86"/>
      <c r="M34" s="86"/>
    </row>
    <row r="54" spans="2:30" x14ac:dyDescent="0.25">
      <c r="D54" s="7" t="s">
        <v>22</v>
      </c>
      <c r="E54" s="7" t="s">
        <v>23</v>
      </c>
    </row>
    <row r="55" spans="2:30" ht="16.5" x14ac:dyDescent="0.3">
      <c r="C55" s="7" t="s">
        <v>51</v>
      </c>
      <c r="D55" s="13">
        <f>SLOPE(R4:R9,I4:I9)</f>
        <v>8.7911951325239957E-9</v>
      </c>
      <c r="E55" s="18">
        <f>INTERCEPT(R4:R9,I4:I9)</f>
        <v>-1.0577681422825153E-6</v>
      </c>
      <c r="G55" s="13">
        <f>I6*D55+E55</f>
        <v>4.323394326803021E-7</v>
      </c>
      <c r="H55" s="71">
        <f>G55/G59</f>
        <v>3.4372368458653224E-3</v>
      </c>
    </row>
    <row r="56" spans="2:30" ht="16.5" x14ac:dyDescent="0.3">
      <c r="C56" s="7" t="s">
        <v>52</v>
      </c>
      <c r="D56" s="13">
        <f>SLOPE(U4:U9,K4:K9)</f>
        <v>1.0419532860381005E-8</v>
      </c>
      <c r="E56" s="18">
        <f>INTERCEPT(U4:U9,K4:K9)</f>
        <v>-7.0379668736264306E-7</v>
      </c>
      <c r="G56" s="13">
        <f>K6*D56+E56</f>
        <v>2.502723971134825E-5</v>
      </c>
      <c r="H56" s="71">
        <f>G56/G59</f>
        <v>0.19897456485252352</v>
      </c>
    </row>
    <row r="57" spans="2:30" ht="16.5" x14ac:dyDescent="0.3">
      <c r="C57" s="7" t="s">
        <v>53</v>
      </c>
      <c r="D57" s="13">
        <f>SLOPE(V4:V8,L4:L8)</f>
        <v>6.7359991584294895E-9</v>
      </c>
      <c r="E57" s="18">
        <f>INTERCEPT(V4:V9,L4:L9)</f>
        <v>8.287928489627384E-7</v>
      </c>
      <c r="G57" s="13">
        <f>L6*D57+E57</f>
        <v>1.0032152121871382E-4</v>
      </c>
      <c r="H57" s="71">
        <f>G57/G59</f>
        <v>0.79758819830161121</v>
      </c>
    </row>
    <row r="59" spans="2:30" x14ac:dyDescent="0.25">
      <c r="G59" s="13">
        <f>SUM(G55:G57)</f>
        <v>1.2578110036274236E-4</v>
      </c>
    </row>
    <row r="62" spans="2:30" ht="16.5" x14ac:dyDescent="0.25">
      <c r="B62" s="9" t="s">
        <v>35</v>
      </c>
      <c r="C62" s="9" t="s">
        <v>36</v>
      </c>
      <c r="D62" s="9" t="s">
        <v>37</v>
      </c>
      <c r="E62" s="9" t="s">
        <v>68</v>
      </c>
      <c r="F62" s="9" t="s">
        <v>38</v>
      </c>
      <c r="G62" s="93" t="s">
        <v>39</v>
      </c>
      <c r="H62" s="9"/>
      <c r="I62" s="10" t="s">
        <v>40</v>
      </c>
      <c r="J62" s="10" t="s">
        <v>87</v>
      </c>
      <c r="K62" s="9" t="s">
        <v>41</v>
      </c>
      <c r="L62" s="11" t="s">
        <v>42</v>
      </c>
      <c r="N62" s="87"/>
      <c r="O62" s="87"/>
      <c r="P62" s="87"/>
      <c r="R62" s="9" t="s">
        <v>46</v>
      </c>
      <c r="S62" s="9" t="s">
        <v>78</v>
      </c>
      <c r="T62" s="9" t="s">
        <v>88</v>
      </c>
      <c r="U62" s="9" t="s">
        <v>47</v>
      </c>
      <c r="V62" s="9" t="s">
        <v>48</v>
      </c>
      <c r="W62" s="9" t="s">
        <v>74</v>
      </c>
      <c r="Y62" s="9" t="s">
        <v>71</v>
      </c>
      <c r="Z62" s="9" t="s">
        <v>72</v>
      </c>
      <c r="AA62" s="9" t="s">
        <v>73</v>
      </c>
      <c r="AB62" s="88"/>
    </row>
    <row r="63" spans="2:30" x14ac:dyDescent="0.25">
      <c r="B63" s="7">
        <v>4</v>
      </c>
      <c r="C63" s="7" t="s">
        <v>70</v>
      </c>
      <c r="D63" s="7">
        <v>0.25</v>
      </c>
      <c r="E63" s="7">
        <v>0.04</v>
      </c>
      <c r="F63" s="7">
        <v>14.46</v>
      </c>
      <c r="G63" s="94">
        <f t="shared" ref="G63:G75" si="0">((D63/1000)*(F63-E63))/(0.082057338*(32.2+273.15))</f>
        <v>1.438765186345974E-4</v>
      </c>
      <c r="I63" s="7">
        <v>12974.5</v>
      </c>
      <c r="K63" s="7">
        <v>1501.7</v>
      </c>
      <c r="L63" s="7">
        <v>11.1</v>
      </c>
      <c r="R63" s="13">
        <f t="shared" ref="R63:R75" si="1">I63*$D$55+$E$55</f>
        <v>1.1300359310465007E-4</v>
      </c>
      <c r="S63" s="13">
        <f>R63-AD63</f>
        <v>1.2802974038590459E-4</v>
      </c>
      <c r="T63" s="13"/>
      <c r="U63" s="13">
        <f>K63*$D$56+$E$56</f>
        <v>1.4943215809071513E-5</v>
      </c>
      <c r="V63" s="13">
        <f t="shared" ref="V63:V77" si="2">L63*$D$57+$E$57</f>
        <v>9.0356243962130569E-7</v>
      </c>
      <c r="W63" s="13">
        <f>SUM(R63,U63,V63)</f>
        <v>1.2885037135334289E-4</v>
      </c>
      <c r="Y63" s="71">
        <f>R63/$W63</f>
        <v>0.8770141049478497</v>
      </c>
      <c r="Z63" s="71">
        <f>U63/$W63</f>
        <v>0.11597340117936591</v>
      </c>
      <c r="AA63" s="71">
        <f>V63/$W63</f>
        <v>7.0124938727843542E-3</v>
      </c>
      <c r="AB63" s="71">
        <f>SUM(Y63:AA63)</f>
        <v>1</v>
      </c>
      <c r="AD63" s="13">
        <f>W63-G63</f>
        <v>-1.5026147281254509E-5</v>
      </c>
    </row>
    <row r="64" spans="2:30" x14ac:dyDescent="0.25">
      <c r="B64" s="7">
        <v>5</v>
      </c>
      <c r="C64" s="7" t="s">
        <v>75</v>
      </c>
      <c r="D64" s="7">
        <v>0.25</v>
      </c>
      <c r="E64" s="7">
        <v>0.04</v>
      </c>
      <c r="F64" s="7">
        <v>14.51</v>
      </c>
      <c r="G64" s="94">
        <f t="shared" si="0"/>
        <v>1.4437539699324717E-4</v>
      </c>
      <c r="I64" s="7">
        <v>12892.2</v>
      </c>
      <c r="K64" s="7">
        <v>1549.5</v>
      </c>
      <c r="L64" s="7">
        <v>6.6</v>
      </c>
      <c r="R64" s="13">
        <f t="shared" si="1"/>
        <v>1.1228007774524335E-4</v>
      </c>
      <c r="S64" s="13">
        <f t="shared" ref="S64:S66" si="3">R64-AD64</f>
        <v>1.2806087707004107E-4</v>
      </c>
      <c r="T64" s="13"/>
      <c r="U64" s="13">
        <f>K64*$D$56+$E$56</f>
        <v>1.5441269479797723E-5</v>
      </c>
      <c r="V64" s="13">
        <f t="shared" si="2"/>
        <v>8.7325044340837299E-7</v>
      </c>
      <c r="W64" s="13">
        <f t="shared" ref="W64:W66" si="4">SUM(R64,U64,V64)</f>
        <v>1.2859459766844945E-4</v>
      </c>
      <c r="Y64" s="71">
        <f>S64/$G64</f>
        <v>0.88699930692506301</v>
      </c>
      <c r="Z64" s="71">
        <f t="shared" ref="Z64:AA66" si="5">U64/$G64</f>
        <v>0.1069522217869292</v>
      </c>
      <c r="AA64" s="71">
        <f t="shared" si="5"/>
        <v>6.0484712880077294E-3</v>
      </c>
      <c r="AB64" s="71">
        <f t="shared" ref="AB64:AB66" si="6">SUM(Y64:AA64)</f>
        <v>1</v>
      </c>
      <c r="AD64" s="13">
        <f t="shared" ref="AD64:AD66" si="7">W64-G64</f>
        <v>-1.5780799324797718E-5</v>
      </c>
    </row>
    <row r="65" spans="2:30" x14ac:dyDescent="0.25">
      <c r="B65" s="7">
        <v>6</v>
      </c>
      <c r="C65" s="7" t="s">
        <v>77</v>
      </c>
      <c r="D65" s="7">
        <v>0.25</v>
      </c>
      <c r="E65" s="7">
        <v>0.04</v>
      </c>
      <c r="F65" s="7">
        <v>14.46</v>
      </c>
      <c r="G65" s="94">
        <f t="shared" si="0"/>
        <v>1.438765186345974E-4</v>
      </c>
      <c r="I65" s="7">
        <v>13022.5</v>
      </c>
      <c r="K65" s="7">
        <v>1294.5</v>
      </c>
      <c r="L65" s="7">
        <v>5.5</v>
      </c>
      <c r="R65" s="13">
        <f t="shared" si="1"/>
        <v>1.1342557047101122E-4</v>
      </c>
      <c r="S65" s="13">
        <f t="shared" si="3"/>
        <v>1.3022638918986273E-4</v>
      </c>
      <c r="T65" s="13"/>
      <c r="U65" s="13">
        <f>K65*$D$56+$E$56</f>
        <v>1.2784288600400568E-5</v>
      </c>
      <c r="V65" s="13">
        <f t="shared" si="2"/>
        <v>8.6584084433410057E-7</v>
      </c>
      <c r="W65" s="13">
        <f t="shared" si="4"/>
        <v>1.2707569991574587E-4</v>
      </c>
      <c r="Y65" s="71">
        <f>S65/$G65</f>
        <v>0.90512607912482335</v>
      </c>
      <c r="Z65" s="71">
        <f t="shared" si="5"/>
        <v>8.8855976789852506E-2</v>
      </c>
      <c r="AA65" s="71">
        <f t="shared" si="5"/>
        <v>6.0179440853241175E-3</v>
      </c>
      <c r="AB65" s="71">
        <f t="shared" si="6"/>
        <v>0.99999999999999989</v>
      </c>
      <c r="AD65" s="13">
        <f t="shared" si="7"/>
        <v>-1.6800818718851532E-5</v>
      </c>
    </row>
    <row r="66" spans="2:30" x14ac:dyDescent="0.25">
      <c r="B66" s="7">
        <v>7</v>
      </c>
      <c r="C66" s="7" t="s">
        <v>79</v>
      </c>
      <c r="D66" s="7">
        <v>0.25</v>
      </c>
      <c r="E66" s="7">
        <v>0.04</v>
      </c>
      <c r="F66" s="7">
        <v>14.46</v>
      </c>
      <c r="G66" s="94">
        <f t="shared" si="0"/>
        <v>1.438765186345974E-4</v>
      </c>
      <c r="I66" s="7">
        <v>15225.8</v>
      </c>
      <c r="K66" s="7">
        <v>12.9</v>
      </c>
      <c r="L66" s="7">
        <v>10.4</v>
      </c>
      <c r="R66" s="13">
        <f t="shared" si="1"/>
        <v>1.3279521070650135E-4</v>
      </c>
      <c r="S66" s="13">
        <f t="shared" si="3"/>
        <v>1.42977671394387E-4</v>
      </c>
      <c r="T66" s="13"/>
      <c r="U66" s="13">
        <v>0</v>
      </c>
      <c r="V66" s="13">
        <f t="shared" si="2"/>
        <v>8.9884724021040513E-7</v>
      </c>
      <c r="W66" s="13">
        <f t="shared" si="4"/>
        <v>1.3369405794671176E-4</v>
      </c>
      <c r="Y66" s="71">
        <f>S66/$G66</f>
        <v>0.99375264811283626</v>
      </c>
      <c r="Z66" s="71">
        <f t="shared" si="5"/>
        <v>0</v>
      </c>
      <c r="AA66" s="71">
        <f t="shared" si="5"/>
        <v>6.2473518871637677E-3</v>
      </c>
      <c r="AB66" s="71">
        <f t="shared" si="6"/>
        <v>1</v>
      </c>
      <c r="AD66" s="13">
        <f t="shared" si="7"/>
        <v>-1.0182460687885645E-5</v>
      </c>
    </row>
    <row r="67" spans="2:30" s="92" customFormat="1" ht="14.25" x14ac:dyDescent="0.2">
      <c r="B67" s="89">
        <v>7</v>
      </c>
      <c r="C67" s="89" t="s">
        <v>79</v>
      </c>
      <c r="D67" s="89">
        <v>0.25</v>
      </c>
      <c r="E67" s="89">
        <v>0.05</v>
      </c>
      <c r="F67" s="89">
        <v>14.46</v>
      </c>
      <c r="G67" s="95">
        <f t="shared" si="0"/>
        <v>1.4377674296286742E-4</v>
      </c>
      <c r="H67" s="89"/>
      <c r="I67" s="89">
        <v>10922</v>
      </c>
      <c r="J67" s="89"/>
      <c r="K67" s="89">
        <v>12.9</v>
      </c>
      <c r="L67" s="89">
        <v>10.4</v>
      </c>
      <c r="M67" s="89"/>
      <c r="N67" s="89"/>
      <c r="O67" s="89"/>
      <c r="P67" s="89"/>
      <c r="Q67" s="89"/>
      <c r="R67" s="90">
        <f t="shared" si="1"/>
        <v>9.4959665095144564E-5</v>
      </c>
      <c r="S67" s="90">
        <f t="shared" ref="S67:S72" si="8">R67-AD67</f>
        <v>9.4959665095144564E-5</v>
      </c>
      <c r="T67" s="90"/>
      <c r="U67" s="90">
        <v>0</v>
      </c>
      <c r="V67" s="90">
        <f t="shared" si="2"/>
        <v>8.9884724021040513E-7</v>
      </c>
      <c r="W67" s="90">
        <f>G67</f>
        <v>1.4377674296286742E-4</v>
      </c>
      <c r="X67" s="89"/>
      <c r="Y67" s="91">
        <f>R67/$W67</f>
        <v>0.66046610278040152</v>
      </c>
      <c r="Z67" s="91">
        <f t="shared" ref="Z67:AA69" si="9">U67/$W67</f>
        <v>0</v>
      </c>
      <c r="AA67" s="91">
        <f t="shared" si="9"/>
        <v>6.2516873152603436E-3</v>
      </c>
      <c r="AB67" s="91">
        <f>SUM(Y67:AA67)</f>
        <v>0.6667177900956619</v>
      </c>
      <c r="AC67" s="89"/>
      <c r="AD67" s="90">
        <f t="shared" ref="AD67:AD76" si="10">W67-G67</f>
        <v>0</v>
      </c>
    </row>
    <row r="68" spans="2:30" x14ac:dyDescent="0.25">
      <c r="B68" s="7">
        <v>8</v>
      </c>
      <c r="C68" s="7" t="s">
        <v>80</v>
      </c>
      <c r="D68" s="7">
        <v>0.25</v>
      </c>
      <c r="E68" s="7">
        <v>0.04</v>
      </c>
      <c r="F68" s="7">
        <v>14.46</v>
      </c>
      <c r="G68" s="94">
        <f t="shared" si="0"/>
        <v>1.438765186345974E-4</v>
      </c>
      <c r="I68" s="7">
        <v>14766.7</v>
      </c>
      <c r="K68" s="7">
        <v>1.3</v>
      </c>
      <c r="L68" s="7">
        <v>9.6999999999999993</v>
      </c>
      <c r="R68" s="13">
        <f t="shared" si="1"/>
        <v>1.2875917302115957E-4</v>
      </c>
      <c r="S68" s="13">
        <f t="shared" si="8"/>
        <v>1.429823865937979E-4</v>
      </c>
      <c r="T68" s="13"/>
      <c r="U68" s="13">
        <v>0</v>
      </c>
      <c r="V68" s="13">
        <f t="shared" si="2"/>
        <v>8.9413204079950446E-7</v>
      </c>
      <c r="W68" s="13">
        <f t="shared" ref="W68:W71" si="11">SUM(R68,U68,V68)</f>
        <v>1.2965330506195907E-4</v>
      </c>
      <c r="Y68" s="71">
        <f>S68/$W68</f>
        <v>1.102805566934596</v>
      </c>
      <c r="Z68" s="71">
        <f t="shared" si="9"/>
        <v>0</v>
      </c>
      <c r="AA68" s="71">
        <f t="shared" si="9"/>
        <v>6.8963304897797575E-3</v>
      </c>
      <c r="AB68" s="71">
        <f t="shared" ref="AB68:AB71" si="12">SUM(Y68:AA68)</f>
        <v>1.1097018974243757</v>
      </c>
      <c r="AD68" s="13">
        <f t="shared" si="10"/>
        <v>-1.4223213572638337E-5</v>
      </c>
    </row>
    <row r="69" spans="2:30" x14ac:dyDescent="0.25">
      <c r="B69" s="89">
        <v>8</v>
      </c>
      <c r="C69" s="89" t="s">
        <v>80</v>
      </c>
      <c r="D69" s="89">
        <v>0.25</v>
      </c>
      <c r="E69" s="89">
        <v>0.04</v>
      </c>
      <c r="F69" s="89">
        <v>14.46</v>
      </c>
      <c r="G69" s="95">
        <f t="shared" si="0"/>
        <v>1.438765186345974E-4</v>
      </c>
      <c r="H69" s="89"/>
      <c r="I69" s="89">
        <v>11306</v>
      </c>
      <c r="J69" s="89"/>
      <c r="K69" s="89">
        <v>1.3</v>
      </c>
      <c r="L69" s="89">
        <v>9.6999999999999993</v>
      </c>
      <c r="M69" s="89"/>
      <c r="N69" s="89"/>
      <c r="O69" s="89"/>
      <c r="P69" s="89"/>
      <c r="Q69" s="89"/>
      <c r="R69" s="90">
        <f t="shared" si="1"/>
        <v>9.8335484026033785E-5</v>
      </c>
      <c r="S69" s="90">
        <f t="shared" ref="S69" si="13">R69-AD69</f>
        <v>9.8335484026033785E-5</v>
      </c>
      <c r="T69" s="90"/>
      <c r="U69" s="90">
        <v>0</v>
      </c>
      <c r="V69" s="90">
        <f t="shared" si="2"/>
        <v>8.9413204079950446E-7</v>
      </c>
      <c r="W69" s="90">
        <f>G69</f>
        <v>1.438765186345974E-4</v>
      </c>
      <c r="X69" s="89"/>
      <c r="Y69" s="91">
        <f>R69/$W69</f>
        <v>0.68347138893300585</v>
      </c>
      <c r="Z69" s="91">
        <f t="shared" si="9"/>
        <v>0</v>
      </c>
      <c r="AA69" s="91">
        <f t="shared" si="9"/>
        <v>6.2145793440438182E-3</v>
      </c>
      <c r="AB69" s="91">
        <f>SUM(Y69:AA69)</f>
        <v>0.68968596827704964</v>
      </c>
      <c r="AC69" s="89"/>
      <c r="AD69" s="90">
        <f t="shared" ref="AD69" si="14">W69-G69</f>
        <v>0</v>
      </c>
    </row>
    <row r="70" spans="2:30" x14ac:dyDescent="0.25">
      <c r="B70" s="7">
        <v>9</v>
      </c>
      <c r="C70" s="7" t="s">
        <v>76</v>
      </c>
      <c r="D70" s="7">
        <v>0.25</v>
      </c>
      <c r="E70" s="7">
        <v>0.04</v>
      </c>
      <c r="F70" s="7">
        <v>14.46</v>
      </c>
      <c r="G70" s="94">
        <f t="shared" si="0"/>
        <v>1.438765186345974E-4</v>
      </c>
      <c r="I70" s="7">
        <v>12957.2</v>
      </c>
      <c r="K70" s="7">
        <v>1599.5</v>
      </c>
      <c r="L70" s="7">
        <v>3.9</v>
      </c>
      <c r="R70" s="13">
        <f t="shared" si="1"/>
        <v>1.1285150542885741E-4</v>
      </c>
      <c r="S70" s="13">
        <f t="shared" si="8"/>
        <v>1.270592092661E-4</v>
      </c>
      <c r="T70" s="13"/>
      <c r="U70" s="13">
        <f>K70*$D$56+$E$56</f>
        <v>1.5962246122816776E-5</v>
      </c>
      <c r="V70" s="7">
        <f t="shared" si="2"/>
        <v>8.5506324568061337E-7</v>
      </c>
      <c r="W70" s="13">
        <f t="shared" si="11"/>
        <v>1.296688147973548E-4</v>
      </c>
      <c r="Y70" s="71">
        <f>S70/$W70</f>
        <v>0.97987484087571053</v>
      </c>
      <c r="Z70" s="71">
        <f>U70/$G70</f>
        <v>0.11094406699786799</v>
      </c>
      <c r="AA70" s="71">
        <f>V70/$G70</f>
        <v>5.9430354153356601E-3</v>
      </c>
      <c r="AB70" s="71">
        <f t="shared" si="12"/>
        <v>1.0967619432889142</v>
      </c>
      <c r="AD70" s="13">
        <f t="shared" si="10"/>
        <v>-1.4207703837242606E-5</v>
      </c>
    </row>
    <row r="71" spans="2:30" x14ac:dyDescent="0.25">
      <c r="B71" s="7">
        <v>10</v>
      </c>
      <c r="C71" s="7" t="s">
        <v>81</v>
      </c>
      <c r="D71" s="7">
        <v>0.25</v>
      </c>
      <c r="E71" s="7">
        <v>0.04</v>
      </c>
      <c r="F71" s="7">
        <v>14.44</v>
      </c>
      <c r="G71" s="94">
        <f t="shared" si="0"/>
        <v>1.4367696729113749E-4</v>
      </c>
      <c r="H71" s="89"/>
      <c r="I71" s="7">
        <v>14901.5</v>
      </c>
      <c r="K71" s="7">
        <v>0</v>
      </c>
      <c r="L71" s="7">
        <v>9</v>
      </c>
      <c r="R71" s="13">
        <f t="shared" si="1"/>
        <v>1.2994422612502382E-4</v>
      </c>
      <c r="S71" s="13">
        <f t="shared" si="8"/>
        <v>1.4278755044974889E-4</v>
      </c>
      <c r="T71" s="13"/>
      <c r="U71" s="13">
        <v>0</v>
      </c>
      <c r="V71" s="7">
        <f t="shared" si="2"/>
        <v>8.894168413886038E-7</v>
      </c>
      <c r="W71" s="13">
        <f t="shared" si="11"/>
        <v>1.3083364296641241E-4</v>
      </c>
      <c r="Y71" s="71">
        <f>S71/$W71</f>
        <v>1.091367229500789</v>
      </c>
      <c r="Z71" s="71">
        <f>U71/$G71</f>
        <v>0</v>
      </c>
      <c r="AA71" s="71">
        <f>V71/$G71</f>
        <v>6.1903926437029289E-3</v>
      </c>
      <c r="AB71" s="71">
        <f t="shared" si="12"/>
        <v>1.097557622144492</v>
      </c>
      <c r="AD71" s="13">
        <f t="shared" si="10"/>
        <v>-1.2843324324725075E-5</v>
      </c>
    </row>
    <row r="72" spans="2:30" x14ac:dyDescent="0.25">
      <c r="B72" s="89">
        <v>10</v>
      </c>
      <c r="C72" s="89" t="s">
        <v>81</v>
      </c>
      <c r="D72" s="89">
        <v>0.25</v>
      </c>
      <c r="E72" s="89">
        <v>0.04</v>
      </c>
      <c r="F72" s="89">
        <v>14.44</v>
      </c>
      <c r="G72" s="95">
        <f t="shared" si="0"/>
        <v>1.4367696729113749E-4</v>
      </c>
      <c r="H72" s="89"/>
      <c r="I72" s="89">
        <v>10368.9</v>
      </c>
      <c r="J72" s="89">
        <v>4466</v>
      </c>
      <c r="K72" s="89">
        <v>0</v>
      </c>
      <c r="L72" s="89">
        <v>9</v>
      </c>
      <c r="R72" s="90">
        <f t="shared" si="1"/>
        <v>9.0097255067345542E-5</v>
      </c>
      <c r="S72" s="90">
        <f t="shared" si="8"/>
        <v>1.0458384113017925E-4</v>
      </c>
      <c r="T72" s="90">
        <f>J72*$D$55+$E$55</f>
        <v>3.8203709319569647E-5</v>
      </c>
      <c r="U72" s="90">
        <v>0</v>
      </c>
      <c r="V72" s="90">
        <f t="shared" si="2"/>
        <v>8.894168413886038E-7</v>
      </c>
      <c r="W72" s="90">
        <f>R72+T72+U72+V72</f>
        <v>1.2919038122830378E-4</v>
      </c>
      <c r="X72" s="89"/>
      <c r="Y72" s="91">
        <f>R72/$W72</f>
        <v>0.69739909589806603</v>
      </c>
      <c r="Z72" s="91">
        <f>U72/$W72</f>
        <v>0</v>
      </c>
      <c r="AA72" s="91">
        <f>V72/$W72</f>
        <v>6.8845438254171295E-3</v>
      </c>
      <c r="AB72" s="91">
        <f>SUM(Y72:AA72)</f>
        <v>0.70428363972348318</v>
      </c>
      <c r="AD72" s="90">
        <f t="shared" si="10"/>
        <v>-1.4486586062833703E-5</v>
      </c>
    </row>
    <row r="73" spans="2:30" x14ac:dyDescent="0.25">
      <c r="B73" s="7">
        <v>11</v>
      </c>
      <c r="C73" s="7" t="s">
        <v>82</v>
      </c>
      <c r="D73" s="7">
        <v>0.25</v>
      </c>
      <c r="E73" s="7">
        <v>0.05</v>
      </c>
      <c r="F73" s="7">
        <v>14.45</v>
      </c>
      <c r="G73" s="96">
        <f t="shared" si="0"/>
        <v>1.4367696729113746E-4</v>
      </c>
      <c r="I73" s="7">
        <v>14806</v>
      </c>
      <c r="K73" s="7">
        <v>0</v>
      </c>
      <c r="L73" s="7">
        <v>8.8000000000000007</v>
      </c>
      <c r="R73" s="13">
        <f t="shared" si="1"/>
        <v>1.2910466698986774E-4</v>
      </c>
      <c r="S73" s="13">
        <f t="shared" ref="S73:S76" si="15">R73-AD73</f>
        <v>1.4278889764958054E-4</v>
      </c>
      <c r="T73" s="13"/>
      <c r="U73" s="13">
        <v>0</v>
      </c>
      <c r="V73" s="7">
        <f t="shared" si="2"/>
        <v>8.8806964155691792E-7</v>
      </c>
      <c r="W73" s="13">
        <f t="shared" ref="W73" si="16">SUM(R73,U73,V73)</f>
        <v>1.2999273663142467E-4</v>
      </c>
      <c r="Y73" s="71">
        <f>S73/$G73</f>
        <v>0.99381898394502299</v>
      </c>
      <c r="Z73" s="71">
        <f>U73/$G73</f>
        <v>0</v>
      </c>
      <c r="AA73" s="71">
        <f>V73/$G73</f>
        <v>6.1810160549769441E-3</v>
      </c>
      <c r="AB73" s="71">
        <f t="shared" ref="AB73" si="17">SUM(Y73:AA73)</f>
        <v>0.99999999999999989</v>
      </c>
      <c r="AD73" s="13">
        <f t="shared" si="10"/>
        <v>-1.3684230659712792E-5</v>
      </c>
    </row>
    <row r="74" spans="2:30" x14ac:dyDescent="0.25">
      <c r="B74" s="89">
        <v>11</v>
      </c>
      <c r="C74" s="89" t="s">
        <v>82</v>
      </c>
      <c r="D74" s="89">
        <v>0.25</v>
      </c>
      <c r="E74" s="89">
        <v>0.05</v>
      </c>
      <c r="F74" s="89">
        <v>14.45</v>
      </c>
      <c r="G74" s="95">
        <f t="shared" si="0"/>
        <v>1.4367696729113746E-4</v>
      </c>
      <c r="H74" s="89"/>
      <c r="I74" s="89">
        <v>10340</v>
      </c>
      <c r="J74" s="89"/>
      <c r="K74" s="89">
        <v>0</v>
      </c>
      <c r="L74" s="89">
        <v>8.8000000000000007</v>
      </c>
      <c r="R74" s="90">
        <f t="shared" si="1"/>
        <v>8.9843189528015596E-5</v>
      </c>
      <c r="S74" s="90">
        <f t="shared" si="15"/>
        <v>1.4278889764958054E-4</v>
      </c>
      <c r="T74" s="90"/>
      <c r="U74" s="90">
        <v>0</v>
      </c>
      <c r="V74" s="90">
        <f t="shared" si="2"/>
        <v>8.8806964155691792E-7</v>
      </c>
      <c r="W74" s="90">
        <f>SUM(R74,U74,V74)</f>
        <v>9.0731259169572517E-5</v>
      </c>
      <c r="Y74" s="91">
        <f>R74/$W74</f>
        <v>0.99021208732596599</v>
      </c>
      <c r="Z74" s="91">
        <f>U74/$W74</f>
        <v>0</v>
      </c>
      <c r="AA74" s="91">
        <f>V74/$W74</f>
        <v>9.7879126740339512E-3</v>
      </c>
      <c r="AB74" s="91">
        <f>SUM(Y74:AA74)</f>
        <v>1</v>
      </c>
      <c r="AD74" s="90">
        <f t="shared" si="10"/>
        <v>-5.2945708121564941E-5</v>
      </c>
    </row>
    <row r="75" spans="2:30" x14ac:dyDescent="0.25">
      <c r="B75" s="7">
        <v>12</v>
      </c>
      <c r="C75" s="7" t="s">
        <v>83</v>
      </c>
      <c r="D75" s="7">
        <v>0.25</v>
      </c>
      <c r="E75" s="7">
        <v>0.05</v>
      </c>
      <c r="F75" s="7">
        <v>14.6</v>
      </c>
      <c r="G75" s="96">
        <f t="shared" si="0"/>
        <v>1.4517360236708681E-4</v>
      </c>
      <c r="I75" s="7">
        <v>9150.7999999999993</v>
      </c>
      <c r="K75" s="7">
        <v>4789.7</v>
      </c>
      <c r="L75" s="7">
        <v>5.7</v>
      </c>
      <c r="R75" s="13">
        <f t="shared" si="1"/>
        <v>7.9388700276418063E-5</v>
      </c>
      <c r="S75" s="13">
        <f t="shared" si="15"/>
        <v>9.5103774468916773E-5</v>
      </c>
      <c r="T75" s="13"/>
      <c r="U75" s="13">
        <f>K75*$D$56+$E$56</f>
        <v>4.9202639854004254E-5</v>
      </c>
      <c r="V75" s="7">
        <f t="shared" si="2"/>
        <v>8.6718804416578645E-7</v>
      </c>
      <c r="W75" s="13">
        <f>SUM(R75,U75,V75)</f>
        <v>1.294585281745881E-4</v>
      </c>
      <c r="Y75" s="71">
        <f>R75/$W75</f>
        <v>0.61323654297501562</v>
      </c>
      <c r="Z75" s="71">
        <f>$U75/W75</f>
        <v>0.38006487906033853</v>
      </c>
      <c r="AA75" s="71">
        <f>V75/$G75</f>
        <v>5.9734554356032973E-3</v>
      </c>
      <c r="AB75" s="71">
        <f t="shared" ref="AB75:AB76" si="18">SUM(Y75:AA75)</f>
        <v>0.99927487747095756</v>
      </c>
      <c r="AD75" s="13">
        <f t="shared" si="10"/>
        <v>-1.571507419249871E-5</v>
      </c>
    </row>
    <row r="76" spans="2:30" x14ac:dyDescent="0.25">
      <c r="B76" s="64">
        <v>13</v>
      </c>
      <c r="C76" s="64" t="s">
        <v>85</v>
      </c>
      <c r="D76" s="64">
        <v>0.25</v>
      </c>
      <c r="E76" s="64">
        <v>0.04</v>
      </c>
      <c r="F76" s="64">
        <v>14.81</v>
      </c>
      <c r="G76" s="98">
        <f>((D76/1000)*(F76-E76))/(0.082057338*(110+273.15))</f>
        <v>1.1744492369247107E-4</v>
      </c>
      <c r="H76" s="64"/>
      <c r="I76" s="64">
        <v>12196.3</v>
      </c>
      <c r="J76" s="64"/>
      <c r="K76" s="64">
        <v>127.4</v>
      </c>
      <c r="L76" s="64">
        <v>3453.3</v>
      </c>
      <c r="M76" s="64"/>
      <c r="N76" s="64"/>
      <c r="O76" s="64"/>
      <c r="P76" s="64"/>
      <c r="Q76" s="64"/>
      <c r="R76" s="66">
        <f>I76*$D$55+($E$55)</f>
        <v>1.0616228505251988E-4</v>
      </c>
      <c r="S76" s="66">
        <f t="shared" si="15"/>
        <v>1.0616228505251988E-4</v>
      </c>
      <c r="T76" s="66"/>
      <c r="U76" s="66">
        <f>K76*$D$56+$E$56</f>
        <v>6.2365179904989703E-7</v>
      </c>
      <c r="V76" s="66">
        <f t="shared" si="2"/>
        <v>2.4090218742767296E-5</v>
      </c>
      <c r="W76" s="66">
        <f>G76</f>
        <v>1.1744492369247107E-4</v>
      </c>
      <c r="X76" s="64"/>
      <c r="Y76" s="99">
        <f>R76/$W76</f>
        <v>0.90393251334136226</v>
      </c>
      <c r="Z76" s="99">
        <f>U76/$W76</f>
        <v>5.3101639427424385E-3</v>
      </c>
      <c r="AA76" s="99">
        <f>V76/$W76</f>
        <v>0.20511928472828173</v>
      </c>
      <c r="AB76" s="99">
        <f t="shared" si="18"/>
        <v>1.1143619620123864</v>
      </c>
      <c r="AC76" s="64"/>
      <c r="AD76" s="100">
        <f t="shared" si="10"/>
        <v>0</v>
      </c>
    </row>
    <row r="77" spans="2:30" x14ac:dyDescent="0.25">
      <c r="B77" s="7">
        <v>14</v>
      </c>
      <c r="C77" s="7" t="s">
        <v>86</v>
      </c>
      <c r="D77" s="7">
        <v>0.25</v>
      </c>
      <c r="E77" s="7">
        <v>0.04</v>
      </c>
      <c r="F77" s="7">
        <v>14.46</v>
      </c>
      <c r="G77" s="96">
        <f>((D77/1000)*(F77-E77))/(0.082057338*(32.2+273.15))</f>
        <v>1.438765186345974E-4</v>
      </c>
      <c r="I77" s="7">
        <v>2157.9</v>
      </c>
      <c r="K77" s="7">
        <v>238.9</v>
      </c>
      <c r="L77" s="7">
        <v>331.7</v>
      </c>
      <c r="R77" s="7">
        <f>I77*$D$55+$E$55</f>
        <v>1.7912751834191015E-5</v>
      </c>
      <c r="S77" s="13">
        <f t="shared" ref="S77" si="19">R77-AD77</f>
        <v>1.7912751834191015E-5</v>
      </c>
      <c r="T77" s="13"/>
      <c r="U77" s="13">
        <f>K77*$D$56+$E$56</f>
        <v>1.7854297129823792E-6</v>
      </c>
      <c r="V77" s="13">
        <f t="shared" si="2"/>
        <v>3.0631237698138001E-6</v>
      </c>
      <c r="W77" s="13">
        <f>SUM(R77,U77,V77)</f>
        <v>2.2761305316987192E-5</v>
      </c>
      <c r="Y77" s="71">
        <f>R77/$W77</f>
        <v>0.78698262620388426</v>
      </c>
      <c r="Z77" s="71">
        <f>U77/$W77</f>
        <v>7.844144648636997E-2</v>
      </c>
      <c r="AA77" s="71">
        <f>V77/$W77</f>
        <v>0.13457592730974585</v>
      </c>
      <c r="AB77" s="71">
        <f t="shared" ref="AB77" si="20">SUM(Y77:AA77)</f>
        <v>1</v>
      </c>
    </row>
    <row r="78" spans="2:30" x14ac:dyDescent="0.25">
      <c r="E78" s="7">
        <v>0.04</v>
      </c>
      <c r="F78" s="7">
        <v>14.6</v>
      </c>
      <c r="G78" s="96"/>
    </row>
    <row r="79" spans="2:30" x14ac:dyDescent="0.25">
      <c r="G79" s="96"/>
    </row>
    <row r="80" spans="2:30" x14ac:dyDescent="0.25">
      <c r="G80" s="96"/>
    </row>
    <row r="81" spans="3:27" x14ac:dyDescent="0.25">
      <c r="G81" s="96"/>
    </row>
    <row r="82" spans="3:27" x14ac:dyDescent="0.25">
      <c r="G82" s="96"/>
    </row>
    <row r="83" spans="3:27" x14ac:dyDescent="0.25">
      <c r="G83" s="96"/>
    </row>
    <row r="84" spans="3:27" x14ac:dyDescent="0.25">
      <c r="G84" s="96"/>
    </row>
    <row r="85" spans="3:27" x14ac:dyDescent="0.25">
      <c r="G85" s="96"/>
    </row>
    <row r="86" spans="3:27" x14ac:dyDescent="0.25">
      <c r="G86" s="96"/>
    </row>
    <row r="87" spans="3:27" x14ac:dyDescent="0.25">
      <c r="G87" s="96"/>
    </row>
    <row r="88" spans="3:27" x14ac:dyDescent="0.25">
      <c r="G88" s="96"/>
    </row>
    <row r="89" spans="3:27" x14ac:dyDescent="0.25">
      <c r="G89" s="96"/>
    </row>
    <row r="90" spans="3:27" x14ac:dyDescent="0.25">
      <c r="G90" s="96"/>
    </row>
    <row r="91" spans="3:27" x14ac:dyDescent="0.25">
      <c r="C91" s="7" t="s">
        <v>84</v>
      </c>
      <c r="D91" s="7">
        <v>0.25</v>
      </c>
      <c r="E91" s="7">
        <v>0.05</v>
      </c>
      <c r="F91" s="7">
        <v>15.18</v>
      </c>
      <c r="G91" s="96">
        <f>((D91/1000)*(F91-E91))/(0.082057338*(32.2+273.15))</f>
        <v>1.5096059132742429E-4</v>
      </c>
      <c r="I91" s="7">
        <v>11043</v>
      </c>
      <c r="K91" s="7">
        <v>116</v>
      </c>
      <c r="L91" s="7">
        <v>3132</v>
      </c>
      <c r="R91" s="13">
        <f>I91*$D$55+$E$55</f>
        <v>9.6023399706179964E-5</v>
      </c>
      <c r="U91" s="13">
        <f>K91*$D$56+$E$56</f>
        <v>5.0486912444155345E-7</v>
      </c>
      <c r="V91" s="7">
        <f>L91*$D$57+$E$57</f>
        <v>2.1925942213163899E-5</v>
      </c>
      <c r="W91" s="13">
        <f t="shared" ref="W91" si="21">SUM(R91,U91,V91)</f>
        <v>1.1845421104378542E-4</v>
      </c>
      <c r="Y91" s="71">
        <f>G91/$W91</f>
        <v>1.2744214831807306</v>
      </c>
      <c r="Z91" s="71">
        <f>U91/$G91</f>
        <v>3.3443769662144687E-3</v>
      </c>
      <c r="AA91" s="71">
        <f>V91/$G91</f>
        <v>0.14524282145667985</v>
      </c>
    </row>
    <row r="92" spans="3:27" x14ac:dyDescent="0.25">
      <c r="G92" s="96"/>
    </row>
    <row r="93" spans="3:27" x14ac:dyDescent="0.25">
      <c r="G93" s="96"/>
    </row>
    <row r="94" spans="3:27" x14ac:dyDescent="0.25">
      <c r="G94" s="96"/>
    </row>
    <row r="95" spans="3:27" x14ac:dyDescent="0.25">
      <c r="G95" s="96"/>
    </row>
    <row r="96" spans="3:27" x14ac:dyDescent="0.25">
      <c r="G96" s="96"/>
      <c r="I96" s="85">
        <f>(W91-G91)*100000</f>
        <v>-3.2506380283638867</v>
      </c>
      <c r="J96" s="85"/>
    </row>
    <row r="97" spans="7:7" x14ac:dyDescent="0.25">
      <c r="G97" s="96"/>
    </row>
    <row r="98" spans="7:7" x14ac:dyDescent="0.25">
      <c r="G98" s="96"/>
    </row>
    <row r="99" spans="7:7" x14ac:dyDescent="0.25">
      <c r="G99" s="96"/>
    </row>
    <row r="100" spans="7:7" x14ac:dyDescent="0.25">
      <c r="G100" s="96"/>
    </row>
    <row r="101" spans="7:7" x14ac:dyDescent="0.25">
      <c r="G101" s="96"/>
    </row>
    <row r="102" spans="7:7" x14ac:dyDescent="0.25">
      <c r="G102" s="96"/>
    </row>
    <row r="103" spans="7:7" x14ac:dyDescent="0.25">
      <c r="G103" s="96"/>
    </row>
    <row r="104" spans="7:7" x14ac:dyDescent="0.25">
      <c r="G104" s="96"/>
    </row>
    <row r="105" spans="7:7" x14ac:dyDescent="0.25">
      <c r="G105" s="96"/>
    </row>
    <row r="106" spans="7:7" x14ac:dyDescent="0.25">
      <c r="G106" s="96"/>
    </row>
    <row r="107" spans="7:7" x14ac:dyDescent="0.25">
      <c r="G107" s="96"/>
    </row>
    <row r="108" spans="7:7" x14ac:dyDescent="0.25">
      <c r="G108" s="9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0"/>
  <sheetViews>
    <sheetView workbookViewId="0">
      <selection activeCell="N29" sqref="N29"/>
    </sheetView>
  </sheetViews>
  <sheetFormatPr defaultColWidth="9.140625" defaultRowHeight="15" x14ac:dyDescent="0.25"/>
  <cols>
    <col min="1" max="1" width="9.140625" style="7"/>
    <col min="2" max="2" width="11.42578125" style="7" bestFit="1" customWidth="1"/>
    <col min="3" max="3" width="42.85546875" style="7" customWidth="1"/>
    <col min="4" max="4" width="16.28515625" style="7" bestFit="1" customWidth="1"/>
    <col min="5" max="5" width="18.85546875" style="7" bestFit="1" customWidth="1"/>
    <col min="6" max="6" width="17.5703125" style="7" bestFit="1" customWidth="1"/>
    <col min="7" max="7" width="14" style="7" customWidth="1"/>
    <col min="8" max="8" width="9.5703125" style="7" bestFit="1" customWidth="1"/>
    <col min="9" max="9" width="18.140625" style="7" bestFit="1" customWidth="1"/>
    <col min="10" max="10" width="18.5703125" style="7" bestFit="1" customWidth="1"/>
    <col min="11" max="11" width="19.5703125" style="7" bestFit="1" customWidth="1"/>
    <col min="12" max="12" width="9.140625" style="7"/>
    <col min="13" max="15" width="9.28515625" style="7" bestFit="1" customWidth="1"/>
    <col min="16" max="16" width="9.140625" style="7"/>
    <col min="17" max="19" width="12.42578125" style="7" bestFit="1" customWidth="1"/>
    <col min="20" max="16384" width="9.140625" style="7"/>
  </cols>
  <sheetData>
    <row r="1" spans="1:19" x14ac:dyDescent="0.25">
      <c r="K1" s="8"/>
    </row>
    <row r="2" spans="1:1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74" t="s">
        <v>40</v>
      </c>
      <c r="J2" s="72" t="s">
        <v>41</v>
      </c>
      <c r="K2" s="76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 t="s">
        <v>47</v>
      </c>
      <c r="S2" s="9" t="s">
        <v>48</v>
      </c>
    </row>
    <row r="3" spans="1:19" x14ac:dyDescent="0.25">
      <c r="C3" s="7" t="s">
        <v>49</v>
      </c>
      <c r="D3" s="7">
        <v>0.25</v>
      </c>
      <c r="E3" s="12"/>
      <c r="F3" s="12"/>
      <c r="G3" s="13">
        <f t="shared" ref="G3:G10" si="0">((D3/1000)*(F3-E3))/(0.082057338*(115+273.15))</f>
        <v>0</v>
      </c>
      <c r="I3" s="75">
        <v>8</v>
      </c>
      <c r="J3" s="73" t="s">
        <v>64</v>
      </c>
      <c r="K3" s="50" t="s">
        <v>64</v>
      </c>
    </row>
    <row r="4" spans="1:19" x14ac:dyDescent="0.25">
      <c r="A4" s="70">
        <v>1</v>
      </c>
      <c r="B4" s="51">
        <v>1</v>
      </c>
      <c r="C4" s="52" t="s">
        <v>67</v>
      </c>
      <c r="D4" s="51">
        <v>0.25</v>
      </c>
      <c r="E4" s="52">
        <v>0.05</v>
      </c>
      <c r="F4" s="52">
        <v>14.53</v>
      </c>
      <c r="G4" s="53">
        <f t="shared" si="0"/>
        <v>1.1365578764202179E-4</v>
      </c>
      <c r="H4" s="51"/>
      <c r="I4" s="75">
        <v>2660.2</v>
      </c>
      <c r="J4" s="73">
        <v>9187.2000000000007</v>
      </c>
      <c r="K4" s="50">
        <v>174.7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$G$4*(M4/100)</f>
        <v>2.0651256614555363E-5</v>
      </c>
      <c r="R4" s="51">
        <f t="shared" ref="R4:S4" si="1">$G$4*(N4/100)</f>
        <v>9.1788414099696789E-5</v>
      </c>
      <c r="S4" s="51">
        <f t="shared" si="1"/>
        <v>1.2161169277696334E-6</v>
      </c>
    </row>
    <row r="5" spans="1:19" x14ac:dyDescent="0.25">
      <c r="A5" s="70">
        <v>1</v>
      </c>
      <c r="B5" s="51">
        <v>2</v>
      </c>
      <c r="C5" s="52" t="s">
        <v>67</v>
      </c>
      <c r="D5" s="51">
        <v>0.25</v>
      </c>
      <c r="E5" s="52"/>
      <c r="F5" s="52"/>
      <c r="G5" s="53">
        <f t="shared" si="0"/>
        <v>0</v>
      </c>
      <c r="H5" s="51"/>
      <c r="I5" s="75"/>
      <c r="J5" s="73"/>
      <c r="K5" s="50"/>
      <c r="L5" s="51"/>
      <c r="M5" s="56">
        <v>18.170000000000002</v>
      </c>
      <c r="N5" s="51">
        <f>100-(M5+O5)</f>
        <v>80.759999999999991</v>
      </c>
      <c r="O5" s="51">
        <v>1.07</v>
      </c>
      <c r="P5" s="51"/>
      <c r="Q5" s="51">
        <f>$G$5*(M5/100)</f>
        <v>0</v>
      </c>
      <c r="R5" s="51">
        <f>$G$5*(N5/100)</f>
        <v>0</v>
      </c>
      <c r="S5" s="51">
        <f>$G$5*(O5/100)</f>
        <v>0</v>
      </c>
    </row>
    <row r="6" spans="1:19" s="84" customFormat="1" x14ac:dyDescent="0.25">
      <c r="A6" s="77">
        <v>2</v>
      </c>
      <c r="B6" s="78">
        <v>3</v>
      </c>
      <c r="C6" s="79" t="s">
        <v>69</v>
      </c>
      <c r="D6" s="78">
        <v>0.25</v>
      </c>
      <c r="E6" s="79">
        <v>0.04</v>
      </c>
      <c r="F6" s="79">
        <v>14.43</v>
      </c>
      <c r="G6" s="78">
        <f t="shared" si="0"/>
        <v>1.1294936354756172E-4</v>
      </c>
      <c r="H6" s="78"/>
      <c r="I6" s="80">
        <v>183.2</v>
      </c>
      <c r="J6" s="81">
        <v>2566</v>
      </c>
      <c r="K6" s="82">
        <v>15363.2</v>
      </c>
      <c r="L6" s="78"/>
      <c r="M6" s="83">
        <v>1</v>
      </c>
      <c r="N6" s="83">
        <v>19.2</v>
      </c>
      <c r="O6" s="78">
        <f>100-(N6+M6)</f>
        <v>79.8</v>
      </c>
      <c r="P6" s="78"/>
      <c r="Q6" s="78">
        <f>$G$6*(M6/100)</f>
        <v>1.1294936354756171E-6</v>
      </c>
      <c r="R6" s="78">
        <f>$G$6*(N6/100)</f>
        <v>2.1686277801131849E-5</v>
      </c>
      <c r="S6" s="78">
        <f>$G$6*(O6/100)</f>
        <v>9.0133592110954247E-5</v>
      </c>
    </row>
    <row r="7" spans="1:19" s="84" customFormat="1" x14ac:dyDescent="0.25">
      <c r="A7" s="77">
        <v>2</v>
      </c>
      <c r="B7" s="78">
        <v>4</v>
      </c>
      <c r="C7" s="79" t="s">
        <v>69</v>
      </c>
      <c r="D7" s="78">
        <v>0.25</v>
      </c>
      <c r="E7" s="79">
        <v>0.04</v>
      </c>
      <c r="F7" s="79">
        <v>14.56</v>
      </c>
      <c r="G7" s="78">
        <f t="shared" si="0"/>
        <v>1.1396975390622629E-4</v>
      </c>
      <c r="H7" s="78"/>
      <c r="I7" s="80">
        <v>183.7</v>
      </c>
      <c r="J7" s="81">
        <v>2574</v>
      </c>
      <c r="K7" s="82">
        <v>15374.1</v>
      </c>
      <c r="L7" s="78"/>
      <c r="M7" s="83">
        <v>1</v>
      </c>
      <c r="N7" s="83">
        <v>19.2</v>
      </c>
      <c r="O7" s="78">
        <f>100-(N7+M7)</f>
        <v>79.8</v>
      </c>
      <c r="P7" s="78"/>
      <c r="Q7" s="78">
        <f>$G$7*(M7/100)</f>
        <v>1.1396975390622628E-6</v>
      </c>
      <c r="R7" s="78">
        <f>$G$7*(N7/100)</f>
        <v>2.1882192749995447E-5</v>
      </c>
      <c r="S7" s="78">
        <f>$G$7*(O7/100)</f>
        <v>9.0947863617168564E-5</v>
      </c>
    </row>
    <row r="8" spans="1:19" x14ac:dyDescent="0.25">
      <c r="A8" s="70">
        <v>2</v>
      </c>
      <c r="B8" s="57"/>
      <c r="C8" s="58" t="s">
        <v>50</v>
      </c>
      <c r="D8" s="57">
        <v>0.25</v>
      </c>
      <c r="E8" s="58">
        <v>0.05</v>
      </c>
      <c r="F8" s="58">
        <v>15.11</v>
      </c>
      <c r="G8" s="59">
        <f t="shared" si="0"/>
        <v>1.1820829847298674E-4</v>
      </c>
      <c r="H8" s="57"/>
      <c r="I8" s="75">
        <v>175.9</v>
      </c>
      <c r="J8" s="73">
        <v>2499.8000000000002</v>
      </c>
      <c r="K8" s="50">
        <v>14984.4</v>
      </c>
      <c r="L8" s="57"/>
      <c r="M8" s="62">
        <v>1</v>
      </c>
      <c r="N8" s="62">
        <v>19.2</v>
      </c>
      <c r="O8" s="57">
        <f>100-(N8+M8)</f>
        <v>79.8</v>
      </c>
      <c r="P8" s="57"/>
      <c r="Q8" s="57">
        <f>$G$8*(M8/100)</f>
        <v>1.1820829847298675E-6</v>
      </c>
      <c r="R8" s="57">
        <f>$G$8*(N8/100)</f>
        <v>2.2695993306813455E-5</v>
      </c>
      <c r="S8" s="57">
        <f>$G$8*(O8/100)</f>
        <v>9.4330222181443409E-5</v>
      </c>
    </row>
    <row r="9" spans="1:19" x14ac:dyDescent="0.25">
      <c r="A9" s="70">
        <v>3</v>
      </c>
      <c r="B9" s="64">
        <v>5</v>
      </c>
      <c r="C9" s="65" t="s">
        <v>65</v>
      </c>
      <c r="D9" s="64">
        <v>0.25</v>
      </c>
      <c r="E9" s="65">
        <v>0.05</v>
      </c>
      <c r="F9" s="65">
        <v>14.41</v>
      </c>
      <c r="G9" s="66">
        <f t="shared" si="0"/>
        <v>1.1271388884940835E-4</v>
      </c>
      <c r="H9" s="64"/>
      <c r="I9" s="75">
        <v>11709.3</v>
      </c>
      <c r="J9" s="73">
        <v>122.1</v>
      </c>
      <c r="K9" s="50">
        <v>3329.4</v>
      </c>
      <c r="L9" s="64"/>
      <c r="M9" s="69">
        <f>100-(N9+O9)</f>
        <v>79.989999999999995</v>
      </c>
      <c r="N9" s="69">
        <v>1.01</v>
      </c>
      <c r="O9" s="64">
        <v>19</v>
      </c>
      <c r="P9" s="64"/>
      <c r="Q9" s="64">
        <f>$G$9*(M9/100)</f>
        <v>9.0159839690641727E-5</v>
      </c>
      <c r="R9" s="64">
        <f>$G$9*(N9/100)</f>
        <v>1.1384102773790243E-6</v>
      </c>
      <c r="S9" s="64">
        <f>$G$9*(O9/100)</f>
        <v>2.1415638881387587E-5</v>
      </c>
    </row>
    <row r="10" spans="1:19" x14ac:dyDescent="0.25">
      <c r="A10" s="70">
        <v>3</v>
      </c>
      <c r="B10" s="64">
        <v>6</v>
      </c>
      <c r="C10" s="65" t="s">
        <v>65</v>
      </c>
      <c r="D10" s="64">
        <v>0.25</v>
      </c>
      <c r="E10" s="65"/>
      <c r="F10" s="65"/>
      <c r="G10" s="66">
        <f t="shared" si="0"/>
        <v>0</v>
      </c>
      <c r="H10" s="64"/>
      <c r="I10" s="75"/>
      <c r="J10" s="73"/>
      <c r="K10" s="50"/>
      <c r="L10" s="64"/>
      <c r="M10" s="69">
        <f>100-(N10+O10)</f>
        <v>79.989999999999995</v>
      </c>
      <c r="N10" s="69">
        <v>1.01</v>
      </c>
      <c r="O10" s="64">
        <v>19</v>
      </c>
      <c r="P10" s="64"/>
      <c r="Q10" s="64">
        <f>$G$10*(M10/100)</f>
        <v>0</v>
      </c>
      <c r="R10" s="64">
        <f>$G$10*(N10/100)</f>
        <v>0</v>
      </c>
      <c r="S10" s="64">
        <f>$G$10*(O10/100)</f>
        <v>0</v>
      </c>
    </row>
    <row r="11" spans="1:19" x14ac:dyDescent="0.25">
      <c r="K11" s="8"/>
    </row>
    <row r="12" spans="1:19" x14ac:dyDescent="0.25">
      <c r="K12" s="8"/>
    </row>
    <row r="13" spans="1:19" x14ac:dyDescent="0.25">
      <c r="K13" s="8"/>
    </row>
    <row r="14" spans="1:19" x14ac:dyDescent="0.25">
      <c r="K14" s="8"/>
    </row>
    <row r="15" spans="1:19" x14ac:dyDescent="0.25">
      <c r="K15" s="8"/>
    </row>
    <row r="16" spans="1:19" x14ac:dyDescent="0.25">
      <c r="K16" s="8"/>
    </row>
    <row r="17" spans="11:11" x14ac:dyDescent="0.25">
      <c r="K17" s="8"/>
    </row>
    <row r="18" spans="11:11" x14ac:dyDescent="0.25">
      <c r="K18" s="8"/>
    </row>
    <row r="19" spans="11:11" x14ac:dyDescent="0.25">
      <c r="K19" s="8"/>
    </row>
    <row r="20" spans="11:11" x14ac:dyDescent="0.25">
      <c r="K20" s="8"/>
    </row>
    <row r="21" spans="11:11" x14ac:dyDescent="0.25">
      <c r="K21" s="8"/>
    </row>
    <row r="22" spans="11:11" x14ac:dyDescent="0.25">
      <c r="K22" s="8"/>
    </row>
    <row r="23" spans="11:11" x14ac:dyDescent="0.25">
      <c r="K23" s="8"/>
    </row>
    <row r="24" spans="11:11" x14ac:dyDescent="0.25">
      <c r="K24" s="8"/>
    </row>
    <row r="25" spans="11:11" x14ac:dyDescent="0.25">
      <c r="K25" s="8"/>
    </row>
    <row r="26" spans="11:11" x14ac:dyDescent="0.25">
      <c r="K26" s="8"/>
    </row>
    <row r="27" spans="11:11" x14ac:dyDescent="0.25">
      <c r="K27" s="8"/>
    </row>
    <row r="28" spans="11:11" x14ac:dyDescent="0.25">
      <c r="K28" s="8"/>
    </row>
    <row r="29" spans="11:11" x14ac:dyDescent="0.25">
      <c r="K29" s="8"/>
    </row>
    <row r="30" spans="11:11" x14ac:dyDescent="0.25">
      <c r="K30" s="8"/>
    </row>
    <row r="31" spans="11:11" x14ac:dyDescent="0.25">
      <c r="K31" s="8"/>
    </row>
    <row r="32" spans="11:11" x14ac:dyDescent="0.25">
      <c r="K32" s="8"/>
    </row>
    <row r="33" spans="11:11" x14ac:dyDescent="0.25">
      <c r="K33" s="8"/>
    </row>
    <row r="34" spans="11:11" x14ac:dyDescent="0.25">
      <c r="K34" s="8"/>
    </row>
    <row r="35" spans="11:11" x14ac:dyDescent="0.25">
      <c r="K35" s="8"/>
    </row>
    <row r="55" spans="3:8" x14ac:dyDescent="0.25">
      <c r="D55" s="7" t="s">
        <v>22</v>
      </c>
      <c r="E55" s="7" t="s">
        <v>23</v>
      </c>
    </row>
    <row r="56" spans="3:8" ht="16.5" x14ac:dyDescent="0.3">
      <c r="C56" s="7" t="s">
        <v>51</v>
      </c>
      <c r="D56" s="13">
        <f>SLOPE(Q4:Q10,I4:I10)</f>
        <v>7.7197408904120494E-9</v>
      </c>
      <c r="E56" s="18">
        <f>INTERCEPT(Q4:Q10,I4:I10)</f>
        <v>-1.7134432312535612E-7</v>
      </c>
      <c r="G56" s="13">
        <f>I6*D56+E56</f>
        <v>1.2429122079981313E-6</v>
      </c>
      <c r="H56" s="71">
        <f>G56/G60</f>
        <v>1.0600772112034935E-2</v>
      </c>
    </row>
    <row r="57" spans="3:8" ht="16.5" x14ac:dyDescent="0.3">
      <c r="C57" s="7" t="s">
        <v>52</v>
      </c>
      <c r="D57" s="13">
        <f>SLOPE(R4:R10,J4:J10)</f>
        <v>1.0177818444296932E-8</v>
      </c>
      <c r="E57" s="18">
        <f>INTERCEPT(R4:R10,J4:J10)</f>
        <v>-2.6627148718433104E-6</v>
      </c>
      <c r="G57" s="13">
        <f>J6*D57+E57</f>
        <v>2.3453567256222616E-5</v>
      </c>
      <c r="H57" s="71">
        <f>G57/G60</f>
        <v>0.20003498243688844</v>
      </c>
    </row>
    <row r="58" spans="3:8" ht="16.5" x14ac:dyDescent="0.3">
      <c r="C58" s="7" t="s">
        <v>53</v>
      </c>
      <c r="D58" s="13">
        <f>SLOPE(S4:S9,K4:K9)</f>
        <v>5.9699027348180861E-9</v>
      </c>
      <c r="E58" s="18">
        <f>INTERCEPT(S4:S10,K4:K10)</f>
        <v>8.3403913502304793E-7</v>
      </c>
      <c r="G58" s="13">
        <f>K6*D58+E58</f>
        <v>9.2550848830580274E-5</v>
      </c>
      <c r="H58" s="71">
        <f>G58/G60</f>
        <v>0.78936424545107664</v>
      </c>
    </row>
    <row r="60" spans="3:8" x14ac:dyDescent="0.25">
      <c r="G60" s="13">
        <f>SUM(G56:G58)</f>
        <v>1.1724732829480102E-4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1"/>
  <sheetViews>
    <sheetView topLeftCell="A10" workbookViewId="0">
      <selection activeCell="J7" sqref="J7"/>
    </sheetView>
  </sheetViews>
  <sheetFormatPr defaultColWidth="9.140625" defaultRowHeight="15" x14ac:dyDescent="0.25"/>
  <cols>
    <col min="1" max="1" width="25.28515625" style="1" bestFit="1" customWidth="1"/>
    <col min="2" max="2" width="25.28515625" style="1" customWidth="1"/>
    <col min="3" max="3" width="16" style="1" bestFit="1" customWidth="1"/>
    <col min="4" max="4" width="20.28515625" style="1" bestFit="1" customWidth="1"/>
    <col min="5" max="6" width="25.28515625" style="1" customWidth="1"/>
    <col min="7" max="7" width="25.28515625" style="1" bestFit="1" customWidth="1"/>
    <col min="8" max="8" width="14.85546875" style="1" bestFit="1" customWidth="1"/>
    <col min="9" max="9" width="11.5703125" style="1" customWidth="1"/>
    <col min="10" max="11" width="18.140625" style="1" customWidth="1"/>
    <col min="12" max="12" width="18.42578125" style="1" customWidth="1"/>
    <col min="13" max="13" width="22" style="1" customWidth="1"/>
    <col min="14" max="15" width="10.85546875" style="1" customWidth="1"/>
    <col min="16" max="16" width="5.28515625" style="1" customWidth="1"/>
    <col min="17" max="17" width="47.5703125" style="1" bestFit="1" customWidth="1"/>
    <col min="18" max="18" width="10.42578125" style="1" bestFit="1" customWidth="1"/>
    <col min="19" max="19" width="9.5703125" style="1" bestFit="1" customWidth="1"/>
    <col min="20" max="20" width="9.85546875" style="1" bestFit="1" customWidth="1"/>
    <col min="21" max="21" width="14.85546875" style="1" bestFit="1" customWidth="1"/>
    <col min="22" max="22" width="22.28515625" style="1" bestFit="1" customWidth="1"/>
    <col min="23" max="24" width="24.140625" style="1" bestFit="1" customWidth="1"/>
    <col min="25" max="16384" width="9.140625" style="1"/>
  </cols>
  <sheetData>
    <row r="1" spans="1:23" x14ac:dyDescent="0.25">
      <c r="B1" s="1" t="s">
        <v>37</v>
      </c>
      <c r="C1" s="1" t="s">
        <v>0</v>
      </c>
      <c r="D1" s="1" t="s">
        <v>1</v>
      </c>
      <c r="E1" s="9" t="s">
        <v>39</v>
      </c>
      <c r="G1" s="2" t="s">
        <v>8</v>
      </c>
      <c r="H1" s="2" t="s">
        <v>3</v>
      </c>
      <c r="I1" s="2" t="s">
        <v>4</v>
      </c>
      <c r="J1" s="2" t="s">
        <v>5</v>
      </c>
      <c r="K1" s="2"/>
      <c r="L1" s="3" t="s">
        <v>11</v>
      </c>
      <c r="M1" s="3" t="s">
        <v>3</v>
      </c>
      <c r="N1" s="3" t="s">
        <v>4</v>
      </c>
      <c r="O1" s="3" t="s">
        <v>5</v>
      </c>
      <c r="P1" s="4" t="s">
        <v>9</v>
      </c>
      <c r="Q1" s="4" t="s">
        <v>3</v>
      </c>
      <c r="R1" s="4" t="s">
        <v>4</v>
      </c>
      <c r="S1" s="4" t="s">
        <v>5</v>
      </c>
      <c r="T1" s="5" t="s">
        <v>10</v>
      </c>
      <c r="U1" s="5" t="s">
        <v>3</v>
      </c>
      <c r="V1" s="5" t="s">
        <v>4</v>
      </c>
      <c r="W1" s="5" t="s">
        <v>5</v>
      </c>
    </row>
    <row r="2" spans="1:23" x14ac:dyDescent="0.25">
      <c r="A2" s="1" t="s">
        <v>70</v>
      </c>
      <c r="B2" s="1">
        <v>0.25</v>
      </c>
      <c r="C2" s="1">
        <v>0.04</v>
      </c>
      <c r="D2" s="1">
        <v>14.46</v>
      </c>
      <c r="E2" s="13">
        <f>((B2/1000)*(D2-C2))/(0.082057338*(110+273.15))</f>
        <v>1.1466186862866844E-4</v>
      </c>
      <c r="H2" s="1">
        <v>5.5250000000000004</v>
      </c>
      <c r="I2" s="1">
        <v>1.5</v>
      </c>
      <c r="J2" s="1">
        <v>0.8</v>
      </c>
      <c r="Q2" s="1">
        <v>6.4169999999999998</v>
      </c>
      <c r="R2" s="6">
        <v>0.27</v>
      </c>
      <c r="S2" s="6">
        <v>2.4</v>
      </c>
      <c r="T2" s="6"/>
      <c r="U2" s="6"/>
      <c r="V2" s="6"/>
      <c r="W2" s="6"/>
    </row>
    <row r="3" spans="1:23" x14ac:dyDescent="0.25">
      <c r="E3" s="13"/>
      <c r="R3" s="6"/>
      <c r="S3" s="6"/>
      <c r="T3" s="6"/>
      <c r="U3" s="6"/>
      <c r="V3" s="6"/>
      <c r="W3" s="6"/>
    </row>
    <row r="4" spans="1:23" x14ac:dyDescent="0.25">
      <c r="E4" s="13">
        <f t="shared" ref="E4:E14" si="0">((B4/1000)*(D4-C4))/(0.082057338*(110+273.15))</f>
        <v>0</v>
      </c>
      <c r="H4" s="1">
        <v>5.6470000000000002</v>
      </c>
      <c r="I4" s="1">
        <v>297.2</v>
      </c>
      <c r="J4" s="1">
        <v>730.2</v>
      </c>
      <c r="M4" s="1">
        <v>5.6950000000000003</v>
      </c>
      <c r="N4" s="1">
        <v>229</v>
      </c>
      <c r="O4" s="1">
        <v>767.5</v>
      </c>
      <c r="Q4" s="1">
        <v>6.3959999999999999</v>
      </c>
      <c r="R4" s="6">
        <v>572.70000000000005</v>
      </c>
      <c r="S4" s="6">
        <v>1941.7</v>
      </c>
      <c r="T4" s="6"/>
      <c r="U4" s="6">
        <v>7.59</v>
      </c>
      <c r="V4" s="6">
        <v>4.5</v>
      </c>
      <c r="W4" s="6">
        <v>6.5</v>
      </c>
    </row>
    <row r="5" spans="1:23" x14ac:dyDescent="0.25">
      <c r="E5" s="13">
        <f t="shared" si="0"/>
        <v>0</v>
      </c>
      <c r="H5" s="1">
        <v>5.6109999999999998</v>
      </c>
      <c r="I5" s="1">
        <v>51.4</v>
      </c>
      <c r="J5" s="1">
        <v>104.6</v>
      </c>
      <c r="M5" s="1">
        <v>5.6630000000000003</v>
      </c>
      <c r="N5" s="1">
        <v>37</v>
      </c>
      <c r="O5" s="1">
        <v>99</v>
      </c>
      <c r="Q5" s="1">
        <v>6.3949999999999996</v>
      </c>
      <c r="R5" s="6">
        <v>197.9</v>
      </c>
      <c r="S5" s="6">
        <v>461.3</v>
      </c>
      <c r="T5" s="6"/>
      <c r="U5" s="6">
        <v>7.5830000000000002</v>
      </c>
      <c r="V5" s="6">
        <v>0.63</v>
      </c>
      <c r="W5" s="6">
        <v>1.8</v>
      </c>
    </row>
    <row r="6" spans="1:23" x14ac:dyDescent="0.25">
      <c r="E6" s="13">
        <f t="shared" si="0"/>
        <v>0</v>
      </c>
      <c r="H6" s="1">
        <v>5.6130000000000004</v>
      </c>
      <c r="I6" s="1">
        <v>86.2</v>
      </c>
      <c r="J6" s="1">
        <v>180</v>
      </c>
      <c r="M6" s="1">
        <v>5.6639999999999997</v>
      </c>
      <c r="N6" s="1">
        <v>52.6</v>
      </c>
      <c r="O6" s="1">
        <v>139.69999999999999</v>
      </c>
      <c r="Q6" s="1">
        <v>6.3970000000000002</v>
      </c>
      <c r="R6" s="6">
        <v>193.5</v>
      </c>
      <c r="S6" s="6">
        <v>441</v>
      </c>
      <c r="T6" s="6"/>
      <c r="U6" s="6">
        <v>7.5819999999999999</v>
      </c>
      <c r="V6" s="6">
        <v>0.93</v>
      </c>
      <c r="W6" s="6">
        <v>1.4</v>
      </c>
    </row>
    <row r="7" spans="1:23" x14ac:dyDescent="0.25">
      <c r="E7" s="13">
        <f t="shared" si="0"/>
        <v>0</v>
      </c>
      <c r="H7" s="1">
        <v>5.609</v>
      </c>
      <c r="I7" s="1">
        <v>70.7</v>
      </c>
      <c r="J7" s="1">
        <v>148.1</v>
      </c>
      <c r="M7" s="1">
        <v>5.66</v>
      </c>
      <c r="N7" s="1">
        <v>44.9</v>
      </c>
      <c r="O7" s="1">
        <v>118.8</v>
      </c>
      <c r="Q7" s="1">
        <v>6.3940000000000001</v>
      </c>
      <c r="R7" s="6">
        <v>230.9</v>
      </c>
      <c r="S7" s="6">
        <v>542.70000000000005</v>
      </c>
      <c r="T7" s="6"/>
      <c r="U7" s="6">
        <v>7.5810000000000004</v>
      </c>
      <c r="V7" s="6">
        <v>0.51</v>
      </c>
      <c r="W7" s="6">
        <v>1.2</v>
      </c>
    </row>
    <row r="8" spans="1:23" x14ac:dyDescent="0.25">
      <c r="E8" s="13">
        <f t="shared" si="0"/>
        <v>0</v>
      </c>
      <c r="H8" s="1">
        <v>5.5250000000000004</v>
      </c>
      <c r="I8" s="1">
        <v>1.3</v>
      </c>
      <c r="J8" s="1">
        <v>5</v>
      </c>
      <c r="M8" s="1">
        <v>5.6680000000000001</v>
      </c>
      <c r="N8" s="1">
        <v>0.32</v>
      </c>
      <c r="O8" s="1">
        <v>1.17</v>
      </c>
      <c r="Q8" s="1">
        <v>6.4109999999999996</v>
      </c>
      <c r="R8" s="6">
        <v>0.23</v>
      </c>
      <c r="S8" s="6">
        <v>0.46</v>
      </c>
      <c r="T8" s="6"/>
      <c r="U8" s="6">
        <v>7.585</v>
      </c>
      <c r="V8" s="6">
        <v>0.28000000000000003</v>
      </c>
      <c r="W8" s="6">
        <v>3.2</v>
      </c>
    </row>
    <row r="9" spans="1:23" x14ac:dyDescent="0.25">
      <c r="E9" s="13">
        <f t="shared" si="0"/>
        <v>0</v>
      </c>
      <c r="H9" s="1">
        <v>5.6070000000000002</v>
      </c>
      <c r="I9" s="1">
        <v>335.4</v>
      </c>
      <c r="J9" s="1">
        <v>1114.4000000000001</v>
      </c>
      <c r="M9" s="1">
        <v>5.6580000000000004</v>
      </c>
      <c r="N9" s="1">
        <v>154.69999999999999</v>
      </c>
      <c r="O9" s="1">
        <v>413.7</v>
      </c>
      <c r="Q9" s="1">
        <v>6.3579999999999997</v>
      </c>
      <c r="R9" s="6">
        <v>766.6</v>
      </c>
      <c r="S9" s="6">
        <v>2662.6</v>
      </c>
      <c r="T9" s="6"/>
      <c r="U9" s="6">
        <v>7.5819999999999999</v>
      </c>
      <c r="V9" s="6">
        <v>2.2000000000000002</v>
      </c>
      <c r="W9" s="6">
        <v>3.7</v>
      </c>
    </row>
    <row r="10" spans="1:23" x14ac:dyDescent="0.25">
      <c r="E10" s="13">
        <f t="shared" si="0"/>
        <v>0</v>
      </c>
      <c r="H10" s="1">
        <v>5.609</v>
      </c>
      <c r="I10" s="1">
        <v>51.2</v>
      </c>
      <c r="J10" s="1">
        <v>122.7</v>
      </c>
      <c r="Q10" s="1">
        <v>6.3970000000000002</v>
      </c>
      <c r="R10" s="6">
        <v>175.8</v>
      </c>
      <c r="S10" s="6">
        <v>394.7</v>
      </c>
      <c r="T10" s="6"/>
      <c r="U10" s="6">
        <v>7.5810000000000004</v>
      </c>
      <c r="V10" s="6">
        <v>4.3</v>
      </c>
      <c r="W10" s="6">
        <v>6.8</v>
      </c>
    </row>
    <row r="11" spans="1:23" x14ac:dyDescent="0.25">
      <c r="E11" s="13">
        <f t="shared" si="0"/>
        <v>0</v>
      </c>
      <c r="H11" s="1">
        <v>5.601</v>
      </c>
      <c r="I11" s="1">
        <v>1110.2</v>
      </c>
      <c r="J11" s="1">
        <v>2517.5</v>
      </c>
      <c r="Q11" s="1">
        <v>6.3</v>
      </c>
      <c r="R11" s="6">
        <v>1609.8</v>
      </c>
      <c r="S11" s="6">
        <v>8719.2000000000007</v>
      </c>
      <c r="T11" s="6"/>
      <c r="U11" s="6">
        <v>7.5709999999999997</v>
      </c>
      <c r="V11" s="6">
        <v>98.8</v>
      </c>
      <c r="W11" s="6">
        <v>160.1</v>
      </c>
    </row>
    <row r="12" spans="1:23" x14ac:dyDescent="0.25">
      <c r="E12" s="13">
        <f t="shared" si="0"/>
        <v>0</v>
      </c>
      <c r="H12" s="1">
        <v>5.6109999999999998</v>
      </c>
      <c r="I12" s="1">
        <v>70.099999999999994</v>
      </c>
      <c r="J12" s="1">
        <v>156.69999999999999</v>
      </c>
      <c r="Q12" s="1">
        <v>6.36</v>
      </c>
      <c r="R12" s="6">
        <v>696.1</v>
      </c>
      <c r="S12" s="6">
        <v>2304</v>
      </c>
      <c r="T12" s="6"/>
      <c r="U12" s="6">
        <v>7.4290000000000003</v>
      </c>
      <c r="V12" s="6">
        <v>2097.1</v>
      </c>
      <c r="W12" s="6">
        <v>13758.5</v>
      </c>
    </row>
    <row r="13" spans="1:23" x14ac:dyDescent="0.25">
      <c r="E13" s="13">
        <f t="shared" si="0"/>
        <v>0</v>
      </c>
      <c r="H13" s="1">
        <v>5.5839999999999996</v>
      </c>
      <c r="I13" s="1">
        <v>3366.4</v>
      </c>
      <c r="J13" s="1">
        <v>11118.9</v>
      </c>
      <c r="Q13" s="1">
        <v>6.4050000000000002</v>
      </c>
      <c r="R13" s="6">
        <v>55.6</v>
      </c>
      <c r="S13" s="6">
        <v>116.7</v>
      </c>
      <c r="T13" s="6"/>
      <c r="U13" s="6">
        <v>7.516</v>
      </c>
      <c r="V13" s="6">
        <v>875.2</v>
      </c>
      <c r="W13" s="6">
        <v>3158.8</v>
      </c>
    </row>
    <row r="14" spans="1:23" x14ac:dyDescent="0.25">
      <c r="E14" s="13">
        <f t="shared" si="0"/>
        <v>0</v>
      </c>
      <c r="G14" s="1" t="s">
        <v>21</v>
      </c>
      <c r="H14" s="1">
        <v>5.5839999999999996</v>
      </c>
      <c r="I14" s="1">
        <v>3530.3</v>
      </c>
      <c r="J14" s="1">
        <v>13789.9</v>
      </c>
      <c r="R14" s="6"/>
      <c r="S14" s="6"/>
      <c r="T14" s="6"/>
      <c r="U14" s="6">
        <v>7.5830000000000002</v>
      </c>
      <c r="V14" s="6">
        <v>13.3</v>
      </c>
      <c r="W14" s="6">
        <v>19</v>
      </c>
    </row>
    <row r="15" spans="1:23" x14ac:dyDescent="0.25">
      <c r="R15" s="6"/>
      <c r="S15" s="6"/>
      <c r="T15" s="6"/>
      <c r="U15" s="6"/>
      <c r="V15" s="6"/>
      <c r="W15" s="6"/>
    </row>
    <row r="18" spans="1:12" x14ac:dyDescent="0.25">
      <c r="H18" s="1" t="s">
        <v>24</v>
      </c>
      <c r="I18" s="1" t="s">
        <v>26</v>
      </c>
      <c r="J18" s="1" t="s">
        <v>28</v>
      </c>
    </row>
    <row r="19" spans="1:12" x14ac:dyDescent="0.25">
      <c r="G19" s="1" t="s">
        <v>12</v>
      </c>
      <c r="H19" s="1">
        <v>730.2</v>
      </c>
      <c r="I19" s="6">
        <v>1941.7</v>
      </c>
      <c r="J19" s="6">
        <v>6.5</v>
      </c>
      <c r="K19" s="6"/>
    </row>
    <row r="20" spans="1:12" x14ac:dyDescent="0.25">
      <c r="C20" s="1" t="s">
        <v>22</v>
      </c>
      <c r="D20" s="1" t="s">
        <v>23</v>
      </c>
      <c r="G20" s="1" t="s">
        <v>13</v>
      </c>
      <c r="H20" s="1">
        <v>104.6</v>
      </c>
      <c r="I20" s="6">
        <v>461.3</v>
      </c>
      <c r="J20" s="6">
        <v>1.8</v>
      </c>
      <c r="K20" s="6"/>
    </row>
    <row r="21" spans="1:12" x14ac:dyDescent="0.25">
      <c r="A21" s="1" t="s">
        <v>8</v>
      </c>
      <c r="C21" s="1">
        <v>8.2894631965187701E-9</v>
      </c>
      <c r="D21" s="1">
        <v>-1.2457172896124642E-7</v>
      </c>
      <c r="G21" s="1" t="s">
        <v>14</v>
      </c>
      <c r="H21" s="1">
        <v>180</v>
      </c>
      <c r="I21" s="6">
        <v>441</v>
      </c>
      <c r="J21" s="6">
        <v>1.4</v>
      </c>
      <c r="K21" s="6"/>
    </row>
    <row r="22" spans="1:12" x14ac:dyDescent="0.25">
      <c r="A22" s="1" t="s">
        <v>9</v>
      </c>
      <c r="C22" s="1">
        <v>1.0632770552463882E-8</v>
      </c>
      <c r="D22" s="1">
        <v>-8.0571045322256837E-7</v>
      </c>
      <c r="G22" s="1" t="s">
        <v>15</v>
      </c>
      <c r="H22" s="1">
        <v>148.1</v>
      </c>
      <c r="I22" s="6">
        <v>542.70000000000005</v>
      </c>
      <c r="J22" s="6">
        <v>1.2</v>
      </c>
      <c r="K22" s="6"/>
    </row>
    <row r="23" spans="1:12" x14ac:dyDescent="0.25">
      <c r="A23" s="1" t="s">
        <v>10</v>
      </c>
      <c r="C23" s="1">
        <v>6.8516990368538534E-9</v>
      </c>
      <c r="D23" s="1">
        <v>1.601832005959815E-7</v>
      </c>
      <c r="G23" s="1" t="s">
        <v>16</v>
      </c>
      <c r="H23" s="1">
        <v>1114.4000000000001</v>
      </c>
      <c r="I23" s="6">
        <v>2662.6</v>
      </c>
      <c r="J23" s="6">
        <v>3.7</v>
      </c>
      <c r="K23" s="6"/>
    </row>
    <row r="24" spans="1:12" x14ac:dyDescent="0.25">
      <c r="G24" s="1" t="s">
        <v>18</v>
      </c>
      <c r="H24" s="1">
        <v>2517.5</v>
      </c>
      <c r="I24" s="6">
        <v>394.7</v>
      </c>
      <c r="J24" s="6">
        <v>160.1</v>
      </c>
      <c r="K24" s="6"/>
    </row>
    <row r="25" spans="1:12" x14ac:dyDescent="0.25">
      <c r="G25" s="1" t="s">
        <v>19</v>
      </c>
      <c r="H25" s="1">
        <v>156.69999999999999</v>
      </c>
      <c r="I25" s="6">
        <v>8719.2000000000007</v>
      </c>
      <c r="J25" s="6">
        <v>13758.5</v>
      </c>
      <c r="K25" s="6"/>
    </row>
    <row r="26" spans="1:12" x14ac:dyDescent="0.25">
      <c r="G26" s="1" t="s">
        <v>20</v>
      </c>
      <c r="H26" s="1">
        <v>11118.9</v>
      </c>
      <c r="I26" s="6">
        <v>2304</v>
      </c>
      <c r="J26" s="6">
        <v>3158.8</v>
      </c>
      <c r="K26" s="6"/>
    </row>
    <row r="27" spans="1:12" x14ac:dyDescent="0.25">
      <c r="I27" s="6"/>
      <c r="J27" s="6"/>
      <c r="K27" s="6"/>
    </row>
    <row r="28" spans="1:12" x14ac:dyDescent="0.25">
      <c r="I28" s="6"/>
      <c r="J28" s="6"/>
      <c r="K28" s="6"/>
    </row>
    <row r="29" spans="1:12" x14ac:dyDescent="0.25">
      <c r="I29" s="6"/>
      <c r="J29" s="6"/>
      <c r="K29" s="6"/>
    </row>
    <row r="32" spans="1:12" x14ac:dyDescent="0.25">
      <c r="H32" s="1" t="s">
        <v>25</v>
      </c>
      <c r="I32" s="1" t="s">
        <v>27</v>
      </c>
      <c r="J32" s="1" t="s">
        <v>29</v>
      </c>
      <c r="L32" s="1" t="s">
        <v>34</v>
      </c>
    </row>
    <row r="33" spans="7:12" x14ac:dyDescent="0.25">
      <c r="G33" s="1" t="s">
        <v>12</v>
      </c>
      <c r="H33" s="1">
        <f>C21*H19-D21</f>
        <v>6.1775377550592529E-6</v>
      </c>
      <c r="I33" s="1">
        <f>C22*I19-D22</f>
        <v>2.1451361034941687E-5</v>
      </c>
      <c r="J33" s="1">
        <f>C23*J19-D23</f>
        <v>-1.1564715685643145E-7</v>
      </c>
      <c r="L33" s="1" t="e">
        <f>((0.25/1000)*#REF!)/(0.082057338*(383.15))</f>
        <v>#REF!</v>
      </c>
    </row>
    <row r="34" spans="7:12" x14ac:dyDescent="0.25">
      <c r="G34" s="1" t="s">
        <v>13</v>
      </c>
      <c r="H34" s="1">
        <f>C21*H20-D21</f>
        <v>9.9164957931710957E-7</v>
      </c>
      <c r="I34" s="1">
        <f>C22*I20-D22</f>
        <v>5.7106075090741569E-6</v>
      </c>
      <c r="J34" s="1">
        <f>C23*J20-D23</f>
        <v>-1.4785014232964455E-7</v>
      </c>
      <c r="L34" s="1" t="e">
        <f>((0.25/1000)*#REF!)/(0.082057338*(383.15))</f>
        <v>#REF!</v>
      </c>
    </row>
    <row r="35" spans="7:12" x14ac:dyDescent="0.25">
      <c r="G35" s="1" t="s">
        <v>14</v>
      </c>
      <c r="H35" s="1">
        <f>C21*H21-D21</f>
        <v>1.616675104334625E-6</v>
      </c>
      <c r="I35" s="1">
        <f>C22*I21-D22</f>
        <v>5.49476226685914E-6</v>
      </c>
      <c r="J35" s="1">
        <f>C23*J21-D23</f>
        <v>-1.5059082194438611E-7</v>
      </c>
      <c r="L35" s="1" t="e">
        <f>((0.25/1000)*#REF!)/(0.082057338*(383.15))</f>
        <v>#REF!</v>
      </c>
    </row>
    <row r="36" spans="7:12" x14ac:dyDescent="0.25">
      <c r="G36" s="1" t="s">
        <v>15</v>
      </c>
      <c r="H36" s="1">
        <f>C21*H22-D21</f>
        <v>1.3522412283656762E-6</v>
      </c>
      <c r="I36" s="1">
        <f>C22*I22-D22</f>
        <v>6.5761150320447173E-6</v>
      </c>
      <c r="J36" s="1">
        <f>C23*J22-D23</f>
        <v>-1.5196116175175688E-7</v>
      </c>
      <c r="L36" s="1" t="e">
        <f>((0.25/1000)*#REF!)/(0.082057338*(383.15))</f>
        <v>#REF!</v>
      </c>
    </row>
    <row r="37" spans="7:12" x14ac:dyDescent="0.25">
      <c r="G37" s="1" t="s">
        <v>16</v>
      </c>
      <c r="H37" s="1">
        <f>C21*H23-D21</f>
        <v>9.3623495151617649E-6</v>
      </c>
      <c r="I37" s="1">
        <f>$C$22*I23-$D$22</f>
        <v>2.91165253262129E-5</v>
      </c>
      <c r="J37" s="1">
        <f>$C$23*J23-$D$23</f>
        <v>-1.3483191415962225E-7</v>
      </c>
      <c r="L37" s="1" t="e">
        <f>((0.25/1000)*#REF!)/(0.082057338*(383.15))</f>
        <v>#REF!</v>
      </c>
    </row>
    <row r="38" spans="7:12" x14ac:dyDescent="0.25">
      <c r="G38" s="1" t="s">
        <v>18</v>
      </c>
      <c r="H38" s="1">
        <f>C21*H24-D21</f>
        <v>2.0993295326197251E-5</v>
      </c>
      <c r="I38" s="1">
        <f>$C$22*I24-$D$22</f>
        <v>5.0024649902800624E-6</v>
      </c>
      <c r="J38" s="1">
        <f>$C$23*J24-$D$23</f>
        <v>9.3677381520432029E-7</v>
      </c>
      <c r="L38" s="1" t="e">
        <f>((0.25/1000)*#REF!)/(0.082057338*(383.15))</f>
        <v>#REF!</v>
      </c>
    </row>
    <row r="39" spans="7:12" x14ac:dyDescent="0.25">
      <c r="G39" s="1" t="s">
        <v>19</v>
      </c>
      <c r="H39" s="1">
        <f>C21*H25-D21</f>
        <v>1.4235306118557377E-6</v>
      </c>
      <c r="I39" s="1">
        <f>$C$22*I25-$D$22</f>
        <v>9.3514963454265654E-5</v>
      </c>
      <c r="J39" s="1">
        <f>$C$23*J25-$D$23</f>
        <v>9.4108917997957762E-5</v>
      </c>
      <c r="L39" s="1" t="e">
        <f>((0.25/1000)*#REF!)/(0.082057338*(383.15))</f>
        <v>#REF!</v>
      </c>
    </row>
    <row r="40" spans="7:12" x14ac:dyDescent="0.25">
      <c r="G40" s="1" t="s">
        <v>20</v>
      </c>
      <c r="H40" s="1">
        <f>C21*H26-D21</f>
        <v>9.2294284064733793E-5</v>
      </c>
      <c r="I40" s="1">
        <f>$C$22*I26-$D$22</f>
        <v>2.5303613806099353E-5</v>
      </c>
      <c r="J40" s="1">
        <f>$C$23*J26-$D$23</f>
        <v>2.148296371701797E-5</v>
      </c>
      <c r="L40" s="1" t="e">
        <f>((0.25/1000)*#REF!)/(0.082057338*(383.15))</f>
        <v>#REF!</v>
      </c>
    </row>
    <row r="42" spans="7:12" x14ac:dyDescent="0.25">
      <c r="H42" s="1" t="s">
        <v>30</v>
      </c>
      <c r="I42" s="1" t="s">
        <v>31</v>
      </c>
      <c r="J42" s="1" t="s">
        <v>32</v>
      </c>
      <c r="L42" s="1" t="s">
        <v>33</v>
      </c>
    </row>
    <row r="43" spans="7:12" x14ac:dyDescent="0.25">
      <c r="G43" s="1" t="s">
        <v>12</v>
      </c>
      <c r="H43" s="1" t="e">
        <f>H33/L33*100</f>
        <v>#REF!</v>
      </c>
      <c r="I43" s="1" t="e">
        <f>I33/L33*100</f>
        <v>#REF!</v>
      </c>
      <c r="J43" s="1" t="e">
        <f>J33/L33*100</f>
        <v>#REF!</v>
      </c>
    </row>
    <row r="44" spans="7:12" x14ac:dyDescent="0.25">
      <c r="G44" s="1" t="s">
        <v>13</v>
      </c>
      <c r="H44" s="1" t="e">
        <f>H34/L34*100</f>
        <v>#REF!</v>
      </c>
      <c r="I44" s="1" t="e">
        <f>I34/L34*100</f>
        <v>#REF!</v>
      </c>
      <c r="J44" s="1" t="e">
        <f>J34/L34*100</f>
        <v>#REF!</v>
      </c>
    </row>
    <row r="45" spans="7:12" x14ac:dyDescent="0.25">
      <c r="G45" s="1" t="s">
        <v>14</v>
      </c>
      <c r="H45" s="1" t="e">
        <f>H35/L35*100</f>
        <v>#REF!</v>
      </c>
      <c r="I45" s="1" t="e">
        <f>I35/L35*100</f>
        <v>#REF!</v>
      </c>
      <c r="J45" s="1" t="e">
        <f>J35/L35*100</f>
        <v>#REF!</v>
      </c>
    </row>
    <row r="46" spans="7:12" x14ac:dyDescent="0.25">
      <c r="G46" s="1" t="s">
        <v>15</v>
      </c>
      <c r="H46" s="1" t="e">
        <f>H36/L36*100</f>
        <v>#REF!</v>
      </c>
      <c r="I46" s="1" t="e">
        <f>I36/L36*100</f>
        <v>#REF!</v>
      </c>
      <c r="J46" s="1" t="e">
        <f>J36/L36*100</f>
        <v>#REF!</v>
      </c>
    </row>
    <row r="47" spans="7:12" x14ac:dyDescent="0.25">
      <c r="G47" s="1" t="s">
        <v>16</v>
      </c>
      <c r="H47" s="1" t="e">
        <f t="shared" ref="H47:H49" si="1">H37/L37*100</f>
        <v>#REF!</v>
      </c>
      <c r="I47" s="1" t="e">
        <f t="shared" ref="I47:I49" si="2">I37/L37*100</f>
        <v>#REF!</v>
      </c>
      <c r="J47" s="1" t="e">
        <f t="shared" ref="J47:J49" si="3">J37/L37*100</f>
        <v>#REF!</v>
      </c>
    </row>
    <row r="48" spans="7:12" x14ac:dyDescent="0.25">
      <c r="G48" s="1" t="s">
        <v>18</v>
      </c>
      <c r="H48" s="1" t="e">
        <f t="shared" si="1"/>
        <v>#REF!</v>
      </c>
      <c r="I48" s="1" t="e">
        <f t="shared" si="2"/>
        <v>#REF!</v>
      </c>
      <c r="J48" s="1" t="e">
        <f t="shared" si="3"/>
        <v>#REF!</v>
      </c>
    </row>
    <row r="49" spans="1:23" x14ac:dyDescent="0.25">
      <c r="G49" s="1" t="s">
        <v>19</v>
      </c>
      <c r="H49" s="1" t="e">
        <f t="shared" si="1"/>
        <v>#REF!</v>
      </c>
      <c r="I49" s="1" t="e">
        <f t="shared" si="2"/>
        <v>#REF!</v>
      </c>
      <c r="J49" s="1" t="e">
        <f t="shared" si="3"/>
        <v>#REF!</v>
      </c>
    </row>
    <row r="50" spans="1:23" x14ac:dyDescent="0.25">
      <c r="G50" s="1" t="s">
        <v>20</v>
      </c>
    </row>
    <row r="51" spans="1:23" s="40" customFormat="1" x14ac:dyDescent="0.25"/>
    <row r="52" spans="1:23" s="40" customFormat="1" x14ac:dyDescent="0.25"/>
    <row r="53" spans="1:23" s="40" customFormat="1" x14ac:dyDescent="0.25"/>
    <row r="54" spans="1:23" s="20" customFormat="1" ht="15.75" thickBot="1" x14ac:dyDescent="0.3"/>
    <row r="56" spans="1:23" x14ac:dyDescent="0.25">
      <c r="C56" s="1" t="s">
        <v>0</v>
      </c>
      <c r="D56" s="1" t="s">
        <v>1</v>
      </c>
      <c r="G56" s="2" t="s">
        <v>8</v>
      </c>
      <c r="H56" s="2" t="s">
        <v>3</v>
      </c>
      <c r="I56" s="2" t="s">
        <v>4</v>
      </c>
      <c r="J56" s="2" t="s">
        <v>5</v>
      </c>
      <c r="K56" s="2"/>
      <c r="L56" s="3" t="s">
        <v>11</v>
      </c>
      <c r="M56" s="3" t="s">
        <v>3</v>
      </c>
      <c r="N56" s="3" t="s">
        <v>4</v>
      </c>
      <c r="O56" s="3" t="s">
        <v>5</v>
      </c>
      <c r="P56" s="4" t="s">
        <v>9</v>
      </c>
      <c r="Q56" s="4" t="s">
        <v>3</v>
      </c>
      <c r="R56" s="4" t="s">
        <v>4</v>
      </c>
      <c r="S56" s="4" t="s">
        <v>5</v>
      </c>
      <c r="T56" s="5" t="s">
        <v>10</v>
      </c>
      <c r="U56" s="5" t="s">
        <v>3</v>
      </c>
      <c r="V56" s="5" t="s">
        <v>4</v>
      </c>
      <c r="W56" s="5" t="s">
        <v>5</v>
      </c>
    </row>
    <row r="57" spans="1:23" x14ac:dyDescent="0.25">
      <c r="A57" s="1" t="s">
        <v>6</v>
      </c>
      <c r="C57" s="1">
        <v>0.03</v>
      </c>
      <c r="D57" s="1">
        <v>0.03</v>
      </c>
      <c r="H57" s="1">
        <v>5.5250000000000004</v>
      </c>
      <c r="I57" s="1">
        <v>1.5</v>
      </c>
      <c r="J57" s="1">
        <v>0.8</v>
      </c>
      <c r="Q57" s="1">
        <v>6.4169999999999998</v>
      </c>
      <c r="R57" s="6">
        <v>0.27</v>
      </c>
      <c r="S57" s="6">
        <v>2.4</v>
      </c>
      <c r="T57" s="6"/>
      <c r="U57" s="6"/>
      <c r="V57" s="6"/>
      <c r="W57" s="6"/>
    </row>
    <row r="58" spans="1:23" x14ac:dyDescent="0.25">
      <c r="A58" s="1" t="s">
        <v>12</v>
      </c>
      <c r="C58" s="1">
        <v>0.04</v>
      </c>
      <c r="D58" s="1">
        <v>3.54</v>
      </c>
      <c r="H58" s="1">
        <v>5.6470000000000002</v>
      </c>
      <c r="I58" s="1">
        <v>300.7</v>
      </c>
      <c r="J58" s="1">
        <v>838.7</v>
      </c>
      <c r="M58" s="1">
        <v>5.6950000000000003</v>
      </c>
      <c r="N58" s="1">
        <v>229</v>
      </c>
      <c r="O58" s="1">
        <v>767.5</v>
      </c>
      <c r="Q58" s="1">
        <v>6.3959999999999999</v>
      </c>
      <c r="R58" s="6">
        <v>572.70000000000005</v>
      </c>
      <c r="S58" s="6">
        <v>1941.7</v>
      </c>
      <c r="T58" s="6"/>
      <c r="U58" s="6">
        <v>7.59</v>
      </c>
      <c r="V58" s="6">
        <v>4.5</v>
      </c>
      <c r="W58" s="6">
        <v>6.5</v>
      </c>
    </row>
    <row r="59" spans="1:23" x14ac:dyDescent="0.25">
      <c r="A59" s="1" t="s">
        <v>13</v>
      </c>
      <c r="C59" s="1">
        <v>0.04</v>
      </c>
      <c r="D59" s="1">
        <v>10.029999999999999</v>
      </c>
      <c r="H59" s="1">
        <v>5.6109999999999998</v>
      </c>
      <c r="I59" s="1">
        <v>52</v>
      </c>
      <c r="J59" s="1">
        <v>112.7</v>
      </c>
      <c r="M59" s="1">
        <v>5.6630000000000003</v>
      </c>
      <c r="N59" s="1">
        <v>37</v>
      </c>
      <c r="O59" s="1">
        <v>99</v>
      </c>
      <c r="Q59" s="1">
        <v>6.3949999999999996</v>
      </c>
      <c r="R59" s="6">
        <v>197.9</v>
      </c>
      <c r="S59" s="6">
        <v>461.3</v>
      </c>
      <c r="T59" s="6"/>
      <c r="U59" s="6">
        <v>7.5830000000000002</v>
      </c>
      <c r="V59" s="6">
        <v>0.63</v>
      </c>
      <c r="W59" s="6">
        <v>1.8</v>
      </c>
    </row>
    <row r="60" spans="1:23" x14ac:dyDescent="0.25">
      <c r="A60" s="1" t="s">
        <v>14</v>
      </c>
      <c r="C60" s="1">
        <v>0.03</v>
      </c>
      <c r="D60" s="1">
        <v>7.25</v>
      </c>
      <c r="H60" s="1">
        <v>5.6130000000000004</v>
      </c>
      <c r="I60" s="1">
        <v>89.7</v>
      </c>
      <c r="J60" s="1">
        <v>193.8</v>
      </c>
      <c r="M60" s="1">
        <v>5.6639999999999997</v>
      </c>
      <c r="N60" s="1">
        <v>52.6</v>
      </c>
      <c r="O60" s="1">
        <v>139.69999999999999</v>
      </c>
      <c r="Q60" s="1">
        <v>6.3970000000000002</v>
      </c>
      <c r="R60" s="6">
        <v>193.5</v>
      </c>
      <c r="S60" s="6">
        <v>441</v>
      </c>
      <c r="T60" s="6"/>
      <c r="U60" s="6">
        <v>7.5819999999999999</v>
      </c>
      <c r="V60" s="6">
        <v>0.93</v>
      </c>
      <c r="W60" s="6">
        <v>1.4</v>
      </c>
    </row>
    <row r="61" spans="1:23" x14ac:dyDescent="0.25">
      <c r="A61" s="1" t="s">
        <v>15</v>
      </c>
      <c r="C61" s="1">
        <v>0.03</v>
      </c>
      <c r="D61" s="1">
        <v>13.08</v>
      </c>
      <c r="H61" s="1">
        <v>5.609</v>
      </c>
      <c r="I61" s="1">
        <v>73.599999999999994</v>
      </c>
      <c r="J61" s="1">
        <v>158.4</v>
      </c>
      <c r="M61" s="1">
        <v>5.66</v>
      </c>
      <c r="N61" s="1">
        <v>44.9</v>
      </c>
      <c r="O61" s="1">
        <v>118.8</v>
      </c>
      <c r="Q61" s="1">
        <v>6.3940000000000001</v>
      </c>
      <c r="R61" s="6">
        <v>230.9</v>
      </c>
      <c r="S61" s="6">
        <v>542.70000000000005</v>
      </c>
      <c r="T61" s="6"/>
      <c r="U61" s="6">
        <v>7.5810000000000004</v>
      </c>
      <c r="V61" s="6">
        <v>0.51</v>
      </c>
      <c r="W61" s="6">
        <v>1.2</v>
      </c>
    </row>
    <row r="62" spans="1:23" x14ac:dyDescent="0.25">
      <c r="A62" s="1" t="s">
        <v>2</v>
      </c>
      <c r="C62" s="1">
        <v>0.04</v>
      </c>
      <c r="D62" s="1">
        <v>0.04</v>
      </c>
      <c r="H62" s="1">
        <v>5.5250000000000004</v>
      </c>
      <c r="I62" s="1">
        <v>1.3</v>
      </c>
      <c r="J62" s="1">
        <v>5</v>
      </c>
      <c r="M62" s="1">
        <v>5.6680000000000001</v>
      </c>
      <c r="N62" s="1">
        <v>0.32</v>
      </c>
      <c r="O62" s="1">
        <v>1.17</v>
      </c>
      <c r="Q62" s="1">
        <v>6.4109999999999996</v>
      </c>
      <c r="R62" s="6">
        <v>0.23</v>
      </c>
      <c r="S62" s="6">
        <v>0.46</v>
      </c>
      <c r="T62" s="6"/>
      <c r="U62" s="6">
        <v>7.585</v>
      </c>
      <c r="V62" s="6">
        <v>0.28000000000000003</v>
      </c>
      <c r="W62" s="6">
        <v>3.2</v>
      </c>
    </row>
    <row r="63" spans="1:23" x14ac:dyDescent="0.25">
      <c r="A63" s="1" t="s">
        <v>16</v>
      </c>
      <c r="C63" s="1">
        <v>0.03</v>
      </c>
      <c r="D63" s="1">
        <v>14.87</v>
      </c>
      <c r="H63" s="1">
        <v>5.6070000000000002</v>
      </c>
      <c r="I63" s="1">
        <v>347</v>
      </c>
      <c r="J63" s="1">
        <v>740.1</v>
      </c>
      <c r="M63" s="1">
        <v>5.6580000000000004</v>
      </c>
      <c r="N63" s="1">
        <v>154.69999999999999</v>
      </c>
      <c r="O63" s="1">
        <v>413.7</v>
      </c>
      <c r="Q63" s="1">
        <v>6.3579999999999997</v>
      </c>
      <c r="R63" s="6">
        <v>766.6</v>
      </c>
      <c r="S63" s="6">
        <v>2662.6</v>
      </c>
      <c r="T63" s="6"/>
      <c r="U63" s="6">
        <v>7.5819999999999999</v>
      </c>
      <c r="V63" s="6">
        <v>2.2000000000000002</v>
      </c>
      <c r="W63" s="6">
        <v>3.7</v>
      </c>
    </row>
    <row r="64" spans="1:23" s="23" customFormat="1" x14ac:dyDescent="0.25">
      <c r="A64" s="23" t="s">
        <v>17</v>
      </c>
      <c r="C64" s="23">
        <v>0.05</v>
      </c>
      <c r="D64" s="23">
        <v>14.38</v>
      </c>
      <c r="H64" s="23">
        <v>5.609</v>
      </c>
      <c r="I64" s="23">
        <v>51.6</v>
      </c>
      <c r="J64" s="23">
        <v>119.2</v>
      </c>
      <c r="Q64" s="23">
        <v>6.3970000000000002</v>
      </c>
      <c r="R64" s="24">
        <v>175.8</v>
      </c>
      <c r="S64" s="24">
        <v>394.7</v>
      </c>
      <c r="T64" s="24"/>
      <c r="U64" s="24">
        <v>7.5810000000000004</v>
      </c>
      <c r="V64" s="24">
        <v>4.3</v>
      </c>
      <c r="W64" s="24">
        <v>6.8</v>
      </c>
    </row>
    <row r="65" spans="1:23" x14ac:dyDescent="0.25">
      <c r="A65" s="1" t="s">
        <v>18</v>
      </c>
      <c r="C65" s="1">
        <v>0.04</v>
      </c>
      <c r="D65" s="1">
        <v>14.39</v>
      </c>
      <c r="H65" s="1">
        <v>5.601</v>
      </c>
      <c r="I65" s="1">
        <v>1110.2</v>
      </c>
      <c r="J65" s="1">
        <v>2517.5</v>
      </c>
      <c r="Q65" s="1">
        <v>6.3</v>
      </c>
      <c r="R65" s="6">
        <v>1609.8</v>
      </c>
      <c r="S65" s="6">
        <v>8719.2000000000007</v>
      </c>
      <c r="T65" s="6"/>
      <c r="U65" s="6">
        <v>7.5709999999999997</v>
      </c>
      <c r="V65" s="6">
        <v>98.8</v>
      </c>
      <c r="W65" s="6">
        <v>160.1</v>
      </c>
    </row>
    <row r="66" spans="1:23" x14ac:dyDescent="0.25">
      <c r="A66" s="1" t="s">
        <v>19</v>
      </c>
      <c r="C66" s="1">
        <v>0.03</v>
      </c>
      <c r="D66" s="1">
        <v>14.91</v>
      </c>
      <c r="H66" s="1">
        <v>5.6109999999999998</v>
      </c>
      <c r="I66" s="1">
        <v>70.099999999999994</v>
      </c>
      <c r="J66" s="1">
        <v>156.69999999999999</v>
      </c>
      <c r="Q66" s="1">
        <v>6.36</v>
      </c>
      <c r="R66" s="6">
        <v>696.1</v>
      </c>
      <c r="S66" s="6">
        <v>2304</v>
      </c>
      <c r="T66" s="6"/>
      <c r="U66" s="6">
        <v>7.4290000000000003</v>
      </c>
      <c r="V66" s="6">
        <v>2097.1</v>
      </c>
      <c r="W66" s="6">
        <v>13758.5</v>
      </c>
    </row>
    <row r="67" spans="1:23" x14ac:dyDescent="0.25">
      <c r="A67" s="1" t="s">
        <v>20</v>
      </c>
      <c r="C67" s="1">
        <v>0.04</v>
      </c>
      <c r="D67" s="1">
        <v>14.51</v>
      </c>
      <c r="H67" s="1">
        <v>5.5839999999999996</v>
      </c>
      <c r="I67" s="1">
        <v>3366.4</v>
      </c>
      <c r="J67" s="1">
        <v>11118.9</v>
      </c>
      <c r="Q67" s="1">
        <v>6.4050000000000002</v>
      </c>
      <c r="R67" s="6">
        <v>55.6</v>
      </c>
      <c r="S67" s="6">
        <v>116.7</v>
      </c>
      <c r="T67" s="6"/>
      <c r="U67" s="6">
        <v>7.516</v>
      </c>
      <c r="V67" s="6">
        <v>875.2</v>
      </c>
      <c r="W67" s="6">
        <v>3158.8</v>
      </c>
    </row>
    <row r="68" spans="1:23" x14ac:dyDescent="0.25">
      <c r="A68" s="1" t="s">
        <v>7</v>
      </c>
      <c r="C68" s="1">
        <v>0.04</v>
      </c>
      <c r="D68" s="1">
        <v>14.43</v>
      </c>
      <c r="G68" s="1" t="s">
        <v>21</v>
      </c>
      <c r="H68" s="1">
        <v>5.5839999999999996</v>
      </c>
      <c r="I68" s="1">
        <v>3589</v>
      </c>
      <c r="J68" s="1">
        <v>9573.7999999999993</v>
      </c>
      <c r="R68" s="6"/>
      <c r="S68" s="6"/>
      <c r="T68" s="6"/>
      <c r="U68" s="6">
        <v>7.5830000000000002</v>
      </c>
      <c r="V68" s="6">
        <v>13.3</v>
      </c>
      <c r="W68" s="6">
        <v>19</v>
      </c>
    </row>
    <row r="72" spans="1:23" x14ac:dyDescent="0.25">
      <c r="A72" s="7"/>
      <c r="B72" s="7"/>
      <c r="C72" s="7" t="s">
        <v>22</v>
      </c>
      <c r="D72" s="7" t="s">
        <v>23</v>
      </c>
    </row>
    <row r="73" spans="1:23" x14ac:dyDescent="0.25">
      <c r="A73" s="7" t="s">
        <v>8</v>
      </c>
      <c r="B73" s="7"/>
      <c r="C73" s="13">
        <v>8.2894631965187701E-9</v>
      </c>
      <c r="D73" s="18">
        <v>-1.2457172896124642E-7</v>
      </c>
    </row>
    <row r="74" spans="1:23" x14ac:dyDescent="0.25">
      <c r="A74" s="7" t="s">
        <v>9</v>
      </c>
      <c r="B74" s="7"/>
      <c r="C74" s="13">
        <v>1.0632770552463882E-8</v>
      </c>
      <c r="D74" s="18">
        <v>-8.0571045322256837E-7</v>
      </c>
    </row>
    <row r="75" spans="1:23" ht="18.75" x14ac:dyDescent="0.25">
      <c r="A75" s="7" t="s">
        <v>10</v>
      </c>
      <c r="B75" s="7"/>
      <c r="C75" s="13">
        <v>6.8516990368538534E-9</v>
      </c>
      <c r="D75" s="18">
        <v>1.601832005959815E-7</v>
      </c>
      <c r="M75" s="1" t="s">
        <v>54</v>
      </c>
      <c r="S75" s="42" t="s">
        <v>61</v>
      </c>
    </row>
    <row r="77" spans="1:23" x14ac:dyDescent="0.25">
      <c r="G77" s="1" t="s">
        <v>25</v>
      </c>
      <c r="H77" s="1" t="s">
        <v>27</v>
      </c>
      <c r="I77" s="1" t="s">
        <v>29</v>
      </c>
      <c r="K77" s="1" t="s">
        <v>34</v>
      </c>
      <c r="L77" s="44" t="s">
        <v>63</v>
      </c>
      <c r="M77" s="1" t="s">
        <v>30</v>
      </c>
      <c r="N77" s="1" t="s">
        <v>31</v>
      </c>
      <c r="O77" s="1" t="s">
        <v>32</v>
      </c>
      <c r="S77" s="1" t="s">
        <v>30</v>
      </c>
      <c r="T77" s="1" t="s">
        <v>31</v>
      </c>
      <c r="U77" s="1" t="s">
        <v>32</v>
      </c>
      <c r="V77" s="1" t="s">
        <v>62</v>
      </c>
    </row>
    <row r="79" spans="1:23" x14ac:dyDescent="0.25">
      <c r="G79" s="21">
        <f>($C$73*J58)+$D$73</f>
        <v>6.8278010539590467E-6</v>
      </c>
      <c r="H79" s="21">
        <f>($C$74*S58)+$D$74</f>
        <v>1.983994012849655E-5</v>
      </c>
      <c r="I79" s="21">
        <f>($C$75*W58)+$D$75</f>
        <v>2.0471924433553154E-7</v>
      </c>
      <c r="K79" s="21">
        <f>SUM(G79:I79)</f>
        <v>2.6872460426791128E-5</v>
      </c>
      <c r="L79" s="46">
        <f>(E4-K79)/(K79+E4)*100</f>
        <v>-100</v>
      </c>
      <c r="M79" s="22">
        <f>G79/K79</f>
        <v>0.25408172327800366</v>
      </c>
      <c r="N79" s="22">
        <f>H79/K79</f>
        <v>0.73830009658202556</v>
      </c>
      <c r="O79" s="22">
        <f>I79/K79</f>
        <v>7.6181801399708045E-3</v>
      </c>
      <c r="R79" s="41"/>
      <c r="S79" s="22" t="e">
        <f t="shared" ref="S79:U82" si="4">G79/$E4</f>
        <v>#DIV/0!</v>
      </c>
      <c r="T79" s="22" t="e">
        <f t="shared" si="4"/>
        <v>#DIV/0!</v>
      </c>
      <c r="U79" s="22" t="e">
        <f t="shared" si="4"/>
        <v>#DIV/0!</v>
      </c>
      <c r="V79" s="43" t="e">
        <f>1-(S79+T79+U79)</f>
        <v>#DIV/0!</v>
      </c>
    </row>
    <row r="80" spans="1:23" x14ac:dyDescent="0.25">
      <c r="G80" s="21">
        <f>($C$73*J59)+$D$73</f>
        <v>8.09650773286419E-7</v>
      </c>
      <c r="H80" s="21">
        <f>($C$74*S59)+$D$74</f>
        <v>4.0991866026290202E-6</v>
      </c>
      <c r="I80" s="21">
        <f>($C$75*W59)+$D$75</f>
        <v>1.7251625886231844E-7</v>
      </c>
      <c r="K80" s="21">
        <f>SUM(G80:I80)</f>
        <v>5.0813536347777578E-6</v>
      </c>
      <c r="L80" s="47">
        <f>(E5-K80)/(K80+E5)*100</f>
        <v>-100</v>
      </c>
      <c r="M80" s="22">
        <f>G80/K80</f>
        <v>0.15933761581658359</v>
      </c>
      <c r="N80" s="22">
        <f>H80/K80</f>
        <v>0.80671153736937373</v>
      </c>
      <c r="O80" s="22">
        <f>I80/K80</f>
        <v>3.3950846814042646E-2</v>
      </c>
      <c r="R80" s="41"/>
      <c r="S80" s="22" t="e">
        <f t="shared" si="4"/>
        <v>#DIV/0!</v>
      </c>
      <c r="T80" s="22" t="e">
        <f t="shared" si="4"/>
        <v>#DIV/0!</v>
      </c>
      <c r="U80" s="22" t="e">
        <f t="shared" si="4"/>
        <v>#DIV/0!</v>
      </c>
      <c r="V80" s="43" t="e">
        <f>1-(S80+T80+U80)</f>
        <v>#DIV/0!</v>
      </c>
    </row>
    <row r="81" spans="5:22" x14ac:dyDescent="0.25">
      <c r="G81" s="21">
        <f>($C$73*J60)+$D$73</f>
        <v>1.4819262385240913E-6</v>
      </c>
      <c r="H81" s="21">
        <f>($C$74*S60)+$D$74</f>
        <v>3.8833413604140033E-6</v>
      </c>
      <c r="I81" s="21">
        <f>($C$75*W60)+$D$75</f>
        <v>1.6977557924757688E-7</v>
      </c>
      <c r="K81" s="21">
        <f>SUM(G81:I81)</f>
        <v>5.5350431781856714E-6</v>
      </c>
      <c r="L81" s="47">
        <f>(E6-K81)/(K81+E6)*100</f>
        <v>-100</v>
      </c>
      <c r="M81" s="22">
        <f>G81/K81</f>
        <v>0.26773526254764485</v>
      </c>
      <c r="N81" s="22">
        <f>H81/K81</f>
        <v>0.70159188201435518</v>
      </c>
      <c r="O81" s="22">
        <f>I81/K81</f>
        <v>3.0672855437999948E-2</v>
      </c>
      <c r="R81" s="41"/>
      <c r="S81" s="22" t="e">
        <f t="shared" si="4"/>
        <v>#DIV/0!</v>
      </c>
      <c r="T81" s="22" t="e">
        <f t="shared" si="4"/>
        <v>#DIV/0!</v>
      </c>
      <c r="U81" s="22" t="e">
        <f t="shared" si="4"/>
        <v>#DIV/0!</v>
      </c>
      <c r="V81" s="43" t="e">
        <f>1-(S81+T81+U81)</f>
        <v>#DIV/0!</v>
      </c>
    </row>
    <row r="82" spans="5:22" x14ac:dyDescent="0.25">
      <c r="G82" s="21">
        <f>($C$73*J61)+$D$73</f>
        <v>1.1884792413673268E-6</v>
      </c>
      <c r="H82" s="21">
        <f>($C$74*S61)+$D$74</f>
        <v>4.9646941255995806E-6</v>
      </c>
      <c r="I82" s="21">
        <f>($C$75*W61)+$D$75</f>
        <v>1.6840523944020612E-7</v>
      </c>
      <c r="K82" s="21">
        <f>SUM(G82:I82)</f>
        <v>6.321578606407114E-6</v>
      </c>
      <c r="L82" s="47">
        <f>(E7-K82)/(K82+E7)*100</f>
        <v>-100</v>
      </c>
      <c r="M82" s="22">
        <f>G82/K82</f>
        <v>0.18800355344197833</v>
      </c>
      <c r="N82" s="22">
        <f>H82/K82</f>
        <v>0.78535670197436291</v>
      </c>
      <c r="O82" s="22">
        <f>I82/K82</f>
        <v>2.6639744583658618E-2</v>
      </c>
      <c r="R82" s="41"/>
      <c r="S82" s="22" t="e">
        <f t="shared" si="4"/>
        <v>#DIV/0!</v>
      </c>
      <c r="T82" s="22" t="e">
        <f t="shared" si="4"/>
        <v>#DIV/0!</v>
      </c>
      <c r="U82" s="22" t="e">
        <f t="shared" si="4"/>
        <v>#DIV/0!</v>
      </c>
      <c r="V82" s="43" t="e">
        <f>1-(S82+T82+U82)</f>
        <v>#DIV/0!</v>
      </c>
    </row>
    <row r="83" spans="5:22" x14ac:dyDescent="0.25">
      <c r="G83" s="21">
        <f>($C$73*J63)+$D$73</f>
        <v>6.0104599827822953E-6</v>
      </c>
      <c r="H83" s="21">
        <f>($C$74*S63)+$D$74</f>
        <v>2.7505104419767763E-5</v>
      </c>
      <c r="I83" s="21">
        <f>($C$75*W63)+$D$75</f>
        <v>1.8553448703234074E-7</v>
      </c>
      <c r="K83" s="21">
        <f>SUM(G83:I83)</f>
        <v>3.3701098889582403E-5</v>
      </c>
      <c r="L83" s="47">
        <f>(E9-K83)/(K83+E9)*100</f>
        <v>-100</v>
      </c>
      <c r="M83" s="22">
        <f>G83/K83</f>
        <v>0.17834611276251983</v>
      </c>
      <c r="N83" s="22">
        <f>H83/K83</f>
        <v>0.81614859236148141</v>
      </c>
      <c r="O83" s="22">
        <f>I83/K83</f>
        <v>5.5052948759986182E-3</v>
      </c>
      <c r="R83" s="41"/>
      <c r="S83" s="22" t="e">
        <f>G83/$E9</f>
        <v>#DIV/0!</v>
      </c>
      <c r="T83" s="22" t="e">
        <f>H83/$E9</f>
        <v>#DIV/0!</v>
      </c>
      <c r="U83" s="22" t="e">
        <f>I83/$E9</f>
        <v>#DIV/0!</v>
      </c>
      <c r="V83" s="43" t="e">
        <f>1-(S83+T83+U83)</f>
        <v>#DIV/0!</v>
      </c>
    </row>
    <row r="84" spans="5:22" x14ac:dyDescent="0.25">
      <c r="G84" s="21"/>
      <c r="H84" s="21"/>
      <c r="I84" s="21"/>
      <c r="K84" s="21"/>
      <c r="L84" s="48"/>
      <c r="M84" s="22"/>
      <c r="N84" s="22"/>
      <c r="O84" s="22"/>
      <c r="R84" s="41"/>
      <c r="S84" s="41"/>
      <c r="T84" s="41"/>
    </row>
    <row r="85" spans="5:22" ht="33.75" customHeight="1" x14ac:dyDescent="0.25">
      <c r="E85" s="27"/>
      <c r="F85" s="27"/>
      <c r="G85" s="26">
        <f>($C$73*J65)+$D$73</f>
        <v>2.0744151868274758E-5</v>
      </c>
      <c r="H85" s="26">
        <f>($C$74*S65)+$D$74</f>
        <v>9.1903542547820517E-5</v>
      </c>
      <c r="I85" s="26">
        <f>($C$75*W65)+$D$75</f>
        <v>1.2571402163962833E-6</v>
      </c>
      <c r="J85" s="27"/>
      <c r="K85" s="26">
        <f>SUM(G85:I85)</f>
        <v>1.1390483463249155E-4</v>
      </c>
      <c r="L85" s="46">
        <f>(E11-K85)/(K85+E11)*100</f>
        <v>-100</v>
      </c>
      <c r="M85" s="28">
        <f>G85/K85</f>
        <v>0.18211827386611606</v>
      </c>
      <c r="N85" s="28">
        <f>H85/K85</f>
        <v>0.80684496706696307</v>
      </c>
      <c r="O85" s="28">
        <f>I85/K85</f>
        <v>1.1036759066920957E-2</v>
      </c>
      <c r="P85" s="27"/>
      <c r="Q85" s="29" t="s">
        <v>55</v>
      </c>
      <c r="R85" s="41"/>
      <c r="S85" s="22" t="e">
        <f t="shared" ref="S85:U87" si="5">G85/$E11</f>
        <v>#DIV/0!</v>
      </c>
      <c r="T85" s="22" t="e">
        <f t="shared" si="5"/>
        <v>#DIV/0!</v>
      </c>
      <c r="U85" s="22" t="e">
        <f t="shared" si="5"/>
        <v>#DIV/0!</v>
      </c>
      <c r="V85" s="43" t="e">
        <f>1-(S85+T85+U85)</f>
        <v>#DIV/0!</v>
      </c>
    </row>
    <row r="86" spans="5:22" ht="27.75" customHeight="1" x14ac:dyDescent="0.25">
      <c r="E86" s="31"/>
      <c r="F86" s="31"/>
      <c r="G86" s="30">
        <f>($C$73*J66)+$D$73</f>
        <v>1.1743871539332448E-6</v>
      </c>
      <c r="H86" s="30">
        <f>($C$74*S66)+$D$74</f>
        <v>2.3692192899654217E-5</v>
      </c>
      <c r="I86" s="30">
        <f>($C$75*W66)+$D$75</f>
        <v>9.4429284399149725E-5</v>
      </c>
      <c r="J86" s="31"/>
      <c r="K86" s="30">
        <f>SUM(G86:I86)</f>
        <v>1.1929586445273718E-4</v>
      </c>
      <c r="L86" s="46">
        <f>(E12-K86)/(K86+E12)*100</f>
        <v>-100</v>
      </c>
      <c r="M86" s="32">
        <f>G86/K86</f>
        <v>9.8443241039467503E-3</v>
      </c>
      <c r="N86" s="32">
        <f>H86/K86</f>
        <v>0.19860028684431577</v>
      </c>
      <c r="O86" s="32">
        <f>I86/K86</f>
        <v>0.7915553890517375</v>
      </c>
      <c r="P86" s="31"/>
      <c r="Q86" s="33" t="s">
        <v>57</v>
      </c>
      <c r="R86" s="41"/>
      <c r="S86" s="22" t="e">
        <f t="shared" si="5"/>
        <v>#DIV/0!</v>
      </c>
      <c r="T86" s="22" t="e">
        <f t="shared" si="5"/>
        <v>#DIV/0!</v>
      </c>
      <c r="U86" s="22" t="e">
        <f t="shared" si="5"/>
        <v>#DIV/0!</v>
      </c>
      <c r="V86" s="43" t="e">
        <f>1-(S86+T86+U86)</f>
        <v>#DIV/0!</v>
      </c>
    </row>
    <row r="87" spans="5:22" ht="33" customHeight="1" x14ac:dyDescent="0.25">
      <c r="E87" s="35"/>
      <c r="F87" s="35"/>
      <c r="G87" s="34">
        <f>($C$73*J67)+$D$73</f>
        <v>9.2045140606811314E-5</v>
      </c>
      <c r="H87" s="34">
        <f>($C$74*S67)+$D$74</f>
        <v>4.3513387024996674E-7</v>
      </c>
      <c r="I87" s="34">
        <f>($C$75*W67)+$D$75</f>
        <v>2.1803330118209933E-5</v>
      </c>
      <c r="J87" s="35"/>
      <c r="K87" s="34">
        <f>SUM(G87:I87)</f>
        <v>1.1428360459527122E-4</v>
      </c>
      <c r="L87" s="49">
        <f>(E13-K87)/(K87+E13)*100</f>
        <v>-100</v>
      </c>
      <c r="M87" s="36">
        <f>G87/K87</f>
        <v>0.80540984800736604</v>
      </c>
      <c r="N87" s="37">
        <f>H87/K87</f>
        <v>3.8074916501887406E-3</v>
      </c>
      <c r="O87" s="36">
        <f>I87/K87</f>
        <v>0.19078266034244515</v>
      </c>
      <c r="P87" s="35"/>
      <c r="Q87" s="38" t="s">
        <v>56</v>
      </c>
      <c r="R87" s="41"/>
      <c r="S87" s="22" t="e">
        <f t="shared" si="5"/>
        <v>#DIV/0!</v>
      </c>
      <c r="T87" s="22" t="e">
        <f t="shared" si="5"/>
        <v>#DIV/0!</v>
      </c>
      <c r="U87" s="22" t="e">
        <f t="shared" si="5"/>
        <v>#DIV/0!</v>
      </c>
      <c r="V87" s="43" t="e">
        <f>1-(S87+T87+U87)</f>
        <v>#DIV/0!</v>
      </c>
    </row>
    <row r="88" spans="5:22" ht="15.75" thickBot="1" x14ac:dyDescent="0.3">
      <c r="L88" s="45"/>
    </row>
    <row r="89" spans="5:22" ht="15.75" thickBot="1" x14ac:dyDescent="0.3">
      <c r="G89" s="21">
        <f>($C$73*J68)+$D$73</f>
        <v>7.923709102187015E-5</v>
      </c>
      <c r="H89" s="21">
        <f>($C$74*S68)+$D$74</f>
        <v>-8.0571045322256837E-7</v>
      </c>
      <c r="I89" s="21">
        <f>($C$75*W68)+$D$75</f>
        <v>2.9036548229620472E-7</v>
      </c>
      <c r="K89" s="21">
        <f>SUM(G89:I89)</f>
        <v>7.8721746050943782E-5</v>
      </c>
      <c r="L89" s="49">
        <f>(E14-K89)/(K89+E14)*100</f>
        <v>-100</v>
      </c>
      <c r="M89" s="22">
        <f>G89/K89</f>
        <v>1.0065464118465166</v>
      </c>
      <c r="N89" s="22">
        <f>H89/K89</f>
        <v>-1.0234915936711605E-2</v>
      </c>
      <c r="O89" s="39">
        <f>I89/K89</f>
        <v>3.6885040901950823E-3</v>
      </c>
      <c r="Q89" s="25" t="s">
        <v>58</v>
      </c>
      <c r="S89" s="22" t="e">
        <f>G89/$E14</f>
        <v>#DIV/0!</v>
      </c>
      <c r="T89" s="22" t="e">
        <f>H89/$E14</f>
        <v>#DIV/0!</v>
      </c>
      <c r="U89" s="22" t="e">
        <f>I89/$E14</f>
        <v>#DIV/0!</v>
      </c>
      <c r="V89" s="43" t="e">
        <f>1-(S89+T89+U89)</f>
        <v>#DIV/0!</v>
      </c>
    </row>
    <row r="90" spans="5:22" x14ac:dyDescent="0.25">
      <c r="M90" s="1" t="s">
        <v>59</v>
      </c>
    </row>
    <row r="91" spans="5:22" x14ac:dyDescent="0.25">
      <c r="M91" s="1" t="s">
        <v>60</v>
      </c>
    </row>
  </sheetData>
  <pageMargins left="0.7" right="0.7" top="0.75" bottom="0.75" header="0.3" footer="0.3"/>
  <pageSetup paperSize="119" orientation="portrait" horizont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ST900 1_25_2022</vt:lpstr>
      <vt:lpstr>ST500 8-19-21</vt:lpstr>
      <vt:lpstr>Test 8-19-21</vt:lpstr>
      <vt:lpstr>Calibration (2)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Murphy, Zachary</cp:lastModifiedBy>
  <dcterms:created xsi:type="dcterms:W3CDTF">2021-06-18T16:17:25Z</dcterms:created>
  <dcterms:modified xsi:type="dcterms:W3CDTF">2022-02-15T22:28:04Z</dcterms:modified>
</cp:coreProperties>
</file>