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filterPrivacy="1"/>
  <xr:revisionPtr revIDLastSave="0" documentId="13_ncr:1_{9F13F0B9-77F8-42BA-9028-9CA0FCED1DEE}" xr6:coauthVersionLast="36" xr6:coauthVersionMax="43" xr10:uidLastSave="{00000000-0000-0000-0000-000000000000}"/>
  <bookViews>
    <workbookView xWindow="-14325" yWindow="5850" windowWidth="28800" windowHeight="15435" activeTab="1" xr2:uid="{00000000-000D-0000-FFFF-FFFF00000000}"/>
  </bookViews>
  <sheets>
    <sheet name="Core Parameters" sheetId="5" r:id="rId1"/>
    <sheet name="Calculation" sheetId="1" r:id="rId2"/>
    <sheet name="Raw Data" sheetId="2" r:id="rId3"/>
    <sheet name="Sh" sheetId="4" r:id="rId4"/>
    <sheet name="Perm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" l="1"/>
  <c r="K8" i="5" l="1"/>
  <c r="K7" i="5"/>
  <c r="N7" i="5" l="1"/>
  <c r="J9" i="1" l="1"/>
  <c r="I9" i="1"/>
  <c r="J7" i="1"/>
  <c r="I7" i="1"/>
  <c r="J6" i="1"/>
  <c r="I6" i="1"/>
  <c r="I10" i="1" l="1"/>
  <c r="R10" i="1"/>
  <c r="N6" i="5"/>
  <c r="F2" i="5"/>
  <c r="F3" i="5" s="1"/>
  <c r="F5" i="5"/>
  <c r="F4" i="5"/>
  <c r="D4" i="5"/>
  <c r="D2" i="5"/>
  <c r="D3" i="5" s="1"/>
  <c r="D7" i="5" s="1"/>
  <c r="K6" i="5"/>
  <c r="I4" i="5"/>
  <c r="D5" i="5"/>
  <c r="B3" i="5"/>
  <c r="B7" i="5" s="1"/>
  <c r="F7" i="5" l="1"/>
  <c r="F6" i="5"/>
  <c r="B6" i="5"/>
  <c r="D6" i="5"/>
  <c r="N8" i="5" l="1"/>
  <c r="I20" i="5" l="1"/>
  <c r="J20" i="5"/>
  <c r="K6" i="1"/>
  <c r="K7" i="1"/>
  <c r="K8" i="1"/>
  <c r="K9" i="1"/>
  <c r="K10" i="1"/>
  <c r="K5" i="1"/>
  <c r="K4" i="1"/>
  <c r="B8" i="5" l="1"/>
  <c r="R5" i="1"/>
  <c r="S5" i="1"/>
  <c r="R6" i="1"/>
  <c r="S6" i="1"/>
  <c r="R7" i="1"/>
  <c r="S7" i="1"/>
  <c r="R8" i="1"/>
  <c r="S8" i="1"/>
  <c r="R9" i="1"/>
  <c r="S9" i="1"/>
  <c r="S10" i="1"/>
  <c r="R4" i="1"/>
  <c r="T4" i="1" s="1"/>
  <c r="S4" i="1"/>
  <c r="Q5" i="1"/>
  <c r="Q6" i="1"/>
  <c r="Q7" i="1"/>
  <c r="Q8" i="1"/>
  <c r="Q9" i="1"/>
  <c r="Q10" i="1"/>
  <c r="Q4" i="1"/>
  <c r="P5" i="1"/>
  <c r="P6" i="1"/>
  <c r="P7" i="1"/>
  <c r="V7" i="1" s="1"/>
  <c r="P8" i="1"/>
  <c r="P9" i="1"/>
  <c r="P10" i="1"/>
  <c r="V10" i="1" s="1"/>
  <c r="P4" i="1"/>
  <c r="O5" i="1"/>
  <c r="O6" i="1"/>
  <c r="O7" i="1"/>
  <c r="O8" i="1"/>
  <c r="O9" i="1"/>
  <c r="O10" i="1"/>
  <c r="O4" i="1"/>
  <c r="B23" i="4"/>
  <c r="B10" i="4"/>
  <c r="J7" i="4"/>
  <c r="H6" i="4"/>
  <c r="H8" i="4" s="1"/>
  <c r="J5" i="4"/>
  <c r="J6" i="4" s="1"/>
  <c r="B4" i="4"/>
  <c r="B5" i="4" s="1"/>
  <c r="B12" i="4" s="1"/>
  <c r="B13" i="4" s="1"/>
  <c r="B3" i="4"/>
  <c r="B2" i="4"/>
  <c r="M17" i="3"/>
  <c r="L17" i="3"/>
  <c r="D17" i="3"/>
  <c r="M16" i="3"/>
  <c r="M15" i="3"/>
  <c r="L15" i="3"/>
  <c r="M14" i="3"/>
  <c r="L14" i="3"/>
  <c r="M13" i="3"/>
  <c r="N9" i="3"/>
  <c r="M9" i="3"/>
  <c r="J9" i="3"/>
  <c r="N8" i="3"/>
  <c r="J8" i="3"/>
  <c r="N7" i="3"/>
  <c r="M7" i="3"/>
  <c r="J7" i="3"/>
  <c r="D7" i="3"/>
  <c r="N6" i="3"/>
  <c r="M6" i="3"/>
  <c r="J6" i="3"/>
  <c r="D6" i="3"/>
  <c r="N5" i="3"/>
  <c r="L5" i="3"/>
  <c r="D5" i="3"/>
  <c r="D4" i="3"/>
  <c r="D2" i="3"/>
  <c r="T6" i="1" l="1"/>
  <c r="U6" i="1" s="1"/>
  <c r="V5" i="1"/>
  <c r="W5" i="1" s="1"/>
  <c r="V6" i="1"/>
  <c r="W6" i="1" s="1"/>
  <c r="V9" i="1"/>
  <c r="V8" i="1"/>
  <c r="W8" i="1" s="1"/>
  <c r="V4" i="1"/>
  <c r="W4" i="1" s="1"/>
  <c r="B9" i="5"/>
  <c r="D9" i="5"/>
  <c r="F9" i="5" s="1"/>
  <c r="W10" i="1"/>
  <c r="T10" i="1"/>
  <c r="U10" i="1" s="1"/>
  <c r="T9" i="1"/>
  <c r="U9" i="1" s="1"/>
  <c r="T8" i="1"/>
  <c r="U8" i="1" s="1"/>
  <c r="W9" i="1"/>
  <c r="T7" i="1"/>
  <c r="U7" i="1" s="1"/>
  <c r="W7" i="1"/>
  <c r="J8" i="4"/>
  <c r="T5" i="1"/>
  <c r="U5" i="1" s="1"/>
  <c r="B16" i="4"/>
  <c r="B17" i="4" s="1"/>
  <c r="B18" i="4" s="1"/>
  <c r="B19" i="4" s="1"/>
  <c r="B14" i="4"/>
  <c r="B15" i="4" s="1"/>
  <c r="B24" i="4" s="1"/>
  <c r="B25" i="4" s="1"/>
  <c r="B26" i="4" s="1"/>
  <c r="B27" i="4" s="1"/>
  <c r="B28" i="4" s="1"/>
  <c r="B29" i="4" s="1"/>
  <c r="D3" i="3"/>
  <c r="N17" i="3" s="1"/>
  <c r="O9" i="3"/>
  <c r="Y10" i="1" l="1"/>
  <c r="X4" i="1"/>
  <c r="Y6" i="1"/>
  <c r="X10" i="1"/>
  <c r="Y7" i="1"/>
  <c r="Y9" i="1"/>
  <c r="X9" i="1"/>
  <c r="X7" i="1"/>
  <c r="Y8" i="1"/>
  <c r="X6" i="1"/>
  <c r="X8" i="1"/>
  <c r="Y4" i="1"/>
  <c r="Y5" i="1"/>
  <c r="X5" i="1"/>
  <c r="O7" i="3"/>
  <c r="O6" i="3"/>
  <c r="G3" i="3"/>
  <c r="G4" i="3" s="1"/>
  <c r="O8" i="3"/>
  <c r="N14" i="3"/>
  <c r="N15" i="3"/>
  <c r="N16" i="3"/>
  <c r="O5" i="3"/>
  <c r="L5" i="1" l="1"/>
  <c r="N5" i="1" s="1"/>
  <c r="L6" i="1"/>
  <c r="L7" i="1"/>
  <c r="L8" i="1"/>
  <c r="L9" i="1"/>
  <c r="L10" i="1"/>
  <c r="L4" i="1"/>
  <c r="N4" i="1" s="1"/>
  <c r="E5" i="1"/>
  <c r="F40" i="1" s="1"/>
  <c r="E6" i="1"/>
  <c r="F41" i="1" s="1"/>
  <c r="E7" i="1"/>
  <c r="F42" i="1" s="1"/>
  <c r="E8" i="1"/>
  <c r="F43" i="1" s="1"/>
  <c r="E9" i="1"/>
  <c r="F44" i="1" s="1"/>
  <c r="E10" i="1"/>
  <c r="E4" i="1"/>
  <c r="F39" i="1" s="1"/>
  <c r="M4" i="1" l="1"/>
  <c r="M5" i="1" s="1"/>
  <c r="M6" i="1" s="1"/>
  <c r="M7" i="1" l="1"/>
  <c r="N6" i="1"/>
  <c r="N7" i="1" l="1"/>
  <c r="M8" i="1"/>
  <c r="M9" i="1" l="1"/>
  <c r="N8" i="1"/>
  <c r="M10" i="1" l="1"/>
  <c r="N9" i="1"/>
  <c r="N10" i="1" l="1"/>
  <c r="N12" i="1" s="1"/>
  <c r="T17" i="1" l="1"/>
  <c r="T25" i="1"/>
  <c r="T33" i="1"/>
  <c r="T18" i="1"/>
  <c r="T26" i="1"/>
  <c r="T34" i="1"/>
  <c r="T28" i="1"/>
  <c r="T15" i="1"/>
  <c r="T31" i="1"/>
  <c r="T24" i="1"/>
  <c r="T19" i="1"/>
  <c r="T27" i="1"/>
  <c r="T35" i="1"/>
  <c r="T20" i="1"/>
  <c r="T23" i="1"/>
  <c r="T16" i="1"/>
  <c r="T32" i="1"/>
  <c r="T21" i="1"/>
  <c r="T29" i="1"/>
  <c r="S15" i="1"/>
  <c r="T22" i="1"/>
  <c r="T30" i="1"/>
  <c r="S18" i="1"/>
  <c r="U18" i="1" s="1"/>
  <c r="S26" i="1"/>
  <c r="U26" i="1" s="1"/>
  <c r="S34" i="1"/>
  <c r="S19" i="1"/>
  <c r="U19" i="1" s="1"/>
  <c r="S27" i="1"/>
  <c r="U27" i="1" s="1"/>
  <c r="S35" i="1"/>
  <c r="S28" i="1"/>
  <c r="S21" i="1"/>
  <c r="U21" i="1" s="1"/>
  <c r="S30" i="1"/>
  <c r="U30" i="1" s="1"/>
  <c r="S31" i="1"/>
  <c r="U31" i="1" s="1"/>
  <c r="S24" i="1"/>
  <c r="U24" i="1" s="1"/>
  <c r="S33" i="1"/>
  <c r="U33" i="1" s="1"/>
  <c r="S20" i="1"/>
  <c r="S29" i="1"/>
  <c r="U29" i="1" s="1"/>
  <c r="S23" i="1"/>
  <c r="S17" i="1"/>
  <c r="U17" i="1" s="1"/>
  <c r="S22" i="1"/>
  <c r="U22" i="1" s="1"/>
  <c r="S16" i="1"/>
  <c r="U16" i="1" s="1"/>
  <c r="S32" i="1"/>
  <c r="U32" i="1" s="1"/>
  <c r="S25" i="1"/>
  <c r="U25" i="1" s="1"/>
  <c r="U23" i="1" l="1"/>
  <c r="U28" i="1"/>
  <c r="U15" i="1"/>
  <c r="U20" i="1"/>
  <c r="U34" i="1"/>
</calcChain>
</file>

<file path=xl/sharedStrings.xml><?xml version="1.0" encoding="utf-8"?>
<sst xmlns="http://schemas.openxmlformats.org/spreadsheetml/2006/main" count="213" uniqueCount="133">
  <si>
    <t>Qw</t>
  </si>
  <si>
    <t>Qg (sccm)</t>
  </si>
  <si>
    <t>Qg (ml/min)</t>
  </si>
  <si>
    <t>Flow rate</t>
  </si>
  <si>
    <t>fw_actual</t>
  </si>
  <si>
    <t>fw goal</t>
  </si>
  <si>
    <t>P (psi)</t>
  </si>
  <si>
    <t>dP (psi)</t>
  </si>
  <si>
    <t>effluent (g)</t>
  </si>
  <si>
    <t>total in (g)</t>
  </si>
  <si>
    <t>Saturation</t>
  </si>
  <si>
    <t>Sw</t>
  </si>
  <si>
    <t>Parameters</t>
  </si>
  <si>
    <t>Core properties</t>
  </si>
  <si>
    <t>d</t>
  </si>
  <si>
    <t>inch</t>
  </si>
  <si>
    <t>cm</t>
  </si>
  <si>
    <t>r</t>
  </si>
  <si>
    <t>L</t>
  </si>
  <si>
    <t>Volume</t>
  </si>
  <si>
    <t>inch^3</t>
  </si>
  <si>
    <t>cc</t>
  </si>
  <si>
    <t>in-out (g)</t>
  </si>
  <si>
    <t>Experimental Conditions</t>
  </si>
  <si>
    <t>Porosity</t>
  </si>
  <si>
    <t>Pore Volume</t>
  </si>
  <si>
    <t>lab units</t>
  </si>
  <si>
    <t>SI</t>
  </si>
  <si>
    <t>q=ka/u*deltap/L</t>
  </si>
  <si>
    <t>q</t>
  </si>
  <si>
    <t>ml/min</t>
  </si>
  <si>
    <r>
      <t>m</t>
    </r>
    <r>
      <rPr>
        <sz val="12"/>
        <color rgb="FF000000"/>
        <rFont val="Calibri Light"/>
        <family val="2"/>
        <scheme val="major"/>
      </rPr>
      <t>3/s</t>
    </r>
  </si>
  <si>
    <t>Permeability</t>
  </si>
  <si>
    <t>Data</t>
  </si>
  <si>
    <t>k</t>
  </si>
  <si>
    <r>
      <t>m</t>
    </r>
    <r>
      <rPr>
        <sz val="12"/>
        <color rgb="FF000000"/>
        <rFont val="Calibri Light"/>
        <family val="2"/>
        <scheme val="major"/>
      </rPr>
      <t>2</t>
    </r>
  </si>
  <si>
    <t>Darcy</t>
  </si>
  <si>
    <t>ΔP (psi)</t>
  </si>
  <si>
    <t>Interpretation</t>
  </si>
  <si>
    <t>A</t>
  </si>
  <si>
    <r>
      <t>in</t>
    </r>
    <r>
      <rPr>
        <sz val="12"/>
        <color rgb="FF000000"/>
        <rFont val="Calibri Light"/>
        <family val="2"/>
        <scheme val="major"/>
      </rPr>
      <t>2</t>
    </r>
  </si>
  <si>
    <t>md</t>
  </si>
  <si>
    <t>dp</t>
  </si>
  <si>
    <t>Pressure (psi)</t>
  </si>
  <si>
    <t>Solve for Kri</t>
  </si>
  <si>
    <t>dP</t>
  </si>
  <si>
    <t>psi</t>
  </si>
  <si>
    <t>Pa</t>
  </si>
  <si>
    <t>mu</t>
  </si>
  <si>
    <t>cp</t>
  </si>
  <si>
    <t>Pa-s</t>
  </si>
  <si>
    <t>in</t>
  </si>
  <si>
    <t>m</t>
  </si>
  <si>
    <t>Qg</t>
  </si>
  <si>
    <t>Krw</t>
  </si>
  <si>
    <t>Krg</t>
  </si>
  <si>
    <t>Methane Consumed</t>
  </si>
  <si>
    <t>Volume Total</t>
  </si>
  <si>
    <t>Volume Sand</t>
  </si>
  <si>
    <t>Volume Pore</t>
  </si>
  <si>
    <t>Volume Water</t>
  </si>
  <si>
    <t>Density of h20</t>
  </si>
  <si>
    <t>g/cc</t>
  </si>
  <si>
    <t>Density of methane</t>
  </si>
  <si>
    <t>Density of hydrate</t>
  </si>
  <si>
    <t>mm of hydrate</t>
  </si>
  <si>
    <t>g/mol</t>
  </si>
  <si>
    <t>mol methane/mole h2o</t>
  </si>
  <si>
    <t>Theoretical</t>
  </si>
  <si>
    <t>Initial mol of h2o present</t>
  </si>
  <si>
    <t>mol</t>
  </si>
  <si>
    <t>methane needed for complete conversion</t>
  </si>
  <si>
    <t>mass CH4 needed</t>
  </si>
  <si>
    <t>g</t>
  </si>
  <si>
    <t>methane volume needed</t>
  </si>
  <si>
    <t>ml</t>
  </si>
  <si>
    <t>mol of hydrate</t>
  </si>
  <si>
    <t>mass of hydrate</t>
  </si>
  <si>
    <t>volume of hydrate</t>
  </si>
  <si>
    <t>Theoretical hydrate saturation</t>
  </si>
  <si>
    <t>Expirimental</t>
  </si>
  <si>
    <t>Initial gas in pump</t>
  </si>
  <si>
    <t>Final gas in pump</t>
  </si>
  <si>
    <t>volume CH4 consumed</t>
  </si>
  <si>
    <t>conversion rate</t>
  </si>
  <si>
    <t>mol of methane</t>
  </si>
  <si>
    <t>Hydrate saturation</t>
  </si>
  <si>
    <t>Qw (m^3/s)</t>
  </si>
  <si>
    <t>Qg (m^3/s)</t>
  </si>
  <si>
    <t>L1 (tap to tap)</t>
  </si>
  <si>
    <t>k (m^2)</t>
  </si>
  <si>
    <t>Area</t>
  </si>
  <si>
    <t>inch^2</t>
  </si>
  <si>
    <t>m^2</t>
  </si>
  <si>
    <t>m^3</t>
  </si>
  <si>
    <t>(pa-s)</t>
  </si>
  <si>
    <t>k (mD) (water)</t>
  </si>
  <si>
    <t>Water Perm</t>
  </si>
  <si>
    <t xml:space="preserve"> Perm Calculations</t>
  </si>
  <si>
    <t>Si Conversion</t>
  </si>
  <si>
    <t xml:space="preserve"> dP 1 (Pa)</t>
  </si>
  <si>
    <t xml:space="preserve"> dP 2 (Pa)</t>
  </si>
  <si>
    <t xml:space="preserve"> dP 3 (Pa)</t>
  </si>
  <si>
    <t>Gas Perm</t>
  </si>
  <si>
    <t>Rel Perm</t>
  </si>
  <si>
    <t>krw</t>
  </si>
  <si>
    <t>krg</t>
  </si>
  <si>
    <t>time (min)</t>
  </si>
  <si>
    <t>total (g)</t>
  </si>
  <si>
    <t>fw</t>
  </si>
  <si>
    <t>cm^3</t>
  </si>
  <si>
    <t>T (°F)</t>
  </si>
  <si>
    <r>
      <t>T 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 xml:space="preserve">C) </t>
    </r>
  </si>
  <si>
    <t>viscosity: water</t>
  </si>
  <si>
    <t>viscosity: gas</t>
  </si>
  <si>
    <t>n/a</t>
  </si>
  <si>
    <t>in^3</t>
  </si>
  <si>
    <t>Dry Weight</t>
  </si>
  <si>
    <t>Saturated weight</t>
  </si>
  <si>
    <t>Residual Weight</t>
  </si>
  <si>
    <t>Grain Density</t>
  </si>
  <si>
    <t>Saturations: BSS02</t>
  </si>
  <si>
    <t>Saturations: BSS01</t>
  </si>
  <si>
    <t xml:space="preserve">Residual Volume </t>
  </si>
  <si>
    <t>PV</t>
  </si>
  <si>
    <t>cm^2</t>
  </si>
  <si>
    <t>k (mD) (gas)</t>
  </si>
  <si>
    <t>BC Model</t>
  </si>
  <si>
    <t>Avergage Porosity</t>
  </si>
  <si>
    <t>Average PV</t>
  </si>
  <si>
    <t>fg</t>
  </si>
  <si>
    <t>Srw</t>
  </si>
  <si>
    <t>Srg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</si>
</sst>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4" borderId="1" applyNumberFormat="0" applyAlignment="0" applyProtection="0"/>
  </cellStyleXfs>
  <cellXfs count="4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10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/>
    <xf numFmtId="0" fontId="1" fillId="0" borderId="0" xfId="0" applyNumberFormat="1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0" fontId="1" fillId="0" borderId="0" xfId="0" applyFont="1" applyAlignment="1"/>
    <xf numFmtId="0" fontId="1" fillId="10" borderId="0" xfId="0" applyFont="1" applyFill="1"/>
    <xf numFmtId="0" fontId="1" fillId="11" borderId="0" xfId="0" applyFont="1" applyFill="1"/>
    <xf numFmtId="0" fontId="7" fillId="4" borderId="1" xfId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Calculation!$N$4:$N$10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0.81768164410162347</c:v>
                </c:pt>
                <c:pt idx="2" formatCode="General">
                  <c:v>0.73569232428933673</c:v>
                </c:pt>
                <c:pt idx="3" formatCode="General">
                  <c:v>0.6612546523544981</c:v>
                </c:pt>
                <c:pt idx="4" formatCode="General">
                  <c:v>0.60515669669346117</c:v>
                </c:pt>
                <c:pt idx="5" formatCode="General">
                  <c:v>0.42391714763472299</c:v>
                </c:pt>
                <c:pt idx="6" formatCode="General">
                  <c:v>0.16823992664113882</c:v>
                </c:pt>
              </c:numCache>
            </c:numRef>
          </c:xVal>
          <c:yVal>
            <c:numRef>
              <c:f>Calculation!$X$4:$X$10</c:f>
              <c:numCache>
                <c:formatCode>0.00</c:formatCode>
                <c:ptCount val="7"/>
                <c:pt idx="0">
                  <c:v>1</c:v>
                </c:pt>
                <c:pt idx="1">
                  <c:v>0.53050397877984079</c:v>
                </c:pt>
                <c:pt idx="2">
                  <c:v>0.45454545454545464</c:v>
                </c:pt>
                <c:pt idx="3">
                  <c:v>0.4</c:v>
                </c:pt>
                <c:pt idx="4">
                  <c:v>0.18027027027027029</c:v>
                </c:pt>
                <c:pt idx="5">
                  <c:v>2.7272727272727271E-2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B-4B39-9C7C-3E7E990E6D38}"/>
            </c:ext>
          </c:extLst>
        </c:ser>
        <c:ser>
          <c:idx val="1"/>
          <c:order val="1"/>
          <c:tx>
            <c:v>krg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Calculation!$N$4:$N$10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0.81768164410162347</c:v>
                </c:pt>
                <c:pt idx="2" formatCode="General">
                  <c:v>0.73569232428933673</c:v>
                </c:pt>
                <c:pt idx="3" formatCode="General">
                  <c:v>0.6612546523544981</c:v>
                </c:pt>
                <c:pt idx="4" formatCode="General">
                  <c:v>0.60515669669346117</c:v>
                </c:pt>
                <c:pt idx="5" formatCode="General">
                  <c:v>0.42391714763472299</c:v>
                </c:pt>
                <c:pt idx="6" formatCode="General">
                  <c:v>0.16823992664113882</c:v>
                </c:pt>
              </c:numCache>
            </c:numRef>
          </c:xVal>
          <c:yVal>
            <c:numRef>
              <c:f>Calculation!$Y$4:$Y$10</c:f>
              <c:numCache>
                <c:formatCode>0.00</c:formatCode>
                <c:ptCount val="7"/>
                <c:pt idx="0">
                  <c:v>0</c:v>
                </c:pt>
                <c:pt idx="1">
                  <c:v>1.5095641672597099E-2</c:v>
                </c:pt>
                <c:pt idx="2">
                  <c:v>3.69549150036955E-2</c:v>
                </c:pt>
                <c:pt idx="3">
                  <c:v>9.7560975609756101E-2</c:v>
                </c:pt>
                <c:pt idx="4">
                  <c:v>0.13183915622940015</c:v>
                </c:pt>
                <c:pt idx="5">
                  <c:v>0.22172949002217296</c:v>
                </c:pt>
                <c:pt idx="6">
                  <c:v>1.1086474501108647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B-4B39-9C7C-3E7E990E6D38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Calculation!$R$15:$R$35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Calculation!$S$15:$S$35</c:f>
              <c:numCache>
                <c:formatCode>General</c:formatCode>
                <c:ptCount val="21"/>
                <c:pt idx="0">
                  <c:v>1.673878781473005E-3</c:v>
                </c:pt>
                <c:pt idx="1">
                  <c:v>4.0837987262923656E-4</c:v>
                </c:pt>
                <c:pt idx="2">
                  <c:v>4.5306647569102822E-5</c:v>
                </c:pt>
                <c:pt idx="3">
                  <c:v>2.3125976084513586E-7</c:v>
                </c:pt>
                <c:pt idx="4">
                  <c:v>2.1258553502513654E-6</c:v>
                </c:pt>
                <c:pt idx="5">
                  <c:v>9.3362573160657097E-5</c:v>
                </c:pt>
                <c:pt idx="6">
                  <c:v>6.2971354469294521E-4</c:v>
                </c:pt>
                <c:pt idx="7">
                  <c:v>2.2803508941255462E-3</c:v>
                </c:pt>
                <c:pt idx="8">
                  <c:v>6.0278467383144425E-3</c:v>
                </c:pt>
                <c:pt idx="9">
                  <c:v>1.316817318679315E-2</c:v>
                </c:pt>
                <c:pt idx="10">
                  <c:v>2.5310702341772736E-2</c:v>
                </c:pt>
                <c:pt idx="11">
                  <c:v>4.4378206298141862E-2</c:v>
                </c:pt>
                <c:pt idx="12">
                  <c:v>7.2606857143466597E-2</c:v>
                </c:pt>
                <c:pt idx="13">
                  <c:v>0.11254622695799085</c:v>
                </c:pt>
                <c:pt idx="14">
                  <c:v>0.16705928781463555</c:v>
                </c:pt>
                <c:pt idx="15">
                  <c:v>0.23932241177899999</c:v>
                </c:pt>
                <c:pt idx="16">
                  <c:v>0.3328253709093601</c:v>
                </c:pt>
                <c:pt idx="17">
                  <c:v>0.45137133725666961</c:v>
                </c:pt>
                <c:pt idx="18">
                  <c:v>0.59907688286456096</c:v>
                </c:pt>
                <c:pt idx="19">
                  <c:v>0.78037197976934181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B-49DF-9B5B-2468D26B02F0}"/>
            </c:ext>
          </c:extLst>
        </c:ser>
        <c:ser>
          <c:idx val="3"/>
          <c:order val="3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Calculation!$R$15:$R$35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Calculation!$T$15:$T$35</c:f>
              <c:numCache>
                <c:formatCode>General</c:formatCode>
                <c:ptCount val="21"/>
                <c:pt idx="0">
                  <c:v>1.3045209920013212</c:v>
                </c:pt>
                <c:pt idx="1">
                  <c:v>1.1708166244000773</c:v>
                </c:pt>
                <c:pt idx="2">
                  <c:v>1.044339519912415</c:v>
                </c:pt>
                <c:pt idx="3">
                  <c:v>0.9250896785383329</c:v>
                </c:pt>
                <c:pt idx="4">
                  <c:v>0.81306710027783169</c:v>
                </c:pt>
                <c:pt idx="5">
                  <c:v>0.70827178513091116</c:v>
                </c:pt>
                <c:pt idx="6">
                  <c:v>0.6107037330975712</c:v>
                </c:pt>
                <c:pt idx="7">
                  <c:v>0.52036294417781226</c:v>
                </c:pt>
                <c:pt idx="8">
                  <c:v>0.43724941837163384</c:v>
                </c:pt>
                <c:pt idx="9">
                  <c:v>0.36136315567903632</c:v>
                </c:pt>
                <c:pt idx="10">
                  <c:v>0.29270415610001943</c:v>
                </c:pt>
                <c:pt idx="11">
                  <c:v>0.23127241963458323</c:v>
                </c:pt>
                <c:pt idx="12">
                  <c:v>0.17706794628272784</c:v>
                </c:pt>
                <c:pt idx="13">
                  <c:v>0.13009073604445306</c:v>
                </c:pt>
                <c:pt idx="14">
                  <c:v>9.0340788919759121E-2</c:v>
                </c:pt>
                <c:pt idx="15">
                  <c:v>5.781810490864582E-2</c:v>
                </c:pt>
                <c:pt idx="16">
                  <c:v>3.2522684011113259E-2</c:v>
                </c:pt>
                <c:pt idx="17">
                  <c:v>1.4454526227161459E-2</c:v>
                </c:pt>
                <c:pt idx="18">
                  <c:v>3.6136315567903594E-3</c:v>
                </c:pt>
                <c:pt idx="19">
                  <c:v>2.5054564403538808E-33</c:v>
                </c:pt>
                <c:pt idx="20">
                  <c:v>3.6136315567903638E-3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B-49DF-9B5B-2468D26B0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19888"/>
        <c:axId val="2013185376"/>
      </c:scatterChart>
      <c:valAx>
        <c:axId val="19120198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5376"/>
        <c:crosses val="autoZero"/>
        <c:crossBetween val="midCat"/>
      </c:valAx>
      <c:valAx>
        <c:axId val="201318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kr(fw)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Calculation!$E$4:$E$10</c:f>
              <c:numCache>
                <c:formatCode>0.00</c:formatCode>
                <c:ptCount val="7"/>
                <c:pt idx="0">
                  <c:v>1</c:v>
                </c:pt>
                <c:pt idx="1">
                  <c:v>0.7407407407407407</c:v>
                </c:pt>
                <c:pt idx="2">
                  <c:v>0.5</c:v>
                </c:pt>
                <c:pt idx="3">
                  <c:v>0.25</c:v>
                </c:pt>
                <c:pt idx="4">
                  <c:v>0.1000449977501125</c:v>
                </c:pt>
                <c:pt idx="5" formatCode="0.000">
                  <c:v>9.9009900990099011E-3</c:v>
                </c:pt>
                <c:pt idx="6">
                  <c:v>0</c:v>
                </c:pt>
              </c:numCache>
            </c:numRef>
          </c:xVal>
          <c:yVal>
            <c:numRef>
              <c:f>Calculation!$X$4:$X$10</c:f>
              <c:numCache>
                <c:formatCode>0.00</c:formatCode>
                <c:ptCount val="7"/>
                <c:pt idx="0">
                  <c:v>1</c:v>
                </c:pt>
                <c:pt idx="1">
                  <c:v>0.53050397877984079</c:v>
                </c:pt>
                <c:pt idx="2">
                  <c:v>0.45454545454545464</c:v>
                </c:pt>
                <c:pt idx="3">
                  <c:v>0.4</c:v>
                </c:pt>
                <c:pt idx="4">
                  <c:v>0.18027027027027029</c:v>
                </c:pt>
                <c:pt idx="5">
                  <c:v>2.7272727272727271E-2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8-416D-B703-8208F732E8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Calculation!$E$4:$E$10</c:f>
              <c:numCache>
                <c:formatCode>0.00</c:formatCode>
                <c:ptCount val="7"/>
                <c:pt idx="0">
                  <c:v>1</c:v>
                </c:pt>
                <c:pt idx="1">
                  <c:v>0.7407407407407407</c:v>
                </c:pt>
                <c:pt idx="2">
                  <c:v>0.5</c:v>
                </c:pt>
                <c:pt idx="3">
                  <c:v>0.25</c:v>
                </c:pt>
                <c:pt idx="4">
                  <c:v>0.1000449977501125</c:v>
                </c:pt>
                <c:pt idx="5" formatCode="0.000">
                  <c:v>9.9009900990099011E-3</c:v>
                </c:pt>
                <c:pt idx="6">
                  <c:v>0</c:v>
                </c:pt>
              </c:numCache>
            </c:numRef>
          </c:xVal>
          <c:yVal>
            <c:numRef>
              <c:f>Calculation!$Y$4:$Y$10</c:f>
              <c:numCache>
                <c:formatCode>0.00</c:formatCode>
                <c:ptCount val="7"/>
                <c:pt idx="0">
                  <c:v>0</c:v>
                </c:pt>
                <c:pt idx="1">
                  <c:v>1.5095641672597099E-2</c:v>
                </c:pt>
                <c:pt idx="2">
                  <c:v>3.69549150036955E-2</c:v>
                </c:pt>
                <c:pt idx="3">
                  <c:v>9.7560975609756101E-2</c:v>
                </c:pt>
                <c:pt idx="4">
                  <c:v>0.13183915622940015</c:v>
                </c:pt>
                <c:pt idx="5">
                  <c:v>0.22172949002217296</c:v>
                </c:pt>
                <c:pt idx="6">
                  <c:v>1.1086474501108647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8-416D-B703-8208F732E84F}"/>
            </c:ext>
          </c:extLst>
        </c:ser>
        <c:ser>
          <c:idx val="3"/>
          <c:order val="3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Calculation!$U$15:$U$35</c:f>
              <c:numCache>
                <c:formatCode>General</c:formatCode>
                <c:ptCount val="21"/>
                <c:pt idx="0">
                  <c:v>2.5662075758566388E-5</c:v>
                </c:pt>
                <c:pt idx="1">
                  <c:v>6.9759348353480736E-6</c:v>
                </c:pt>
                <c:pt idx="2">
                  <c:v>8.676605145061135E-7</c:v>
                </c:pt>
                <c:pt idx="3">
                  <c:v>4.9997262979800429E-9</c:v>
                </c:pt>
                <c:pt idx="4">
                  <c:v>5.2292245950160629E-8</c:v>
                </c:pt>
                <c:pt idx="5">
                  <c:v>2.6363418389663214E-6</c:v>
                </c:pt>
                <c:pt idx="6">
                  <c:v>2.0622129013852891E-5</c:v>
                </c:pt>
                <c:pt idx="7">
                  <c:v>8.7636949426991316E-5</c:v>
                </c:pt>
                <c:pt idx="8">
                  <c:v>2.7564062823890123E-4</c:v>
                </c:pt>
                <c:pt idx="9">
                  <c:v>7.2827475252688998E-4</c:v>
                </c:pt>
                <c:pt idx="10">
                  <c:v>1.7264534217596621E-3</c:v>
                </c:pt>
                <c:pt idx="11">
                  <c:v>3.8230711063379757E-3</c:v>
                </c:pt>
                <c:pt idx="12">
                  <c:v>8.1343068802370768E-3</c:v>
                </c:pt>
                <c:pt idx="13">
                  <c:v>1.7008435055397335E-2</c:v>
                </c:pt>
                <c:pt idx="14">
                  <c:v>3.5665193521447272E-2</c:v>
                </c:pt>
                <c:pt idx="15">
                  <c:v>7.6455273541417595E-2</c:v>
                </c:pt>
                <c:pt idx="16">
                  <c:v>0.16989905037215958</c:v>
                </c:pt>
                <c:pt idx="17">
                  <c:v>0.38444105376517829</c:v>
                </c:pt>
                <c:pt idx="18">
                  <c:v>0.76828519734640333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Calculation!$T$15:$T$35</c:f>
              <c:numCache>
                <c:formatCode>General</c:formatCode>
                <c:ptCount val="21"/>
                <c:pt idx="0">
                  <c:v>1.3045209920013212</c:v>
                </c:pt>
                <c:pt idx="1">
                  <c:v>1.1708166244000773</c:v>
                </c:pt>
                <c:pt idx="2">
                  <c:v>1.044339519912415</c:v>
                </c:pt>
                <c:pt idx="3">
                  <c:v>0.9250896785383329</c:v>
                </c:pt>
                <c:pt idx="4">
                  <c:v>0.81306710027783169</c:v>
                </c:pt>
                <c:pt idx="5">
                  <c:v>0.70827178513091116</c:v>
                </c:pt>
                <c:pt idx="6">
                  <c:v>0.6107037330975712</c:v>
                </c:pt>
                <c:pt idx="7">
                  <c:v>0.52036294417781226</c:v>
                </c:pt>
                <c:pt idx="8">
                  <c:v>0.43724941837163384</c:v>
                </c:pt>
                <c:pt idx="9">
                  <c:v>0.36136315567903632</c:v>
                </c:pt>
                <c:pt idx="10">
                  <c:v>0.29270415610001943</c:v>
                </c:pt>
                <c:pt idx="11">
                  <c:v>0.23127241963458323</c:v>
                </c:pt>
                <c:pt idx="12">
                  <c:v>0.17706794628272784</c:v>
                </c:pt>
                <c:pt idx="13">
                  <c:v>0.13009073604445306</c:v>
                </c:pt>
                <c:pt idx="14">
                  <c:v>9.0340788919759121E-2</c:v>
                </c:pt>
                <c:pt idx="15">
                  <c:v>5.781810490864582E-2</c:v>
                </c:pt>
                <c:pt idx="16">
                  <c:v>3.2522684011113259E-2</c:v>
                </c:pt>
                <c:pt idx="17">
                  <c:v>1.4454526227161459E-2</c:v>
                </c:pt>
                <c:pt idx="18">
                  <c:v>3.6136315567903594E-3</c:v>
                </c:pt>
                <c:pt idx="19">
                  <c:v>2.5054564403538808E-33</c:v>
                </c:pt>
                <c:pt idx="20">
                  <c:v>3.6136315567903638E-3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8-416D-B703-8208F732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19888"/>
        <c:axId val="2013185376"/>
      </c:scatterChart>
      <c:scatterChart>
        <c:scatterStyle val="smoothMarker"/>
        <c:varyColors val="0"/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Calculation!$U$15:$U$35</c:f>
              <c:numCache>
                <c:formatCode>General</c:formatCode>
                <c:ptCount val="21"/>
                <c:pt idx="0">
                  <c:v>2.5662075758566388E-5</c:v>
                </c:pt>
                <c:pt idx="1">
                  <c:v>6.9759348353480736E-6</c:v>
                </c:pt>
                <c:pt idx="2">
                  <c:v>8.676605145061135E-7</c:v>
                </c:pt>
                <c:pt idx="3">
                  <c:v>4.9997262979800429E-9</c:v>
                </c:pt>
                <c:pt idx="4">
                  <c:v>5.2292245950160629E-8</c:v>
                </c:pt>
                <c:pt idx="5">
                  <c:v>2.6363418389663214E-6</c:v>
                </c:pt>
                <c:pt idx="6">
                  <c:v>2.0622129013852891E-5</c:v>
                </c:pt>
                <c:pt idx="7">
                  <c:v>8.7636949426991316E-5</c:v>
                </c:pt>
                <c:pt idx="8">
                  <c:v>2.7564062823890123E-4</c:v>
                </c:pt>
                <c:pt idx="9">
                  <c:v>7.2827475252688998E-4</c:v>
                </c:pt>
                <c:pt idx="10">
                  <c:v>1.7264534217596621E-3</c:v>
                </c:pt>
                <c:pt idx="11">
                  <c:v>3.8230711063379757E-3</c:v>
                </c:pt>
                <c:pt idx="12">
                  <c:v>8.1343068802370768E-3</c:v>
                </c:pt>
                <c:pt idx="13">
                  <c:v>1.7008435055397335E-2</c:v>
                </c:pt>
                <c:pt idx="14">
                  <c:v>3.5665193521447272E-2</c:v>
                </c:pt>
                <c:pt idx="15">
                  <c:v>7.6455273541417595E-2</c:v>
                </c:pt>
                <c:pt idx="16">
                  <c:v>0.16989905037215958</c:v>
                </c:pt>
                <c:pt idx="17">
                  <c:v>0.38444105376517829</c:v>
                </c:pt>
                <c:pt idx="18">
                  <c:v>0.76828519734640333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Calculation!$S$15:$S$35</c:f>
              <c:numCache>
                <c:formatCode>General</c:formatCode>
                <c:ptCount val="21"/>
                <c:pt idx="0">
                  <c:v>1.673878781473005E-3</c:v>
                </c:pt>
                <c:pt idx="1">
                  <c:v>4.0837987262923656E-4</c:v>
                </c:pt>
                <c:pt idx="2">
                  <c:v>4.5306647569102822E-5</c:v>
                </c:pt>
                <c:pt idx="3">
                  <c:v>2.3125976084513586E-7</c:v>
                </c:pt>
                <c:pt idx="4">
                  <c:v>2.1258553502513654E-6</c:v>
                </c:pt>
                <c:pt idx="5">
                  <c:v>9.3362573160657097E-5</c:v>
                </c:pt>
                <c:pt idx="6">
                  <c:v>6.2971354469294521E-4</c:v>
                </c:pt>
                <c:pt idx="7">
                  <c:v>2.2803508941255462E-3</c:v>
                </c:pt>
                <c:pt idx="8">
                  <c:v>6.0278467383144425E-3</c:v>
                </c:pt>
                <c:pt idx="9">
                  <c:v>1.316817318679315E-2</c:v>
                </c:pt>
                <c:pt idx="10">
                  <c:v>2.5310702341772736E-2</c:v>
                </c:pt>
                <c:pt idx="11">
                  <c:v>4.4378206298141862E-2</c:v>
                </c:pt>
                <c:pt idx="12">
                  <c:v>7.2606857143466597E-2</c:v>
                </c:pt>
                <c:pt idx="13">
                  <c:v>0.11254622695799085</c:v>
                </c:pt>
                <c:pt idx="14">
                  <c:v>0.16705928781463555</c:v>
                </c:pt>
                <c:pt idx="15">
                  <c:v>0.23932241177899999</c:v>
                </c:pt>
                <c:pt idx="16">
                  <c:v>0.3328253709093601</c:v>
                </c:pt>
                <c:pt idx="17">
                  <c:v>0.45137133725666961</c:v>
                </c:pt>
                <c:pt idx="18">
                  <c:v>0.59907688286456096</c:v>
                </c:pt>
                <c:pt idx="19">
                  <c:v>0.78037197976934181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8-416D-B703-8208F732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19888"/>
        <c:axId val="2013185376"/>
      </c:scatterChart>
      <c:valAx>
        <c:axId val="19120198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5376"/>
        <c:crosses val="autoZero"/>
        <c:crossBetween val="midCat"/>
      </c:valAx>
      <c:valAx>
        <c:axId val="201318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01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317125</xdr:colOff>
      <xdr:row>13</xdr:row>
      <xdr:rowOff>168088</xdr:rowOff>
    </xdr:from>
    <xdr:to>
      <xdr:col>8</xdr:col>
      <xdr:colOff>592230</xdr:colOff>
      <xdr:row>31</xdr:row>
      <xdr:rowOff>48073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B8BF9-A295-4BBF-8FB6-8DBEE8C45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78441</xdr:colOff>
      <xdr:row>13</xdr:row>
      <xdr:rowOff>150156</xdr:rowOff>
    </xdr:from>
    <xdr:to>
      <xdr:col>16</xdr:col>
      <xdr:colOff>640976</xdr:colOff>
      <xdr:row>31</xdr:row>
      <xdr:rowOff>30141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7EB341-615B-4F57-9651-69DFB82E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wm96/Box/2019/Worksheets/Parameters%20Spread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ate Saturation"/>
      <sheetName val="P-T Diagram"/>
      <sheetName val="Packing Conditions"/>
      <sheetName val="Methane Consumption"/>
      <sheetName val="Flow raitos"/>
      <sheetName val="Darcys"/>
      <sheetName val="Darcy_Buckin"/>
    </sheetNames>
    <sheetDataSet>
      <sheetData sheetId="0"/>
      <sheetData sheetId="1"/>
      <sheetData sheetId="2">
        <row r="2">
          <cell r="C2">
            <v>637.08331346928389</v>
          </cell>
          <cell r="D2">
            <v>127.41666269385678</v>
          </cell>
          <cell r="E2">
            <v>509.66665077542712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476C-FFCA-4D8E-A043-75B1E75C0E60}">
  <dimension ref="A1:O20"/>
  <sheetViews>
    <sheetView workbookViewId="0">
      <selection activeCell="K6" sqref="K6"/>
    </sheetView>
  </sheetViews>
  <sheetFormatPr defaultRowHeight="15" x14ac:dyDescent="0.25"/>
  <cols>
    <col min="1" max="1" width="14.85546875" bestFit="1" customWidth="1"/>
    <col min="2" max="2" width="11" customWidth="1"/>
    <col min="8" max="8" width="12.28515625" customWidth="1"/>
    <col min="9" max="9" width="16.85546875" customWidth="1"/>
    <col min="10" max="10" width="16.28515625" bestFit="1" customWidth="1"/>
    <col min="13" max="13" width="16.42578125" customWidth="1"/>
    <col min="14" max="14" width="16.7109375" customWidth="1"/>
  </cols>
  <sheetData>
    <row r="1" spans="1:15" x14ac:dyDescent="0.25">
      <c r="A1" s="31" t="s">
        <v>13</v>
      </c>
      <c r="B1" s="31"/>
      <c r="C1" s="31"/>
      <c r="D1" s="31"/>
      <c r="E1" s="31"/>
      <c r="F1" s="31"/>
      <c r="G1" s="31"/>
      <c r="H1" s="30" t="s">
        <v>23</v>
      </c>
      <c r="I1" s="30"/>
      <c r="J1" s="32" t="s">
        <v>121</v>
      </c>
      <c r="K1" s="32"/>
      <c r="L1" s="32"/>
      <c r="M1" s="32" t="s">
        <v>122</v>
      </c>
      <c r="N1" s="32"/>
      <c r="O1" s="32"/>
    </row>
    <row r="2" spans="1:15" x14ac:dyDescent="0.25">
      <c r="A2" s="8" t="s">
        <v>14</v>
      </c>
      <c r="B2" s="3">
        <v>1.5</v>
      </c>
      <c r="C2" s="6" t="s">
        <v>15</v>
      </c>
      <c r="D2" s="22">
        <f>B2*2.54/100</f>
        <v>3.8100000000000002E-2</v>
      </c>
      <c r="E2" s="9" t="s">
        <v>52</v>
      </c>
      <c r="F2" s="22">
        <f>B2*2.54</f>
        <v>3.81</v>
      </c>
      <c r="G2" s="6" t="s">
        <v>16</v>
      </c>
      <c r="H2" s="6" t="s">
        <v>6</v>
      </c>
      <c r="I2" s="3">
        <v>250</v>
      </c>
      <c r="J2" s="6" t="s">
        <v>117</v>
      </c>
      <c r="K2">
        <v>1263.19</v>
      </c>
      <c r="L2" s="6" t="s">
        <v>73</v>
      </c>
      <c r="M2" s="6" t="s">
        <v>117</v>
      </c>
      <c r="N2" s="3">
        <v>1276.32</v>
      </c>
      <c r="O2" s="6" t="s">
        <v>73</v>
      </c>
    </row>
    <row r="3" spans="1:15" x14ac:dyDescent="0.25">
      <c r="A3" s="9" t="s">
        <v>17</v>
      </c>
      <c r="B3" s="3">
        <f>B2/2</f>
        <v>0.75</v>
      </c>
      <c r="C3" s="6" t="s">
        <v>15</v>
      </c>
      <c r="D3" s="22">
        <f>D2/2</f>
        <v>1.9050000000000001E-2</v>
      </c>
      <c r="E3" s="9" t="s">
        <v>52</v>
      </c>
      <c r="F3" s="22">
        <f>F2/2</f>
        <v>1.905</v>
      </c>
      <c r="G3" s="6" t="s">
        <v>16</v>
      </c>
      <c r="H3" s="6" t="s">
        <v>111</v>
      </c>
      <c r="I3" s="3">
        <v>72</v>
      </c>
      <c r="J3" s="6" t="s">
        <v>118</v>
      </c>
      <c r="K3">
        <v>1359.1</v>
      </c>
      <c r="L3" s="6" t="s">
        <v>73</v>
      </c>
      <c r="M3" s="6" t="s">
        <v>118</v>
      </c>
      <c r="N3" s="3">
        <v>1365.8</v>
      </c>
      <c r="O3" s="6" t="s">
        <v>73</v>
      </c>
    </row>
    <row r="4" spans="1:15" x14ac:dyDescent="0.25">
      <c r="A4" s="9" t="s">
        <v>18</v>
      </c>
      <c r="B4" s="3">
        <v>22</v>
      </c>
      <c r="C4" s="6" t="s">
        <v>15</v>
      </c>
      <c r="D4" s="22">
        <f>B4*2.54/100</f>
        <v>0.55880000000000007</v>
      </c>
      <c r="E4" s="9" t="s">
        <v>52</v>
      </c>
      <c r="F4" s="22">
        <f>B4*2.54</f>
        <v>55.88</v>
      </c>
      <c r="G4" s="6" t="s">
        <v>16</v>
      </c>
      <c r="H4" s="6" t="s">
        <v>112</v>
      </c>
      <c r="I4" s="23">
        <f>(I3-32)*5/9</f>
        <v>22.222222222222221</v>
      </c>
      <c r="J4" s="6" t="s">
        <v>119</v>
      </c>
      <c r="K4">
        <v>1329.3</v>
      </c>
      <c r="L4" s="6" t="s">
        <v>73</v>
      </c>
      <c r="M4" s="6" t="s">
        <v>119</v>
      </c>
      <c r="N4" s="3"/>
      <c r="O4" s="6" t="s">
        <v>73</v>
      </c>
    </row>
    <row r="5" spans="1:15" x14ac:dyDescent="0.25">
      <c r="A5" s="9" t="s">
        <v>89</v>
      </c>
      <c r="B5">
        <v>4</v>
      </c>
      <c r="C5" s="6" t="s">
        <v>15</v>
      </c>
      <c r="D5" s="22">
        <f>B5*2.54/100</f>
        <v>0.1016</v>
      </c>
      <c r="E5" s="9" t="s">
        <v>52</v>
      </c>
      <c r="F5" s="22">
        <f>B5*2.54</f>
        <v>10.16</v>
      </c>
      <c r="G5" s="6" t="s">
        <v>16</v>
      </c>
      <c r="J5" s="6" t="s">
        <v>120</v>
      </c>
      <c r="L5" s="6" t="s">
        <v>62</v>
      </c>
      <c r="M5" s="6" t="s">
        <v>120</v>
      </c>
      <c r="N5" s="3"/>
      <c r="O5" s="6" t="s">
        <v>62</v>
      </c>
    </row>
    <row r="6" spans="1:15" x14ac:dyDescent="0.25">
      <c r="A6" s="9" t="s">
        <v>91</v>
      </c>
      <c r="B6" s="23">
        <f>PI()*B3^2</f>
        <v>1.7671458676442586</v>
      </c>
      <c r="C6" s="6" t="s">
        <v>92</v>
      </c>
      <c r="D6" s="22">
        <f>PI()*D3^2</f>
        <v>1.1400918279693699E-3</v>
      </c>
      <c r="E6" s="9" t="s">
        <v>93</v>
      </c>
      <c r="F6" s="22">
        <f>PI()*F3^2</f>
        <v>11.400918279693698</v>
      </c>
      <c r="G6" s="6" t="s">
        <v>125</v>
      </c>
      <c r="J6" s="6" t="s">
        <v>123</v>
      </c>
      <c r="K6">
        <f>K4-K2</f>
        <v>66.1099999999999</v>
      </c>
      <c r="L6" s="6" t="s">
        <v>75</v>
      </c>
      <c r="M6" s="6" t="s">
        <v>123</v>
      </c>
      <c r="N6" s="3">
        <f>N4-N2</f>
        <v>-1276.32</v>
      </c>
      <c r="O6" s="6" t="s">
        <v>75</v>
      </c>
    </row>
    <row r="7" spans="1:15" x14ac:dyDescent="0.25">
      <c r="A7" s="9" t="s">
        <v>19</v>
      </c>
      <c r="B7" s="23">
        <f>PI()*B3^2*B4</f>
        <v>38.877209088173693</v>
      </c>
      <c r="C7" s="6" t="s">
        <v>20</v>
      </c>
      <c r="D7" s="22">
        <f>D3^2*PI()*D4</f>
        <v>6.3708331346928404E-4</v>
      </c>
      <c r="E7" s="9" t="s">
        <v>94</v>
      </c>
      <c r="F7" s="22">
        <f>F3^2*PI()*F4</f>
        <v>637.08331346928389</v>
      </c>
      <c r="G7" s="6" t="s">
        <v>110</v>
      </c>
      <c r="J7" s="6" t="s">
        <v>124</v>
      </c>
      <c r="K7">
        <f>(K3-K2)</f>
        <v>95.909999999999854</v>
      </c>
      <c r="L7" s="6" t="s">
        <v>21</v>
      </c>
      <c r="M7" s="6" t="s">
        <v>124</v>
      </c>
      <c r="N7" s="3">
        <f>N3-N2</f>
        <v>89.480000000000018</v>
      </c>
      <c r="O7" s="6" t="s">
        <v>21</v>
      </c>
    </row>
    <row r="8" spans="1:15" x14ac:dyDescent="0.25">
      <c r="A8" s="9" t="s">
        <v>24</v>
      </c>
      <c r="B8">
        <f>AVERAGE(N8,K8)</f>
        <v>0.14549902350325661</v>
      </c>
      <c r="C8" s="6" t="s">
        <v>115</v>
      </c>
      <c r="E8" s="6"/>
      <c r="J8" s="6" t="s">
        <v>24</v>
      </c>
      <c r="K8">
        <f>K7/$F$7</f>
        <v>0.15054545923941237</v>
      </c>
      <c r="L8" s="6" t="s">
        <v>115</v>
      </c>
      <c r="M8" s="6" t="s">
        <v>24</v>
      </c>
      <c r="N8" s="3">
        <f>N7/$F$7</f>
        <v>0.14045258776710084</v>
      </c>
      <c r="O8" s="6" t="s">
        <v>115</v>
      </c>
    </row>
    <row r="9" spans="1:15" x14ac:dyDescent="0.25">
      <c r="A9" s="9" t="s">
        <v>25</v>
      </c>
      <c r="B9" s="2">
        <f>B7*B8</f>
        <v>5.6565959588612058</v>
      </c>
      <c r="C9" s="6" t="s">
        <v>116</v>
      </c>
      <c r="D9" s="3">
        <f>D7*B8</f>
        <v>9.2694999999999952E-5</v>
      </c>
      <c r="E9" s="6" t="s">
        <v>94</v>
      </c>
      <c r="F9">
        <f>D9*100^3</f>
        <v>92.694999999999951</v>
      </c>
      <c r="G9" s="6" t="s">
        <v>110</v>
      </c>
      <c r="J9" s="6"/>
    </row>
    <row r="10" spans="1:15" x14ac:dyDescent="0.25">
      <c r="A10" s="6" t="s">
        <v>113</v>
      </c>
      <c r="B10">
        <v>1.23E-3</v>
      </c>
      <c r="C10" s="6" t="s">
        <v>95</v>
      </c>
      <c r="D10" s="3"/>
      <c r="E10" s="6"/>
    </row>
    <row r="11" spans="1:15" x14ac:dyDescent="0.25">
      <c r="A11" s="26" t="s">
        <v>114</v>
      </c>
      <c r="B11" s="21">
        <v>1E-4</v>
      </c>
      <c r="C11" s="6" t="s">
        <v>95</v>
      </c>
      <c r="E11" s="6"/>
    </row>
    <row r="19" spans="9:10" x14ac:dyDescent="0.25">
      <c r="I19" s="29" t="s">
        <v>128</v>
      </c>
      <c r="J19" s="29" t="s">
        <v>129</v>
      </c>
    </row>
    <row r="20" spans="9:10" x14ac:dyDescent="0.25">
      <c r="I20" s="29">
        <f>AVERAGE(K8,N8)</f>
        <v>0.14549902350325661</v>
      </c>
      <c r="J20" s="29">
        <f>AVERAGE(K7,N7)</f>
        <v>92.694999999999936</v>
      </c>
    </row>
  </sheetData>
  <mergeCells count="4">
    <mergeCell ref="H1:I1"/>
    <mergeCell ref="A1:G1"/>
    <mergeCell ref="J1:L1"/>
    <mergeCell ref="M1:O1"/>
  </mergeCells>
  <pageMargins left="0.7" right="0.7" top="0.75" bottom="0.75" header="0.3" footer="0.3"/>
  <pageSetup paperSize="1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zoomScale="85" zoomScaleNormal="85" workbookViewId="0">
      <selection activeCell="T2" sqref="T2:U2"/>
    </sheetView>
  </sheetViews>
  <sheetFormatPr defaultRowHeight="15" x14ac:dyDescent="0.25"/>
  <cols>
    <col min="4" max="4" width="11.85546875" bestFit="1" customWidth="1"/>
    <col min="5" max="5" width="11.85546875" customWidth="1"/>
    <col min="9" max="9" width="11.140625" bestFit="1" customWidth="1"/>
    <col min="10" max="10" width="10.42578125" bestFit="1" customWidth="1"/>
    <col min="11" max="11" width="10.140625" bestFit="1" customWidth="1"/>
    <col min="12" max="12" width="11.7109375" style="3" bestFit="1" customWidth="1"/>
    <col min="14" max="15" width="12" style="3" bestFit="1" customWidth="1"/>
    <col min="17" max="17" width="12.140625" customWidth="1"/>
    <col min="18" max="18" width="13.7109375" customWidth="1"/>
    <col min="19" max="19" width="13" customWidth="1"/>
    <col min="20" max="24" width="18" style="3" customWidth="1"/>
    <col min="25" max="25" width="13.7109375" customWidth="1"/>
    <col min="26" max="26" width="12.7109375" customWidth="1"/>
    <col min="28" max="28" width="12" bestFit="1" customWidth="1"/>
  </cols>
  <sheetData>
    <row r="1" spans="1:26" s="3" customFormat="1" x14ac:dyDescent="0.2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5" t="s">
        <v>98</v>
      </c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6" x14ac:dyDescent="0.25">
      <c r="B2" s="34" t="s">
        <v>3</v>
      </c>
      <c r="C2" s="34"/>
      <c r="D2" s="34"/>
      <c r="E2" s="7"/>
      <c r="F2" s="34" t="s">
        <v>7</v>
      </c>
      <c r="G2" s="34"/>
      <c r="H2" s="34"/>
      <c r="I2" s="34" t="s">
        <v>10</v>
      </c>
      <c r="J2" s="34"/>
      <c r="K2" s="34"/>
      <c r="L2" s="34"/>
      <c r="M2" s="34"/>
      <c r="N2" s="34"/>
      <c r="O2" s="34" t="s">
        <v>99</v>
      </c>
      <c r="P2" s="34"/>
      <c r="Q2" s="34"/>
      <c r="R2" s="34"/>
      <c r="S2" s="34"/>
      <c r="T2" s="39" t="s">
        <v>97</v>
      </c>
      <c r="U2" s="39"/>
      <c r="V2" s="38" t="s">
        <v>103</v>
      </c>
      <c r="W2" s="38"/>
      <c r="X2" s="37" t="s">
        <v>104</v>
      </c>
      <c r="Y2" s="37"/>
      <c r="Z2" s="26"/>
    </row>
    <row r="3" spans="1:26" x14ac:dyDescent="0.25">
      <c r="A3" s="6" t="s">
        <v>5</v>
      </c>
      <c r="B3" s="6" t="s">
        <v>0</v>
      </c>
      <c r="C3" s="6" t="s">
        <v>1</v>
      </c>
      <c r="D3" s="6" t="s">
        <v>2</v>
      </c>
      <c r="E3" s="6" t="s">
        <v>4</v>
      </c>
      <c r="F3" s="6">
        <v>1</v>
      </c>
      <c r="G3" s="6">
        <v>2</v>
      </c>
      <c r="H3" s="6">
        <v>3</v>
      </c>
      <c r="I3" s="6" t="s">
        <v>8</v>
      </c>
      <c r="J3" s="6" t="s">
        <v>9</v>
      </c>
      <c r="K3" s="6" t="s">
        <v>107</v>
      </c>
      <c r="L3" s="6" t="s">
        <v>22</v>
      </c>
      <c r="M3" s="6" t="s">
        <v>108</v>
      </c>
      <c r="N3" s="6" t="s">
        <v>11</v>
      </c>
      <c r="O3" s="6" t="s">
        <v>87</v>
      </c>
      <c r="P3" s="6" t="s">
        <v>88</v>
      </c>
      <c r="Q3" s="6" t="s">
        <v>100</v>
      </c>
      <c r="R3" s="6" t="s">
        <v>101</v>
      </c>
      <c r="S3" s="6" t="s">
        <v>102</v>
      </c>
      <c r="T3" s="6" t="s">
        <v>90</v>
      </c>
      <c r="U3" s="6" t="s">
        <v>96</v>
      </c>
      <c r="V3" s="6" t="s">
        <v>90</v>
      </c>
      <c r="W3" s="6" t="s">
        <v>126</v>
      </c>
      <c r="X3" s="27" t="s">
        <v>105</v>
      </c>
      <c r="Y3" s="28" t="s">
        <v>106</v>
      </c>
    </row>
    <row r="4" spans="1:26" x14ac:dyDescent="0.25">
      <c r="A4">
        <v>1</v>
      </c>
      <c r="B4">
        <v>2.5</v>
      </c>
      <c r="C4">
        <v>0</v>
      </c>
      <c r="D4">
        <v>0</v>
      </c>
      <c r="E4" s="2">
        <f>B4/(B4+D4)</f>
        <v>1</v>
      </c>
      <c r="F4">
        <v>2.68</v>
      </c>
      <c r="G4">
        <v>2.5</v>
      </c>
      <c r="H4">
        <v>2.13</v>
      </c>
      <c r="I4">
        <v>125</v>
      </c>
      <c r="J4">
        <v>125</v>
      </c>
      <c r="K4">
        <f>J4/B4</f>
        <v>50</v>
      </c>
      <c r="L4" s="3">
        <f t="shared" ref="L4:L10" si="0">I4-J4</f>
        <v>0</v>
      </c>
      <c r="M4" s="3">
        <f>SUM(L4)</f>
        <v>0</v>
      </c>
      <c r="N4">
        <f>('Core Parameters'!$F$9-L4)/'Core Parameters'!$F$9</f>
        <v>1</v>
      </c>
      <c r="O4" s="25">
        <f t="shared" ref="O4:O10" si="1">B4/100^3*1^2/60</f>
        <v>4.1666666666666669E-8</v>
      </c>
      <c r="P4" s="25">
        <f t="shared" ref="P4:P10" si="2">D4/100^3*1^2/60</f>
        <v>0</v>
      </c>
      <c r="Q4">
        <f t="shared" ref="Q4:S10" si="3">F4*6894.8</f>
        <v>18478.064000000002</v>
      </c>
      <c r="R4" s="3">
        <f t="shared" si="3"/>
        <v>17237</v>
      </c>
      <c r="S4" s="3">
        <f t="shared" si="3"/>
        <v>14685.923999999999</v>
      </c>
      <c r="T4" s="24">
        <f>(O4*'Core Parameters'!$B$10*'Core Parameters'!$D$5)/(R4*'Core Parameters'!$D$6)</f>
        <v>2.6496350697576018E-13</v>
      </c>
      <c r="U4" s="23">
        <f>T4*1013000000000*1000</f>
        <v>268.40803256644506</v>
      </c>
      <c r="V4" s="24">
        <f>(P4*'Core Parameters'!$B$11*'Core Parameters'!$D$5)/(R4*'Core Parameters'!$D$6)</f>
        <v>0</v>
      </c>
      <c r="W4" s="23">
        <f>V4*1013000000000*1000</f>
        <v>0</v>
      </c>
      <c r="X4" s="2">
        <f>U4/$U$4</f>
        <v>1</v>
      </c>
      <c r="Y4" s="2">
        <f>W4/$U$4</f>
        <v>0</v>
      </c>
    </row>
    <row r="5" spans="1:26" x14ac:dyDescent="0.25">
      <c r="A5">
        <v>0.75</v>
      </c>
      <c r="B5">
        <v>2</v>
      </c>
      <c r="C5">
        <v>11.7</v>
      </c>
      <c r="D5">
        <v>0.7</v>
      </c>
      <c r="E5" s="2">
        <f t="shared" ref="E5:E10" si="4">B5/(B5+D5)</f>
        <v>0.7407407407407407</v>
      </c>
      <c r="F5">
        <v>5.67</v>
      </c>
      <c r="G5">
        <v>3.77</v>
      </c>
      <c r="H5">
        <v>2.73</v>
      </c>
      <c r="I5">
        <v>87</v>
      </c>
      <c r="J5">
        <v>70.099999999999994</v>
      </c>
      <c r="K5" s="3">
        <f>J5/B5</f>
        <v>35.049999999999997</v>
      </c>
      <c r="L5" s="3">
        <f t="shared" si="0"/>
        <v>16.900000000000006</v>
      </c>
      <c r="M5" s="3">
        <f>M4+L5</f>
        <v>16.900000000000006</v>
      </c>
      <c r="N5" s="2">
        <f>('Core Parameters'!$F$9-L5)/'Core Parameters'!$F$9</f>
        <v>0.81768164410162347</v>
      </c>
      <c r="O5" s="25">
        <f t="shared" si="1"/>
        <v>3.3333333333333334E-8</v>
      </c>
      <c r="P5" s="25">
        <f t="shared" si="2"/>
        <v>1.1666666666666667E-8</v>
      </c>
      <c r="Q5" s="3">
        <f t="shared" si="3"/>
        <v>39093.516000000003</v>
      </c>
      <c r="R5" s="3">
        <f t="shared" si="3"/>
        <v>25993.396000000001</v>
      </c>
      <c r="S5" s="3">
        <f t="shared" si="3"/>
        <v>18822.804</v>
      </c>
      <c r="T5" s="24">
        <f>(O5*'Core Parameters'!$B$10*'Core Parameters'!$D$5)/(R5*'Core Parameters'!$D$6)</f>
        <v>1.4056419468210089E-13</v>
      </c>
      <c r="U5" s="23">
        <f>T5*1013000000000*1000</f>
        <v>142.39152921296818</v>
      </c>
      <c r="V5" s="24">
        <f>(P5*'Core Parameters'!$B$11*'Core Parameters'!$D$5)/(R5*'Core Parameters'!$D$6)</f>
        <v>3.9997941576207571E-15</v>
      </c>
      <c r="W5" s="23">
        <f>V5*1013000000000*1000</f>
        <v>4.0517914816698273</v>
      </c>
      <c r="X5" s="2">
        <f>U5/$U$4</f>
        <v>0.53050397877984079</v>
      </c>
      <c r="Y5" s="2">
        <f>W5/$U$4</f>
        <v>1.5095641672597099E-2</v>
      </c>
    </row>
    <row r="6" spans="1:26" x14ac:dyDescent="0.25">
      <c r="A6">
        <v>0.5</v>
      </c>
      <c r="B6">
        <v>1.5</v>
      </c>
      <c r="C6">
        <v>11.7</v>
      </c>
      <c r="D6">
        <v>1.5</v>
      </c>
      <c r="E6" s="2">
        <f t="shared" si="4"/>
        <v>0.5</v>
      </c>
      <c r="F6">
        <v>4.91</v>
      </c>
      <c r="G6">
        <v>3.3</v>
      </c>
      <c r="H6">
        <v>2.6</v>
      </c>
      <c r="I6">
        <f>2043.5-87</f>
        <v>1956.5</v>
      </c>
      <c r="J6">
        <f>2019-70.1</f>
        <v>1948.9</v>
      </c>
      <c r="K6" s="3">
        <f t="shared" ref="K6:K10" si="5">J6/B6</f>
        <v>1299.2666666666667</v>
      </c>
      <c r="L6" s="3">
        <f t="shared" si="0"/>
        <v>7.5999999999999091</v>
      </c>
      <c r="M6" s="3">
        <f t="shared" ref="M6:M10" si="6">M5+L6</f>
        <v>24.499999999999915</v>
      </c>
      <c r="N6" s="3">
        <f>('Core Parameters'!$F$9-M6)/'Core Parameters'!$F$9</f>
        <v>0.73569232428933673</v>
      </c>
      <c r="O6" s="25">
        <f t="shared" si="1"/>
        <v>2.5000000000000002E-8</v>
      </c>
      <c r="P6" s="25">
        <f t="shared" si="2"/>
        <v>2.5000000000000002E-8</v>
      </c>
      <c r="Q6" s="3">
        <f t="shared" si="3"/>
        <v>33853.468000000001</v>
      </c>
      <c r="R6" s="3">
        <f t="shared" si="3"/>
        <v>22752.84</v>
      </c>
      <c r="S6" s="3">
        <f t="shared" si="3"/>
        <v>17926.48</v>
      </c>
      <c r="T6" s="24">
        <f>(O6*'Core Parameters'!$B$10*'Core Parameters'!$D$5)/(R6*'Core Parameters'!$D$6)</f>
        <v>1.2043795771625465E-13</v>
      </c>
      <c r="U6" s="23">
        <f t="shared" ref="U6:U10" si="7">T6*1013000000000*1000</f>
        <v>122.00365116656596</v>
      </c>
      <c r="V6" s="24">
        <f>(P6*'Core Parameters'!$B$11*'Core Parameters'!$D$5)/(R6*'Core Parameters'!$D$6)</f>
        <v>9.7917038793702975E-15</v>
      </c>
      <c r="W6" s="23">
        <f t="shared" ref="W6:W9" si="8">V6*1013000000000*1000</f>
        <v>9.9189960298021109</v>
      </c>
      <c r="X6" s="2">
        <f>U6/$U$4</f>
        <v>0.45454545454545464</v>
      </c>
      <c r="Y6" s="2">
        <f>W6/$U$4</f>
        <v>3.69549150036955E-2</v>
      </c>
    </row>
    <row r="7" spans="1:26" x14ac:dyDescent="0.25">
      <c r="A7">
        <v>0.25</v>
      </c>
      <c r="B7">
        <v>1</v>
      </c>
      <c r="C7">
        <v>23.4</v>
      </c>
      <c r="D7">
        <v>3</v>
      </c>
      <c r="E7" s="2">
        <f t="shared" si="4"/>
        <v>0.25</v>
      </c>
      <c r="G7">
        <v>2.5</v>
      </c>
      <c r="H7">
        <v>2.5</v>
      </c>
      <c r="I7">
        <f>(2131.1-2046.7)+1120.5</f>
        <v>1204.8999999999999</v>
      </c>
      <c r="J7">
        <f>(2101.6-2022.3)+1118.7</f>
        <v>1198</v>
      </c>
      <c r="K7" s="3">
        <f t="shared" si="5"/>
        <v>1198</v>
      </c>
      <c r="L7" s="3">
        <f t="shared" si="0"/>
        <v>6.8999999999998636</v>
      </c>
      <c r="M7" s="3">
        <f t="shared" si="6"/>
        <v>31.399999999999778</v>
      </c>
      <c r="N7" s="3">
        <f>('Core Parameters'!$F$9-M7)/'Core Parameters'!$F$9</f>
        <v>0.6612546523544981</v>
      </c>
      <c r="O7" s="25">
        <f t="shared" si="1"/>
        <v>1.6666666666666667E-8</v>
      </c>
      <c r="P7" s="25">
        <f t="shared" si="2"/>
        <v>5.0000000000000004E-8</v>
      </c>
      <c r="Q7" s="3">
        <f t="shared" si="3"/>
        <v>0</v>
      </c>
      <c r="R7" s="3">
        <f t="shared" si="3"/>
        <v>17237</v>
      </c>
      <c r="S7" s="3">
        <f t="shared" si="3"/>
        <v>17237</v>
      </c>
      <c r="T7" s="24">
        <f>(O7*'Core Parameters'!$B$10*'Core Parameters'!$D$5)/(R7*'Core Parameters'!$D$6)</f>
        <v>1.0598540279030407E-13</v>
      </c>
      <c r="U7" s="23">
        <f t="shared" si="7"/>
        <v>107.36321302657802</v>
      </c>
      <c r="V7" s="24">
        <f>(P7*'Core Parameters'!$B$11*'Core Parameters'!$D$5)/(R7*'Core Parameters'!$D$6)</f>
        <v>2.5850098241537581E-14</v>
      </c>
      <c r="W7" s="23">
        <f t="shared" si="8"/>
        <v>26.186149518677567</v>
      </c>
      <c r="X7" s="2">
        <f t="shared" ref="X7:X10" si="9">U7/$U$4</f>
        <v>0.4</v>
      </c>
      <c r="Y7" s="2">
        <f t="shared" ref="Y7:Y9" si="10">W7/$U$4</f>
        <v>9.7560975609756101E-2</v>
      </c>
    </row>
    <row r="8" spans="1:26" x14ac:dyDescent="0.25">
      <c r="A8">
        <v>0.1</v>
      </c>
      <c r="B8">
        <v>0.66700000000000004</v>
      </c>
      <c r="C8">
        <v>47.34</v>
      </c>
      <c r="D8">
        <v>6</v>
      </c>
      <c r="E8" s="2">
        <f t="shared" si="4"/>
        <v>0.1000449977501125</v>
      </c>
      <c r="G8">
        <v>3.7</v>
      </c>
      <c r="I8">
        <v>2043.1</v>
      </c>
      <c r="J8">
        <v>2037.9</v>
      </c>
      <c r="K8" s="3">
        <f t="shared" si="5"/>
        <v>3055.3223388305846</v>
      </c>
      <c r="L8" s="3">
        <f t="shared" si="0"/>
        <v>5.1999999999998181</v>
      </c>
      <c r="M8" s="3">
        <f t="shared" si="6"/>
        <v>36.599999999999596</v>
      </c>
      <c r="N8" s="3">
        <f>('Core Parameters'!$F$9-M8)/'Core Parameters'!$F$9</f>
        <v>0.60515669669346117</v>
      </c>
      <c r="O8" s="25">
        <f t="shared" si="1"/>
        <v>1.1116666666666667E-8</v>
      </c>
      <c r="P8" s="25">
        <f t="shared" si="2"/>
        <v>1.0000000000000001E-7</v>
      </c>
      <c r="Q8" s="3">
        <f t="shared" si="3"/>
        <v>0</v>
      </c>
      <c r="R8" s="3">
        <f t="shared" si="3"/>
        <v>25510.760000000002</v>
      </c>
      <c r="S8" s="3">
        <f t="shared" si="3"/>
        <v>0</v>
      </c>
      <c r="T8" s="24">
        <f>(O8*'Core Parameters'!$B$10*'Core Parameters'!$D$5)/(R8*'Core Parameters'!$D$6)</f>
        <v>4.7765043014278929E-14</v>
      </c>
      <c r="U8" s="23">
        <f t="shared" si="7"/>
        <v>48.385988573464559</v>
      </c>
      <c r="V8" s="24">
        <f>(P8*'Core Parameters'!$B$11*'Core Parameters'!$D$5)/(R8*'Core Parameters'!$D$6)</f>
        <v>3.4932565191267002E-14</v>
      </c>
      <c r="W8" s="23">
        <f t="shared" si="8"/>
        <v>35.386688538753475</v>
      </c>
      <c r="X8" s="2">
        <f t="shared" si="9"/>
        <v>0.18027027027027029</v>
      </c>
      <c r="Y8" s="2">
        <f t="shared" si="10"/>
        <v>0.13183915622940015</v>
      </c>
    </row>
    <row r="9" spans="1:26" x14ac:dyDescent="0.25">
      <c r="A9">
        <v>0.01</v>
      </c>
      <c r="B9">
        <v>0.06</v>
      </c>
      <c r="C9">
        <v>47.34</v>
      </c>
      <c r="D9">
        <v>6</v>
      </c>
      <c r="E9" s="1">
        <f t="shared" si="4"/>
        <v>9.9009900990099011E-3</v>
      </c>
      <c r="G9">
        <v>2.2000000000000002</v>
      </c>
      <c r="I9">
        <f>(2136-2044.7)</f>
        <v>91.299999999999955</v>
      </c>
      <c r="J9">
        <f>2113.8-2039.3</f>
        <v>74.500000000000227</v>
      </c>
      <c r="K9" s="3">
        <f t="shared" si="5"/>
        <v>1241.6666666666706</v>
      </c>
      <c r="L9" s="3">
        <f t="shared" si="0"/>
        <v>16.799999999999727</v>
      </c>
      <c r="M9" s="3">
        <f t="shared" si="6"/>
        <v>53.399999999999324</v>
      </c>
      <c r="N9" s="3">
        <f>('Core Parameters'!$F$9-M9)/'Core Parameters'!$F$9</f>
        <v>0.42391714763472299</v>
      </c>
      <c r="O9" s="25">
        <f t="shared" si="1"/>
        <v>9.9999999999999986E-10</v>
      </c>
      <c r="P9" s="25">
        <f t="shared" si="2"/>
        <v>1.0000000000000001E-7</v>
      </c>
      <c r="Q9" s="3">
        <f t="shared" si="3"/>
        <v>0</v>
      </c>
      <c r="R9" s="3">
        <f t="shared" si="3"/>
        <v>15168.560000000001</v>
      </c>
      <c r="S9" s="3">
        <f t="shared" si="3"/>
        <v>0</v>
      </c>
      <c r="T9" s="24">
        <f>(O9*'Core Parameters'!$B$10*'Core Parameters'!$D$5)/(R9*'Core Parameters'!$D$6)</f>
        <v>7.2262774629752765E-15</v>
      </c>
      <c r="U9" s="23">
        <f t="shared" si="7"/>
        <v>7.3202190699939553</v>
      </c>
      <c r="V9" s="24">
        <f>(P9*'Core Parameters'!$B$11*'Core Parameters'!$D$5)/(R9*'Core Parameters'!$D$6)</f>
        <v>5.8750223276221773E-14</v>
      </c>
      <c r="W9" s="23">
        <f t="shared" si="8"/>
        <v>59.513976178812655</v>
      </c>
      <c r="X9" s="2">
        <f t="shared" si="9"/>
        <v>2.7272727272727271E-2</v>
      </c>
      <c r="Y9" s="2">
        <f t="shared" si="10"/>
        <v>0.22172949002217296</v>
      </c>
    </row>
    <row r="10" spans="1:26" x14ac:dyDescent="0.25">
      <c r="A10">
        <v>0</v>
      </c>
      <c r="B10">
        <v>0</v>
      </c>
      <c r="C10">
        <v>47.34</v>
      </c>
      <c r="D10">
        <v>6</v>
      </c>
      <c r="E10" s="2">
        <f t="shared" si="4"/>
        <v>0</v>
      </c>
      <c r="G10">
        <v>0.44</v>
      </c>
      <c r="I10">
        <f>2159.8-2136.1</f>
        <v>23.700000000000273</v>
      </c>
      <c r="J10">
        <v>0</v>
      </c>
      <c r="K10" s="3" t="e">
        <f t="shared" si="5"/>
        <v>#DIV/0!</v>
      </c>
      <c r="L10" s="3">
        <f t="shared" si="0"/>
        <v>23.700000000000273</v>
      </c>
      <c r="M10" s="3">
        <f t="shared" si="6"/>
        <v>77.099999999999596</v>
      </c>
      <c r="N10" s="3">
        <f>('Core Parameters'!$F$9-M10)/'Core Parameters'!$F$9</f>
        <v>0.16823992664113882</v>
      </c>
      <c r="O10" s="25">
        <f t="shared" si="1"/>
        <v>0</v>
      </c>
      <c r="P10" s="25">
        <f t="shared" si="2"/>
        <v>1.0000000000000001E-7</v>
      </c>
      <c r="Q10" s="3">
        <f t="shared" si="3"/>
        <v>0</v>
      </c>
      <c r="R10" s="3">
        <f>G10*6894.8</f>
        <v>3033.712</v>
      </c>
      <c r="S10" s="3">
        <f t="shared" si="3"/>
        <v>0</v>
      </c>
      <c r="T10" s="24">
        <f>(O10*'Core Parameters'!$B$10*'Core Parameters'!$D$5)/(R10*'Core Parameters'!$D$6)</f>
        <v>0</v>
      </c>
      <c r="U10" s="23">
        <f t="shared" si="7"/>
        <v>0</v>
      </c>
      <c r="V10" s="24">
        <f>(P10*'Core Parameters'!$B$11*'Core Parameters'!$D$5)/(R10*'Core Parameters'!$D$6)</f>
        <v>2.9375111638110889E-13</v>
      </c>
      <c r="W10" s="23">
        <f>V10*1013000000000*1000</f>
        <v>297.56988089406326</v>
      </c>
      <c r="X10" s="2">
        <f t="shared" si="9"/>
        <v>0</v>
      </c>
      <c r="Y10" s="2">
        <f>W10/$U$4</f>
        <v>1.1086474501108647</v>
      </c>
    </row>
    <row r="11" spans="1:26" x14ac:dyDescent="0.25">
      <c r="H11" s="6"/>
      <c r="I11">
        <v>66</v>
      </c>
      <c r="M11" s="3"/>
    </row>
    <row r="12" spans="1:26" x14ac:dyDescent="0.25">
      <c r="M12" t="s">
        <v>131</v>
      </c>
      <c r="N12" s="3">
        <f>N10</f>
        <v>0.16823992664113882</v>
      </c>
      <c r="O12" s="3" t="s">
        <v>132</v>
      </c>
      <c r="P12">
        <v>0.05</v>
      </c>
    </row>
    <row r="13" spans="1:26" x14ac:dyDescent="0.25">
      <c r="R13" s="33" t="s">
        <v>127</v>
      </c>
      <c r="S13" s="33"/>
      <c r="T13" s="33"/>
      <c r="U13" s="33"/>
    </row>
    <row r="14" spans="1:26" x14ac:dyDescent="0.25">
      <c r="R14" s="3" t="s">
        <v>11</v>
      </c>
      <c r="S14" s="3" t="s">
        <v>105</v>
      </c>
      <c r="T14" s="3" t="s">
        <v>106</v>
      </c>
      <c r="U14" s="3" t="s">
        <v>109</v>
      </c>
    </row>
    <row r="15" spans="1:26" x14ac:dyDescent="0.25">
      <c r="R15" s="3">
        <v>0</v>
      </c>
      <c r="S15" s="3">
        <f>((R15-$N$12)/(1-$N$12))^4</f>
        <v>1.673878781473005E-3</v>
      </c>
      <c r="T15" s="3">
        <f>(((1-R15)-$P$12)/(1-$N$12))^2</f>
        <v>1.3045209920013212</v>
      </c>
      <c r="U15" s="3">
        <f>S15/(S15+T15/0.02)</f>
        <v>2.5662075758566388E-5</v>
      </c>
    </row>
    <row r="16" spans="1:26" x14ac:dyDescent="0.25">
      <c r="R16" s="3">
        <v>0.05</v>
      </c>
      <c r="S16" s="3">
        <f t="shared" ref="S16:S35" si="11">((R16-$N$12)/(1-$N$12))^4</f>
        <v>4.0837987262923656E-4</v>
      </c>
      <c r="T16" s="3">
        <f t="shared" ref="T16:T35" si="12">(((1-R16)-$P$12)/(1-$N$12))^2</f>
        <v>1.1708166244000773</v>
      </c>
      <c r="U16" s="3">
        <f t="shared" ref="U16:U34" si="13">S16/(S16+T16/0.02)</f>
        <v>6.9759348353480736E-6</v>
      </c>
    </row>
    <row r="17" spans="18:21" x14ac:dyDescent="0.25">
      <c r="R17" s="3">
        <v>0.1</v>
      </c>
      <c r="S17" s="3">
        <f t="shared" si="11"/>
        <v>4.5306647569102822E-5</v>
      </c>
      <c r="T17" s="3">
        <f t="shared" si="12"/>
        <v>1.044339519912415</v>
      </c>
      <c r="U17" s="3">
        <f t="shared" si="13"/>
        <v>8.676605145061135E-7</v>
      </c>
    </row>
    <row r="18" spans="18:21" x14ac:dyDescent="0.25">
      <c r="R18" s="3">
        <v>0.15</v>
      </c>
      <c r="S18" s="3">
        <f t="shared" si="11"/>
        <v>2.3125976084513586E-7</v>
      </c>
      <c r="T18" s="3">
        <f t="shared" si="12"/>
        <v>0.9250896785383329</v>
      </c>
      <c r="U18" s="3">
        <f t="shared" si="13"/>
        <v>4.9997262979800429E-9</v>
      </c>
    </row>
    <row r="19" spans="18:21" x14ac:dyDescent="0.25">
      <c r="R19" s="3">
        <v>0.2</v>
      </c>
      <c r="S19" s="3">
        <f t="shared" si="11"/>
        <v>2.1258553502513654E-6</v>
      </c>
      <c r="T19" s="3">
        <f t="shared" si="12"/>
        <v>0.81306710027783169</v>
      </c>
      <c r="U19" s="3">
        <f t="shared" si="13"/>
        <v>5.2292245950160629E-8</v>
      </c>
    </row>
    <row r="20" spans="18:21" x14ac:dyDescent="0.25">
      <c r="R20" s="3">
        <v>0.25</v>
      </c>
      <c r="S20" s="3">
        <f t="shared" si="11"/>
        <v>9.3362573160657097E-5</v>
      </c>
      <c r="T20" s="3">
        <f t="shared" si="12"/>
        <v>0.70827178513091116</v>
      </c>
      <c r="U20" s="3">
        <f t="shared" si="13"/>
        <v>2.6363418389663214E-6</v>
      </c>
    </row>
    <row r="21" spans="18:21" x14ac:dyDescent="0.25">
      <c r="R21" s="3">
        <v>0.3</v>
      </c>
      <c r="S21" s="3">
        <f t="shared" si="11"/>
        <v>6.2971354469294521E-4</v>
      </c>
      <c r="T21" s="3">
        <f t="shared" si="12"/>
        <v>0.6107037330975712</v>
      </c>
      <c r="U21" s="3">
        <f t="shared" si="13"/>
        <v>2.0622129013852891E-5</v>
      </c>
    </row>
    <row r="22" spans="18:21" x14ac:dyDescent="0.25">
      <c r="R22" s="3">
        <v>0.35</v>
      </c>
      <c r="S22" s="3">
        <f t="shared" si="11"/>
        <v>2.2803508941255462E-3</v>
      </c>
      <c r="T22" s="3">
        <f t="shared" si="12"/>
        <v>0.52036294417781226</v>
      </c>
      <c r="U22" s="3">
        <f t="shared" si="13"/>
        <v>8.7636949426991316E-5</v>
      </c>
    </row>
    <row r="23" spans="18:21" x14ac:dyDescent="0.25">
      <c r="R23" s="3">
        <v>0.4</v>
      </c>
      <c r="S23" s="3">
        <f t="shared" si="11"/>
        <v>6.0278467383144425E-3</v>
      </c>
      <c r="T23" s="3">
        <f t="shared" si="12"/>
        <v>0.43724941837163384</v>
      </c>
      <c r="U23" s="3">
        <f t="shared" si="13"/>
        <v>2.7564062823890123E-4</v>
      </c>
    </row>
    <row r="24" spans="18:21" x14ac:dyDescent="0.25">
      <c r="R24" s="3">
        <v>0.45</v>
      </c>
      <c r="S24" s="3">
        <f t="shared" si="11"/>
        <v>1.316817318679315E-2</v>
      </c>
      <c r="T24" s="3">
        <f t="shared" si="12"/>
        <v>0.36136315567903632</v>
      </c>
      <c r="U24" s="3">
        <f t="shared" si="13"/>
        <v>7.2827475252688998E-4</v>
      </c>
    </row>
    <row r="25" spans="18:21" x14ac:dyDescent="0.25">
      <c r="R25" s="3">
        <v>0.5</v>
      </c>
      <c r="S25" s="3">
        <f t="shared" si="11"/>
        <v>2.5310702341772736E-2</v>
      </c>
      <c r="T25" s="3">
        <f t="shared" si="12"/>
        <v>0.29270415610001943</v>
      </c>
      <c r="U25" s="3">
        <f t="shared" si="13"/>
        <v>1.7264534217596621E-3</v>
      </c>
    </row>
    <row r="26" spans="18:21" x14ac:dyDescent="0.25">
      <c r="R26" s="3">
        <v>0.55000000000000004</v>
      </c>
      <c r="S26" s="3">
        <f t="shared" si="11"/>
        <v>4.4378206298141862E-2</v>
      </c>
      <c r="T26" s="3">
        <f t="shared" si="12"/>
        <v>0.23127241963458323</v>
      </c>
      <c r="U26" s="3">
        <f t="shared" si="13"/>
        <v>3.8230711063379757E-3</v>
      </c>
    </row>
    <row r="27" spans="18:21" x14ac:dyDescent="0.25">
      <c r="R27" s="3">
        <v>0.6</v>
      </c>
      <c r="S27" s="3">
        <f t="shared" si="11"/>
        <v>7.2606857143466597E-2</v>
      </c>
      <c r="T27" s="3">
        <f t="shared" si="12"/>
        <v>0.17706794628272784</v>
      </c>
      <c r="U27" s="3">
        <f t="shared" si="13"/>
        <v>8.1343068802370768E-3</v>
      </c>
    </row>
    <row r="28" spans="18:21" x14ac:dyDescent="0.25">
      <c r="R28" s="3">
        <v>0.65</v>
      </c>
      <c r="S28" s="3">
        <f t="shared" si="11"/>
        <v>0.11254622695799085</v>
      </c>
      <c r="T28" s="3">
        <f t="shared" si="12"/>
        <v>0.13009073604445306</v>
      </c>
      <c r="U28" s="3">
        <f t="shared" si="13"/>
        <v>1.7008435055397335E-2</v>
      </c>
    </row>
    <row r="29" spans="18:21" x14ac:dyDescent="0.25">
      <c r="R29" s="3">
        <v>0.7</v>
      </c>
      <c r="S29" s="3">
        <f t="shared" si="11"/>
        <v>0.16705928781463555</v>
      </c>
      <c r="T29" s="3">
        <f t="shared" si="12"/>
        <v>9.0340788919759121E-2</v>
      </c>
      <c r="U29" s="3">
        <f t="shared" si="13"/>
        <v>3.5665193521447272E-2</v>
      </c>
    </row>
    <row r="30" spans="18:21" x14ac:dyDescent="0.25">
      <c r="R30" s="3">
        <v>0.75</v>
      </c>
      <c r="S30" s="3">
        <f t="shared" si="11"/>
        <v>0.23932241177899999</v>
      </c>
      <c r="T30" s="3">
        <f t="shared" si="12"/>
        <v>5.781810490864582E-2</v>
      </c>
      <c r="U30" s="3">
        <f t="shared" si="13"/>
        <v>7.6455273541417595E-2</v>
      </c>
    </row>
    <row r="31" spans="18:21" x14ac:dyDescent="0.25">
      <c r="R31" s="3">
        <v>0.8</v>
      </c>
      <c r="S31" s="3">
        <f t="shared" si="11"/>
        <v>0.3328253709093601</v>
      </c>
      <c r="T31" s="3">
        <f t="shared" si="12"/>
        <v>3.2522684011113259E-2</v>
      </c>
      <c r="U31" s="3">
        <f t="shared" si="13"/>
        <v>0.16989905037215958</v>
      </c>
    </row>
    <row r="32" spans="18:21" x14ac:dyDescent="0.25">
      <c r="R32" s="3">
        <v>0.85</v>
      </c>
      <c r="S32" s="3">
        <f t="shared" si="11"/>
        <v>0.45137133725666961</v>
      </c>
      <c r="T32" s="3">
        <f t="shared" si="12"/>
        <v>1.4454526227161459E-2</v>
      </c>
      <c r="U32" s="3">
        <f t="shared" si="13"/>
        <v>0.38444105376517829</v>
      </c>
    </row>
    <row r="33" spans="6:21" x14ac:dyDescent="0.25">
      <c r="R33" s="3">
        <v>0.9</v>
      </c>
      <c r="S33" s="3">
        <f t="shared" si="11"/>
        <v>0.59907688286456096</v>
      </c>
      <c r="T33" s="3">
        <f t="shared" si="12"/>
        <v>3.6136315567903594E-3</v>
      </c>
      <c r="U33" s="3">
        <f t="shared" si="13"/>
        <v>0.76828519734640333</v>
      </c>
    </row>
    <row r="34" spans="6:21" x14ac:dyDescent="0.25">
      <c r="R34" s="3">
        <v>0.95</v>
      </c>
      <c r="S34" s="3">
        <f t="shared" si="11"/>
        <v>0.78037197976934181</v>
      </c>
      <c r="T34" s="3">
        <f t="shared" si="12"/>
        <v>2.5054564403538808E-33</v>
      </c>
      <c r="U34" s="3">
        <f t="shared" si="13"/>
        <v>1</v>
      </c>
    </row>
    <row r="35" spans="6:21" x14ac:dyDescent="0.25">
      <c r="R35" s="3">
        <v>1</v>
      </c>
      <c r="S35" s="3">
        <f t="shared" si="11"/>
        <v>1</v>
      </c>
      <c r="T35" s="3">
        <f t="shared" si="12"/>
        <v>3.6136315567903638E-3</v>
      </c>
      <c r="U35" s="3">
        <v>1</v>
      </c>
    </row>
    <row r="38" spans="6:21" x14ac:dyDescent="0.25">
      <c r="F38" t="s">
        <v>130</v>
      </c>
    </row>
    <row r="39" spans="6:21" x14ac:dyDescent="0.25">
      <c r="F39" s="2">
        <f>1-E4</f>
        <v>0</v>
      </c>
    </row>
    <row r="40" spans="6:21" x14ac:dyDescent="0.25">
      <c r="F40" s="2">
        <f t="shared" ref="F40:F44" si="14">1-E5</f>
        <v>0.2592592592592593</v>
      </c>
    </row>
    <row r="41" spans="6:21" x14ac:dyDescent="0.25">
      <c r="F41" s="2">
        <f t="shared" si="14"/>
        <v>0.5</v>
      </c>
    </row>
    <row r="42" spans="6:21" x14ac:dyDescent="0.25">
      <c r="F42" s="2">
        <f t="shared" si="14"/>
        <v>0.75</v>
      </c>
    </row>
    <row r="43" spans="6:21" x14ac:dyDescent="0.25">
      <c r="F43" s="2">
        <f t="shared" si="14"/>
        <v>0.89995500224988745</v>
      </c>
    </row>
    <row r="44" spans="6:21" x14ac:dyDescent="0.25">
      <c r="F44" s="2">
        <f t="shared" si="14"/>
        <v>0.99009900990099009</v>
      </c>
    </row>
    <row r="45" spans="6:21" x14ac:dyDescent="0.25">
      <c r="F45" s="2">
        <v>1</v>
      </c>
    </row>
    <row r="46" spans="6:21" x14ac:dyDescent="0.25">
      <c r="F46" s="2"/>
    </row>
    <row r="47" spans="6:21" x14ac:dyDescent="0.25">
      <c r="F47" s="2"/>
    </row>
  </sheetData>
  <mergeCells count="10">
    <mergeCell ref="R13:U13"/>
    <mergeCell ref="B2:D2"/>
    <mergeCell ref="F2:H2"/>
    <mergeCell ref="O1:Y1"/>
    <mergeCell ref="A1:N1"/>
    <mergeCell ref="O2:S2"/>
    <mergeCell ref="I2:N2"/>
    <mergeCell ref="X2:Y2"/>
    <mergeCell ref="V2:W2"/>
    <mergeCell ref="T2:U2"/>
  </mergeCells>
  <pageMargins left="0.7" right="0.7" top="0.75" bottom="0.75" header="0.3" footer="0.3"/>
  <pageSetup paperSize="1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785C-38E8-4BCA-82AA-A908E1685895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1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D56A-C8EC-4642-BDFD-C20A3977DE96}">
  <dimension ref="A1:O29"/>
  <sheetViews>
    <sheetView workbookViewId="0">
      <selection activeCell="B6" sqref="B5:B6"/>
    </sheetView>
  </sheetViews>
  <sheetFormatPr defaultRowHeight="15" x14ac:dyDescent="0.25"/>
  <cols>
    <col min="1" max="1" width="33.85546875" style="3" bestFit="1" customWidth="1"/>
    <col min="2" max="2" width="15.7109375" style="3" bestFit="1" customWidth="1"/>
    <col min="3" max="4" width="9.140625" style="3"/>
    <col min="5" max="5" width="13.5703125" style="3" bestFit="1" customWidth="1"/>
    <col min="6" max="6" width="15.7109375" style="3" bestFit="1" customWidth="1"/>
    <col min="7" max="8" width="9.140625" style="3"/>
    <col min="9" max="9" width="13.5703125" style="3" bestFit="1" customWidth="1"/>
    <col min="10" max="10" width="15.7109375" style="3" bestFit="1" customWidth="1"/>
    <col min="11" max="12" width="9.140625" style="3"/>
    <col min="13" max="13" width="13.5703125" style="3" bestFit="1" customWidth="1"/>
    <col min="14" max="14" width="15.7109375" style="3" bestFit="1" customWidth="1"/>
    <col min="15" max="16384" width="9.140625" style="3"/>
  </cols>
  <sheetData>
    <row r="1" spans="1:15" x14ac:dyDescent="0.25">
      <c r="A1" s="34" t="s">
        <v>56</v>
      </c>
      <c r="B1" s="34"/>
      <c r="C1" s="34"/>
    </row>
    <row r="2" spans="1:15" x14ac:dyDescent="0.25">
      <c r="A2" s="3" t="s">
        <v>57</v>
      </c>
      <c r="B2" s="3">
        <f>'[1]Packing Conditions'!C2</f>
        <v>637.08331346928389</v>
      </c>
      <c r="C2" s="3" t="s">
        <v>21</v>
      </c>
    </row>
    <row r="3" spans="1:15" x14ac:dyDescent="0.25">
      <c r="A3" s="3" t="s">
        <v>58</v>
      </c>
      <c r="B3" s="3">
        <f>'[1]Packing Conditions'!E2</f>
        <v>509.66665077542712</v>
      </c>
      <c r="C3" s="3" t="s">
        <v>21</v>
      </c>
      <c r="G3" s="34" t="s">
        <v>12</v>
      </c>
      <c r="H3" s="34"/>
      <c r="I3" s="34"/>
      <c r="J3" s="34"/>
      <c r="K3" s="34"/>
    </row>
    <row r="4" spans="1:15" x14ac:dyDescent="0.25">
      <c r="A4" s="3" t="s">
        <v>59</v>
      </c>
      <c r="B4" s="3">
        <f>'[1]Packing Conditions'!D2</f>
        <v>127.41666269385678</v>
      </c>
      <c r="C4" s="3" t="s">
        <v>21</v>
      </c>
      <c r="G4" s="40" t="s">
        <v>13</v>
      </c>
      <c r="H4" s="40"/>
      <c r="I4" s="40"/>
      <c r="J4" s="40"/>
      <c r="K4" s="40"/>
    </row>
    <row r="5" spans="1:15" x14ac:dyDescent="0.25">
      <c r="A5" s="3" t="s">
        <v>60</v>
      </c>
      <c r="B5" s="3">
        <f>0.4*B4</f>
        <v>50.966665077542714</v>
      </c>
      <c r="C5" s="3" t="s">
        <v>21</v>
      </c>
      <c r="G5" s="4" t="s">
        <v>14</v>
      </c>
      <c r="H5" s="3">
        <v>1.5</v>
      </c>
      <c r="I5" s="3" t="s">
        <v>15</v>
      </c>
      <c r="J5" s="3">
        <f>H5*2.54</f>
        <v>3.81</v>
      </c>
      <c r="K5" s="4" t="s">
        <v>16</v>
      </c>
    </row>
    <row r="6" spans="1:15" x14ac:dyDescent="0.25">
      <c r="A6" s="3" t="s">
        <v>61</v>
      </c>
      <c r="B6" s="3">
        <v>1</v>
      </c>
      <c r="C6" s="3" t="s">
        <v>62</v>
      </c>
      <c r="G6" s="5" t="s">
        <v>17</v>
      </c>
      <c r="H6" s="3">
        <f>H5/2</f>
        <v>0.75</v>
      </c>
      <c r="I6" s="3" t="s">
        <v>15</v>
      </c>
      <c r="J6" s="3">
        <f>J5/2</f>
        <v>1.905</v>
      </c>
      <c r="K6" s="5" t="s">
        <v>16</v>
      </c>
    </row>
    <row r="7" spans="1:15" x14ac:dyDescent="0.25">
      <c r="A7" s="3" t="s">
        <v>63</v>
      </c>
      <c r="B7" s="3">
        <v>7.2239999999999999E-2</v>
      </c>
      <c r="C7" s="3" t="s">
        <v>62</v>
      </c>
      <c r="G7" s="5" t="s">
        <v>18</v>
      </c>
      <c r="H7" s="3">
        <v>22</v>
      </c>
      <c r="I7" s="3" t="s">
        <v>15</v>
      </c>
      <c r="J7" s="3">
        <f>H7*2.54</f>
        <v>55.88</v>
      </c>
      <c r="K7" s="5" t="s">
        <v>16</v>
      </c>
    </row>
    <row r="8" spans="1:15" x14ac:dyDescent="0.25">
      <c r="A8" s="3" t="s">
        <v>64</v>
      </c>
      <c r="B8" s="3">
        <v>0.92500000000000004</v>
      </c>
      <c r="C8" s="3" t="s">
        <v>62</v>
      </c>
      <c r="G8" s="5" t="s">
        <v>19</v>
      </c>
      <c r="H8" s="3">
        <f>PI()*H6^2*H7</f>
        <v>38.877209088173693</v>
      </c>
      <c r="I8" s="3" t="s">
        <v>20</v>
      </c>
      <c r="J8" s="3">
        <f>J6^2*PI()*J7</f>
        <v>637.08331346928389</v>
      </c>
      <c r="K8" s="5" t="s">
        <v>21</v>
      </c>
      <c r="O8" s="4"/>
    </row>
    <row r="9" spans="1:15" x14ac:dyDescent="0.25">
      <c r="A9" s="3" t="s">
        <v>65</v>
      </c>
      <c r="B9" s="3">
        <v>119.5</v>
      </c>
      <c r="C9" s="3" t="s">
        <v>66</v>
      </c>
      <c r="G9" s="5" t="s">
        <v>11</v>
      </c>
      <c r="H9" s="3">
        <v>0.4</v>
      </c>
      <c r="O9" s="5"/>
    </row>
    <row r="10" spans="1:15" x14ac:dyDescent="0.25">
      <c r="A10" s="3" t="s">
        <v>67</v>
      </c>
      <c r="B10" s="3">
        <f>1/5.75</f>
        <v>0.17391304347826086</v>
      </c>
    </row>
    <row r="11" spans="1:15" x14ac:dyDescent="0.25">
      <c r="A11" s="34" t="s">
        <v>68</v>
      </c>
      <c r="B11" s="34"/>
      <c r="C11" s="34"/>
    </row>
    <row r="12" spans="1:15" x14ac:dyDescent="0.25">
      <c r="A12" s="3" t="s">
        <v>69</v>
      </c>
      <c r="B12" s="3">
        <f>B5*(1/(18.02))</f>
        <v>2.8283387945362217</v>
      </c>
      <c r="C12" s="3" t="s">
        <v>70</v>
      </c>
    </row>
    <row r="13" spans="1:15" x14ac:dyDescent="0.25">
      <c r="A13" s="3" t="s">
        <v>71</v>
      </c>
      <c r="B13" s="3">
        <f>B12/5.75</f>
        <v>0.49188500774542987</v>
      </c>
      <c r="C13" s="3" t="s">
        <v>70</v>
      </c>
    </row>
    <row r="14" spans="1:15" x14ac:dyDescent="0.25">
      <c r="A14" s="3" t="s">
        <v>72</v>
      </c>
      <c r="B14" s="3">
        <f>B13*16.04</f>
        <v>7.8898355242366947</v>
      </c>
      <c r="C14" s="3" t="s">
        <v>73</v>
      </c>
    </row>
    <row r="15" spans="1:15" x14ac:dyDescent="0.25">
      <c r="A15" s="3" t="s">
        <v>74</v>
      </c>
      <c r="B15" s="3">
        <f>B14/B7</f>
        <v>109.21699230670951</v>
      </c>
      <c r="C15" s="3" t="s">
        <v>75</v>
      </c>
    </row>
    <row r="16" spans="1:15" x14ac:dyDescent="0.25">
      <c r="A16" s="3" t="s">
        <v>76</v>
      </c>
      <c r="B16" s="3">
        <f>B13</f>
        <v>0.49188500774542987</v>
      </c>
      <c r="C16" s="3" t="s">
        <v>70</v>
      </c>
    </row>
    <row r="17" spans="1:3" x14ac:dyDescent="0.25">
      <c r="A17" s="3" t="s">
        <v>77</v>
      </c>
      <c r="B17" s="3">
        <f>B16*B9</f>
        <v>58.780258425578872</v>
      </c>
      <c r="C17" s="3" t="s">
        <v>73</v>
      </c>
    </row>
    <row r="18" spans="1:3" x14ac:dyDescent="0.25">
      <c r="A18" s="3" t="s">
        <v>78</v>
      </c>
      <c r="B18" s="3">
        <f>B17*(1/B8)</f>
        <v>63.546225324950122</v>
      </c>
      <c r="C18" s="3" t="s">
        <v>75</v>
      </c>
    </row>
    <row r="19" spans="1:3" x14ac:dyDescent="0.25">
      <c r="A19" s="6" t="s">
        <v>79</v>
      </c>
      <c r="B19" s="6">
        <f>B18/B4</f>
        <v>0.49872774864330138</v>
      </c>
    </row>
    <row r="20" spans="1:3" x14ac:dyDescent="0.25">
      <c r="A20" s="34" t="s">
        <v>80</v>
      </c>
      <c r="B20" s="34"/>
      <c r="C20" s="34"/>
    </row>
    <row r="21" spans="1:3" x14ac:dyDescent="0.25">
      <c r="A21" s="20" t="s">
        <v>81</v>
      </c>
      <c r="B21" s="21">
        <v>105.6</v>
      </c>
      <c r="C21" s="20" t="s">
        <v>75</v>
      </c>
    </row>
    <row r="22" spans="1:3" x14ac:dyDescent="0.25">
      <c r="A22" s="20" t="s">
        <v>82</v>
      </c>
      <c r="B22" s="21">
        <v>55</v>
      </c>
      <c r="C22" s="20" t="s">
        <v>75</v>
      </c>
    </row>
    <row r="23" spans="1:3" x14ac:dyDescent="0.25">
      <c r="A23" s="3" t="s">
        <v>83</v>
      </c>
      <c r="B23" s="19">
        <f>B21-B22</f>
        <v>50.599999999999994</v>
      </c>
      <c r="C23" s="3" t="s">
        <v>75</v>
      </c>
    </row>
    <row r="24" spans="1:3" x14ac:dyDescent="0.25">
      <c r="A24" s="3" t="s">
        <v>84</v>
      </c>
      <c r="B24" s="6">
        <f>B23/B15</f>
        <v>0.4632978708835172</v>
      </c>
    </row>
    <row r="25" spans="1:3" x14ac:dyDescent="0.25">
      <c r="A25" s="3" t="s">
        <v>85</v>
      </c>
      <c r="B25" s="3">
        <f>B24*B13</f>
        <v>0.22788927680798002</v>
      </c>
      <c r="C25" s="3" t="s">
        <v>70</v>
      </c>
    </row>
    <row r="26" spans="1:3" x14ac:dyDescent="0.25">
      <c r="A26" s="3" t="s">
        <v>76</v>
      </c>
      <c r="B26" s="3">
        <f>B25</f>
        <v>0.22788927680798002</v>
      </c>
      <c r="C26" s="3" t="s">
        <v>70</v>
      </c>
    </row>
    <row r="27" spans="1:3" x14ac:dyDescent="0.25">
      <c r="A27" s="3" t="s">
        <v>77</v>
      </c>
      <c r="B27" s="3">
        <f>B26*B9</f>
        <v>27.23276857855361</v>
      </c>
      <c r="C27" s="3" t="s">
        <v>73</v>
      </c>
    </row>
    <row r="28" spans="1:3" x14ac:dyDescent="0.25">
      <c r="A28" s="3" t="s">
        <v>78</v>
      </c>
      <c r="B28" s="3">
        <f>B27*(1/B8)</f>
        <v>29.44083089573363</v>
      </c>
    </row>
    <row r="29" spans="1:3" x14ac:dyDescent="0.25">
      <c r="A29" s="6" t="s">
        <v>86</v>
      </c>
      <c r="B29" s="6">
        <f>B28/B4</f>
        <v>0.23105950409697146</v>
      </c>
    </row>
  </sheetData>
  <mergeCells count="5">
    <mergeCell ref="A1:C1"/>
    <mergeCell ref="G3:K3"/>
    <mergeCell ref="G4:K4"/>
    <mergeCell ref="A11:C11"/>
    <mergeCell ref="A20:C20"/>
  </mergeCells>
  <pageMargins left="0.7" right="0.7" top="0.75" bottom="0.75" header="0.3" footer="0.3"/>
  <pageSetup paperSize="15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1467-6EC8-439A-921F-A3F4DE95FBC3}">
  <dimension ref="A1:V19"/>
  <sheetViews>
    <sheetView workbookViewId="0">
      <selection activeCell="B4" sqref="B4"/>
    </sheetView>
  </sheetViews>
  <sheetFormatPr defaultRowHeight="15" x14ac:dyDescent="0.25"/>
  <cols>
    <col min="1" max="16384" width="9.140625" style="3"/>
  </cols>
  <sheetData>
    <row r="1" spans="1:22" ht="15.75" x14ac:dyDescent="0.25">
      <c r="A1" s="10"/>
      <c r="B1" s="10"/>
      <c r="C1" s="10" t="s">
        <v>26</v>
      </c>
      <c r="D1" s="10"/>
      <c r="E1" s="10" t="s">
        <v>27</v>
      </c>
      <c r="F1" s="11"/>
      <c r="G1" s="11"/>
      <c r="J1" s="40" t="s">
        <v>28</v>
      </c>
      <c r="K1" s="40"/>
      <c r="L1" s="40"/>
      <c r="M1" s="40"/>
      <c r="N1" s="40"/>
      <c r="O1" s="40"/>
    </row>
    <row r="2" spans="1:22" ht="15.75" x14ac:dyDescent="0.25">
      <c r="A2" s="10" t="s">
        <v>29</v>
      </c>
      <c r="B2" s="12">
        <v>2.5</v>
      </c>
      <c r="C2" s="10" t="s">
        <v>30</v>
      </c>
      <c r="D2" s="13">
        <f>B2/100^3*1^2/60</f>
        <v>4.1666666666666669E-8</v>
      </c>
      <c r="E2" s="10" t="s">
        <v>31</v>
      </c>
      <c r="F2" s="14"/>
      <c r="G2" s="13" t="s">
        <v>32</v>
      </c>
      <c r="H2" s="15"/>
      <c r="I2" s="15"/>
      <c r="L2" s="40" t="s">
        <v>33</v>
      </c>
      <c r="M2" s="40"/>
    </row>
    <row r="3" spans="1:22" ht="15.75" x14ac:dyDescent="0.25">
      <c r="A3" s="10" t="s">
        <v>34</v>
      </c>
      <c r="B3" s="10"/>
      <c r="C3" s="10"/>
      <c r="D3" s="15">
        <f>(D2*D6*D7)/(D5*D4)</f>
        <v>2.6929408534787809E-13</v>
      </c>
      <c r="E3" s="10" t="s">
        <v>35</v>
      </c>
      <c r="F3" s="16"/>
      <c r="G3" s="13">
        <f>D3*1013000000000</f>
        <v>0.27279490845740051</v>
      </c>
      <c r="H3" s="15" t="s">
        <v>36</v>
      </c>
      <c r="I3" s="15"/>
      <c r="L3" s="41" t="s">
        <v>37</v>
      </c>
      <c r="M3" s="41"/>
      <c r="N3" s="40" t="s">
        <v>38</v>
      </c>
      <c r="O3" s="40"/>
    </row>
    <row r="4" spans="1:22" ht="15.75" x14ac:dyDescent="0.25">
      <c r="A4" s="10" t="s">
        <v>39</v>
      </c>
      <c r="B4" s="12">
        <v>1.7669999999999999</v>
      </c>
      <c r="C4" s="10" t="s">
        <v>40</v>
      </c>
      <c r="D4" s="13">
        <f>B4*2.54^2/100^2</f>
        <v>1.13999772E-3</v>
      </c>
      <c r="E4" s="10" t="s">
        <v>35</v>
      </c>
      <c r="F4" s="17"/>
      <c r="G4" s="13">
        <f>G3*1000</f>
        <v>272.79490845740048</v>
      </c>
      <c r="H4" s="15" t="s">
        <v>41</v>
      </c>
      <c r="I4" s="15"/>
      <c r="J4" s="3" t="s">
        <v>11</v>
      </c>
      <c r="K4" s="3" t="s">
        <v>0</v>
      </c>
      <c r="L4" s="3" t="s">
        <v>42</v>
      </c>
      <c r="M4" s="3" t="s">
        <v>43</v>
      </c>
      <c r="N4" s="40" t="s">
        <v>44</v>
      </c>
      <c r="O4" s="40"/>
    </row>
    <row r="5" spans="1:22" ht="15.75" x14ac:dyDescent="0.25">
      <c r="A5" s="10" t="s">
        <v>45</v>
      </c>
      <c r="B5" s="18">
        <v>2</v>
      </c>
      <c r="C5" s="10" t="s">
        <v>46</v>
      </c>
      <c r="D5" s="13">
        <f>B5*6894.8</f>
        <v>13789.6</v>
      </c>
      <c r="E5" s="10" t="s">
        <v>47</v>
      </c>
      <c r="F5" s="11"/>
      <c r="G5" s="10"/>
      <c r="H5" s="15"/>
      <c r="I5" s="15"/>
      <c r="J5" s="3">
        <v>1</v>
      </c>
      <c r="K5" s="3">
        <v>1.5</v>
      </c>
      <c r="L5" s="3">
        <f>M5/6894.8</f>
        <v>8.2999999999999989</v>
      </c>
      <c r="M5" s="3">
        <v>57226.84</v>
      </c>
      <c r="N5" s="3">
        <f>K5/100^3*1^2/60</f>
        <v>2.5000000000000002E-8</v>
      </c>
      <c r="O5" s="3">
        <f>(N5*$D$6*$D$7)/($D$3*$D$4*M5)</f>
        <v>0.1445783132530121</v>
      </c>
    </row>
    <row r="6" spans="1:22" ht="15.75" x14ac:dyDescent="0.25">
      <c r="A6" s="10" t="s">
        <v>48</v>
      </c>
      <c r="B6" s="18">
        <v>1</v>
      </c>
      <c r="C6" s="10" t="s">
        <v>49</v>
      </c>
      <c r="D6" s="13">
        <f>B6/1000</f>
        <v>1E-3</v>
      </c>
      <c r="E6" s="10" t="s">
        <v>50</v>
      </c>
      <c r="F6" s="11"/>
      <c r="G6" s="11"/>
      <c r="H6" s="11"/>
      <c r="I6" s="11"/>
      <c r="J6" s="3">
        <f>(K6)/(K6+J14)</f>
        <v>0.5</v>
      </c>
      <c r="K6" s="19">
        <v>0.84499999999999997</v>
      </c>
      <c r="L6" s="3">
        <v>8.5399999999999991</v>
      </c>
      <c r="M6" s="3">
        <f>L6*6894.8</f>
        <v>58881.591999999997</v>
      </c>
      <c r="N6" s="3">
        <f>K6/100^3*1^2/60</f>
        <v>1.4083333333333332E-8</v>
      </c>
      <c r="O6" s="3">
        <f>(N6*$D$6*$D$7)/($D$3*$D$4*M6)</f>
        <v>7.9156908665105385E-2</v>
      </c>
    </row>
    <row r="7" spans="1:22" ht="15.75" x14ac:dyDescent="0.25">
      <c r="A7" s="10" t="s">
        <v>18</v>
      </c>
      <c r="B7" s="18">
        <v>4</v>
      </c>
      <c r="C7" s="10" t="s">
        <v>51</v>
      </c>
      <c r="D7" s="13">
        <f>B7*2.54/100</f>
        <v>0.1016</v>
      </c>
      <c r="E7" s="10" t="s">
        <v>52</v>
      </c>
      <c r="F7" s="11"/>
      <c r="G7" s="11"/>
      <c r="H7" s="11"/>
      <c r="I7" s="11"/>
      <c r="J7" s="3">
        <f>(K7)/(K7+J15)</f>
        <v>0.37174721189591081</v>
      </c>
      <c r="K7" s="3">
        <v>0.5</v>
      </c>
      <c r="L7" s="3">
        <v>7.57</v>
      </c>
      <c r="M7" s="3">
        <f>L7*6894.8</f>
        <v>52193.636000000006</v>
      </c>
      <c r="N7" s="3">
        <f>K7/100^3*1^2/60</f>
        <v>8.3333333333333335E-9</v>
      </c>
      <c r="O7" s="3">
        <f>(N7*$D$6*$D$7)/($D$3*$D$4*M7)</f>
        <v>5.284015852047555E-2</v>
      </c>
    </row>
    <row r="8" spans="1:22" x14ac:dyDescent="0.25">
      <c r="G8" s="19"/>
      <c r="H8" s="19"/>
      <c r="I8" s="19"/>
      <c r="J8" s="3">
        <f>(K8)/(K8+J16)</f>
        <v>0.22831050228310504</v>
      </c>
      <c r="K8" s="3">
        <v>0.25</v>
      </c>
      <c r="L8" s="3">
        <v>6.9</v>
      </c>
      <c r="M8" s="3">
        <v>57227.839999999997</v>
      </c>
      <c r="N8" s="3">
        <f>K8/100^3*1^2/60</f>
        <v>4.1666666666666668E-9</v>
      </c>
      <c r="O8" s="3">
        <f>(N8*$D$6*$D$7)/($D$3*$D$4*M8)</f>
        <v>2.409596448162293E-2</v>
      </c>
    </row>
    <row r="9" spans="1:22" x14ac:dyDescent="0.25">
      <c r="J9" s="3">
        <f>(K9)/(K9+J17)</f>
        <v>0.12886597938144331</v>
      </c>
      <c r="K9" s="3">
        <v>0.25</v>
      </c>
      <c r="L9" s="3">
        <v>9.4</v>
      </c>
      <c r="M9" s="3">
        <f>L9*6894.8</f>
        <v>64811.12</v>
      </c>
      <c r="N9" s="3">
        <f>K9/100^3*1^2/60</f>
        <v>4.1666666666666668E-9</v>
      </c>
      <c r="O9" s="3">
        <f>(N9*$D$6*$D$7)/($D$3*$D$4*M9)</f>
        <v>2.1276595744680851E-2</v>
      </c>
    </row>
    <row r="12" spans="1:22" x14ac:dyDescent="0.25">
      <c r="J12" s="19" t="s">
        <v>53</v>
      </c>
      <c r="K12" s="3" t="s">
        <v>42</v>
      </c>
      <c r="L12" s="3" t="s">
        <v>43</v>
      </c>
      <c r="M12" s="40" t="s">
        <v>44</v>
      </c>
      <c r="N12" s="40"/>
    </row>
    <row r="13" spans="1:22" x14ac:dyDescent="0.25">
      <c r="J13" s="3">
        <v>0</v>
      </c>
      <c r="M13" s="3">
        <f>J13/100^3*1^2/60</f>
        <v>0</v>
      </c>
      <c r="N13" s="3">
        <v>0</v>
      </c>
      <c r="T13" s="3" t="s">
        <v>11</v>
      </c>
      <c r="U13" s="3" t="s">
        <v>54</v>
      </c>
      <c r="V13" s="3" t="s">
        <v>55</v>
      </c>
    </row>
    <row r="14" spans="1:22" ht="15.75" x14ac:dyDescent="0.25">
      <c r="G14" s="19"/>
      <c r="H14" s="19"/>
      <c r="I14" s="19"/>
      <c r="J14" s="3">
        <v>0.84499999999999997</v>
      </c>
      <c r="K14" s="3">
        <v>8.5399999999999991</v>
      </c>
      <c r="L14" s="3">
        <f>K14*6894.8</f>
        <v>58881.591999999997</v>
      </c>
      <c r="M14" s="3">
        <f>J14/100^3*1^2/60</f>
        <v>1.4083333333333332E-8</v>
      </c>
      <c r="N14" s="3">
        <f>(M14*$D$17*$D$7)/($D$3*$D$4*L14)</f>
        <v>8.1531615925058544E-4</v>
      </c>
      <c r="O14" s="11"/>
      <c r="T14" s="3">
        <v>1</v>
      </c>
      <c r="U14" s="3">
        <v>1.0000000000000002</v>
      </c>
      <c r="V14" s="3">
        <v>0</v>
      </c>
    </row>
    <row r="15" spans="1:22" ht="15.75" x14ac:dyDescent="0.25">
      <c r="J15" s="3">
        <v>0.84499999999999997</v>
      </c>
      <c r="K15" s="3">
        <v>7.57</v>
      </c>
      <c r="L15" s="3">
        <f>K15*6894.8</f>
        <v>52193.636000000006</v>
      </c>
      <c r="M15" s="3">
        <f>J15/100^3*1^2/60</f>
        <v>1.4083333333333332E-8</v>
      </c>
      <c r="N15" s="3">
        <f>(M15*$D$6*$D$7)/($D$3*$D$4*L15)</f>
        <v>8.9299867899603674E-2</v>
      </c>
      <c r="O15" s="11"/>
      <c r="T15" s="3">
        <v>0.5</v>
      </c>
      <c r="U15" s="3">
        <v>0.54750195160031223</v>
      </c>
      <c r="V15" s="3">
        <v>5.639270101483216E-3</v>
      </c>
    </row>
    <row r="16" spans="1:22" ht="15.75" x14ac:dyDescent="0.25">
      <c r="J16" s="3">
        <v>0.84499999999999997</v>
      </c>
      <c r="K16" s="3">
        <v>6.9</v>
      </c>
      <c r="L16" s="3">
        <v>57227.839999999997</v>
      </c>
      <c r="M16" s="3">
        <f>J16/100^3*1^2/60</f>
        <v>1.4083333333333332E-8</v>
      </c>
      <c r="N16" s="3">
        <f>(M16*$D$6*$D$7)/($D$3*$D$4*L16)</f>
        <v>8.14443599478855E-2</v>
      </c>
      <c r="O16" s="11"/>
      <c r="P16" s="11"/>
      <c r="Q16" s="11"/>
      <c r="T16" s="3">
        <v>0.37174721189591081</v>
      </c>
      <c r="U16" s="3">
        <v>0.36547776309995589</v>
      </c>
      <c r="V16" s="3">
        <v>0.6176574196389254</v>
      </c>
    </row>
    <row r="17" spans="3:22" ht="15.75" x14ac:dyDescent="0.25">
      <c r="C17" s="3">
        <v>1.03E-2</v>
      </c>
      <c r="D17" s="3">
        <f>C17/1000</f>
        <v>1.03E-5</v>
      </c>
      <c r="J17" s="3">
        <v>1.69</v>
      </c>
      <c r="K17" s="3">
        <v>9.4</v>
      </c>
      <c r="L17" s="3">
        <f>K17*6894.8</f>
        <v>64811.12</v>
      </c>
      <c r="M17" s="3">
        <f>J17/100^3*1^2/60</f>
        <v>2.8166666666666664E-8</v>
      </c>
      <c r="N17" s="3">
        <f>(M17*$D$6*$D$7)/($D$3*$D$4*L17)</f>
        <v>0.14382978723404255</v>
      </c>
      <c r="O17" s="11"/>
      <c r="P17" s="14"/>
      <c r="Q17" s="11"/>
      <c r="T17" s="3">
        <v>0.22831050228310504</v>
      </c>
      <c r="U17" s="3">
        <v>0.16666375433122527</v>
      </c>
      <c r="V17" s="3">
        <v>0.56332348963954137</v>
      </c>
    </row>
    <row r="18" spans="3:22" ht="15.75" x14ac:dyDescent="0.25">
      <c r="P18" s="16"/>
      <c r="Q18" s="14"/>
      <c r="T18" s="3">
        <v>0.12886597938144331</v>
      </c>
      <c r="U18" s="3">
        <v>0.14716312056737588</v>
      </c>
      <c r="V18" s="3">
        <v>0.99482269503546072</v>
      </c>
    </row>
    <row r="19" spans="3:22" ht="15.75" x14ac:dyDescent="0.25">
      <c r="P19" s="17"/>
      <c r="Q19" s="11"/>
    </row>
  </sheetData>
  <mergeCells count="6">
    <mergeCell ref="M12:N12"/>
    <mergeCell ref="J1:O1"/>
    <mergeCell ref="L2:M2"/>
    <mergeCell ref="L3:M3"/>
    <mergeCell ref="N3:O3"/>
    <mergeCell ref="N4:O4"/>
  </mergeCells>
  <pageMargins left="0.7" right="0.7" top="0.75" bottom="0.75" header="0.3" footer="0.3"/>
  <pageSetup paperSize="1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 Parameters</vt:lpstr>
      <vt:lpstr>Calculation</vt:lpstr>
      <vt:lpstr>Raw Data</vt:lpstr>
      <vt:lpstr>Sh</vt:lpstr>
      <vt:lpstr>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2019-05-10T20:02:18Z</dcterms:modified>
</cp:coreProperties>
</file>