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firstSheet="2" activeTab="9"/>
  </bookViews>
  <sheets>
    <sheet name="Intro" sheetId="14" r:id="rId1"/>
    <sheet name="Ammunition" sheetId="5" r:id="rId2"/>
    <sheet name="5.45x39" sheetId="7" r:id="rId3"/>
    <sheet name="5.56x45" sheetId="2" r:id="rId4"/>
    <sheet name="7.62x39" sheetId="6" r:id="rId5"/>
    <sheet name="6.8 SPC" sheetId="3" r:id="rId6"/>
    <sheet name="7.62x51" sheetId="4" r:id="rId7"/>
    <sheet name="7.62x54R" sheetId="8" r:id="rId8"/>
    <sheet name=".45 ACP" sheetId="11" r:id="rId9"/>
    <sheet name="9x19" sheetId="9" r:id="rId10"/>
    <sheet name="Rus9x" sheetId="12" r:id="rId11"/>
    <sheet name="7.62x25" sheetId="13" r:id="rId12"/>
    <sheet name="Misc" sheetId="10" r:id="rId13"/>
    <sheet name="Sources+Scrap" sheetId="1" r:id="rId14"/>
  </sheets>
  <calcPr calcId="125725"/>
</workbook>
</file>

<file path=xl/calcChain.xml><?xml version="1.0" encoding="utf-8"?>
<calcChain xmlns="http://schemas.openxmlformats.org/spreadsheetml/2006/main">
  <c r="K27" i="12"/>
  <c r="K26"/>
  <c r="I27"/>
  <c r="I26"/>
  <c r="H27"/>
  <c r="H26"/>
  <c r="G27"/>
  <c r="G26"/>
  <c r="K33" i="4"/>
  <c r="K32"/>
  <c r="K31"/>
  <c r="K30"/>
  <c r="K29"/>
  <c r="L33"/>
  <c r="L32"/>
  <c r="L31"/>
  <c r="L30"/>
  <c r="L29"/>
  <c r="L27" i="12" l="1"/>
  <c r="L26"/>
  <c r="L14" i="10"/>
  <c r="L7"/>
  <c r="L11"/>
  <c r="L10"/>
  <c r="E11"/>
  <c r="E10"/>
  <c r="S11"/>
  <c r="S10"/>
  <c r="J11"/>
  <c r="I11"/>
  <c r="H11"/>
  <c r="J10"/>
  <c r="I10"/>
  <c r="H10"/>
  <c r="D47" i="2"/>
  <c r="D43"/>
  <c r="D35"/>
  <c r="D33"/>
  <c r="D19"/>
  <c r="D16" i="4"/>
  <c r="D26" i="9"/>
  <c r="D23"/>
  <c r="D27"/>
  <c r="K11" i="10" l="1"/>
  <c r="K10"/>
  <c r="N54" i="5"/>
  <c r="N51"/>
  <c r="N50"/>
  <c r="N47"/>
  <c r="N39"/>
  <c r="N26"/>
  <c r="N27"/>
  <c r="N25"/>
  <c r="N16"/>
  <c r="N17"/>
  <c r="N18"/>
  <c r="N19"/>
  <c r="N15"/>
  <c r="N11"/>
  <c r="N12"/>
  <c r="N10"/>
  <c r="N4"/>
  <c r="N5"/>
  <c r="N6"/>
  <c r="N7"/>
  <c r="N3"/>
  <c r="M54"/>
  <c r="M47"/>
  <c r="M39"/>
  <c r="M26"/>
  <c r="M27"/>
  <c r="M25"/>
  <c r="M16"/>
  <c r="M17"/>
  <c r="M18"/>
  <c r="M19"/>
  <c r="M15"/>
  <c r="M11"/>
  <c r="M12"/>
  <c r="M10"/>
  <c r="M4"/>
  <c r="M5"/>
  <c r="M6"/>
  <c r="M7"/>
  <c r="M3"/>
  <c r="H21" i="12"/>
  <c r="H22"/>
  <c r="G21"/>
  <c r="G22"/>
  <c r="J14" i="10"/>
  <c r="I14"/>
  <c r="H14"/>
  <c r="K14" s="1"/>
  <c r="L54" i="5"/>
  <c r="K54"/>
  <c r="J54"/>
  <c r="D54"/>
  <c r="J7" i="10"/>
  <c r="I7"/>
  <c r="H7"/>
  <c r="K7" l="1"/>
  <c r="I21" i="12"/>
  <c r="I22"/>
  <c r="G7" i="11"/>
  <c r="G8"/>
  <c r="G9"/>
  <c r="H7"/>
  <c r="H8"/>
  <c r="H9"/>
  <c r="I7"/>
  <c r="I8"/>
  <c r="I9"/>
  <c r="I6"/>
  <c r="H6"/>
  <c r="G6"/>
  <c r="L6" s="1"/>
  <c r="I3"/>
  <c r="H3"/>
  <c r="G3"/>
  <c r="L32" i="5"/>
  <c r="K32"/>
  <c r="J32"/>
  <c r="L26"/>
  <c r="L27"/>
  <c r="K26"/>
  <c r="K27"/>
  <c r="J26"/>
  <c r="J27"/>
  <c r="M51"/>
  <c r="M50"/>
  <c r="L51"/>
  <c r="K51"/>
  <c r="J51"/>
  <c r="L50"/>
  <c r="K50"/>
  <c r="J50"/>
  <c r="D51"/>
  <c r="D50"/>
  <c r="D7" i="11"/>
  <c r="D8"/>
  <c r="D3"/>
  <c r="D9"/>
  <c r="D6"/>
  <c r="D6" i="12"/>
  <c r="D5"/>
  <c r="D3"/>
  <c r="D13"/>
  <c r="G20"/>
  <c r="H20"/>
  <c r="I20"/>
  <c r="R22"/>
  <c r="H5"/>
  <c r="H3"/>
  <c r="R5"/>
  <c r="I13"/>
  <c r="H13"/>
  <c r="R14"/>
  <c r="S4" i="11"/>
  <c r="S6" s="1"/>
  <c r="G6" i="12"/>
  <c r="I4"/>
  <c r="I5"/>
  <c r="I6"/>
  <c r="H4"/>
  <c r="H6"/>
  <c r="G4"/>
  <c r="I3"/>
  <c r="D7" i="13"/>
  <c r="D3"/>
  <c r="H4"/>
  <c r="H5"/>
  <c r="H6"/>
  <c r="H7"/>
  <c r="G4"/>
  <c r="G5"/>
  <c r="G6"/>
  <c r="L6" s="1"/>
  <c r="G7"/>
  <c r="I4"/>
  <c r="I5"/>
  <c r="I6"/>
  <c r="I7"/>
  <c r="I3"/>
  <c r="H3"/>
  <c r="G3"/>
  <c r="D5"/>
  <c r="D4"/>
  <c r="R7"/>
  <c r="J47" i="5"/>
  <c r="K47"/>
  <c r="L47"/>
  <c r="R4" i="13"/>
  <c r="R4" i="12"/>
  <c r="S15" i="7"/>
  <c r="L3" i="13" l="1"/>
  <c r="L3" i="11"/>
  <c r="L7"/>
  <c r="L7" i="13"/>
  <c r="L9" i="11"/>
  <c r="L8"/>
  <c r="K21" i="12"/>
  <c r="L21"/>
  <c r="K20"/>
  <c r="L20"/>
  <c r="K6"/>
  <c r="L6"/>
  <c r="L5" i="13"/>
  <c r="K22" i="12"/>
  <c r="L22"/>
  <c r="K4" i="13"/>
  <c r="L4"/>
  <c r="K4" i="12"/>
  <c r="L4"/>
  <c r="K6" i="11"/>
  <c r="K7"/>
  <c r="K7" i="13"/>
  <c r="K8" i="11"/>
  <c r="K6" i="13"/>
  <c r="K3"/>
  <c r="K5"/>
  <c r="K3" i="11"/>
  <c r="K9"/>
  <c r="G3" i="12"/>
  <c r="G5"/>
  <c r="G13"/>
  <c r="D32" i="9"/>
  <c r="D30"/>
  <c r="D29"/>
  <c r="D28"/>
  <c r="D25"/>
  <c r="D24"/>
  <c r="D22"/>
  <c r="D21"/>
  <c r="D20"/>
  <c r="D19"/>
  <c r="D18"/>
  <c r="D17"/>
  <c r="D16"/>
  <c r="D15"/>
  <c r="D12"/>
  <c r="D11"/>
  <c r="D10"/>
  <c r="D9"/>
  <c r="D8"/>
  <c r="D7"/>
  <c r="D5"/>
  <c r="D3"/>
  <c r="K13" i="12" l="1"/>
  <c r="L13"/>
  <c r="K5"/>
  <c r="L5"/>
  <c r="K3"/>
  <c r="L3"/>
  <c r="I17" i="9"/>
  <c r="H17"/>
  <c r="D31"/>
  <c r="G31" s="1"/>
  <c r="I31"/>
  <c r="I27"/>
  <c r="I26"/>
  <c r="I23"/>
  <c r="I18"/>
  <c r="I30"/>
  <c r="I19"/>
  <c r="I29"/>
  <c r="I25"/>
  <c r="I32"/>
  <c r="I28"/>
  <c r="I22"/>
  <c r="I21"/>
  <c r="I16"/>
  <c r="I20"/>
  <c r="I24"/>
  <c r="I15"/>
  <c r="H27"/>
  <c r="H26"/>
  <c r="H23"/>
  <c r="H18"/>
  <c r="G27"/>
  <c r="G26"/>
  <c r="L26" s="1"/>
  <c r="G23"/>
  <c r="G18"/>
  <c r="I11"/>
  <c r="I6"/>
  <c r="I4"/>
  <c r="I9"/>
  <c r="I7"/>
  <c r="I5"/>
  <c r="I8"/>
  <c r="I3"/>
  <c r="I10"/>
  <c r="H6"/>
  <c r="G6"/>
  <c r="G3"/>
  <c r="L39" i="5"/>
  <c r="K39"/>
  <c r="J39"/>
  <c r="I12" i="9"/>
  <c r="G12"/>
  <c r="G11"/>
  <c r="H9"/>
  <c r="H7"/>
  <c r="G5"/>
  <c r="G8"/>
  <c r="G10"/>
  <c r="H3"/>
  <c r="H19"/>
  <c r="G29"/>
  <c r="H25"/>
  <c r="H32"/>
  <c r="H28"/>
  <c r="G22"/>
  <c r="H21"/>
  <c r="G16"/>
  <c r="H20"/>
  <c r="H15"/>
  <c r="G24"/>
  <c r="G30"/>
  <c r="D4"/>
  <c r="H4" s="1"/>
  <c r="Q15"/>
  <c r="Q8"/>
  <c r="Q12" s="1"/>
  <c r="Q4"/>
  <c r="P3" i="3"/>
  <c r="P5" s="1"/>
  <c r="I16" i="7"/>
  <c r="H16"/>
  <c r="G16"/>
  <c r="S3"/>
  <c r="I4" i="8"/>
  <c r="H4"/>
  <c r="G4"/>
  <c r="I3"/>
  <c r="H3"/>
  <c r="G3"/>
  <c r="I13" i="7"/>
  <c r="H13"/>
  <c r="G13"/>
  <c r="L13" s="1"/>
  <c r="I10"/>
  <c r="H10"/>
  <c r="G10"/>
  <c r="I4"/>
  <c r="I5"/>
  <c r="I6"/>
  <c r="I7"/>
  <c r="H4"/>
  <c r="H5"/>
  <c r="H6"/>
  <c r="H7"/>
  <c r="G4"/>
  <c r="G5"/>
  <c r="G6"/>
  <c r="G7"/>
  <c r="I3"/>
  <c r="H3"/>
  <c r="G3"/>
  <c r="I28" i="6"/>
  <c r="H28"/>
  <c r="G28"/>
  <c r="I27"/>
  <c r="H27"/>
  <c r="G27"/>
  <c r="L27" s="1"/>
  <c r="I23"/>
  <c r="H23"/>
  <c r="G23"/>
  <c r="I22"/>
  <c r="H22"/>
  <c r="G22"/>
  <c r="I18"/>
  <c r="I19"/>
  <c r="H18"/>
  <c r="H19"/>
  <c r="G18"/>
  <c r="G19"/>
  <c r="I17"/>
  <c r="H17"/>
  <c r="G17"/>
  <c r="I7"/>
  <c r="I8"/>
  <c r="I9"/>
  <c r="I10"/>
  <c r="I11"/>
  <c r="I12"/>
  <c r="I13"/>
  <c r="I14"/>
  <c r="H7"/>
  <c r="H8"/>
  <c r="H9"/>
  <c r="H10"/>
  <c r="H11"/>
  <c r="H12"/>
  <c r="H13"/>
  <c r="H14"/>
  <c r="G7"/>
  <c r="G8"/>
  <c r="G9"/>
  <c r="G10"/>
  <c r="G11"/>
  <c r="G12"/>
  <c r="L12" s="1"/>
  <c r="G13"/>
  <c r="G14"/>
  <c r="I6"/>
  <c r="H6"/>
  <c r="G6"/>
  <c r="I3"/>
  <c r="H3"/>
  <c r="G3"/>
  <c r="D27" i="5"/>
  <c r="L25"/>
  <c r="D26"/>
  <c r="D25"/>
  <c r="K25" s="1"/>
  <c r="P29" i="4"/>
  <c r="P31" s="1"/>
  <c r="P3"/>
  <c r="P5" s="1"/>
  <c r="I64" i="2"/>
  <c r="H64"/>
  <c r="G64"/>
  <c r="I58"/>
  <c r="H58"/>
  <c r="G58"/>
  <c r="I65"/>
  <c r="H65"/>
  <c r="G65"/>
  <c r="I66"/>
  <c r="H66"/>
  <c r="G66"/>
  <c r="I61"/>
  <c r="H61"/>
  <c r="G61"/>
  <c r="I60"/>
  <c r="H60"/>
  <c r="G60"/>
  <c r="I59"/>
  <c r="H59"/>
  <c r="G59"/>
  <c r="L59" s="1"/>
  <c r="I57"/>
  <c r="H57"/>
  <c r="G57"/>
  <c r="I53"/>
  <c r="H53"/>
  <c r="G53"/>
  <c r="T27" i="6"/>
  <c r="S64" i="2"/>
  <c r="S55"/>
  <c r="S57"/>
  <c r="S53"/>
  <c r="S35"/>
  <c r="S37" s="1"/>
  <c r="L57" l="1"/>
  <c r="L10" i="7"/>
  <c r="L7"/>
  <c r="L27" i="9"/>
  <c r="L6" i="7"/>
  <c r="L3" i="8"/>
  <c r="L65" i="2"/>
  <c r="L66"/>
  <c r="K14" i="6"/>
  <c r="L14"/>
  <c r="L17"/>
  <c r="K53" i="2"/>
  <c r="L53"/>
  <c r="K64"/>
  <c r="L64"/>
  <c r="K13" i="6"/>
  <c r="L13"/>
  <c r="K22"/>
  <c r="L22"/>
  <c r="K16" i="7"/>
  <c r="L16"/>
  <c r="K3" i="9"/>
  <c r="L3"/>
  <c r="K5" i="7"/>
  <c r="L5"/>
  <c r="K6" i="9"/>
  <c r="L6"/>
  <c r="L19" i="6"/>
  <c r="K10"/>
  <c r="L10"/>
  <c r="K18"/>
  <c r="L18"/>
  <c r="L23"/>
  <c r="L12" i="9"/>
  <c r="K7" i="6"/>
  <c r="L7"/>
  <c r="K60" i="2"/>
  <c r="L60"/>
  <c r="K28" i="6"/>
  <c r="L28"/>
  <c r="K61" i="2"/>
  <c r="L61"/>
  <c r="K6" i="6"/>
  <c r="L6"/>
  <c r="K9"/>
  <c r="L9"/>
  <c r="K3" i="7"/>
  <c r="K4" i="8"/>
  <c r="L4"/>
  <c r="L18" i="9"/>
  <c r="K3" i="6"/>
  <c r="L3"/>
  <c r="K11"/>
  <c r="L11"/>
  <c r="K4" i="7"/>
  <c r="L4"/>
  <c r="K58" i="2"/>
  <c r="L58"/>
  <c r="K8" i="6"/>
  <c r="L8"/>
  <c r="L3" i="7"/>
  <c r="L23" i="9"/>
  <c r="K12" i="6"/>
  <c r="K3" i="8"/>
  <c r="K65" i="2"/>
  <c r="K19" i="6"/>
  <c r="K6" i="7"/>
  <c r="K57" i="2"/>
  <c r="K23" i="6"/>
  <c r="K10" i="7"/>
  <c r="K18" i="9"/>
  <c r="K23"/>
  <c r="K59" i="2"/>
  <c r="K27" i="6"/>
  <c r="K13" i="7"/>
  <c r="K26" i="9"/>
  <c r="K66" i="2"/>
  <c r="K17" i="6"/>
  <c r="K7" i="7"/>
  <c r="K27" i="9"/>
  <c r="J25" i="5"/>
  <c r="Q10" i="9"/>
  <c r="H16"/>
  <c r="K16" s="1"/>
  <c r="H5"/>
  <c r="K5" s="1"/>
  <c r="G17"/>
  <c r="H31"/>
  <c r="K31" s="1"/>
  <c r="H8"/>
  <c r="K8" s="1"/>
  <c r="H11"/>
  <c r="K11" s="1"/>
  <c r="H29"/>
  <c r="K29" s="1"/>
  <c r="H24"/>
  <c r="K24" s="1"/>
  <c r="G7"/>
  <c r="H30"/>
  <c r="K30" s="1"/>
  <c r="H12"/>
  <c r="K12" s="1"/>
  <c r="G9"/>
  <c r="G21"/>
  <c r="H10"/>
  <c r="K10" s="1"/>
  <c r="G20"/>
  <c r="G19"/>
  <c r="G28"/>
  <c r="H22"/>
  <c r="K22" s="1"/>
  <c r="G4"/>
  <c r="G15"/>
  <c r="G32"/>
  <c r="G25"/>
  <c r="R4" i="8"/>
  <c r="R3"/>
  <c r="T29" i="6"/>
  <c r="T3"/>
  <c r="T5" s="1"/>
  <c r="L10" i="9" l="1"/>
  <c r="K28"/>
  <c r="L28"/>
  <c r="K7"/>
  <c r="L7"/>
  <c r="L29"/>
  <c r="K19"/>
  <c r="L19"/>
  <c r="L24"/>
  <c r="L5"/>
  <c r="K32"/>
  <c r="L32"/>
  <c r="K21"/>
  <c r="L21"/>
  <c r="L8"/>
  <c r="K25"/>
  <c r="L25"/>
  <c r="K9"/>
  <c r="L9"/>
  <c r="L11"/>
  <c r="K20"/>
  <c r="L20"/>
  <c r="K15"/>
  <c r="L15"/>
  <c r="K4"/>
  <c r="L4"/>
  <c r="K17"/>
  <c r="L17"/>
  <c r="L31"/>
  <c r="L16"/>
  <c r="L30"/>
  <c r="L22"/>
  <c r="I30" i="4"/>
  <c r="I31"/>
  <c r="I32"/>
  <c r="I33"/>
  <c r="H30"/>
  <c r="H31"/>
  <c r="H32"/>
  <c r="H33"/>
  <c r="G30"/>
  <c r="G31"/>
  <c r="G32"/>
  <c r="G33"/>
  <c r="I29"/>
  <c r="H29"/>
  <c r="G29"/>
  <c r="G24"/>
  <c r="H24"/>
  <c r="I24"/>
  <c r="I21"/>
  <c r="I20"/>
  <c r="H20"/>
  <c r="H21"/>
  <c r="G20"/>
  <c r="G21"/>
  <c r="G19"/>
  <c r="H19"/>
  <c r="I19"/>
  <c r="I16"/>
  <c r="H16"/>
  <c r="G16"/>
  <c r="G15"/>
  <c r="H15"/>
  <c r="I15"/>
  <c r="H10"/>
  <c r="H11"/>
  <c r="H12"/>
  <c r="H9"/>
  <c r="H6"/>
  <c r="H5"/>
  <c r="H4"/>
  <c r="H3"/>
  <c r="G11"/>
  <c r="I10"/>
  <c r="I11"/>
  <c r="I12"/>
  <c r="G10"/>
  <c r="G12"/>
  <c r="G9"/>
  <c r="I9"/>
  <c r="I4"/>
  <c r="I5"/>
  <c r="I6"/>
  <c r="G4"/>
  <c r="G5"/>
  <c r="G6"/>
  <c r="I3"/>
  <c r="G3"/>
  <c r="L3" s="1"/>
  <c r="L16" i="5"/>
  <c r="L17"/>
  <c r="L18"/>
  <c r="L19"/>
  <c r="K16"/>
  <c r="J17"/>
  <c r="D19"/>
  <c r="K19" s="1"/>
  <c r="D16"/>
  <c r="J16" s="1"/>
  <c r="D18"/>
  <c r="K18" s="1"/>
  <c r="D17"/>
  <c r="K17" s="1"/>
  <c r="D15"/>
  <c r="K15" s="1"/>
  <c r="D12"/>
  <c r="K12" s="1"/>
  <c r="G8" i="3"/>
  <c r="H8"/>
  <c r="I8"/>
  <c r="D11" i="5"/>
  <c r="K11" s="1"/>
  <c r="D10"/>
  <c r="J10" s="1"/>
  <c r="G6" i="3"/>
  <c r="G7"/>
  <c r="G5"/>
  <c r="H7"/>
  <c r="H6"/>
  <c r="H5"/>
  <c r="I6"/>
  <c r="I7"/>
  <c r="I5"/>
  <c r="I43" i="2"/>
  <c r="I44"/>
  <c r="I45"/>
  <c r="I46"/>
  <c r="I47"/>
  <c r="I48"/>
  <c r="I49"/>
  <c r="I42"/>
  <c r="I33"/>
  <c r="I34"/>
  <c r="I35"/>
  <c r="I36"/>
  <c r="I37"/>
  <c r="I38"/>
  <c r="I39"/>
  <c r="I32"/>
  <c r="I27"/>
  <c r="I28"/>
  <c r="I29"/>
  <c r="I26"/>
  <c r="I4" i="3"/>
  <c r="H4"/>
  <c r="G4"/>
  <c r="I3"/>
  <c r="H3"/>
  <c r="G3"/>
  <c r="L10" i="5"/>
  <c r="L11"/>
  <c r="L12"/>
  <c r="L15"/>
  <c r="D3"/>
  <c r="J3" s="1"/>
  <c r="I17" i="2"/>
  <c r="I18"/>
  <c r="I19"/>
  <c r="I20"/>
  <c r="I21"/>
  <c r="I22"/>
  <c r="I23"/>
  <c r="I16"/>
  <c r="I4"/>
  <c r="I5"/>
  <c r="I6"/>
  <c r="I7"/>
  <c r="I8"/>
  <c r="I9"/>
  <c r="I10"/>
  <c r="I11"/>
  <c r="I12"/>
  <c r="I13"/>
  <c r="I3"/>
  <c r="J2" i="5"/>
  <c r="L4"/>
  <c r="L5"/>
  <c r="L6"/>
  <c r="L7"/>
  <c r="L3"/>
  <c r="G43" i="2"/>
  <c r="G44"/>
  <c r="L44" s="1"/>
  <c r="G45"/>
  <c r="G46"/>
  <c r="G47"/>
  <c r="G48"/>
  <c r="L48" s="1"/>
  <c r="G49"/>
  <c r="H43"/>
  <c r="H44"/>
  <c r="H45"/>
  <c r="H46"/>
  <c r="H47"/>
  <c r="H48"/>
  <c r="H49"/>
  <c r="G42"/>
  <c r="H42"/>
  <c r="G33"/>
  <c r="G34"/>
  <c r="L34" s="1"/>
  <c r="G35"/>
  <c r="G36"/>
  <c r="G37"/>
  <c r="G38"/>
  <c r="L38" s="1"/>
  <c r="G39"/>
  <c r="H33"/>
  <c r="H34"/>
  <c r="H35"/>
  <c r="H36"/>
  <c r="H37"/>
  <c r="H38"/>
  <c r="H39"/>
  <c r="G32"/>
  <c r="H32"/>
  <c r="G27"/>
  <c r="G28"/>
  <c r="G29"/>
  <c r="H27"/>
  <c r="H28"/>
  <c r="H29"/>
  <c r="G26"/>
  <c r="H26"/>
  <c r="G17"/>
  <c r="G18"/>
  <c r="L18" s="1"/>
  <c r="G19"/>
  <c r="G20"/>
  <c r="G21"/>
  <c r="G22"/>
  <c r="L22" s="1"/>
  <c r="G23"/>
  <c r="H17"/>
  <c r="H18"/>
  <c r="H19"/>
  <c r="H20"/>
  <c r="H21"/>
  <c r="H22"/>
  <c r="H23"/>
  <c r="G16"/>
  <c r="H16"/>
  <c r="G4"/>
  <c r="G5"/>
  <c r="G6"/>
  <c r="G7"/>
  <c r="G8"/>
  <c r="G9"/>
  <c r="G10"/>
  <c r="G11"/>
  <c r="G12"/>
  <c r="G13"/>
  <c r="H4"/>
  <c r="H5"/>
  <c r="H6"/>
  <c r="H7"/>
  <c r="H8"/>
  <c r="H9"/>
  <c r="H10"/>
  <c r="H11"/>
  <c r="H12"/>
  <c r="H13"/>
  <c r="G3"/>
  <c r="H3"/>
  <c r="J4" i="5"/>
  <c r="J5"/>
  <c r="J6"/>
  <c r="K4"/>
  <c r="K5"/>
  <c r="K6"/>
  <c r="J7"/>
  <c r="K7"/>
  <c r="K3"/>
  <c r="K2"/>
  <c r="M27" i="1"/>
  <c r="L16" i="4" l="1"/>
  <c r="L6" i="2"/>
  <c r="L19"/>
  <c r="L35"/>
  <c r="L45"/>
  <c r="L8" i="3"/>
  <c r="L5" i="4"/>
  <c r="L19"/>
  <c r="L5" i="2"/>
  <c r="L3" i="3"/>
  <c r="L9" i="2"/>
  <c r="L13"/>
  <c r="K8"/>
  <c r="L8"/>
  <c r="K21"/>
  <c r="L21"/>
  <c r="K37"/>
  <c r="L37"/>
  <c r="K47"/>
  <c r="L47"/>
  <c r="K9" i="4"/>
  <c r="L9"/>
  <c r="K21"/>
  <c r="L21"/>
  <c r="K24"/>
  <c r="L24"/>
  <c r="K7" i="2"/>
  <c r="L7"/>
  <c r="K20"/>
  <c r="L20"/>
  <c r="K36"/>
  <c r="L36"/>
  <c r="K46"/>
  <c r="L46"/>
  <c r="K6" i="4"/>
  <c r="L6"/>
  <c r="L12"/>
  <c r="L15"/>
  <c r="L20"/>
  <c r="K10"/>
  <c r="L10"/>
  <c r="L28" i="2"/>
  <c r="L5" i="3"/>
  <c r="L12" i="2"/>
  <c r="L4"/>
  <c r="K17"/>
  <c r="L17"/>
  <c r="L27"/>
  <c r="K33"/>
  <c r="L33"/>
  <c r="K43"/>
  <c r="L43"/>
  <c r="L7" i="3"/>
  <c r="K29" i="2"/>
  <c r="L29"/>
  <c r="L11"/>
  <c r="L6" i="3"/>
  <c r="L4" i="4"/>
  <c r="L10" i="2"/>
  <c r="K16"/>
  <c r="L16"/>
  <c r="K23"/>
  <c r="L23"/>
  <c r="L26"/>
  <c r="L32"/>
  <c r="L39"/>
  <c r="L42"/>
  <c r="L49"/>
  <c r="L4" i="3"/>
  <c r="L11" i="4"/>
  <c r="K3" i="2"/>
  <c r="L3"/>
  <c r="K12" i="4"/>
  <c r="K20"/>
  <c r="K19" i="2"/>
  <c r="K35"/>
  <c r="K45"/>
  <c r="K16" i="4"/>
  <c r="K32" i="2"/>
  <c r="K6"/>
  <c r="K5" i="4"/>
  <c r="K13" i="2"/>
  <c r="K5"/>
  <c r="K18"/>
  <c r="K28"/>
  <c r="K34"/>
  <c r="K44"/>
  <c r="K3" i="3"/>
  <c r="K5"/>
  <c r="K4" i="4"/>
  <c r="K11" i="2"/>
  <c r="K6" i="3"/>
  <c r="K15" i="4"/>
  <c r="K8" i="3"/>
  <c r="K12" i="2"/>
  <c r="K26"/>
  <c r="K39"/>
  <c r="K42"/>
  <c r="K49"/>
  <c r="K4" i="3"/>
  <c r="K11" i="4"/>
  <c r="K4" i="2"/>
  <c r="K27"/>
  <c r="K7" i="3"/>
  <c r="K10" i="2"/>
  <c r="K9"/>
  <c r="K22"/>
  <c r="K38"/>
  <c r="K48"/>
  <c r="K3" i="4"/>
  <c r="K19"/>
  <c r="J18" i="5"/>
  <c r="J19"/>
  <c r="J15"/>
  <c r="J12"/>
  <c r="J11"/>
  <c r="K10"/>
</calcChain>
</file>

<file path=xl/comments1.xml><?xml version="1.0" encoding="utf-8"?>
<comments xmlns="http://schemas.openxmlformats.org/spreadsheetml/2006/main">
  <authors>
    <author>Autor</author>
  </authors>
  <commentList>
    <comment ref="C1" authorId="0">
      <text>
        <r>
          <rPr>
            <b/>
            <sz val="9"/>
            <color indexed="81"/>
            <rFont val="Tahoma"/>
            <family val="2"/>
          </rPr>
          <t>bullet weight in grain at fps</t>
        </r>
      </text>
    </comment>
    <comment ref="D1" authorId="0">
      <text>
        <r>
          <rPr>
            <b/>
            <sz val="9"/>
            <color indexed="81"/>
            <rFont val="Tahoma"/>
            <family val="2"/>
          </rPr>
          <t>heaviest in class</t>
        </r>
      </text>
    </comment>
    <comment ref="J1" authorId="0">
      <text>
        <r>
          <rPr>
            <b/>
            <sz val="9"/>
            <color indexed="81"/>
            <rFont val="Tahoma"/>
            <charset val="1"/>
          </rPr>
          <t>ft/lbs, recoil energy of gun….(whats the point????)</t>
        </r>
      </text>
    </comment>
    <comment ref="K1" authorId="0">
      <text>
        <r>
          <rPr>
            <b/>
            <sz val="9"/>
            <color indexed="81"/>
            <rFont val="Tahoma"/>
            <charset val="1"/>
          </rPr>
          <t>ft/s; recoil Vol of gun</t>
        </r>
      </text>
    </comment>
    <comment ref="L1" authorId="0">
      <text>
        <r>
          <rPr>
            <b/>
            <sz val="9"/>
            <color indexed="81"/>
            <rFont val="Tahoma"/>
            <charset val="1"/>
          </rPr>
          <t>total recoil impuls of gun</t>
        </r>
      </text>
    </comment>
    <comment ref="D2" authorId="0">
      <text>
        <r>
          <rPr>
            <b/>
            <sz val="9"/>
            <color indexed="81"/>
            <rFont val="Tahoma"/>
            <family val="2"/>
          </rPr>
          <t>pounds</t>
        </r>
      </text>
    </comment>
    <comment ref="E2" authorId="0">
      <text>
        <r>
          <rPr>
            <b/>
            <sz val="9"/>
            <color indexed="81"/>
            <rFont val="Tahoma"/>
            <family val="2"/>
          </rPr>
          <t>grains</t>
        </r>
      </text>
    </comment>
    <comment ref="F2" authorId="0">
      <text>
        <r>
          <rPr>
            <b/>
            <sz val="9"/>
            <color indexed="81"/>
            <rFont val="Tahoma"/>
            <family val="2"/>
          </rPr>
          <t>grains</t>
        </r>
      </text>
    </comment>
    <comment ref="G2" authorId="0">
      <text>
        <r>
          <rPr>
            <b/>
            <sz val="9"/>
            <color indexed="81"/>
            <rFont val="Tahoma"/>
            <family val="2"/>
          </rPr>
          <t>fps</t>
        </r>
      </text>
    </comment>
    <comment ref="H2" authorId="0">
      <text>
        <r>
          <rPr>
            <b/>
            <sz val="9"/>
            <color indexed="81"/>
            <rFont val="Tahoma"/>
            <family val="2"/>
          </rPr>
          <t>fps, konstant 4000</t>
        </r>
      </text>
    </comment>
    <comment ref="C3" authorId="0">
      <text>
        <r>
          <rPr>
            <b/>
            <sz val="9"/>
            <color indexed="81"/>
            <rFont val="Tahoma"/>
            <charset val="1"/>
          </rPr>
          <t>chucks data as base for powder 26.5 gr</t>
        </r>
      </text>
    </comment>
    <comment ref="C4" authorId="0">
      <text>
        <r>
          <rPr>
            <b/>
            <sz val="9"/>
            <color indexed="81"/>
            <rFont val="Tahoma"/>
            <charset val="1"/>
          </rPr>
          <t>chucks data as base for powder 26.5 gr</t>
        </r>
      </text>
    </comment>
    <comment ref="C5" authorId="0">
      <text>
        <r>
          <rPr>
            <b/>
            <sz val="9"/>
            <color indexed="81"/>
            <rFont val="Tahoma"/>
            <charset val="1"/>
          </rPr>
          <t>chucks data as base for powder 26.5 gr</t>
        </r>
      </text>
    </comment>
    <comment ref="C6" authorId="0">
      <text>
        <r>
          <rPr>
            <b/>
            <sz val="9"/>
            <color indexed="81"/>
            <rFont val="Tahoma"/>
            <charset val="1"/>
          </rPr>
          <t>chucks data as base for powder 26.5 gr</t>
        </r>
      </text>
    </comment>
    <comment ref="C7" authorId="0">
      <text>
        <r>
          <rPr>
            <b/>
            <sz val="9"/>
            <color indexed="81"/>
            <rFont val="Tahoma"/>
            <charset val="1"/>
          </rPr>
          <t>chucks data as base for powder 26.5 gr</t>
        </r>
      </text>
    </comment>
    <comment ref="C10" authorId="0">
      <text>
        <r>
          <rPr>
            <b/>
            <sz val="9"/>
            <color indexed="81"/>
            <rFont val="Tahoma"/>
            <charset val="1"/>
          </rPr>
          <t>chucks data as base; 33.5 gr powder</t>
        </r>
      </text>
    </comment>
    <comment ref="C11" authorId="0">
      <text>
        <r>
          <rPr>
            <b/>
            <sz val="9"/>
            <color indexed="81"/>
            <rFont val="Tahoma"/>
            <family val="2"/>
          </rPr>
          <t>chucks data as base; 33.5 gr powder</t>
        </r>
      </text>
    </comment>
    <comment ref="C12" authorId="0">
      <text>
        <r>
          <rPr>
            <b/>
            <sz val="9"/>
            <color indexed="81"/>
            <rFont val="Tahoma"/>
            <charset val="1"/>
          </rPr>
          <t>chucks data as base; 33.5 gr powder</t>
        </r>
      </text>
    </comment>
    <comment ref="C15" authorId="0">
      <text>
        <r>
          <rPr>
            <b/>
            <sz val="9"/>
            <color indexed="81"/>
            <rFont val="Tahoma"/>
            <charset val="1"/>
          </rPr>
          <t>M80 is 147@2700, 46 gr powder; 2750 also found, using that because of longer than 20 barrel</t>
        </r>
      </text>
    </comment>
    <comment ref="C16" authorId="0">
      <text>
        <r>
          <rPr>
            <b/>
            <sz val="9"/>
            <color indexed="81"/>
            <rFont val="Tahoma"/>
            <charset val="1"/>
          </rPr>
          <t>M80 is 147@2700, 46 gr powder; 2750 also found, using that because of longer than 20 barrel</t>
        </r>
      </text>
    </comment>
    <comment ref="C17" authorId="0">
      <text>
        <r>
          <rPr>
            <b/>
            <sz val="9"/>
            <color indexed="81"/>
            <rFont val="Tahoma"/>
            <charset val="1"/>
          </rPr>
          <t>M80 is 147@2700, 46 gr powder</t>
        </r>
      </text>
    </comment>
    <comment ref="C18" authorId="0">
      <text>
        <r>
          <rPr>
            <b/>
            <sz val="9"/>
            <color indexed="81"/>
            <rFont val="Tahoma"/>
            <charset val="1"/>
          </rPr>
          <t>M80 is 147@2700, 46 gr powder</t>
        </r>
      </text>
    </comment>
    <comment ref="C19" authorId="0">
      <text>
        <r>
          <rPr>
            <b/>
            <sz val="9"/>
            <color indexed="81"/>
            <rFont val="Tahoma"/>
            <family val="2"/>
          </rPr>
          <t>Guess!!</t>
        </r>
      </text>
    </comment>
    <comment ref="C22" authorId="0">
      <text>
        <r>
          <rPr>
            <b/>
            <sz val="9"/>
            <color indexed="81"/>
            <rFont val="Tahoma"/>
            <charset val="1"/>
          </rPr>
          <t>48 gr powder, Azerbeijan 57N323S</t>
        </r>
      </text>
    </comment>
    <comment ref="C25" authorId="0">
      <text>
        <r>
          <rPr>
            <b/>
            <sz val="9"/>
            <color indexed="81"/>
            <rFont val="Tahoma"/>
            <charset val="1"/>
          </rPr>
          <t>24 gr powder, source azerbaijan N231S</t>
        </r>
      </text>
    </comment>
    <comment ref="C26" authorId="0">
      <text>
        <r>
          <rPr>
            <b/>
            <sz val="9"/>
            <color indexed="81"/>
            <rFont val="Tahoma"/>
            <charset val="1"/>
          </rPr>
          <t>24 gr powder, source azerbaijan N231S</t>
        </r>
      </text>
    </comment>
    <comment ref="C27" authorId="0">
      <text>
        <r>
          <rPr>
            <b/>
            <sz val="9"/>
            <color indexed="81"/>
            <rFont val="Tahoma"/>
            <charset val="1"/>
          </rPr>
          <t>24 gr powder, source azerbaijan N231S</t>
        </r>
      </text>
    </comment>
    <comment ref="C28" authorId="0">
      <text>
        <r>
          <rPr>
            <b/>
            <sz val="9"/>
            <color indexed="81"/>
            <rFont val="Tahoma"/>
            <charset val="1"/>
          </rPr>
          <t>24 gr powder, source azerbaijan N231S</t>
        </r>
      </text>
    </comment>
    <comment ref="C29" authorId="0">
      <text>
        <r>
          <rPr>
            <b/>
            <sz val="9"/>
            <color indexed="81"/>
            <rFont val="Tahoma"/>
            <charset val="1"/>
          </rPr>
          <t>24 gr powder, source azerbaijan N231S</t>
        </r>
      </text>
    </comment>
    <comment ref="C32" authorId="0">
      <text>
        <r>
          <rPr>
            <b/>
            <sz val="9"/>
            <color indexed="81"/>
            <rFont val="Tahoma"/>
            <charset val="1"/>
          </rPr>
          <t>22.2 gr powder, source azerbaijan 7N10</t>
        </r>
      </text>
    </comment>
    <comment ref="C33" authorId="0">
      <text>
        <r>
          <rPr>
            <b/>
            <sz val="9"/>
            <color indexed="81"/>
            <rFont val="Tahoma"/>
            <charset val="1"/>
          </rPr>
          <t>22.2 gr powder, source azerbaijan 7N10</t>
        </r>
      </text>
    </comment>
    <comment ref="C34" authorId="0">
      <text>
        <r>
          <rPr>
            <b/>
            <sz val="9"/>
            <color indexed="81"/>
            <rFont val="Tahoma"/>
            <charset val="1"/>
          </rPr>
          <t>22.2 gr powder, source azerbaijan 7N10</t>
        </r>
      </text>
    </comment>
    <comment ref="A37" authorId="0">
      <text>
        <r>
          <rPr>
            <b/>
            <sz val="9"/>
            <color indexed="81"/>
            <rFont val="Tahoma"/>
            <family val="2"/>
          </rPr>
          <t>reduce damage and noise compared to 9x19</t>
        </r>
      </text>
    </comment>
    <comment ref="C37" authorId="0">
      <text>
        <r>
          <rPr>
            <b/>
            <sz val="9"/>
            <color indexed="81"/>
            <rFont val="Tahoma"/>
            <charset val="1"/>
          </rPr>
          <t>3.86 gr Powder according to Azerbeijan</t>
        </r>
      </text>
    </comment>
    <comment ref="C39" authorId="0">
      <text>
        <r>
          <rPr>
            <b/>
            <sz val="9"/>
            <color indexed="81"/>
            <rFont val="Tahoma"/>
            <charset val="1"/>
          </rPr>
          <t>Nato spec M882 5 gr powder</t>
        </r>
      </text>
    </comment>
    <comment ref="C41" authorId="0">
      <text>
        <r>
          <rPr>
            <b/>
            <sz val="9"/>
            <color indexed="81"/>
            <rFont val="Tahoma"/>
            <family val="2"/>
          </rPr>
          <t>7.7 gr powder, 7N29SP10, weight 11.5g?</t>
        </r>
      </text>
    </comment>
    <comment ref="A43" authorId="0">
      <text>
        <r>
          <rPr>
            <b/>
            <sz val="9"/>
            <color indexed="81"/>
            <rFont val="Tahoma"/>
            <family val="2"/>
          </rPr>
          <t>poor accuracy?, prob referring to PAB9</t>
        </r>
        <r>
          <rPr>
            <sz val="9"/>
            <color indexed="81"/>
            <rFont val="Tahoma"/>
            <family val="2"/>
          </rPr>
          <t xml:space="preserve">
</t>
        </r>
      </text>
    </comment>
    <comment ref="C43" authorId="0">
      <text>
        <r>
          <rPr>
            <b/>
            <sz val="9"/>
            <color indexed="81"/>
            <rFont val="Tahoma"/>
            <family val="2"/>
          </rPr>
          <t>sniper version, SP5, 9.3 gr powder?</t>
        </r>
      </text>
    </comment>
    <comment ref="C46" authorId="0">
      <text>
        <r>
          <rPr>
            <b/>
            <sz val="9"/>
            <color indexed="81"/>
            <rFont val="Tahoma"/>
            <charset val="1"/>
          </rPr>
          <t>7.5 gr powder</t>
        </r>
      </text>
    </comment>
    <comment ref="C47" authorId="0">
      <text>
        <r>
          <rPr>
            <b/>
            <sz val="9"/>
            <color indexed="81"/>
            <rFont val="Tahoma"/>
            <charset val="1"/>
          </rPr>
          <t>7.5 gr powder</t>
        </r>
      </text>
    </comment>
    <comment ref="C50" authorId="0">
      <text>
        <r>
          <rPr>
            <b/>
            <sz val="9"/>
            <color indexed="81"/>
            <rFont val="Tahoma"/>
            <family val="2"/>
          </rPr>
          <t>military load, 5 gr powder</t>
        </r>
      </text>
    </comment>
    <comment ref="C51" authorId="0">
      <text>
        <r>
          <rPr>
            <b/>
            <sz val="9"/>
            <color indexed="81"/>
            <rFont val="Tahoma"/>
            <family val="2"/>
          </rPr>
          <t>military load, 5 gr powder</t>
        </r>
      </text>
    </comment>
    <comment ref="C54" authorId="0">
      <text>
        <r>
          <rPr>
            <b/>
            <sz val="9"/>
            <color indexed="81"/>
            <rFont val="Tahoma"/>
            <family val="2"/>
          </rPr>
          <t>SS190; weight cart 6g, powder 6.4 gr</t>
        </r>
      </text>
    </comment>
    <comment ref="C57" authorId="0">
      <text>
        <r>
          <rPr>
            <b/>
            <sz val="9"/>
            <color indexed="81"/>
            <rFont val="Tahoma"/>
            <family val="2"/>
          </rPr>
          <t>cartridge: 3.25g</t>
        </r>
      </text>
    </comment>
    <comment ref="C60" authorId="0">
      <text>
        <r>
          <rPr>
            <b/>
            <sz val="9"/>
            <color indexed="81"/>
            <rFont val="Tahoma"/>
            <family val="2"/>
          </rPr>
          <t>5-6g cartridge</t>
        </r>
      </text>
    </comment>
    <comment ref="C63" authorId="0">
      <text>
        <r>
          <rPr>
            <b/>
            <sz val="9"/>
            <color indexed="81"/>
            <rFont val="Tahoma"/>
            <charset val="1"/>
          </rPr>
          <t>8 gr powder, cartridge weight 16.5 g</t>
        </r>
      </text>
    </comment>
    <comment ref="C65" authorId="0">
      <text>
        <r>
          <rPr>
            <b/>
            <sz val="9"/>
            <color indexed="81"/>
            <rFont val="Tahoma"/>
            <charset val="1"/>
          </rPr>
          <t>10 gr charge, cartridge weight 17g</t>
        </r>
      </text>
    </comment>
  </commentList>
</comments>
</file>

<file path=xl/comments10.xml><?xml version="1.0" encoding="utf-8"?>
<comments xmlns="http://schemas.openxmlformats.org/spreadsheetml/2006/main">
  <authors>
    <author>Autor</author>
  </authors>
  <commentList>
    <comment ref="G1" authorId="0">
      <text>
        <r>
          <rPr>
            <b/>
            <sz val="9"/>
            <color indexed="81"/>
            <rFont val="Tahoma"/>
            <charset val="1"/>
          </rPr>
          <t>ft/lbs, recoil energy of gun….(whats the point????)</t>
        </r>
      </text>
    </comment>
    <comment ref="H1" authorId="0">
      <text>
        <r>
          <rPr>
            <b/>
            <sz val="9"/>
            <color indexed="81"/>
            <rFont val="Tahoma"/>
            <charset val="1"/>
          </rPr>
          <t>ft/s; recoil Vol of gun</t>
        </r>
      </text>
    </comment>
    <comment ref="I1" authorId="0">
      <text>
        <r>
          <rPr>
            <b/>
            <sz val="9"/>
            <color indexed="81"/>
            <rFont val="Tahoma"/>
            <charset val="1"/>
          </rPr>
          <t>total recoil impuls of gun</t>
        </r>
      </text>
    </comment>
    <comment ref="D2" authorId="0">
      <text>
        <r>
          <rPr>
            <b/>
            <sz val="9"/>
            <color indexed="81"/>
            <rFont val="Tahoma"/>
            <family val="2"/>
          </rPr>
          <t>20rd mag=.8 kg</t>
        </r>
      </text>
    </comment>
    <comment ref="P12" authorId="0">
      <text>
        <r>
          <rPr>
            <b/>
            <sz val="9"/>
            <color indexed="81"/>
            <rFont val="Tahoma"/>
            <family val="2"/>
          </rPr>
          <t>SP10, 100+box 1.45, 50+box .68…prob 12.5</t>
        </r>
      </text>
    </comment>
    <comment ref="D20" authorId="0">
      <text>
        <r>
          <rPr>
            <b/>
            <sz val="9"/>
            <color indexed="81"/>
            <rFont val="Tahoma"/>
            <family val="2"/>
          </rPr>
          <t>2 kg with empty mag</t>
        </r>
      </text>
    </comment>
    <comment ref="D21" authorId="0">
      <text>
        <r>
          <rPr>
            <b/>
            <sz val="9"/>
            <color indexed="81"/>
            <rFont val="Tahoma"/>
            <family val="2"/>
          </rPr>
          <t>2.5 kg with empty mag</t>
        </r>
      </text>
    </comment>
    <comment ref="P21" authorId="0">
      <text>
        <r>
          <rPr>
            <b/>
            <sz val="9"/>
            <color indexed="81"/>
            <rFont val="Tahoma"/>
            <family val="2"/>
          </rPr>
          <t>magazine with 20 rds is .7kg</t>
        </r>
      </text>
    </comment>
    <comment ref="D22" authorId="0">
      <text>
        <r>
          <rPr>
            <b/>
            <sz val="9"/>
            <color indexed="81"/>
            <rFont val="Tahoma"/>
            <family val="2"/>
          </rPr>
          <t>4 kg with empty mag</t>
        </r>
      </text>
    </comment>
    <comment ref="D27" authorId="0">
      <text>
        <r>
          <rPr>
            <b/>
            <sz val="9"/>
            <color indexed="81"/>
            <rFont val="Tahoma"/>
            <family val="2"/>
          </rPr>
          <t>2.45 kg with empty mag</t>
        </r>
      </text>
    </comment>
  </commentList>
</comments>
</file>

<file path=xl/comments11.xml><?xml version="1.0" encoding="utf-8"?>
<comments xmlns="http://schemas.openxmlformats.org/spreadsheetml/2006/main">
  <authors>
    <author>Autor</author>
  </authors>
  <commentList>
    <comment ref="G1" authorId="0">
      <text>
        <r>
          <rPr>
            <b/>
            <sz val="9"/>
            <color indexed="81"/>
            <rFont val="Tahoma"/>
            <charset val="1"/>
          </rPr>
          <t>ft/lbs, recoil energy of gun….(whats the point????)</t>
        </r>
      </text>
    </comment>
    <comment ref="H1" authorId="0">
      <text>
        <r>
          <rPr>
            <b/>
            <sz val="9"/>
            <color indexed="81"/>
            <rFont val="Tahoma"/>
            <charset val="1"/>
          </rPr>
          <t>ft/s; recoil Vol of gun</t>
        </r>
      </text>
    </comment>
    <comment ref="I1" authorId="0">
      <text>
        <r>
          <rPr>
            <b/>
            <sz val="9"/>
            <color indexed="81"/>
            <rFont val="Tahoma"/>
            <charset val="1"/>
          </rPr>
          <t>total recoil impuls of gun</t>
        </r>
      </text>
    </comment>
    <comment ref="D4" authorId="0">
      <text>
        <r>
          <rPr>
            <b/>
            <sz val="9"/>
            <color indexed="81"/>
            <rFont val="Tahoma"/>
            <family val="2"/>
          </rPr>
          <t>2.1 without mag</t>
        </r>
      </text>
    </comment>
    <comment ref="D6" authorId="0">
      <text>
        <r>
          <rPr>
            <b/>
            <sz val="9"/>
            <color indexed="81"/>
            <rFont val="Tahoma"/>
            <family val="2"/>
          </rPr>
          <t>3.63 w/o mag</t>
        </r>
      </text>
    </comment>
  </commentList>
</comments>
</file>

<file path=xl/comments12.xml><?xml version="1.0" encoding="utf-8"?>
<comments xmlns="http://schemas.openxmlformats.org/spreadsheetml/2006/main">
  <authors>
    <author>Autor</author>
  </authors>
  <commentList>
    <comment ref="H1" authorId="0">
      <text>
        <r>
          <rPr>
            <b/>
            <sz val="9"/>
            <color indexed="81"/>
            <rFont val="Tahoma"/>
            <charset val="1"/>
          </rPr>
          <t>ft/lbs, recoil energy of gun….(whats the point????)</t>
        </r>
      </text>
    </comment>
    <comment ref="I1" authorId="0">
      <text>
        <r>
          <rPr>
            <b/>
            <sz val="9"/>
            <color indexed="81"/>
            <rFont val="Tahoma"/>
            <charset val="1"/>
          </rPr>
          <t>ft/s; recoil Vol of gun</t>
        </r>
      </text>
    </comment>
    <comment ref="J1" authorId="0">
      <text>
        <r>
          <rPr>
            <b/>
            <sz val="9"/>
            <color indexed="81"/>
            <rFont val="Tahoma"/>
            <charset val="1"/>
          </rPr>
          <t>total recoil impuls of gun</t>
        </r>
      </text>
    </comment>
    <comment ref="E2" authorId="0">
      <text>
        <r>
          <rPr>
            <b/>
            <sz val="9"/>
            <color indexed="81"/>
            <rFont val="Tahoma"/>
            <family val="2"/>
          </rPr>
          <t>20rd mag=.8 kg</t>
        </r>
      </text>
    </comment>
    <comment ref="B7" authorId="0">
      <text>
        <r>
          <rPr>
            <b/>
            <sz val="9"/>
            <color indexed="81"/>
            <rFont val="Tahoma"/>
            <charset val="1"/>
          </rPr>
          <t>5.7mm 6gx50=300g, mag 160g</t>
        </r>
      </text>
    </comment>
    <comment ref="B9" authorId="0">
      <text>
        <r>
          <rPr>
            <b/>
            <sz val="9"/>
            <color indexed="81"/>
            <rFont val="Tahoma"/>
            <family val="2"/>
          </rPr>
          <t>doesnt exist</t>
        </r>
      </text>
    </comment>
    <comment ref="B14" authorId="0">
      <text>
        <r>
          <rPr>
            <b/>
            <sz val="9"/>
            <color indexed="81"/>
            <rFont val="Tahoma"/>
            <family val="2"/>
          </rPr>
          <t>5.7mm 6gx50=300g, mag 160g</t>
        </r>
      </text>
    </comment>
    <comment ref="E14" authorId="0">
      <text>
        <r>
          <rPr>
            <b/>
            <sz val="9"/>
            <color indexed="81"/>
            <rFont val="Tahoma"/>
            <family val="2"/>
          </rPr>
          <t>estimate</t>
        </r>
      </text>
    </comment>
    <comment ref="E15" authorId="0">
      <text>
        <r>
          <rPr>
            <b/>
            <sz val="9"/>
            <color indexed="81"/>
            <rFont val="Tahoma"/>
            <family val="2"/>
          </rPr>
          <t>100 rounds</t>
        </r>
      </text>
    </comment>
  </commentList>
</comments>
</file>

<file path=xl/comments13.xml><?xml version="1.0" encoding="utf-8"?>
<comments xmlns="http://schemas.openxmlformats.org/spreadsheetml/2006/main">
  <authors>
    <author>Autor</author>
  </authors>
  <commentList>
    <comment ref="D1" authorId="0">
      <text>
        <r>
          <rPr>
            <b/>
            <sz val="9"/>
            <color indexed="81"/>
            <rFont val="Tahoma"/>
            <charset val="1"/>
          </rPr>
          <t>ft/lbs</t>
        </r>
      </text>
    </comment>
    <comment ref="E1" authorId="0">
      <text>
        <r>
          <rPr>
            <b/>
            <sz val="9"/>
            <color indexed="81"/>
            <rFont val="Tahoma"/>
            <charset val="1"/>
          </rPr>
          <t>ft/s</t>
        </r>
      </text>
    </comment>
    <comment ref="F1" authorId="0">
      <text>
        <r>
          <rPr>
            <b/>
            <sz val="9"/>
            <color indexed="81"/>
            <rFont val="Tahoma"/>
            <charset val="1"/>
          </rPr>
          <t>lb/s, taken from http://www.jbmballistics.com/cgi-bin/jbmrecoil-5.1.cgi</t>
        </r>
      </text>
    </comment>
    <comment ref="B4" authorId="0">
      <text>
        <r>
          <rPr>
            <b/>
            <sz val="9"/>
            <color indexed="81"/>
            <rFont val="Tahoma"/>
            <charset val="1"/>
          </rPr>
          <t>7.5 gr powder</t>
        </r>
      </text>
    </comment>
    <comment ref="B5" authorId="0">
      <text>
        <r>
          <rPr>
            <b/>
            <sz val="9"/>
            <color indexed="81"/>
            <rFont val="Tahoma"/>
            <charset val="1"/>
          </rPr>
          <t>7.5 gr powder, Norinco</t>
        </r>
      </text>
    </comment>
    <comment ref="B6" authorId="0">
      <text>
        <r>
          <rPr>
            <b/>
            <sz val="9"/>
            <color indexed="81"/>
            <rFont val="Tahoma"/>
            <family val="2"/>
          </rPr>
          <t>7.7 gr powder, 7N29SP10, weight 11.5g</t>
        </r>
      </text>
    </comment>
    <comment ref="A8" authorId="0">
      <text>
        <r>
          <rPr>
            <b/>
            <sz val="9"/>
            <color indexed="81"/>
            <rFont val="Tahoma"/>
            <family val="2"/>
          </rPr>
          <t>reduce damage and noise compared to 9x19</t>
        </r>
      </text>
    </comment>
    <comment ref="B8" authorId="0">
      <text>
        <r>
          <rPr>
            <b/>
            <sz val="9"/>
            <color indexed="81"/>
            <rFont val="Tahoma"/>
            <charset val="1"/>
          </rPr>
          <t>3.86 gr Powder according to Azerbeijan</t>
        </r>
      </text>
    </comment>
    <comment ref="B11" authorId="0">
      <text>
        <r>
          <rPr>
            <b/>
            <sz val="9"/>
            <color indexed="81"/>
            <rFont val="Tahoma"/>
            <charset val="1"/>
          </rPr>
          <t>Nato spec M882 5 gr powder</t>
        </r>
      </text>
    </comment>
    <comment ref="B14" authorId="0">
      <text>
        <r>
          <rPr>
            <b/>
            <sz val="9"/>
            <color indexed="81"/>
            <rFont val="Tahoma"/>
            <charset val="1"/>
          </rPr>
          <t>new FBI load, 8 gr powder</t>
        </r>
      </text>
    </comment>
    <comment ref="B16" authorId="0">
      <text>
        <r>
          <rPr>
            <b/>
            <sz val="9"/>
            <color indexed="81"/>
            <rFont val="Tahoma"/>
            <charset val="1"/>
          </rPr>
          <t>for Pistols, 11 gr charge</t>
        </r>
      </text>
    </comment>
    <comment ref="B20" authorId="0">
      <text>
        <r>
          <rPr>
            <b/>
            <sz val="9"/>
            <color indexed="81"/>
            <rFont val="Tahoma"/>
            <charset val="1"/>
          </rPr>
          <t xml:space="preserve">chucks data as base for powder 22.5 gr, weight for heavy ARs, fe G41 </t>
        </r>
      </text>
    </comment>
    <comment ref="B21" authorId="0">
      <text>
        <r>
          <rPr>
            <b/>
            <sz val="9"/>
            <color indexed="81"/>
            <rFont val="Tahoma"/>
            <charset val="1"/>
          </rPr>
          <t xml:space="preserve">chucks data as base for powder 22.5 gr, </t>
        </r>
      </text>
    </comment>
    <comment ref="B22" authorId="0">
      <text>
        <r>
          <rPr>
            <b/>
            <sz val="9"/>
            <color indexed="81"/>
            <rFont val="Tahoma"/>
            <charset val="1"/>
          </rPr>
          <t>chucks data as base for powder 22.5 gr, weight modified to M16A4,SIG 551Swat</t>
        </r>
      </text>
    </comment>
    <comment ref="B23" authorId="0">
      <text>
        <r>
          <rPr>
            <b/>
            <sz val="9"/>
            <color indexed="81"/>
            <rFont val="Tahoma"/>
            <charset val="1"/>
          </rPr>
          <t>chucks data as base for powder 22.5 gr, weight modified to M16A4,SIG 551Swat</t>
        </r>
      </text>
    </comment>
    <comment ref="B24" authorId="0">
      <text>
        <r>
          <rPr>
            <b/>
            <sz val="9"/>
            <color indexed="81"/>
            <rFont val="Tahoma"/>
            <charset val="1"/>
          </rPr>
          <t>chucks data as base for powder 22.5 gr, weight modified to M16A4,SIG 551Swat</t>
        </r>
      </text>
    </comment>
    <comment ref="B27" authorId="0">
      <text>
        <r>
          <rPr>
            <b/>
            <sz val="9"/>
            <color indexed="81"/>
            <rFont val="Tahoma"/>
            <charset val="1"/>
          </rPr>
          <t>chucks data as base; 28.5 gr powder</t>
        </r>
      </text>
    </comment>
    <comment ref="B28" authorId="0">
      <text>
        <r>
          <rPr>
            <b/>
            <sz val="9"/>
            <color indexed="81"/>
            <rFont val="Tahoma"/>
            <family val="2"/>
          </rPr>
          <t>chucks data as base; 28.5 gr powder</t>
        </r>
      </text>
    </comment>
    <comment ref="B29" authorId="0">
      <text>
        <r>
          <rPr>
            <b/>
            <sz val="9"/>
            <color indexed="81"/>
            <rFont val="Tahoma"/>
            <charset val="1"/>
          </rPr>
          <t>chucks data as base; 28.5 gr powder</t>
        </r>
      </text>
    </comment>
    <comment ref="B33" authorId="0">
      <text>
        <r>
          <rPr>
            <b/>
            <sz val="9"/>
            <color indexed="81"/>
            <rFont val="Tahoma"/>
            <charset val="1"/>
          </rPr>
          <t>Not precise fit, M80 is 147@2700, but good enough, 46 gr powder</t>
        </r>
      </text>
    </comment>
    <comment ref="B37" authorId="0">
      <text>
        <r>
          <rPr>
            <b/>
            <sz val="9"/>
            <color indexed="81"/>
            <rFont val="Tahoma"/>
            <charset val="1"/>
          </rPr>
          <t>24 gr powder, source azerbaijan N231S</t>
        </r>
      </text>
    </comment>
    <comment ref="B39" authorId="0">
      <text>
        <r>
          <rPr>
            <b/>
            <sz val="9"/>
            <color indexed="81"/>
            <rFont val="Tahoma"/>
            <charset val="1"/>
          </rPr>
          <t>22.2 gr powder, source azerbaijan 7N10</t>
        </r>
      </text>
    </comment>
    <comment ref="B40" authorId="0">
      <text>
        <r>
          <rPr>
            <b/>
            <sz val="9"/>
            <color indexed="81"/>
            <rFont val="Tahoma"/>
            <charset val="1"/>
          </rPr>
          <t>48 gr powder, Azerbeijan 57N323S</t>
        </r>
      </text>
    </comment>
    <comment ref="B49" authorId="0">
      <text>
        <r>
          <rPr>
            <b/>
            <sz val="9"/>
            <color indexed="81"/>
            <rFont val="Tahoma"/>
            <charset val="1"/>
          </rPr>
          <t>http://www.chuckhawks.com/most_versatile_handgun.htm</t>
        </r>
      </text>
    </comment>
    <comment ref="A56" authorId="0">
      <text>
        <r>
          <rPr>
            <b/>
            <sz val="9"/>
            <color indexed="81"/>
            <rFont val="Tahoma"/>
            <family val="2"/>
          </rPr>
          <t>poor accuracy?, pron referring to PAB9</t>
        </r>
        <r>
          <rPr>
            <sz val="9"/>
            <color indexed="81"/>
            <rFont val="Tahoma"/>
            <family val="2"/>
          </rPr>
          <t xml:space="preserve">
</t>
        </r>
      </text>
    </comment>
    <comment ref="B56" authorId="0">
      <text>
        <r>
          <rPr>
            <b/>
            <sz val="9"/>
            <color indexed="81"/>
            <rFont val="Tahoma"/>
            <family val="2"/>
          </rPr>
          <t>sniper version, SP5, 9.3 gr powder?</t>
        </r>
      </text>
    </comment>
    <comment ref="B63" authorId="0">
      <text>
        <r>
          <rPr>
            <b/>
            <sz val="9"/>
            <color indexed="81"/>
            <rFont val="Tahoma"/>
            <family val="2"/>
          </rPr>
          <t>military load, 5 gr powder</t>
        </r>
      </text>
    </comment>
    <comment ref="B65" authorId="0">
      <text>
        <r>
          <rPr>
            <b/>
            <sz val="9"/>
            <color indexed="81"/>
            <rFont val="Tahoma"/>
            <family val="2"/>
          </rPr>
          <t>cartridge: 3.25g</t>
        </r>
      </text>
    </comment>
    <comment ref="B66" authorId="0">
      <text>
        <r>
          <rPr>
            <b/>
            <sz val="9"/>
            <color indexed="81"/>
            <rFont val="Tahoma"/>
            <family val="2"/>
          </rPr>
          <t>5-6g cartridge</t>
        </r>
      </text>
    </comment>
    <comment ref="B68" authorId="0">
      <text>
        <r>
          <rPr>
            <b/>
            <sz val="9"/>
            <color indexed="81"/>
            <rFont val="Tahoma"/>
            <family val="2"/>
          </rPr>
          <t>SS190; weight cart 6g, powder 6.4 gr</t>
        </r>
      </text>
    </comment>
  </commentList>
</comments>
</file>

<file path=xl/comments2.xml><?xml version="1.0" encoding="utf-8"?>
<comments xmlns="http://schemas.openxmlformats.org/spreadsheetml/2006/main">
  <authors>
    <author>Autor</author>
  </authors>
  <commentList>
    <comment ref="G1" authorId="0">
      <text>
        <r>
          <rPr>
            <b/>
            <sz val="9"/>
            <color indexed="81"/>
            <rFont val="Tahoma"/>
            <charset val="1"/>
          </rPr>
          <t>ft/lbs, recoil energy of gun….(whats the point????)</t>
        </r>
      </text>
    </comment>
    <comment ref="H1" authorId="0">
      <text>
        <r>
          <rPr>
            <b/>
            <sz val="9"/>
            <color indexed="81"/>
            <rFont val="Tahoma"/>
            <charset val="1"/>
          </rPr>
          <t>ft/s; recoil Vol of gun</t>
        </r>
      </text>
    </comment>
    <comment ref="I1" authorId="0">
      <text>
        <r>
          <rPr>
            <b/>
            <sz val="9"/>
            <color indexed="81"/>
            <rFont val="Tahoma"/>
            <charset val="1"/>
          </rPr>
          <t>total recoil impuls of gun</t>
        </r>
      </text>
    </comment>
    <comment ref="K1" authorId="0">
      <text/>
    </comment>
    <comment ref="D2" authorId="0">
      <text>
        <r>
          <rPr>
            <b/>
            <sz val="9"/>
            <color indexed="81"/>
            <rFont val="Tahoma"/>
            <family val="2"/>
          </rPr>
          <t>30rd mag=.5 kg</t>
        </r>
      </text>
    </comment>
    <comment ref="D15" authorId="0">
      <text>
        <r>
          <rPr>
            <b/>
            <sz val="9"/>
            <color indexed="81"/>
            <rFont val="Tahoma"/>
            <family val="2"/>
          </rPr>
          <t>45rd mag=.75 kg</t>
        </r>
      </text>
    </comment>
  </commentList>
</comments>
</file>

<file path=xl/comments3.xml><?xml version="1.0" encoding="utf-8"?>
<comments xmlns="http://schemas.openxmlformats.org/spreadsheetml/2006/main">
  <authors>
    <author>Autor</author>
  </authors>
  <commentList>
    <comment ref="G1" authorId="0">
      <text>
        <r>
          <rPr>
            <b/>
            <sz val="9"/>
            <color indexed="81"/>
            <rFont val="Tahoma"/>
            <charset val="1"/>
          </rPr>
          <t>ft/lbs, recoil energy of gun….(whats the point????)</t>
        </r>
      </text>
    </comment>
    <comment ref="H1" authorId="0">
      <text>
        <r>
          <rPr>
            <b/>
            <sz val="9"/>
            <color indexed="81"/>
            <rFont val="Tahoma"/>
            <charset val="1"/>
          </rPr>
          <t>ft/s; recoil Vol of gun</t>
        </r>
      </text>
    </comment>
    <comment ref="I1" authorId="0">
      <text>
        <r>
          <rPr>
            <b/>
            <sz val="9"/>
            <color indexed="81"/>
            <rFont val="Tahoma"/>
            <charset val="1"/>
          </rPr>
          <t>total recoil impuls of gun</t>
        </r>
      </text>
    </comment>
    <comment ref="B2" authorId="0">
      <text>
        <r>
          <rPr>
            <b/>
            <sz val="9"/>
            <color indexed="81"/>
            <rFont val="Tahoma"/>
            <family val="2"/>
          </rPr>
          <t>3025 fps</t>
        </r>
      </text>
    </comment>
    <comment ref="D2" authorId="0">
      <text>
        <r>
          <rPr>
            <b/>
            <sz val="9"/>
            <color indexed="81"/>
            <rFont val="Tahoma"/>
            <family val="2"/>
          </rPr>
          <t>30rd mag=.53kg</t>
        </r>
      </text>
    </comment>
    <comment ref="D5" authorId="0">
      <text>
        <r>
          <rPr>
            <b/>
            <sz val="9"/>
            <color indexed="81"/>
            <rFont val="Tahoma"/>
            <family val="2"/>
          </rPr>
          <t>excl. SUSAT</t>
        </r>
      </text>
    </comment>
    <comment ref="D9" authorId="0">
      <text>
        <r>
          <rPr>
            <b/>
            <sz val="9"/>
            <color indexed="81"/>
            <rFont val="Tahoma"/>
            <family val="2"/>
          </rPr>
          <t>estimate</t>
        </r>
      </text>
    </comment>
    <comment ref="B13" authorId="0">
      <text>
        <r>
          <rPr>
            <b/>
            <sz val="9"/>
            <color indexed="81"/>
            <rFont val="Tahoma"/>
            <family val="2"/>
          </rPr>
          <t>very unreliable, thin barrel</t>
        </r>
      </text>
    </comment>
    <comment ref="B15" authorId="0">
      <text>
        <r>
          <rPr>
            <b/>
            <sz val="9"/>
            <color indexed="81"/>
            <rFont val="Tahoma"/>
            <family val="2"/>
          </rPr>
          <t>2900 fps</t>
        </r>
      </text>
    </comment>
    <comment ref="B19" authorId="0">
      <text>
        <r>
          <rPr>
            <b/>
            <sz val="9"/>
            <color indexed="81"/>
            <rFont val="Tahoma"/>
            <family val="2"/>
          </rPr>
          <t>reduce reliability</t>
        </r>
      </text>
    </comment>
    <comment ref="Q24" authorId="0">
      <text>
        <r>
          <rPr>
            <b/>
            <sz val="9"/>
            <color indexed="81"/>
            <rFont val="Tahoma"/>
            <family val="2"/>
          </rPr>
          <t>Graph Barrel length-velocity</t>
        </r>
      </text>
    </comment>
    <comment ref="B25" authorId="0">
      <text>
        <r>
          <rPr>
            <b/>
            <sz val="9"/>
            <color indexed="81"/>
            <rFont val="Tahoma"/>
            <family val="2"/>
          </rPr>
          <t>2800 fps</t>
        </r>
      </text>
    </comment>
    <comment ref="B31" authorId="0">
      <text>
        <r>
          <rPr>
            <b/>
            <sz val="9"/>
            <color indexed="81"/>
            <rFont val="Tahoma"/>
            <family val="2"/>
          </rPr>
          <t>2700 fps</t>
        </r>
      </text>
    </comment>
    <comment ref="B39" authorId="0">
      <text>
        <r>
          <rPr>
            <b/>
            <sz val="9"/>
            <color indexed="81"/>
            <rFont val="Tahoma"/>
            <family val="2"/>
          </rPr>
          <t>delete? Double entry with xm177</t>
        </r>
      </text>
    </comment>
    <comment ref="B41" authorId="0">
      <text>
        <r>
          <rPr>
            <b/>
            <sz val="9"/>
            <color indexed="81"/>
            <rFont val="Tahoma"/>
            <family val="2"/>
          </rPr>
          <t>2550 fps</t>
        </r>
      </text>
    </comment>
    <comment ref="D48" authorId="0">
      <text>
        <r>
          <rPr>
            <b/>
            <sz val="9"/>
            <color indexed="81"/>
            <rFont val="Tahoma"/>
            <family val="2"/>
          </rPr>
          <t>estimate</t>
        </r>
      </text>
    </comment>
    <comment ref="D52" authorId="0">
      <text>
        <r>
          <rPr>
            <b/>
            <sz val="9"/>
            <color indexed="81"/>
            <rFont val="Tahoma"/>
            <family val="2"/>
          </rPr>
          <t>42 rd mag= .67 kg</t>
        </r>
      </text>
    </comment>
    <comment ref="D56" authorId="0">
      <text>
        <r>
          <rPr>
            <b/>
            <sz val="9"/>
            <color indexed="81"/>
            <rFont val="Tahoma"/>
            <family val="2"/>
          </rPr>
          <t>100 rd box=1.5 kg</t>
        </r>
      </text>
    </comment>
    <comment ref="B57" authorId="0">
      <text>
        <r>
          <rPr>
            <b/>
            <sz val="9"/>
            <color indexed="81"/>
            <rFont val="Tahoma"/>
            <charset val="1"/>
          </rPr>
          <t>Mark 3 assumed</t>
        </r>
      </text>
    </comment>
    <comment ref="B58" authorId="0">
      <text>
        <r>
          <rPr>
            <b/>
            <sz val="9"/>
            <color indexed="81"/>
            <rFont val="Tahoma"/>
            <family val="2"/>
          </rPr>
          <t>poor reliability</t>
        </r>
      </text>
    </comment>
    <comment ref="D63" authorId="0">
      <text>
        <r>
          <rPr>
            <b/>
            <sz val="9"/>
            <color indexed="81"/>
            <rFont val="Tahoma"/>
            <family val="2"/>
          </rPr>
          <t>200 rd box=3.15 kg</t>
        </r>
      </text>
    </comment>
    <comment ref="B64" authorId="0">
      <text>
        <r>
          <rPr>
            <b/>
            <sz val="9"/>
            <color indexed="81"/>
            <rFont val="Tahoma"/>
            <charset val="1"/>
          </rPr>
          <t>doesnt exist, assumed to be MG4E</t>
        </r>
      </text>
    </comment>
  </commentList>
</comments>
</file>

<file path=xl/comments4.xml><?xml version="1.0" encoding="utf-8"?>
<comments xmlns="http://schemas.openxmlformats.org/spreadsheetml/2006/main">
  <authors>
    <author>Autor</author>
  </authors>
  <commentList>
    <comment ref="G1" authorId="0">
      <text>
        <r>
          <rPr>
            <b/>
            <sz val="9"/>
            <color indexed="81"/>
            <rFont val="Tahoma"/>
            <charset val="1"/>
          </rPr>
          <t>ft/lbs, recoil energy of gun….(whats the point????)</t>
        </r>
      </text>
    </comment>
    <comment ref="H1" authorId="0">
      <text>
        <r>
          <rPr>
            <b/>
            <sz val="9"/>
            <color indexed="81"/>
            <rFont val="Tahoma"/>
            <charset val="1"/>
          </rPr>
          <t>ft/s; recoil Vol of gun</t>
        </r>
      </text>
    </comment>
    <comment ref="I1" authorId="0">
      <text>
        <r>
          <rPr>
            <b/>
            <sz val="9"/>
            <color indexed="81"/>
            <rFont val="Tahoma"/>
            <charset val="1"/>
          </rPr>
          <t>total recoil impuls of gun</t>
        </r>
      </text>
    </comment>
    <comment ref="D2" authorId="0">
      <text>
        <r>
          <rPr>
            <b/>
            <sz val="9"/>
            <color indexed="81"/>
            <rFont val="Tahoma"/>
            <family val="2"/>
          </rPr>
          <t>30rd mag=.82  kg</t>
        </r>
      </text>
    </comment>
    <comment ref="B7" authorId="0">
      <text>
        <r>
          <rPr>
            <b/>
            <sz val="9"/>
            <color indexed="81"/>
            <rFont val="Tahoma"/>
            <charset val="1"/>
          </rPr>
          <t>reduced accuracy due to flimsy stock</t>
        </r>
      </text>
    </comment>
    <comment ref="B8" authorId="0">
      <text>
        <r>
          <rPr>
            <b/>
            <sz val="9"/>
            <color indexed="81"/>
            <rFont val="Tahoma"/>
            <charset val="1"/>
          </rPr>
          <t>DI, poor reliability, good acc</t>
        </r>
      </text>
    </comment>
    <comment ref="B11" authorId="0">
      <text>
        <r>
          <rPr>
            <b/>
            <sz val="9"/>
            <color indexed="81"/>
            <rFont val="Tahoma"/>
            <charset val="1"/>
          </rPr>
          <t>The gain in accuracy in full auto is about 15-20%, when compared to the AK-74 assault rifle in the same caliber. The AN-94 assault rifle, which was officially adopted by Russian army, has a slight edge over the AEK-971 only in short burst (2 rounds only) mode. In full-auto medium or long burst fire mode (3-5 or 7-10 rounds per burst) AEK-971 wins hands down, being also some 0.5kg lighter than the AN-94, and much simpler and cheaper to manufacture.
lower reliability, harder to repair (many more parts, more complex)</t>
        </r>
      </text>
    </comment>
    <comment ref="B14" authorId="0">
      <text>
        <r>
          <rPr>
            <b/>
            <sz val="9"/>
            <color indexed="81"/>
            <rFont val="Tahoma"/>
            <charset val="1"/>
          </rPr>
          <t>reduced accuracy due to flimsy stock</t>
        </r>
      </text>
    </comment>
    <comment ref="D22" authorId="0">
      <text>
        <r>
          <rPr>
            <b/>
            <sz val="9"/>
            <color indexed="81"/>
            <rFont val="Tahoma"/>
            <charset val="1"/>
          </rPr>
          <t>unconfirmed</t>
        </r>
      </text>
    </comment>
    <comment ref="D26" authorId="0">
      <text>
        <r>
          <rPr>
            <b/>
            <sz val="9"/>
            <color indexed="81"/>
            <rFont val="Tahoma"/>
            <family val="2"/>
          </rPr>
          <t>75rd drum=2.1 kg</t>
        </r>
      </text>
    </comment>
  </commentList>
</comments>
</file>

<file path=xl/comments5.xml><?xml version="1.0" encoding="utf-8"?>
<comments xmlns="http://schemas.openxmlformats.org/spreadsheetml/2006/main">
  <authors>
    <author>Autor</author>
  </authors>
  <commentList>
    <comment ref="G1" authorId="0">
      <text>
        <r>
          <rPr>
            <b/>
            <sz val="9"/>
            <color indexed="81"/>
            <rFont val="Tahoma"/>
            <charset val="1"/>
          </rPr>
          <t>ft/lbs, recoil energy of gun….(whats the point????)</t>
        </r>
      </text>
    </comment>
    <comment ref="H1" authorId="0">
      <text>
        <r>
          <rPr>
            <b/>
            <sz val="9"/>
            <color indexed="81"/>
            <rFont val="Tahoma"/>
            <charset val="1"/>
          </rPr>
          <t>ft/s; recoil Vol of gun</t>
        </r>
      </text>
    </comment>
    <comment ref="I1" authorId="0">
      <text>
        <r>
          <rPr>
            <b/>
            <sz val="9"/>
            <color indexed="81"/>
            <rFont val="Tahoma"/>
            <charset val="1"/>
          </rPr>
          <t>total recoil impuls of gun</t>
        </r>
      </text>
    </comment>
    <comment ref="D2" authorId="0">
      <text>
        <r>
          <rPr>
            <b/>
            <sz val="9"/>
            <color indexed="81"/>
            <rFont val="Tahoma"/>
            <family val="2"/>
          </rPr>
          <t>25rd mag=.65 kg</t>
        </r>
      </text>
    </comment>
    <comment ref="D3" authorId="0">
      <text>
        <r>
          <rPr>
            <b/>
            <sz val="9"/>
            <color indexed="81"/>
            <rFont val="Tahoma"/>
            <charset val="1"/>
          </rPr>
          <t>Estimate</t>
        </r>
      </text>
    </comment>
    <comment ref="E3" authorId="0">
      <text>
        <r>
          <rPr>
            <b/>
            <sz val="9"/>
            <color indexed="81"/>
            <rFont val="Tahoma"/>
            <charset val="1"/>
          </rPr>
          <t>Estimate</t>
        </r>
      </text>
    </comment>
    <comment ref="D4" authorId="0">
      <text>
        <r>
          <rPr>
            <b/>
            <sz val="9"/>
            <color indexed="81"/>
            <rFont val="Tahoma"/>
            <charset val="1"/>
          </rPr>
          <t>Estimate</t>
        </r>
      </text>
    </comment>
    <comment ref="B6" authorId="0">
      <text>
        <r>
          <rPr>
            <b/>
            <sz val="9"/>
            <color indexed="81"/>
            <rFont val="Tahoma"/>
            <family val="2"/>
          </rPr>
          <t>DI</t>
        </r>
      </text>
    </comment>
    <comment ref="B7" authorId="0">
      <text>
        <r>
          <rPr>
            <b/>
            <sz val="9"/>
            <color indexed="81"/>
            <rFont val="Tahoma"/>
            <charset val="1"/>
          </rPr>
          <t>DI</t>
        </r>
      </text>
    </comment>
    <comment ref="D8" authorId="0">
      <text>
        <r>
          <rPr>
            <b/>
            <sz val="9"/>
            <color indexed="81"/>
            <rFont val="Tahoma"/>
            <charset val="1"/>
          </rPr>
          <t>Estimate</t>
        </r>
      </text>
    </comment>
  </commentList>
</comments>
</file>

<file path=xl/comments6.xml><?xml version="1.0" encoding="utf-8"?>
<comments xmlns="http://schemas.openxmlformats.org/spreadsheetml/2006/main">
  <authors>
    <author>Autor</author>
  </authors>
  <commentList>
    <comment ref="G1" authorId="0">
      <text>
        <r>
          <rPr>
            <b/>
            <sz val="9"/>
            <color indexed="81"/>
            <rFont val="Tahoma"/>
            <charset val="1"/>
          </rPr>
          <t>ft/lbs, recoil energy of gun….(whats the point????)</t>
        </r>
      </text>
    </comment>
    <comment ref="H1" authorId="0">
      <text>
        <r>
          <rPr>
            <b/>
            <sz val="9"/>
            <color indexed="81"/>
            <rFont val="Tahoma"/>
            <charset val="1"/>
          </rPr>
          <t>ft/s; recoil Vol of gun</t>
        </r>
      </text>
    </comment>
    <comment ref="I1" authorId="0">
      <text>
        <r>
          <rPr>
            <b/>
            <sz val="9"/>
            <color indexed="81"/>
            <rFont val="Tahoma"/>
            <charset val="1"/>
          </rPr>
          <t>total recoil impuls of gun</t>
        </r>
      </text>
    </comment>
    <comment ref="D2" authorId="0">
      <text>
        <r>
          <rPr>
            <b/>
            <sz val="9"/>
            <color indexed="81"/>
            <rFont val="Tahoma"/>
            <family val="2"/>
          </rPr>
          <t>20rd mag=.8 kg</t>
        </r>
      </text>
    </comment>
    <comment ref="B9" authorId="0">
      <text>
        <r>
          <rPr>
            <b/>
            <sz val="9"/>
            <color indexed="81"/>
            <rFont val="Tahoma"/>
            <family val="2"/>
          </rPr>
          <t>should be classed as sniper rifle</t>
        </r>
      </text>
    </comment>
    <comment ref="B15" authorId="0">
      <text>
        <r>
          <rPr>
            <b/>
            <sz val="9"/>
            <color indexed="81"/>
            <rFont val="Tahoma"/>
            <family val="2"/>
          </rPr>
          <t>assume 50.62</t>
        </r>
      </text>
    </comment>
    <comment ref="B19" authorId="0">
      <text>
        <r>
          <rPr>
            <b/>
            <sz val="9"/>
            <color indexed="81"/>
            <rFont val="Tahoma"/>
            <family val="2"/>
          </rPr>
          <t>SA58OSW</t>
        </r>
      </text>
    </comment>
    <comment ref="B24" authorId="0">
      <text>
        <r>
          <rPr>
            <b/>
            <sz val="9"/>
            <color indexed="81"/>
            <rFont val="Tahoma"/>
            <family val="2"/>
          </rPr>
          <t>bad reliability</t>
        </r>
      </text>
    </comment>
    <comment ref="D28" authorId="0">
      <text>
        <r>
          <rPr>
            <b/>
            <sz val="9"/>
            <color indexed="81"/>
            <rFont val="Tahoma"/>
            <family val="2"/>
          </rPr>
          <t>100rd link in box= 3.1 kg</t>
        </r>
      </text>
    </comment>
    <comment ref="B32" authorId="0">
      <text>
        <r>
          <rPr>
            <b/>
            <sz val="9"/>
            <color indexed="81"/>
            <rFont val="Tahoma"/>
            <family val="2"/>
          </rPr>
          <t>bad reliability</t>
        </r>
      </text>
    </comment>
  </commentList>
</comments>
</file>

<file path=xl/comments7.xml><?xml version="1.0" encoding="utf-8"?>
<comments xmlns="http://schemas.openxmlformats.org/spreadsheetml/2006/main">
  <authors>
    <author>Autor</author>
  </authors>
  <commentList>
    <comment ref="G1" authorId="0">
      <text>
        <r>
          <rPr>
            <b/>
            <sz val="9"/>
            <color indexed="81"/>
            <rFont val="Tahoma"/>
            <charset val="1"/>
          </rPr>
          <t>ft/lbs, recoil energy of gun….(whats the point????)</t>
        </r>
      </text>
    </comment>
    <comment ref="H1" authorId="0">
      <text>
        <r>
          <rPr>
            <b/>
            <sz val="9"/>
            <color indexed="81"/>
            <rFont val="Tahoma"/>
            <charset val="1"/>
          </rPr>
          <t>ft/s; recoil Vol of gun</t>
        </r>
      </text>
    </comment>
    <comment ref="I1" authorId="0">
      <text>
        <r>
          <rPr>
            <b/>
            <sz val="9"/>
            <color indexed="81"/>
            <rFont val="Tahoma"/>
            <charset val="1"/>
          </rPr>
          <t>total recoil impuls of gun</t>
        </r>
      </text>
    </comment>
    <comment ref="D2" authorId="0">
      <text>
        <r>
          <rPr>
            <b/>
            <sz val="9"/>
            <color indexed="81"/>
            <rFont val="Tahoma"/>
            <family val="2"/>
          </rPr>
          <t>200rd belt=8kg</t>
        </r>
      </text>
    </comment>
  </commentList>
</comments>
</file>

<file path=xl/comments8.xml><?xml version="1.0" encoding="utf-8"?>
<comments xmlns="http://schemas.openxmlformats.org/spreadsheetml/2006/main">
  <authors>
    <author>Autor</author>
  </authors>
  <commentList>
    <comment ref="G1" authorId="0">
      <text>
        <r>
          <rPr>
            <b/>
            <sz val="9"/>
            <color indexed="81"/>
            <rFont val="Tahoma"/>
            <charset val="1"/>
          </rPr>
          <t>ft/lbs, recoil energy of gun….(whats the point????)</t>
        </r>
      </text>
    </comment>
    <comment ref="H1" authorId="0">
      <text>
        <r>
          <rPr>
            <b/>
            <sz val="9"/>
            <color indexed="81"/>
            <rFont val="Tahoma"/>
            <charset val="1"/>
          </rPr>
          <t>ft/s; recoil Vol of gun</t>
        </r>
      </text>
    </comment>
    <comment ref="I1" authorId="0">
      <text>
        <r>
          <rPr>
            <b/>
            <sz val="9"/>
            <color indexed="81"/>
            <rFont val="Tahoma"/>
            <charset val="1"/>
          </rPr>
          <t>total recoil impuls of gun</t>
        </r>
      </text>
    </comment>
    <comment ref="Q2" authorId="0">
      <text>
        <r>
          <rPr>
            <b/>
            <sz val="9"/>
            <color indexed="81"/>
            <rFont val="Tahoma"/>
            <family val="2"/>
          </rPr>
          <t>US Mil ball</t>
        </r>
      </text>
    </comment>
    <comment ref="B9" authorId="0">
      <text>
        <r>
          <rPr>
            <b/>
            <sz val="9"/>
            <color indexed="81"/>
            <rFont val="Tahoma"/>
            <family val="2"/>
          </rPr>
          <t>should be 9x19</t>
        </r>
      </text>
    </comment>
  </commentList>
</comments>
</file>

<file path=xl/comments9.xml><?xml version="1.0" encoding="utf-8"?>
<comments xmlns="http://schemas.openxmlformats.org/spreadsheetml/2006/main">
  <authors>
    <author>Autor</author>
  </authors>
  <commentList>
    <comment ref="G1" authorId="0">
      <text>
        <r>
          <rPr>
            <b/>
            <sz val="9"/>
            <color indexed="81"/>
            <rFont val="Tahoma"/>
            <charset val="1"/>
          </rPr>
          <t>ft/lbs, recoil energy of gun….(whats the point????)</t>
        </r>
      </text>
    </comment>
    <comment ref="H1" authorId="0">
      <text>
        <r>
          <rPr>
            <b/>
            <sz val="9"/>
            <color indexed="81"/>
            <rFont val="Tahoma"/>
            <charset val="1"/>
          </rPr>
          <t>ft/s; recoil Vol of gun</t>
        </r>
      </text>
    </comment>
    <comment ref="I1" authorId="0">
      <text>
        <r>
          <rPr>
            <b/>
            <sz val="9"/>
            <color indexed="81"/>
            <rFont val="Tahoma"/>
            <charset val="1"/>
          </rPr>
          <t>total recoil impuls of gun</t>
        </r>
      </text>
    </comment>
    <comment ref="D2" authorId="0">
      <text>
        <r>
          <rPr>
            <b/>
            <sz val="9"/>
            <color indexed="81"/>
            <rFont val="Tahoma"/>
            <family val="2"/>
          </rPr>
          <t>20rd mag=.8 kg</t>
        </r>
      </text>
    </comment>
    <comment ref="B3" authorId="0">
      <text>
        <r>
          <rPr>
            <b/>
            <sz val="9"/>
            <color indexed="81"/>
            <rFont val="Tahoma"/>
            <family val="2"/>
          </rPr>
          <t>dimensions and weight wise should be smg</t>
        </r>
      </text>
    </comment>
    <comment ref="C4" authorId="0">
      <text>
        <r>
          <rPr>
            <b/>
            <sz val="9"/>
            <color indexed="81"/>
            <rFont val="Tahoma"/>
            <family val="2"/>
          </rPr>
          <t>full mag .817 kg</t>
        </r>
      </text>
    </comment>
    <comment ref="B12" authorId="0">
      <text>
        <r>
          <rPr>
            <b/>
            <sz val="9"/>
            <color indexed="81"/>
            <rFont val="Tahoma"/>
            <family val="2"/>
          </rPr>
          <t>15rd mag is about .08kg</t>
        </r>
      </text>
    </comment>
    <comment ref="D23" authorId="0">
      <text>
        <r>
          <rPr>
            <b/>
            <sz val="9"/>
            <color indexed="81"/>
            <rFont val="Tahoma"/>
            <charset val="1"/>
          </rPr>
          <t>incl. Silencer</t>
        </r>
      </text>
    </comment>
    <comment ref="B29" authorId="0">
      <text>
        <r>
          <rPr>
            <b/>
            <sz val="9"/>
            <color indexed="81"/>
            <rFont val="Tahoma"/>
            <family val="2"/>
          </rPr>
          <t>http://www.famae.cl/slimbox/ficha_saf.php</t>
        </r>
      </text>
    </comment>
    <comment ref="D30" authorId="0">
      <text>
        <r>
          <rPr>
            <b/>
            <sz val="9"/>
            <color indexed="81"/>
            <rFont val="Tahoma"/>
            <family val="2"/>
          </rPr>
          <t>uzi mag</t>
        </r>
      </text>
    </comment>
    <comment ref="C31" authorId="0">
      <text>
        <r>
          <rPr>
            <b/>
            <sz val="9"/>
            <color indexed="81"/>
            <rFont val="Tahoma"/>
            <family val="2"/>
          </rPr>
          <t>full mag .817 kg</t>
        </r>
      </text>
    </comment>
  </commentList>
</comments>
</file>

<file path=xl/sharedStrings.xml><?xml version="1.0" encoding="utf-8"?>
<sst xmlns="http://schemas.openxmlformats.org/spreadsheetml/2006/main" count="616" uniqueCount="385">
  <si>
    <t>.223 Rem. (62 at 3025)</t>
  </si>
  <si>
    <t>Cartridge (Wb@MV)</t>
  </si>
  <si>
    <t>Rifle Weight</t>
  </si>
  <si>
    <t>Recoil energy</t>
  </si>
  <si>
    <t>Recoil velocity</t>
  </si>
  <si>
    <t>Game ammo</t>
  </si>
  <si>
    <t>6.8mm Rem. SPC (115 at 2625)</t>
  </si>
  <si>
    <t>.30 Carbine (110 at 1990)</t>
  </si>
  <si>
    <t>7.62x39 Soviet (125 at 2350)</t>
  </si>
  <si>
    <t>7.62x54R Russian (150 at 2800)</t>
  </si>
  <si>
    <t>.338 Lapua Mag. (225 at 3000)</t>
  </si>
  <si>
    <t>10mm Auto (180 at 1295)</t>
  </si>
  <si>
    <t>10mm</t>
  </si>
  <si>
    <t>0.30 Car</t>
  </si>
  <si>
    <t>.308 Win. (150 at 2800)</t>
  </si>
  <si>
    <t>7.62x51</t>
  </si>
  <si>
    <t>7.62x39</t>
  </si>
  <si>
    <t>7.62x54R</t>
  </si>
  <si>
    <t>.338 Lapua</t>
  </si>
  <si>
    <t>.40 SW</t>
  </si>
  <si>
    <t>.454 Casull</t>
  </si>
  <si>
    <t>.5 Beowulf</t>
  </si>
  <si>
    <t>9x18</t>
  </si>
  <si>
    <t>9x19</t>
  </si>
  <si>
    <t>9x39</t>
  </si>
  <si>
    <t>4.6x30</t>
  </si>
  <si>
    <t>5.7x28</t>
  </si>
  <si>
    <t>.300 WM</t>
  </si>
  <si>
    <t>7.62x25</t>
  </si>
  <si>
    <t>7.62x37</t>
  </si>
  <si>
    <t>0.45 WM</t>
  </si>
  <si>
    <t>.5 Action Exp</t>
  </si>
  <si>
    <t>12.7x108</t>
  </si>
  <si>
    <t>.30-06</t>
  </si>
  <si>
    <t>.50 BMG (647 at 2710)</t>
  </si>
  <si>
    <t>.50 BMG</t>
  </si>
  <si>
    <t>.50 Action Express (325 at 1294)</t>
  </si>
  <si>
    <t>454 Casull (260 at 1800)</t>
  </si>
  <si>
    <t>General info:</t>
  </si>
  <si>
    <t>http://www.chuckhawks.com/rifle_recoil.htm</t>
  </si>
  <si>
    <t>http://www.chuckhawks.com/caliber_rifle_weight_recoil.htm</t>
  </si>
  <si>
    <t>http://world.guns.ru/ammunition/pistol-cartridges-e.html</t>
  </si>
  <si>
    <t>http://world.guns.ru/ammunition/intermediate-cartridges-e.html</t>
  </si>
  <si>
    <t>http://world.guns.ru/ammunition/rifle-cartridges-e.html</t>
  </si>
  <si>
    <t>http://world.guns.ru/ammunition/revolver-cartridges-e.html</t>
  </si>
  <si>
    <t>http://www.chuckhawks.com/most_versatile_handgun.htm</t>
  </si>
  <si>
    <t>.357 Mag. (125 at 1450)</t>
  </si>
  <si>
    <t>9x19 (124 at 1250)</t>
  </si>
  <si>
    <t>http://www.chuckhawks.com/handgun_recoil_table.htm</t>
  </si>
  <si>
    <t>http://www.223reloads.com/home/223-5-56-info/223-5-56-reloading/duplicatingnato</t>
  </si>
  <si>
    <t>9mm Makarov (95 at 1025)</t>
  </si>
  <si>
    <t>http://www.angelfire.com/art/enchanter/makarov.html</t>
  </si>
  <si>
    <t>Notes</t>
  </si>
  <si>
    <t>7.62x25 (85 at 1575)</t>
  </si>
  <si>
    <t>http://thefiringline.com/forums/showthread.php?t=424147</t>
  </si>
  <si>
    <t>0.38 Spc</t>
  </si>
  <si>
    <t>.40 S&amp;W (180 at 1027)</t>
  </si>
  <si>
    <t>Pistol/SMG</t>
  </si>
  <si>
    <t>http://www.chuckhawks.com/recoil_table.htm</t>
  </si>
  <si>
    <t>FN FNC</t>
  </si>
  <si>
    <t>SIG550</t>
  </si>
  <si>
    <t>Diemaco C7</t>
  </si>
  <si>
    <t>RecoilImpulse</t>
  </si>
  <si>
    <t>FN 2000</t>
  </si>
  <si>
    <t>HK G36</t>
  </si>
  <si>
    <t>INSAS</t>
  </si>
  <si>
    <t>SA80</t>
  </si>
  <si>
    <t>AK108</t>
  </si>
  <si>
    <t>FAMAS G2</t>
  </si>
  <si>
    <t>Tavor TAR21</t>
  </si>
  <si>
    <t>SIG540</t>
  </si>
  <si>
    <t>M16A4</t>
  </si>
  <si>
    <t>QBZ97</t>
  </si>
  <si>
    <t>SAR21</t>
  </si>
  <si>
    <t>SIG551</t>
  </si>
  <si>
    <t>SIG552</t>
  </si>
  <si>
    <t>HK 416 16</t>
  </si>
  <si>
    <t>HK 416 20</t>
  </si>
  <si>
    <t>5.56x45 (20)</t>
  </si>
  <si>
    <t>weight kg loaded</t>
  </si>
  <si>
    <t>http://sadefensejournal.com/wp/?p=1093</t>
  </si>
  <si>
    <t>20 Barrel</t>
  </si>
  <si>
    <t>16 Barrel</t>
  </si>
  <si>
    <t>14.5 Barrel</t>
  </si>
  <si>
    <t>barrel in</t>
  </si>
  <si>
    <t>HK G36K</t>
  </si>
  <si>
    <t>AK 102</t>
  </si>
  <si>
    <t>AR 70/90</t>
  </si>
  <si>
    <t>SCAR-L CQC</t>
  </si>
  <si>
    <t>Galil SAR</t>
  </si>
  <si>
    <t>Valmet M82</t>
  </si>
  <si>
    <t>XM8 Base</t>
  </si>
  <si>
    <t>XM8 Compact</t>
  </si>
  <si>
    <t>XM8 Sharpshooter</t>
  </si>
  <si>
    <t>M16A1</t>
  </si>
  <si>
    <t>Colt XM-177</t>
  </si>
  <si>
    <t>FN SCAR-L SV</t>
  </si>
  <si>
    <t>HK416 10</t>
  </si>
  <si>
    <t>Micro Galil</t>
  </si>
  <si>
    <t>HK G36C</t>
  </si>
  <si>
    <t>HK53A3</t>
  </si>
  <si>
    <t>M4 Commando</t>
  </si>
  <si>
    <t>M4A1</t>
  </si>
  <si>
    <t>10 Barrel</t>
  </si>
  <si>
    <t>18 Barrel</t>
  </si>
  <si>
    <t>AR</t>
  </si>
  <si>
    <t>5.56x45 (18)</t>
  </si>
  <si>
    <t>.223 Rem. (62 at 2900)</t>
  </si>
  <si>
    <t>5.56x45 (16)</t>
  </si>
  <si>
    <t>5.56x45 (14.5)</t>
  </si>
  <si>
    <t>5.56x45 (10)</t>
  </si>
  <si>
    <t>.223 Rem. (62 at 2550)</t>
  </si>
  <si>
    <t>.223 Rem. (62 at 2700)</t>
  </si>
  <si>
    <t>.223 Rem. (62 at 2800)</t>
  </si>
  <si>
    <t>Bullpup</t>
  </si>
  <si>
    <t>http://usarmy.vo.llnwd.net/e2/c/downloads/215919.pdf</t>
  </si>
  <si>
    <t>6.8x43 SPC (16)</t>
  </si>
  <si>
    <t>http://demigodllc.com/~zak/firearms/6.8SPC/faq.php</t>
  </si>
  <si>
    <t>6.8x43 SPC (18)</t>
  </si>
  <si>
    <t>6.8mm Rem. SPC (115 at 2750)</t>
  </si>
  <si>
    <t>6.8mm Rem. SPC (115 at 2500)</t>
  </si>
  <si>
    <t>6.8x43 SPC (12)</t>
  </si>
  <si>
    <t>Barret M468</t>
  </si>
  <si>
    <t>Bushmaster M4A3</t>
  </si>
  <si>
    <t>Robarms XCR1</t>
  </si>
  <si>
    <t>FN SCAR-68 CQC</t>
  </si>
  <si>
    <t>FN SCAR-68 SV</t>
  </si>
  <si>
    <t>Steyr AUG A3</t>
  </si>
  <si>
    <t>ID</t>
  </si>
  <si>
    <t>M14</t>
  </si>
  <si>
    <t>FN FAL</t>
  </si>
  <si>
    <t>HK G3A3</t>
  </si>
  <si>
    <t>HK 21E</t>
  </si>
  <si>
    <t>M1919 A6</t>
  </si>
  <si>
    <t>CETME Modelo C</t>
  </si>
  <si>
    <t>FN FAL Carbine</t>
  </si>
  <si>
    <t>FN FAL OSW</t>
  </si>
  <si>
    <t>FN MAG</t>
  </si>
  <si>
    <t>FN SCAR-H CQC</t>
  </si>
  <si>
    <t>Galil AR</t>
  </si>
  <si>
    <t>HK G3KA4</t>
  </si>
  <si>
    <t>M60E3</t>
  </si>
  <si>
    <t>SIG542</t>
  </si>
  <si>
    <t>FN SCAR-H SV</t>
  </si>
  <si>
    <t>M14 EBR</t>
  </si>
  <si>
    <t>Rheinmetall MG3</t>
  </si>
  <si>
    <t>HK 417</t>
  </si>
  <si>
    <t>FR Ordnance MC51</t>
  </si>
  <si>
    <t>MG</t>
  </si>
  <si>
    <t>http://www.quarry.nildram.co.uk/The%20Next%20Generation.htm</t>
  </si>
  <si>
    <t>http://www.falfiles.com/forums/showthread.php?p=3374235</t>
  </si>
  <si>
    <t>http://www.chuckhawks.com/rifle_barrel.htm</t>
  </si>
  <si>
    <t>http://www.thehighroad.org/showpost.php?p=1682924&amp;postcount=21</t>
  </si>
  <si>
    <t>http://www.whq-forum.de/invisionboard/index.php?showtopic=29808&amp;st=90</t>
  </si>
  <si>
    <t>AUG A2</t>
  </si>
  <si>
    <t>HK G41A2</t>
  </si>
  <si>
    <t>FN Minimi</t>
  </si>
  <si>
    <t>FN Minimi SPW</t>
  </si>
  <si>
    <t>HK 23E</t>
  </si>
  <si>
    <t>HK416 14</t>
  </si>
  <si>
    <t>HK MG36</t>
  </si>
  <si>
    <t>HK MG43</t>
  </si>
  <si>
    <t>Steyr AUG HBAR</t>
  </si>
  <si>
    <t>Ultimax</t>
  </si>
  <si>
    <t>Modifiers Recoil?:</t>
  </si>
  <si>
    <t>665, 755</t>
  </si>
  <si>
    <t>666, 756</t>
  </si>
  <si>
    <t>Ares M4 Shrike</t>
  </si>
  <si>
    <t>CETME Ameli</t>
  </si>
  <si>
    <t>5.56x45</t>
  </si>
  <si>
    <t>6.8x43 SPC</t>
  </si>
  <si>
    <t>http://www.worldwidemetric.com/measurements.html</t>
  </si>
  <si>
    <t>Ammo</t>
  </si>
  <si>
    <t>Bullet</t>
  </si>
  <si>
    <t>Powder</t>
  </si>
  <si>
    <t>http://www.quarry.nildram.co.uk/ballistics.htm</t>
  </si>
  <si>
    <t>Game Ammo</t>
  </si>
  <si>
    <t>Barrel length</t>
  </si>
  <si>
    <t>Impulse</t>
  </si>
  <si>
    <t>Wg</t>
  </si>
  <si>
    <t>W1gr</t>
  </si>
  <si>
    <t>W2gr</t>
  </si>
  <si>
    <t>Vp</t>
  </si>
  <si>
    <t>Powder charge Vol</t>
  </si>
  <si>
    <t>Vc</t>
  </si>
  <si>
    <t>Muzzle Vol</t>
  </si>
  <si>
    <t>Gun</t>
  </si>
  <si>
    <t>Generic Recoil Impulse</t>
  </si>
  <si>
    <t>Generic Recoil energy</t>
  </si>
  <si>
    <t>Generic Recoil velocity</t>
  </si>
  <si>
    <t>http://kwk.us/recoil.html</t>
  </si>
  <si>
    <t>7.62x51 (20)</t>
  </si>
  <si>
    <t>NATO M80 (147 at 2700)</t>
  </si>
  <si>
    <t>M855 (62 at 3025)</t>
  </si>
  <si>
    <t>M855 (62 at 2900)</t>
  </si>
  <si>
    <t>M855 (62 at 2800)</t>
  </si>
  <si>
    <t>M855 (62 at 2700)</t>
  </si>
  <si>
    <t>M855 (62 at 2550)</t>
  </si>
  <si>
    <t>http://www.m4carbine.net/archive/index.php/t-58669.html</t>
  </si>
  <si>
    <t>NATO M80 (147 at 2450)</t>
  </si>
  <si>
    <t>NATO M80 (147 at 2750)</t>
  </si>
  <si>
    <t>NATO M80 (147 at 2625)</t>
  </si>
  <si>
    <t>NATO M80 (147 at 2300)</t>
  </si>
  <si>
    <t>AKS-74U</t>
  </si>
  <si>
    <t>AK-74</t>
  </si>
  <si>
    <t>AEK-971</t>
  </si>
  <si>
    <t>AK-105</t>
  </si>
  <si>
    <t>AK-107</t>
  </si>
  <si>
    <t>AKS-74</t>
  </si>
  <si>
    <t>AN-94 "Abakan"</t>
  </si>
  <si>
    <t>RPK-74</t>
  </si>
  <si>
    <t>AKM</t>
  </si>
  <si>
    <t>AK-47</t>
  </si>
  <si>
    <t>AEK-973</t>
  </si>
  <si>
    <t>AK-103</t>
  </si>
  <si>
    <t>AK-104</t>
  </si>
  <si>
    <t>AKMS</t>
  </si>
  <si>
    <t>AKS-47</t>
  </si>
  <si>
    <t>AMD-65M</t>
  </si>
  <si>
    <t>Groza OC-14</t>
  </si>
  <si>
    <t>SA vz.58</t>
  </si>
  <si>
    <t>Valmet M76</t>
  </si>
  <si>
    <t>KAC SR-47</t>
  </si>
  <si>
    <t>AKMSU</t>
  </si>
  <si>
    <t>FN SCAR-WP CQC</t>
  </si>
  <si>
    <t>FN SCAR-WP SV</t>
  </si>
  <si>
    <t>RPD</t>
  </si>
  <si>
    <t>RPK</t>
  </si>
  <si>
    <t>Pecheneg</t>
  </si>
  <si>
    <t>PKM</t>
  </si>
  <si>
    <t>SMG</t>
  </si>
  <si>
    <t>MP</t>
  </si>
  <si>
    <t>Glock 18</t>
  </si>
  <si>
    <t>Beretta 93R</t>
  </si>
  <si>
    <t>HK MP5KA4</t>
  </si>
  <si>
    <t>Calico M-950</t>
  </si>
  <si>
    <t>Micro-Uzi</t>
  </si>
  <si>
    <t>Agram 2000</t>
  </si>
  <si>
    <t>FAMAE Mini SAF</t>
  </si>
  <si>
    <t>Cobray M11/9</t>
  </si>
  <si>
    <t>Mini-Uzi</t>
  </si>
  <si>
    <t>Steyr TMP</t>
  </si>
  <si>
    <t>Calico M-960A</t>
  </si>
  <si>
    <t>HK MP5A4</t>
  </si>
  <si>
    <t>HK MP5N</t>
  </si>
  <si>
    <t>HK MP5SD5</t>
  </si>
  <si>
    <t>Uzi</t>
  </si>
  <si>
    <t>Colt 9mm SMG</t>
  </si>
  <si>
    <t>Carl Gustaf M/45B</t>
  </si>
  <si>
    <t>FAMAE SAF</t>
  </si>
  <si>
    <t>FAMAE SAF Silenciada</t>
  </si>
  <si>
    <t>Jati-Matic GG-95 PDW</t>
  </si>
  <si>
    <t>Sterling L2A3</t>
  </si>
  <si>
    <t>Steyr AUG Para</t>
  </si>
  <si>
    <t>Walther MPL</t>
  </si>
  <si>
    <t>KP M/31 Suomi</t>
  </si>
  <si>
    <t>Beretta M12</t>
  </si>
  <si>
    <t>Spectre M4</t>
  </si>
  <si>
    <t>MAT-49</t>
  </si>
  <si>
    <t>SIG MP41/44</t>
  </si>
  <si>
    <t>HK MP7A1</t>
  </si>
  <si>
    <t>4.6mm</t>
  </si>
  <si>
    <t>FN P90</t>
  </si>
  <si>
    <t>5.7mm</t>
  </si>
  <si>
    <t>KAC PDW</t>
  </si>
  <si>
    <t>6x35mm</t>
  </si>
  <si>
    <t>Magpul PDR-D</t>
  </si>
  <si>
    <t>AR57 16"</t>
  </si>
  <si>
    <t>Vikhr SR-3 Compact</t>
  </si>
  <si>
    <t>AS Val</t>
  </si>
  <si>
    <t>Groza OC-14-4A-01</t>
  </si>
  <si>
    <t>HK G11</t>
  </si>
  <si>
    <t>4.73mm Caseless</t>
  </si>
  <si>
    <t>Steyr ACR</t>
  </si>
  <si>
    <t>ACR</t>
  </si>
  <si>
    <t>5.45x39</t>
  </si>
  <si>
    <t>http://www.akfiles.com/forums/showthread.php?t=44231</t>
  </si>
  <si>
    <t>http://www.scribd.com/doc/53693715/Azerbaijan-Small-Arms-Ammunition-Product-2010</t>
  </si>
  <si>
    <t>5.45x39 7N10 (56 at 2890)</t>
  </si>
  <si>
    <t>5.45x39 7N10 (56 at 2425)</t>
  </si>
  <si>
    <t>http://www.northridgeinc.com/alias.cfm/magazines/</t>
  </si>
  <si>
    <t>Rounds</t>
  </si>
  <si>
    <t>magazine</t>
  </si>
  <si>
    <t>Cartridge g</t>
  </si>
  <si>
    <t>http://www.roe.ru/cataloque/land_for/land_for_77-81.pdf</t>
  </si>
  <si>
    <t>Comment: 200 round belts!!!! Crazy for infantry use due to weight. Should be 100 round belts like the 7.62x51 MG's.</t>
  </si>
  <si>
    <t>MG 200rd</t>
  </si>
  <si>
    <t>MG 100rd</t>
  </si>
  <si>
    <t>668, 1187</t>
  </si>
  <si>
    <t>MG 42rd</t>
  </si>
  <si>
    <t>steel mag</t>
  </si>
  <si>
    <t>poly mag</t>
  </si>
  <si>
    <t>link+box</t>
  </si>
  <si>
    <t>link+pouch</t>
  </si>
  <si>
    <t>link+poch</t>
  </si>
  <si>
    <t>drum</t>
  </si>
  <si>
    <t>http://www.m4carbine.net/showthread.php?t=67294</t>
  </si>
  <si>
    <t>http://demigodllc.com/articles/7.62x39-improving-the-military-standard/?p=3</t>
  </si>
  <si>
    <t>7.62x39 Soviet (125 at 2100)</t>
  </si>
  <si>
    <t>7.62x39 Soviet (125 at 2400)</t>
  </si>
  <si>
    <t>7.62x39 Soviet (125 at 2250)</t>
  </si>
  <si>
    <t>7.62x39 Soviet (125 at 2000)</t>
  </si>
  <si>
    <t>12.5 Barrel</t>
  </si>
  <si>
    <t>9 Barrel</t>
  </si>
  <si>
    <t>5.45x39 7N10 (56 at 2750)</t>
  </si>
  <si>
    <t>8.3 Barrel</t>
  </si>
  <si>
    <t xml:space="preserve">12.5 Barrel </t>
  </si>
  <si>
    <t>16.5 Barrel</t>
  </si>
  <si>
    <t>13 Barrel</t>
  </si>
  <si>
    <t>Mag Size</t>
  </si>
  <si>
    <t>.45 ACP</t>
  </si>
  <si>
    <t>Ingram M10</t>
  </si>
  <si>
    <t>Thompson M1A1</t>
  </si>
  <si>
    <t>HK UMP45</t>
  </si>
  <si>
    <t>Thompson M1928</t>
  </si>
  <si>
    <t>Owen .45</t>
  </si>
  <si>
    <t>9x19 M882</t>
  </si>
  <si>
    <t>mag (HK)</t>
  </si>
  <si>
    <t>mag (Uzi)</t>
  </si>
  <si>
    <t>http://www.saysuncle.com/2006/08/30/9mm_performance_with_barrel_length/</t>
  </si>
  <si>
    <t>4?</t>
  </si>
  <si>
    <t>.45 ACP (5)</t>
  </si>
  <si>
    <t>http://www.ar15.com/content/manuals/TM43-0001-27.pdf</t>
  </si>
  <si>
    <t>http://castboolits.gunloads.com/archive/index.php/t-114977.html</t>
  </si>
  <si>
    <t>.45 is 850</t>
  </si>
  <si>
    <t>http://pookieweb.dyndns.org:61129/groza/9x39/9x39_info.htm</t>
  </si>
  <si>
    <t>VSk-94</t>
  </si>
  <si>
    <t>VSS Vintorez</t>
  </si>
  <si>
    <t>Sniper</t>
  </si>
  <si>
    <t>http://www.thehighroad.org/archive/index.php/t-640376.html</t>
  </si>
  <si>
    <t>http://www.armyrecognition.com/forum/viewtopic.php?t=1139&amp;postdays=0&amp;postorder=asc&amp;start=0</t>
  </si>
  <si>
    <t>http://izhevsk.club.guns.ru/eng/specops.html</t>
  </si>
  <si>
    <t>AEK-919K "Kashtan"</t>
  </si>
  <si>
    <t>PP-93</t>
  </si>
  <si>
    <t>Skorpion vz.82</t>
  </si>
  <si>
    <t>Stechkin APS</t>
  </si>
  <si>
    <t>?</t>
  </si>
  <si>
    <t>Type 85</t>
  </si>
  <si>
    <t>Bizon 2-07</t>
  </si>
  <si>
    <t>OTs 39</t>
  </si>
  <si>
    <t>PPsh-41</t>
  </si>
  <si>
    <t>SA-24</t>
  </si>
  <si>
    <t>9x21</t>
  </si>
  <si>
    <t>7.62x25 SMG</t>
  </si>
  <si>
    <t>7.62x25 (85 at 1700)</t>
  </si>
  <si>
    <t>7.62x25 (SMG)</t>
  </si>
  <si>
    <t>9x39 (260 at 920 surpressed)</t>
  </si>
  <si>
    <t>SR-2 Veresk</t>
  </si>
  <si>
    <t>9x21 (103 at 1410)</t>
  </si>
  <si>
    <t>http://www.zakon-grif.ru/swat/arming/articles/view/41.htm</t>
  </si>
  <si>
    <t>full drum</t>
  </si>
  <si>
    <t>.45 (230 at 850) (925 in SMG?)</t>
  </si>
  <si>
    <t>Mag</t>
  </si>
  <si>
    <t>5.7x28 (31 at 2130, SMG 2345)</t>
  </si>
  <si>
    <t>6x35</t>
  </si>
  <si>
    <t>6x35 (62(65)?at 2425)</t>
  </si>
  <si>
    <t>2+</t>
  </si>
  <si>
    <t>2+?</t>
  </si>
  <si>
    <t>http://fnforum.net/forums/5-7x28mm-ammunition/25-5-7-ammo-designations-velocities-fn-style-weapons-2.html</t>
  </si>
  <si>
    <t>4.73 Caseless</t>
  </si>
  <si>
    <t>4.73 Caseless (52 at 3030)</t>
  </si>
  <si>
    <t>3.23+</t>
  </si>
  <si>
    <t>V1 NCTH X+Y</t>
  </si>
  <si>
    <t>V2 NCTH X+Y</t>
  </si>
  <si>
    <t>4.6x30 (31 at 2380)</t>
  </si>
  <si>
    <t>I've put together an Excel with an integrated recoil calculator. I've fed in the ammo data for all MP/SMG/AR/MG's in the game so that each weapon now has it's "real" recoil values.</t>
  </si>
  <si>
    <t xml:space="preserve">Since there are countless ammo variations but JA2 guns can only have one recoil value I chose what seemed to be the most common Military/Police loading. Details are in the Ammo tab. You can change any values here and the recoil of all associated guns will change automatically. For some very rare ammo, like 4.xx, ACR, I could only get approximate or no info. I'm leaving them alone for the time being. Velocity changes due to different barrel length are mostly in, though only relevant with AR's. </t>
  </si>
  <si>
    <t>Short explanation on Recoil: http://www.chuckhawks.com/rifle_recoil.htm</t>
  </si>
  <si>
    <t>As a additional game and balancing mechanic it might be useful to add some global modifiers to some weapon types (f.e. maybe -1 y recoil for bullpups?).</t>
  </si>
  <si>
    <t>x</t>
  </si>
  <si>
    <t>y</t>
  </si>
  <si>
    <t>NCTH Recoil:</t>
  </si>
  <si>
    <t>formula value</t>
  </si>
  <si>
    <t>AR up to 7mm</t>
  </si>
  <si>
    <t>AR up over 7mm</t>
  </si>
  <si>
    <t>MP with stock</t>
  </si>
  <si>
    <t>Mp without stock</t>
  </si>
  <si>
    <t xml:space="preserve">Since both Recoil Energy and Recoil Velocity calculations are divided by the guns weight, I added in Recoil Impulse as a 3rd element that's only linked to cartridge power. I hope this will make balancing between different ammo types a bit easier. Recoil is very dependent on weight. Attachments would help reduce reduce weight but this can't accounted for so I took a loaded gun as the baseline. </t>
  </si>
  <si>
    <t xml:space="preserve">Apparently perceived recoil is about 1/3 Recoil Energy and 2/3 Recoil Velocity so I've made a formula based on that with the average in game 5.56 values(7-8) as the baseline.. Since the variations between cartridge types was IMO too low I added an Impulse value to spread the results out. Surprisingly, while some weapons are way out of whack, in general the values I received are broadly inline with the current ones. </t>
  </si>
  <si>
    <t>HK MP5/40A3</t>
  </si>
  <si>
    <t>HK MP5/10A3</t>
  </si>
  <si>
    <t>.40 S&amp;W</t>
  </si>
  <si>
    <t>.40 S&amp;W (180 at 1027,SMG 1050)</t>
  </si>
  <si>
    <t>10mm Auto (180 at 1250,SMG 1400)</t>
  </si>
  <si>
    <t>http://photos.imageevent.com/smglee/cltactical/HK%20Military%20LE%20Catalog.pdf</t>
  </si>
</sst>
</file>

<file path=xl/styles.xml><?xml version="1.0" encoding="utf-8"?>
<styleSheet xmlns="http://schemas.openxmlformats.org/spreadsheetml/2006/main">
  <fonts count="10">
    <font>
      <sz val="11"/>
      <color theme="1"/>
      <name val="Calibri"/>
      <family val="2"/>
      <scheme val="minor"/>
    </font>
    <font>
      <b/>
      <sz val="9"/>
      <color indexed="81"/>
      <name val="Tahoma"/>
      <charset val="1"/>
    </font>
    <font>
      <u/>
      <sz val="11"/>
      <color theme="10"/>
      <name val="Calibri"/>
      <family val="2"/>
      <scheme val="minor"/>
    </font>
    <font>
      <b/>
      <sz val="9"/>
      <color indexed="81"/>
      <name val="Tahoma"/>
      <family val="2"/>
    </font>
    <font>
      <sz val="11"/>
      <color rgb="FFFF0000"/>
      <name val="Calibri"/>
      <family val="2"/>
      <scheme val="minor"/>
    </font>
    <font>
      <sz val="10"/>
      <name val="Arial"/>
      <family val="2"/>
    </font>
    <font>
      <sz val="11"/>
      <color rgb="FF000000"/>
      <name val="Calibri"/>
      <family val="2"/>
    </font>
    <font>
      <sz val="11"/>
      <name val="Calibri"/>
      <family val="2"/>
      <scheme val="minor"/>
    </font>
    <font>
      <sz val="11"/>
      <color rgb="FFFF0000"/>
      <name val="Calibri"/>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5" fillId="0" borderId="0">
      <alignment vertical="center"/>
    </xf>
  </cellStyleXfs>
  <cellXfs count="16">
    <xf numFmtId="0" fontId="0" fillId="0" borderId="0" xfId="0"/>
    <xf numFmtId="0" fontId="0" fillId="0" borderId="0" xfId="0" applyAlignment="1">
      <alignment horizontal="left"/>
    </xf>
    <xf numFmtId="0" fontId="2" fillId="0" borderId="0" xfId="1"/>
    <xf numFmtId="0" fontId="0" fillId="2" borderId="0" xfId="0" applyFill="1"/>
    <xf numFmtId="2" fontId="0" fillId="0" borderId="0" xfId="0" applyNumberFormat="1"/>
    <xf numFmtId="0" fontId="4" fillId="0" borderId="0" xfId="0" applyFont="1"/>
    <xf numFmtId="0" fontId="0" fillId="0" borderId="0" xfId="0" applyFill="1"/>
    <xf numFmtId="0" fontId="6" fillId="0" borderId="0" xfId="2" applyNumberFormat="1" applyFont="1" applyFill="1" applyAlignment="1"/>
    <xf numFmtId="0" fontId="6" fillId="0" borderId="0" xfId="2" applyNumberFormat="1" applyFont="1" applyFill="1" applyAlignment="1">
      <alignment horizontal="left"/>
    </xf>
    <xf numFmtId="0" fontId="7" fillId="0" borderId="0" xfId="0" applyFont="1"/>
    <xf numFmtId="0" fontId="8" fillId="0" borderId="0" xfId="2" applyNumberFormat="1" applyFont="1" applyFill="1" applyAlignment="1"/>
    <xf numFmtId="1" fontId="0" fillId="0" borderId="0" xfId="0" applyNumberFormat="1"/>
    <xf numFmtId="49" fontId="0" fillId="0" borderId="0" xfId="0" applyNumberFormat="1" applyAlignment="1">
      <alignment wrapText="1"/>
    </xf>
    <xf numFmtId="0" fontId="0" fillId="0" borderId="0" xfId="0" applyAlignment="1">
      <alignment wrapText="1"/>
    </xf>
    <xf numFmtId="0" fontId="0" fillId="0" borderId="0" xfId="0" applyAlignment="1"/>
    <xf numFmtId="2" fontId="6" fillId="0" borderId="0" xfId="2" applyNumberFormat="1" applyFont="1" applyFill="1" applyAlignment="1"/>
  </cellXfs>
  <cellStyles count="3">
    <cellStyle name="Hyperlink" xfId="1" builtinId="8"/>
    <cellStyle name="Normal" xfId="2"/>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504825</xdr:colOff>
      <xdr:row>0</xdr:row>
      <xdr:rowOff>171450</xdr:rowOff>
    </xdr:from>
    <xdr:to>
      <xdr:col>25</xdr:col>
      <xdr:colOff>475477</xdr:colOff>
      <xdr:row>22</xdr:row>
      <xdr:rowOff>104260</xdr:rowOff>
    </xdr:to>
    <xdr:pic>
      <xdr:nvPicPr>
        <xdr:cNvPr id="3" name="Grafik 2"/>
        <xdr:cNvPicPr>
          <a:picLocks noChangeAspect="1"/>
        </xdr:cNvPicPr>
      </xdr:nvPicPr>
      <xdr:blipFill>
        <a:blip xmlns:r="http://schemas.openxmlformats.org/officeDocument/2006/relationships" r:embed="rId1" cstate="print"/>
        <a:stretch>
          <a:fillRect/>
        </a:stretch>
      </xdr:blipFill>
      <xdr:spPr>
        <a:xfrm>
          <a:off x="10010775" y="171450"/>
          <a:ext cx="6190477" cy="4123810"/>
        </a:xfrm>
        <a:prstGeom prst="rect">
          <a:avLst/>
        </a:prstGeom>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worldwidemetric.com/measurements.html" TargetMode="External"/><Relationship Id="rId13" Type="http://schemas.openxmlformats.org/officeDocument/2006/relationships/hyperlink" Target="http://photos.imageevent.com/smglee/cltactical/HK%20Military%20LE%20Catalog.pdf" TargetMode="External"/><Relationship Id="rId3" Type="http://schemas.openxmlformats.org/officeDocument/2006/relationships/hyperlink" Target="http://www.chuckhawks.com/rifle_recoil.htm" TargetMode="External"/><Relationship Id="rId7" Type="http://schemas.openxmlformats.org/officeDocument/2006/relationships/hyperlink" Target="http://www.scribd.com/doc/53693715/Azerbaijan-Small-Arms-Ammunition-Product-2010" TargetMode="External"/><Relationship Id="rId12" Type="http://schemas.openxmlformats.org/officeDocument/2006/relationships/hyperlink" Target="http://izhevsk.club.guns.ru/eng/specops.html" TargetMode="External"/><Relationship Id="rId2" Type="http://schemas.openxmlformats.org/officeDocument/2006/relationships/hyperlink" Target="http://www.chuckhawks.com/caliber_rifle_weight_recoil.htm" TargetMode="External"/><Relationship Id="rId16" Type="http://schemas.openxmlformats.org/officeDocument/2006/relationships/comments" Target="../comments13.xml"/><Relationship Id="rId1" Type="http://schemas.openxmlformats.org/officeDocument/2006/relationships/hyperlink" Target="http://www.chuckhawks.com/most_versatile_handgun.htm" TargetMode="External"/><Relationship Id="rId6" Type="http://schemas.openxmlformats.org/officeDocument/2006/relationships/hyperlink" Target="http://www.m4carbine.net/archive/index.php/t-58669.html" TargetMode="External"/><Relationship Id="rId11" Type="http://schemas.openxmlformats.org/officeDocument/2006/relationships/hyperlink" Target="http://www.chuckhawks.com/handgun_recoil_table.htm" TargetMode="External"/><Relationship Id="rId5" Type="http://schemas.openxmlformats.org/officeDocument/2006/relationships/hyperlink" Target="http://www.quarry.nildram.co.uk/The%20Next%20Generation.htm" TargetMode="External"/><Relationship Id="rId15" Type="http://schemas.openxmlformats.org/officeDocument/2006/relationships/vmlDrawing" Target="../drawings/vmlDrawing13.vml"/><Relationship Id="rId10" Type="http://schemas.openxmlformats.org/officeDocument/2006/relationships/hyperlink" Target="http://www.m4carbine.net/showthread.php?t=67294" TargetMode="External"/><Relationship Id="rId4" Type="http://schemas.openxmlformats.org/officeDocument/2006/relationships/hyperlink" Target="http://www.chuckhawks.com/recoil_table.htm" TargetMode="External"/><Relationship Id="rId9" Type="http://schemas.openxmlformats.org/officeDocument/2006/relationships/hyperlink" Target="http://demigodllc.com/articles/7.62x39-improving-the-military-standard/?p=3" TargetMode="External"/><Relationship Id="rId14"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adefensejournal.com/wp/?p=1093"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dimension ref="A1:C21"/>
  <sheetViews>
    <sheetView topLeftCell="A13" zoomScaleNormal="100" workbookViewId="0">
      <selection activeCell="A22" sqref="A22"/>
    </sheetView>
  </sheetViews>
  <sheetFormatPr baseColWidth="10" defaultRowHeight="15"/>
  <cols>
    <col min="1" max="1" width="59.7109375" style="14" customWidth="1"/>
    <col min="2" max="2" width="11.42578125" style="14"/>
    <col min="3" max="3" width="15.42578125" style="14" bestFit="1" customWidth="1"/>
    <col min="4" max="16384" width="11.42578125" style="14"/>
  </cols>
  <sheetData>
    <row r="1" spans="1:3" ht="45">
      <c r="A1" s="12" t="s">
        <v>365</v>
      </c>
    </row>
    <row r="2" spans="1:3">
      <c r="A2" s="13"/>
    </row>
    <row r="3" spans="1:3" ht="120">
      <c r="A3" s="13" t="s">
        <v>366</v>
      </c>
    </row>
    <row r="4" spans="1:3">
      <c r="A4" s="13"/>
    </row>
    <row r="5" spans="1:3" ht="30">
      <c r="A5" s="13" t="s">
        <v>367</v>
      </c>
    </row>
    <row r="6" spans="1:3">
      <c r="A6" s="13"/>
    </row>
    <row r="7" spans="1:3" ht="105">
      <c r="A7" s="13" t="s">
        <v>377</v>
      </c>
    </row>
    <row r="8" spans="1:3">
      <c r="A8" s="13"/>
    </row>
    <row r="9" spans="1:3" ht="105">
      <c r="A9" s="13" t="s">
        <v>378</v>
      </c>
    </row>
    <row r="10" spans="1:3">
      <c r="A10" s="13"/>
    </row>
    <row r="11" spans="1:3">
      <c r="A11" s="13"/>
    </row>
    <row r="12" spans="1:3" ht="45">
      <c r="A12" s="13" t="s">
        <v>368</v>
      </c>
    </row>
    <row r="15" spans="1:3">
      <c r="A15" s="14" t="s">
        <v>371</v>
      </c>
      <c r="B15" s="14" t="s">
        <v>369</v>
      </c>
      <c r="C15" s="14" t="s">
        <v>370</v>
      </c>
    </row>
    <row r="16" spans="1:3">
      <c r="A16" s="14" t="s">
        <v>230</v>
      </c>
      <c r="B16" s="14">
        <v>0</v>
      </c>
      <c r="C16" s="14" t="s">
        <v>372</v>
      </c>
    </row>
    <row r="17" spans="1:3">
      <c r="A17" s="14" t="s">
        <v>373</v>
      </c>
      <c r="B17" s="14">
        <v>1</v>
      </c>
      <c r="C17" s="14" t="s">
        <v>372</v>
      </c>
    </row>
    <row r="18" spans="1:3">
      <c r="A18" s="14" t="s">
        <v>374</v>
      </c>
      <c r="B18" s="14">
        <v>2</v>
      </c>
      <c r="C18" s="14" t="s">
        <v>372</v>
      </c>
    </row>
    <row r="19" spans="1:3">
      <c r="A19" s="14" t="s">
        <v>375</v>
      </c>
      <c r="B19" s="14">
        <v>1</v>
      </c>
      <c r="C19" s="14" t="s">
        <v>372</v>
      </c>
    </row>
    <row r="20" spans="1:3">
      <c r="A20" s="14" t="s">
        <v>376</v>
      </c>
      <c r="B20" s="14">
        <v>2</v>
      </c>
      <c r="C20" s="14" t="s">
        <v>372</v>
      </c>
    </row>
    <row r="21" spans="1:3">
      <c r="A21" s="14" t="s">
        <v>148</v>
      </c>
      <c r="B21" s="14">
        <v>1</v>
      </c>
      <c r="C21" s="14" t="s">
        <v>372</v>
      </c>
    </row>
  </sheetData>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dimension ref="A1:R32"/>
  <sheetViews>
    <sheetView tabSelected="1" topLeftCell="B1" workbookViewId="0">
      <selection activeCell="B31" sqref="A31:XFD31"/>
    </sheetView>
  </sheetViews>
  <sheetFormatPr baseColWidth="10" defaultRowHeight="15"/>
  <cols>
    <col min="1" max="1" width="5" bestFit="1" customWidth="1"/>
    <col min="2" max="2" width="20.5703125" bestFit="1" customWidth="1"/>
    <col min="3" max="3" width="8.7109375" bestFit="1" customWidth="1"/>
    <col min="4" max="4" width="16.28515625" style="4" bestFit="1" customWidth="1"/>
    <col min="5" max="5" width="8.42578125" bestFit="1" customWidth="1"/>
    <col min="7" max="7" width="13" style="4" bestFit="1" customWidth="1"/>
    <col min="8" max="8" width="13.85546875" style="4" bestFit="1" customWidth="1"/>
    <col min="9" max="9" width="13.5703125" style="4" bestFit="1" customWidth="1"/>
    <col min="10" max="10" width="11.42578125" style="11"/>
    <col min="12" max="12" width="16.5703125" bestFit="1" customWidth="1"/>
  </cols>
  <sheetData>
    <row r="1" spans="1:18">
      <c r="A1" t="s">
        <v>128</v>
      </c>
      <c r="G1" s="4" t="s">
        <v>3</v>
      </c>
      <c r="H1" s="4" t="s">
        <v>4</v>
      </c>
      <c r="I1" s="4" t="s">
        <v>62</v>
      </c>
      <c r="K1" s="11" t="s">
        <v>362</v>
      </c>
      <c r="L1" s="4" t="s">
        <v>363</v>
      </c>
    </row>
    <row r="2" spans="1:18">
      <c r="B2" s="5" t="s">
        <v>231</v>
      </c>
      <c r="C2" s="9" t="s">
        <v>309</v>
      </c>
      <c r="D2" s="4" t="s">
        <v>79</v>
      </c>
      <c r="E2" t="s">
        <v>84</v>
      </c>
      <c r="O2" t="s">
        <v>316</v>
      </c>
    </row>
    <row r="3" spans="1:18">
      <c r="A3">
        <v>692</v>
      </c>
      <c r="B3" t="s">
        <v>240</v>
      </c>
      <c r="C3">
        <v>30</v>
      </c>
      <c r="D3" s="4">
        <f>2.7+0.528</f>
        <v>3.2280000000000002</v>
      </c>
      <c r="E3">
        <v>7.75</v>
      </c>
      <c r="G3" s="4">
        <f>(((Ammunition!$E$39/7000)*Ammunition!$G$39)+(Ammunition!$H$39*(Ammunition!$F$39/7000)))^2/(64.348*'9x19'!D3*2.205)</f>
        <v>1.3645920737475252</v>
      </c>
      <c r="H3" s="4">
        <f>(((Ammunition!$E$39/7000)*Ammunition!$G$39)+(Ammunition!$H$39*(Ammunition!$F$39/7000)))/('9x19'!D3*2.205)</f>
        <v>3.51235083046023</v>
      </c>
      <c r="I3" s="4">
        <f>((Ammunition!$E$39/7000)*Ammunition!$G$39+(Ammunition!$F$39/7000)*Ammunition!$H$39)</f>
        <v>25</v>
      </c>
      <c r="K3" s="11">
        <f>(G3+H3*3+(I3/10))/3</f>
        <v>4.8005481883760721</v>
      </c>
      <c r="L3" s="11">
        <f>(G3*2+H3*5+(I3/10))/5</f>
        <v>4.5581876599592395</v>
      </c>
      <c r="M3" s="11"/>
      <c r="O3" t="s">
        <v>283</v>
      </c>
      <c r="P3" t="s">
        <v>281</v>
      </c>
    </row>
    <row r="4" spans="1:18">
      <c r="A4">
        <v>67</v>
      </c>
      <c r="B4" t="s">
        <v>235</v>
      </c>
      <c r="C4" s="5">
        <v>50</v>
      </c>
      <c r="D4" s="4">
        <f>2.17+0.817</f>
        <v>2.9870000000000001</v>
      </c>
      <c r="G4" s="4">
        <f>(((Ammunition!$E$39/7000)*Ammunition!$G$39)+(Ammunition!$H$39*(Ammunition!$F$39/7000)))^2/(64.348*'9x19'!D4*2.205)</f>
        <v>1.4746914007556113</v>
      </c>
      <c r="H4" s="4">
        <f>(((Ammunition!$E$39/7000)*Ammunition!$G$39)+(Ammunition!$H$39*(Ammunition!$F$39/7000)))/('9x19'!D4*2.205)</f>
        <v>3.7957376902328837</v>
      </c>
      <c r="I4" s="4">
        <f>((Ammunition!$E$39/7000)*Ammunition!$G$39+(Ammunition!$F$39/7000)*Ammunition!$H$39)</f>
        <v>25</v>
      </c>
      <c r="K4" s="11">
        <f t="shared" ref="K4:K12" si="0">(G4+H4*3+(I4/10))/3</f>
        <v>5.1206348238180874</v>
      </c>
      <c r="L4" s="11">
        <f t="shared" ref="L4:L12" si="1">(G4*2+H4*5+(I4/10))/5</f>
        <v>4.885614250535129</v>
      </c>
      <c r="O4">
        <v>11.6</v>
      </c>
      <c r="P4">
        <v>15</v>
      </c>
      <c r="Q4">
        <f>+O4*P4</f>
        <v>174</v>
      </c>
    </row>
    <row r="5" spans="1:18">
      <c r="A5">
        <v>641</v>
      </c>
      <c r="B5" t="s">
        <v>238</v>
      </c>
      <c r="C5">
        <v>30</v>
      </c>
      <c r="D5" s="4">
        <f>2.3+0.518</f>
        <v>2.8179999999999996</v>
      </c>
      <c r="G5" s="4">
        <f>(((Ammunition!$E$39/7000)*Ammunition!$G$39)+(Ammunition!$H$39*(Ammunition!$F$39/7000)))^2/(64.348*'9x19'!D5*2.205)</f>
        <v>1.5631310198924813</v>
      </c>
      <c r="H5" s="4">
        <f>(((Ammunition!$E$39/7000)*Ammunition!$G$39)+(Ammunition!$H$39*(Ammunition!$F$39/7000)))/('9x19'!D5*2.205)</f>
        <v>4.0233741947216553</v>
      </c>
      <c r="I5" s="4">
        <f>((Ammunition!$E$39/7000)*Ammunition!$G$39+(Ammunition!$F$39/7000)*Ammunition!$H$39)</f>
        <v>25</v>
      </c>
      <c r="K5" s="11">
        <f t="shared" si="0"/>
        <v>5.3777512013524822</v>
      </c>
      <c r="L5" s="11">
        <f t="shared" si="1"/>
        <v>5.1486266026786476</v>
      </c>
    </row>
    <row r="6" spans="1:18">
      <c r="A6">
        <v>9</v>
      </c>
      <c r="B6" t="s">
        <v>234</v>
      </c>
      <c r="C6">
        <v>30</v>
      </c>
      <c r="D6" s="4">
        <v>2.3660000000000001</v>
      </c>
      <c r="E6">
        <v>4.5</v>
      </c>
      <c r="G6" s="4">
        <f>(((Ammunition!$E$39/7000)*Ammunition!$G$39)+(Ammunition!$H$39*(Ammunition!$F$39/7000)))^2/(64.348*'9x19'!D6*2.205)</f>
        <v>1.8617511471077817</v>
      </c>
      <c r="H6" s="4">
        <f>(((Ammunition!$E$39/7000)*Ammunition!$G$39)+(Ammunition!$H$39*(Ammunition!$F$39/7000)))/('9x19'!D6*2.205)</f>
        <v>4.7919985125636613</v>
      </c>
      <c r="I6" s="4">
        <f>((Ammunition!$E$39/7000)*Ammunition!$G$39+(Ammunition!$F$39/7000)*Ammunition!$H$39)</f>
        <v>25</v>
      </c>
      <c r="K6" s="11">
        <f t="shared" si="0"/>
        <v>6.2459155615995883</v>
      </c>
      <c r="L6" s="11">
        <f t="shared" si="1"/>
        <v>6.036698971406774</v>
      </c>
    </row>
    <row r="7" spans="1:18">
      <c r="A7">
        <v>604</v>
      </c>
      <c r="B7" t="s">
        <v>237</v>
      </c>
      <c r="C7">
        <v>30</v>
      </c>
      <c r="D7" s="4">
        <f>1.8+0.528</f>
        <v>2.3280000000000003</v>
      </c>
      <c r="G7" s="4">
        <f>(((Ammunition!$E$39/7000)*Ammunition!$G$39)+(Ammunition!$H$39*(Ammunition!$F$39/7000)))^2/(64.348*'9x19'!D7*2.205)</f>
        <v>1.8921405558664137</v>
      </c>
      <c r="H7" s="4">
        <f>(((Ammunition!$E$39/7000)*Ammunition!$G$39)+(Ammunition!$H$39*(Ammunition!$F$39/7000)))/('9x19'!D7*2.205)</f>
        <v>4.8702184195556795</v>
      </c>
      <c r="I7" s="4">
        <f>((Ammunition!$E$39/7000)*Ammunition!$G$39+(Ammunition!$F$39/7000)*Ammunition!$H$39)</f>
        <v>25</v>
      </c>
      <c r="K7" s="11">
        <f t="shared" si="0"/>
        <v>6.3342652715111498</v>
      </c>
      <c r="L7" s="11">
        <f t="shared" si="1"/>
        <v>6.1270746419022455</v>
      </c>
    </row>
    <row r="8" spans="1:18">
      <c r="A8">
        <v>688</v>
      </c>
      <c r="B8" t="s">
        <v>239</v>
      </c>
      <c r="C8">
        <v>30</v>
      </c>
      <c r="D8" s="4">
        <f>1.7+0.528</f>
        <v>2.2279999999999998</v>
      </c>
      <c r="G8" s="4">
        <f>(((Ammunition!$E$39/7000)*Ammunition!$G$39)+(Ammunition!$H$39*(Ammunition!$F$39/7000)))^2/(64.348*'9x19'!D8*2.205)</f>
        <v>1.9770660745318727</v>
      </c>
      <c r="H8" s="4">
        <f>(((Ammunition!$E$39/7000)*Ammunition!$G$39)+(Ammunition!$H$39*(Ammunition!$F$39/7000)))/('9x19'!D8*2.205)</f>
        <v>5.0888099105590774</v>
      </c>
      <c r="I8" s="4">
        <f>((Ammunition!$E$39/7000)*Ammunition!$G$39+(Ammunition!$F$39/7000)*Ammunition!$H$39)</f>
        <v>25</v>
      </c>
      <c r="K8" s="11">
        <f t="shared" si="0"/>
        <v>6.5811652687363678</v>
      </c>
      <c r="L8" s="11">
        <f t="shared" si="1"/>
        <v>6.3796363403718264</v>
      </c>
      <c r="P8">
        <v>30</v>
      </c>
      <c r="Q8">
        <f>+P8*O4</f>
        <v>348</v>
      </c>
    </row>
    <row r="9" spans="1:18">
      <c r="A9">
        <v>330</v>
      </c>
      <c r="B9" t="s">
        <v>236</v>
      </c>
      <c r="C9">
        <v>30</v>
      </c>
      <c r="D9" s="4">
        <f>1.5+0.528</f>
        <v>2.028</v>
      </c>
      <c r="E9">
        <v>4.5999999999999996</v>
      </c>
      <c r="G9" s="4">
        <f>(((Ammunition!$E$39/7000)*Ammunition!$G$39)+(Ammunition!$H$39*(Ammunition!$F$39/7000)))^2/(64.348*'9x19'!D9*2.205)</f>
        <v>2.1720430049590789</v>
      </c>
      <c r="H9" s="4">
        <f>(((Ammunition!$E$39/7000)*Ammunition!$G$39)+(Ammunition!$H$39*(Ammunition!$F$39/7000)))/('9x19'!D9*2.205)</f>
        <v>5.5906649313242713</v>
      </c>
      <c r="I9" s="4">
        <f>((Ammunition!$E$39/7000)*Ammunition!$G$39+(Ammunition!$F$39/7000)*Ammunition!$H$39)</f>
        <v>25</v>
      </c>
      <c r="K9" s="11">
        <f t="shared" si="0"/>
        <v>7.1480125996439652</v>
      </c>
      <c r="L9" s="11">
        <f t="shared" si="1"/>
        <v>6.9594821333079029</v>
      </c>
      <c r="Q9">
        <v>170</v>
      </c>
      <c r="R9" t="s">
        <v>317</v>
      </c>
    </row>
    <row r="10" spans="1:18">
      <c r="A10">
        <v>730</v>
      </c>
      <c r="B10" t="s">
        <v>241</v>
      </c>
      <c r="C10">
        <v>30</v>
      </c>
      <c r="D10" s="4">
        <f>1.3+0.518</f>
        <v>1.8180000000000001</v>
      </c>
      <c r="E10">
        <v>5.12</v>
      </c>
      <c r="G10" s="4">
        <f>(((Ammunition!$E$39/7000)*Ammunition!$G$39)+(Ammunition!$H$39*(Ammunition!$F$39/7000)))^2/(64.348*'9x19'!D10*2.205)</f>
        <v>2.4229390616375204</v>
      </c>
      <c r="H10" s="4">
        <f>(((Ammunition!$E$39/7000)*Ammunition!$G$39)+(Ammunition!$H$39*(Ammunition!$F$39/7000)))/('9x19'!D10*2.205)</f>
        <v>6.2364513095300449</v>
      </c>
      <c r="I10" s="4">
        <f>((Ammunition!$E$39/7000)*Ammunition!$G$39+(Ammunition!$F$39/7000)*Ammunition!$H$39)</f>
        <v>25</v>
      </c>
      <c r="K10" s="11">
        <f t="shared" si="0"/>
        <v>7.8774309967425511</v>
      </c>
      <c r="L10" s="11">
        <f t="shared" si="1"/>
        <v>7.7056269341850534</v>
      </c>
      <c r="Q10">
        <f>+Q8+Q9</f>
        <v>518</v>
      </c>
    </row>
    <row r="11" spans="1:18">
      <c r="A11">
        <v>4</v>
      </c>
      <c r="B11" t="s">
        <v>233</v>
      </c>
      <c r="C11">
        <v>15</v>
      </c>
      <c r="D11" s="4">
        <f>1.17+0.174</f>
        <v>1.3439999999999999</v>
      </c>
      <c r="G11" s="4">
        <f>(((Ammunition!$E$39/7000)*Ammunition!$G$39)+(Ammunition!$H$39*(Ammunition!$F$39/7000)))^2/(64.348*'9x19'!D11*2.205)</f>
        <v>3.2774577485543248</v>
      </c>
      <c r="H11" s="4">
        <f>(((Ammunition!$E$39/7000)*Ammunition!$G$39)+(Ammunition!$H$39*(Ammunition!$F$39/7000)))/('9x19'!D11*2.205)</f>
        <v>8.4359140481589456</v>
      </c>
      <c r="I11" s="4">
        <f>((Ammunition!$E$39/7000)*Ammunition!$G$39+(Ammunition!$F$39/7000)*Ammunition!$H$39)</f>
        <v>25</v>
      </c>
      <c r="K11" s="11">
        <f t="shared" si="0"/>
        <v>10.361733297677054</v>
      </c>
      <c r="L11" s="11">
        <f t="shared" si="1"/>
        <v>10.246897147580677</v>
      </c>
      <c r="Q11">
        <v>180</v>
      </c>
      <c r="R11" t="s">
        <v>318</v>
      </c>
    </row>
    <row r="12" spans="1:18">
      <c r="A12">
        <v>2</v>
      </c>
      <c r="B12" t="s">
        <v>232</v>
      </c>
      <c r="C12">
        <v>15</v>
      </c>
      <c r="D12" s="4">
        <f>0.62+0.08+0.174</f>
        <v>0.87399999999999989</v>
      </c>
      <c r="G12" s="4">
        <f>(((Ammunition!$E$39/7000)*Ammunition!$G$39)+(Ammunition!$H$39*(Ammunition!$F$39/7000)))^2/(64.348*'9x19'!D12*2.205)</f>
        <v>5.0399350275251855</v>
      </c>
      <c r="H12" s="4">
        <f>(((Ammunition!$E$39/7000)*Ammunition!$G$39)+(Ammunition!$H$39*(Ammunition!$F$39/7000)))/('9x19'!D12*2.205)</f>
        <v>12.972389566047626</v>
      </c>
      <c r="I12" s="4">
        <f>((Ammunition!$E$39/7000)*Ammunition!$G$39+(Ammunition!$F$39/7000)*Ammunition!$H$39)</f>
        <v>25</v>
      </c>
      <c r="K12" s="11">
        <f t="shared" si="0"/>
        <v>15.485701241889354</v>
      </c>
      <c r="L12" s="11">
        <f t="shared" si="1"/>
        <v>15.488363577057703</v>
      </c>
      <c r="Q12">
        <f>+Q8+Q11</f>
        <v>528</v>
      </c>
    </row>
    <row r="14" spans="1:18">
      <c r="B14" s="5" t="s">
        <v>230</v>
      </c>
      <c r="C14" s="5"/>
    </row>
    <row r="15" spans="1:18">
      <c r="A15">
        <v>1179</v>
      </c>
      <c r="B15" t="s">
        <v>259</v>
      </c>
      <c r="C15">
        <v>30</v>
      </c>
      <c r="D15" s="4">
        <f>5.2+0.528</f>
        <v>5.7279999999999998</v>
      </c>
      <c r="E15">
        <v>10.6</v>
      </c>
      <c r="G15" s="4">
        <f>(((Ammunition!$E$39/7000)*Ammunition!$G$39)+(Ammunition!$H$39*(Ammunition!$F$39/7000)))^2/(64.348*'9x19'!D15*2.205)</f>
        <v>0.76901243262168506</v>
      </c>
      <c r="H15" s="4">
        <f>(((Ammunition!$E$39/7000)*Ammunition!$G$39)+(Ammunition!$H$39*(Ammunition!$F$39/7000)))/('9x19'!D15*2.205)</f>
        <v>1.9793764805736074</v>
      </c>
      <c r="I15" s="4">
        <f>((Ammunition!$E$39/7000)*Ammunition!$G$39+(Ammunition!$F$39/7000)*Ammunition!$H$39)</f>
        <v>25</v>
      </c>
      <c r="K15" s="11">
        <f>(G15+H15*3+(I15/10))/3</f>
        <v>3.0690472914475024</v>
      </c>
      <c r="L15" s="11">
        <f t="shared" ref="L15:L32" si="2">(G15*2+H15*5+(I15/10))/5</f>
        <v>2.7869814536222814</v>
      </c>
      <c r="P15">
        <v>50</v>
      </c>
      <c r="Q15">
        <f>+P15*O4</f>
        <v>580</v>
      </c>
    </row>
    <row r="16" spans="1:18">
      <c r="A16">
        <v>773</v>
      </c>
      <c r="B16" t="s">
        <v>255</v>
      </c>
      <c r="C16">
        <v>30</v>
      </c>
      <c r="D16" s="4">
        <f>4.6+0.528</f>
        <v>5.1280000000000001</v>
      </c>
      <c r="G16" s="4">
        <f>(((Ammunition!$E$39/7000)*Ammunition!$G$39)+(Ammunition!$H$39*(Ammunition!$F$39/7000)))^2/(64.348*'9x19'!D16*2.205)</f>
        <v>0.85899048636057174</v>
      </c>
      <c r="H16" s="4">
        <f>(((Ammunition!$E$39/7000)*Ammunition!$G$39)+(Ammunition!$H$39*(Ammunition!$F$39/7000)))/('9x19'!D16*2.205)</f>
        <v>2.2109727926532026</v>
      </c>
      <c r="I16" s="4">
        <f>((Ammunition!$E$39/7000)*Ammunition!$G$39+(Ammunition!$F$39/7000)*Ammunition!$H$39)</f>
        <v>25</v>
      </c>
      <c r="K16" s="11">
        <f t="shared" ref="K16:K32" si="3">(G16+H16*3+(I16/10))/3</f>
        <v>3.3306362881067266</v>
      </c>
      <c r="L16" s="11">
        <f t="shared" si="2"/>
        <v>3.0545689871974311</v>
      </c>
    </row>
    <row r="17" spans="1:12">
      <c r="A17">
        <v>1178</v>
      </c>
      <c r="B17" t="s">
        <v>258</v>
      </c>
      <c r="C17">
        <v>30</v>
      </c>
      <c r="D17" s="4">
        <f>3.6+0.528</f>
        <v>4.1280000000000001</v>
      </c>
      <c r="G17" s="4">
        <f>(((Ammunition!$E$39/7000)*Ammunition!$G$39)+(Ammunition!$H$39*(Ammunition!$F$39/7000)))^2/(64.348*'9x19'!D17*2.205)</f>
        <v>1.0670792669711753</v>
      </c>
      <c r="H17" s="4">
        <f>(((Ammunition!$E$39/7000)*Ammunition!$G$39)+(Ammunition!$H$39*(Ammunition!$F$39/7000)))/('9x19'!D17*2.205)</f>
        <v>2.7465766668424476</v>
      </c>
      <c r="I17" s="4">
        <f>((Ammunition!$E$39/7000)*Ammunition!$G$39+(Ammunition!$F$39/7000)*Ammunition!$H$39)</f>
        <v>25</v>
      </c>
      <c r="K17" s="11">
        <f t="shared" si="3"/>
        <v>3.9356030891661731</v>
      </c>
      <c r="L17" s="11">
        <f t="shared" si="2"/>
        <v>3.6734083736309175</v>
      </c>
    </row>
    <row r="18" spans="1:12">
      <c r="A18">
        <v>345</v>
      </c>
      <c r="B18" t="s">
        <v>246</v>
      </c>
      <c r="C18">
        <v>30</v>
      </c>
      <c r="D18" s="4">
        <f>3.5+0.528</f>
        <v>4.0280000000000005</v>
      </c>
      <c r="E18">
        <v>15.7</v>
      </c>
      <c r="G18" s="4">
        <f>(((Ammunition!$E$39/7000)*Ammunition!$G$39)+(Ammunition!$H$39*(Ammunition!$F$39/7000)))^2/(64.348*'9x19'!D18*2.205)</f>
        <v>1.0935708078592381</v>
      </c>
      <c r="H18" s="4">
        <f>(((Ammunition!$E$39/7000)*Ammunition!$G$39)+(Ammunition!$H$39*(Ammunition!$F$39/7000)))/('9x19'!D18*2.205)</f>
        <v>2.8147637737650504</v>
      </c>
      <c r="I18" s="4">
        <f>((Ammunition!$E$39/7000)*Ammunition!$G$39+(Ammunition!$F$39/7000)*Ammunition!$H$39)</f>
        <v>25</v>
      </c>
      <c r="K18" s="11">
        <f t="shared" si="3"/>
        <v>4.0126207097181297</v>
      </c>
      <c r="L18" s="11">
        <f t="shared" si="2"/>
        <v>3.7521920969087459</v>
      </c>
    </row>
    <row r="19" spans="1:12">
      <c r="A19">
        <v>628</v>
      </c>
      <c r="B19" t="s">
        <v>248</v>
      </c>
      <c r="C19">
        <v>30</v>
      </c>
      <c r="D19" s="4">
        <f>3.43+0.528</f>
        <v>3.9580000000000002</v>
      </c>
      <c r="G19" s="4">
        <f>(((Ammunition!$E$39/7000)*Ammunition!$G$39)+(Ammunition!$H$39*(Ammunition!$F$39/7000)))^2/(64.348*'9x19'!D19*2.205)</f>
        <v>1.112911372930018</v>
      </c>
      <c r="H19" s="4">
        <f>(((Ammunition!$E$39/7000)*Ammunition!$G$39)+(Ammunition!$H$39*(Ammunition!$F$39/7000)))/('9x19'!D19*2.205)</f>
        <v>2.8645448410120316</v>
      </c>
      <c r="I19" s="4">
        <f>((Ammunition!$E$39/7000)*Ammunition!$G$39+(Ammunition!$F$39/7000)*Ammunition!$H$39)</f>
        <v>25</v>
      </c>
      <c r="K19" s="11">
        <f t="shared" si="3"/>
        <v>4.0688486319887041</v>
      </c>
      <c r="L19" s="11">
        <f t="shared" si="2"/>
        <v>3.8097093901840386</v>
      </c>
    </row>
    <row r="20" spans="1:12">
      <c r="A20">
        <v>1067</v>
      </c>
      <c r="B20" t="s">
        <v>256</v>
      </c>
      <c r="C20">
        <v>30</v>
      </c>
      <c r="D20" s="4">
        <f>3.2+0.528</f>
        <v>3.7280000000000002</v>
      </c>
      <c r="G20" s="4">
        <f>(((Ammunition!$E$39/7000)*Ammunition!$G$39)+(Ammunition!$H$39*(Ammunition!$F$39/7000)))^2/(64.348*'9x19'!D20*2.205)</f>
        <v>1.1815727505517732</v>
      </c>
      <c r="H20" s="4">
        <f>(((Ammunition!$E$39/7000)*Ammunition!$G$39)+(Ammunition!$H$39*(Ammunition!$F$39/7000)))/('9x19'!D20*2.205)</f>
        <v>3.0412737341002209</v>
      </c>
      <c r="I20" s="4">
        <f>((Ammunition!$E$39/7000)*Ammunition!$G$39+(Ammunition!$F$39/7000)*Ammunition!$H$39)</f>
        <v>25</v>
      </c>
      <c r="K20" s="11">
        <f t="shared" si="3"/>
        <v>4.2684646509508122</v>
      </c>
      <c r="L20" s="11">
        <f t="shared" si="2"/>
        <v>4.0139028343209304</v>
      </c>
    </row>
    <row r="21" spans="1:12">
      <c r="A21">
        <v>761</v>
      </c>
      <c r="B21" t="s">
        <v>254</v>
      </c>
      <c r="C21">
        <v>30</v>
      </c>
      <c r="D21" s="4">
        <f>3+0.528</f>
        <v>3.528</v>
      </c>
      <c r="G21" s="4">
        <f>(((Ammunition!$E$39/7000)*Ammunition!$G$39)+(Ammunition!$H$39*(Ammunition!$F$39/7000)))^2/(64.348*'9x19'!D21*2.205)</f>
        <v>1.2485553327825998</v>
      </c>
      <c r="H21" s="4">
        <f>(((Ammunition!$E$39/7000)*Ammunition!$G$39)+(Ammunition!$H$39*(Ammunition!$F$39/7000)))/('9x19'!D21*2.205)</f>
        <v>3.2136815421557889</v>
      </c>
      <c r="I21" s="4">
        <f>((Ammunition!$E$39/7000)*Ammunition!$G$39+(Ammunition!$F$39/7000)*Ammunition!$H$39)</f>
        <v>25</v>
      </c>
      <c r="K21" s="11">
        <f t="shared" si="3"/>
        <v>4.4631999864166554</v>
      </c>
      <c r="L21" s="11">
        <f t="shared" si="2"/>
        <v>4.2131036752688287</v>
      </c>
    </row>
    <row r="22" spans="1:12">
      <c r="A22">
        <v>727</v>
      </c>
      <c r="B22" t="s">
        <v>253</v>
      </c>
      <c r="C22">
        <v>30</v>
      </c>
      <c r="D22" s="4">
        <f>3+0.518</f>
        <v>3.5179999999999998</v>
      </c>
      <c r="G22" s="4">
        <f>(((Ammunition!$E$39/7000)*Ammunition!$G$39)+(Ammunition!$H$39*(Ammunition!$F$39/7000)))^2/(64.348*'9x19'!D22*2.205)</f>
        <v>1.2521043814829482</v>
      </c>
      <c r="H22" s="4">
        <f>(((Ammunition!$E$39/7000)*Ammunition!$G$39)+(Ammunition!$H$39*(Ammunition!$F$39/7000)))/('9x19'!D22*2.205)</f>
        <v>3.2228165095865902</v>
      </c>
      <c r="I22" s="4">
        <f>((Ammunition!$E$39/7000)*Ammunition!$G$39+(Ammunition!$F$39/7000)*Ammunition!$H$39)</f>
        <v>25</v>
      </c>
      <c r="K22" s="11">
        <f t="shared" si="3"/>
        <v>4.4735179700809065</v>
      </c>
      <c r="L22" s="11">
        <f t="shared" si="2"/>
        <v>4.2236582621797698</v>
      </c>
    </row>
    <row r="23" spans="1:12">
      <c r="A23">
        <v>344</v>
      </c>
      <c r="B23" t="s">
        <v>245</v>
      </c>
      <c r="C23">
        <v>30</v>
      </c>
      <c r="D23" s="4">
        <f>3.1+0.518</f>
        <v>3.6180000000000003</v>
      </c>
      <c r="E23">
        <v>5.7</v>
      </c>
      <c r="G23" s="4">
        <f>(((Ammunition!$E$39/7000)*Ammunition!$G$39)+(Ammunition!$H$39*(Ammunition!$F$39/7000)))^2/(64.348*'9x19'!D23*2.205)</f>
        <v>1.217496742414873</v>
      </c>
      <c r="H23" s="4">
        <f>(((Ammunition!$E$39/7000)*Ammunition!$G$39)+(Ammunition!$H$39*(Ammunition!$F$39/7000)))/('9x19'!D23*2.205)</f>
        <v>3.1337392152364902</v>
      </c>
      <c r="I23" s="4">
        <f>((Ammunition!$E$39/7000)*Ammunition!$G$39+(Ammunition!$F$39/7000)*Ammunition!$H$39)</f>
        <v>25</v>
      </c>
      <c r="K23" s="11">
        <f t="shared" si="3"/>
        <v>4.372904796041448</v>
      </c>
      <c r="L23" s="11">
        <f t="shared" si="2"/>
        <v>4.120737912202439</v>
      </c>
    </row>
    <row r="24" spans="1:12">
      <c r="A24">
        <v>1177</v>
      </c>
      <c r="B24" t="s">
        <v>257</v>
      </c>
      <c r="C24">
        <v>30</v>
      </c>
      <c r="D24" s="4">
        <f>2.9+0.518</f>
        <v>3.4180000000000001</v>
      </c>
      <c r="G24" s="4">
        <f>(((Ammunition!$E$39/7000)*Ammunition!$G$39)+(Ammunition!$H$39*(Ammunition!$F$39/7000)))^2/(64.348*'9x19'!D24*2.205)</f>
        <v>1.2887370433168555</v>
      </c>
      <c r="H24" s="4">
        <f>(((Ammunition!$E$39/7000)*Ammunition!$G$39)+(Ammunition!$H$39*(Ammunition!$F$39/7000)))/('9x19'!D24*2.205)</f>
        <v>3.3171060505341199</v>
      </c>
      <c r="I24" s="4">
        <f>((Ammunition!$E$39/7000)*Ammunition!$G$39+(Ammunition!$F$39/7000)*Ammunition!$H$39)</f>
        <v>25</v>
      </c>
      <c r="K24" s="11">
        <f t="shared" si="3"/>
        <v>4.5800183983064047</v>
      </c>
      <c r="L24" s="11">
        <f t="shared" si="2"/>
        <v>4.3326008678608625</v>
      </c>
    </row>
    <row r="25" spans="1:12">
      <c r="A25">
        <v>643</v>
      </c>
      <c r="B25" t="s">
        <v>250</v>
      </c>
      <c r="C25">
        <v>30</v>
      </c>
      <c r="D25" s="4">
        <f>2.8+0.518</f>
        <v>3.3179999999999996</v>
      </c>
      <c r="G25" s="4">
        <f>(((Ammunition!$E$39/7000)*Ammunition!$G$39)+(Ammunition!$H$39*(Ammunition!$F$39/7000)))^2/(64.348*'9x19'!D25*2.205)</f>
        <v>1.32757782219922</v>
      </c>
      <c r="H25" s="4">
        <f>(((Ammunition!$E$39/7000)*Ammunition!$G$39)+(Ammunition!$H$39*(Ammunition!$F$39/7000)))/('9x19'!D25*2.205)</f>
        <v>3.4170791081150163</v>
      </c>
      <c r="I25" s="4">
        <f>((Ammunition!$E$39/7000)*Ammunition!$G$39+(Ammunition!$F$39/7000)*Ammunition!$H$39)</f>
        <v>25</v>
      </c>
      <c r="K25" s="11">
        <f t="shared" si="3"/>
        <v>4.6929383821814232</v>
      </c>
      <c r="L25" s="11">
        <f t="shared" si="2"/>
        <v>4.4481102369947045</v>
      </c>
    </row>
    <row r="26" spans="1:12">
      <c r="A26">
        <v>343</v>
      </c>
      <c r="B26" t="s">
        <v>244</v>
      </c>
      <c r="C26">
        <v>30</v>
      </c>
      <c r="D26" s="4">
        <f>3.25+0.35</f>
        <v>3.6</v>
      </c>
      <c r="G26" s="4">
        <f>(((Ammunition!$E$39/7000)*Ammunition!$G$39)+(Ammunition!$H$39*(Ammunition!$F$39/7000)))^2/(64.348*'9x19'!D26*2.205)</f>
        <v>1.2235842261269476</v>
      </c>
      <c r="H26" s="4">
        <f>(((Ammunition!$E$39/7000)*Ammunition!$G$39)+(Ammunition!$H$39*(Ammunition!$F$39/7000)))/('9x19'!D26*2.205)</f>
        <v>3.1494079113126729</v>
      </c>
      <c r="I26" s="4">
        <f>((Ammunition!$E$39/7000)*Ammunition!$G$39+(Ammunition!$F$39/7000)*Ammunition!$H$39)</f>
        <v>25</v>
      </c>
      <c r="K26" s="11">
        <f t="shared" si="3"/>
        <v>4.3906026533549882</v>
      </c>
      <c r="L26" s="11">
        <f t="shared" si="2"/>
        <v>4.1388416017634517</v>
      </c>
    </row>
    <row r="27" spans="1:12">
      <c r="A27">
        <v>342</v>
      </c>
      <c r="B27" t="s">
        <v>243</v>
      </c>
      <c r="C27">
        <v>30</v>
      </c>
      <c r="D27" s="4">
        <f>2.54+0.518</f>
        <v>3.0579999999999998</v>
      </c>
      <c r="E27">
        <v>8.9</v>
      </c>
      <c r="G27" s="4">
        <f>(((Ammunition!$E$39/7000)*Ammunition!$G$39)+(Ammunition!$H$39*(Ammunition!$F$39/7000)))^2/(64.348*'9x19'!D27*2.205)</f>
        <v>1.4404523263757398</v>
      </c>
      <c r="H27" s="4">
        <f>(((Ammunition!$E$39/7000)*Ammunition!$G$39)+(Ammunition!$H$39*(Ammunition!$F$39/7000)))/('9x19'!D27*2.205)</f>
        <v>3.7076090519050435</v>
      </c>
      <c r="I27" s="4">
        <f>((Ammunition!$E$39/7000)*Ammunition!$G$39+(Ammunition!$F$39/7000)*Ammunition!$H$39)</f>
        <v>25</v>
      </c>
      <c r="K27" s="11">
        <f t="shared" si="3"/>
        <v>5.0210931606969567</v>
      </c>
      <c r="L27" s="11">
        <f t="shared" si="2"/>
        <v>4.7837899824553398</v>
      </c>
    </row>
    <row r="28" spans="1:12">
      <c r="A28">
        <v>725</v>
      </c>
      <c r="B28" t="s">
        <v>252</v>
      </c>
      <c r="C28">
        <v>30</v>
      </c>
      <c r="D28" s="4">
        <f>2.7+0.528</f>
        <v>3.2280000000000002</v>
      </c>
      <c r="G28" s="4">
        <f>(((Ammunition!$E$39/7000)*Ammunition!$G$39)+(Ammunition!$H$39*(Ammunition!$F$39/7000)))^2/(64.348*'9x19'!D28*2.205)</f>
        <v>1.3645920737475252</v>
      </c>
      <c r="H28" s="4">
        <f>(((Ammunition!$E$39/7000)*Ammunition!$G$39)+(Ammunition!$H$39*(Ammunition!$F$39/7000)))/('9x19'!D28*2.205)</f>
        <v>3.51235083046023</v>
      </c>
      <c r="I28" s="4">
        <f>((Ammunition!$E$39/7000)*Ammunition!$G$39+(Ammunition!$F$39/7000)*Ammunition!$H$39)</f>
        <v>25</v>
      </c>
      <c r="K28" s="11">
        <f t="shared" si="3"/>
        <v>4.8005481883760721</v>
      </c>
      <c r="L28" s="11">
        <f t="shared" si="2"/>
        <v>4.5581876599592395</v>
      </c>
    </row>
    <row r="29" spans="1:12">
      <c r="A29">
        <v>642</v>
      </c>
      <c r="B29" t="s">
        <v>249</v>
      </c>
      <c r="C29">
        <v>30</v>
      </c>
      <c r="D29" s="4">
        <f>2.7+0.518</f>
        <v>3.218</v>
      </c>
      <c r="G29" s="4">
        <f>(((Ammunition!$E$39/7000)*Ammunition!$G$39)+(Ammunition!$H$39*(Ammunition!$F$39/7000)))^2/(64.348*'9x19'!D29*2.205)</f>
        <v>1.368832571179929</v>
      </c>
      <c r="H29" s="4">
        <f>(((Ammunition!$E$39/7000)*Ammunition!$G$39)+(Ammunition!$H$39*(Ammunition!$F$39/7000)))/('9x19'!D29*2.205)</f>
        <v>3.5232655316114427</v>
      </c>
      <c r="I29" s="4">
        <f>((Ammunition!$E$39/7000)*Ammunition!$G$39+(Ammunition!$F$39/7000)*Ammunition!$H$39)</f>
        <v>25</v>
      </c>
      <c r="K29" s="11">
        <f t="shared" si="3"/>
        <v>4.8128763886714188</v>
      </c>
      <c r="L29" s="11">
        <f t="shared" si="2"/>
        <v>4.5707985600834142</v>
      </c>
    </row>
    <row r="30" spans="1:12">
      <c r="A30">
        <v>346</v>
      </c>
      <c r="B30" t="s">
        <v>247</v>
      </c>
      <c r="C30">
        <v>30</v>
      </c>
      <c r="D30" s="4">
        <f>2.59+0.528</f>
        <v>3.1179999999999999</v>
      </c>
      <c r="G30" s="4">
        <f>(((Ammunition!$E$39/7000)*Ammunition!$G$39)+(Ammunition!$H$39*(Ammunition!$F$39/7000)))^2/(64.348*'9x19'!D30*2.205)</f>
        <v>1.4127335516539488</v>
      </c>
      <c r="H30" s="4">
        <f>(((Ammunition!$E$39/7000)*Ammunition!$G$39)+(Ammunition!$H$39*(Ammunition!$F$39/7000)))/('9x19'!D30*2.205)</f>
        <v>3.6362631432731316</v>
      </c>
      <c r="I30" s="4">
        <f>((Ammunition!$E$39/7000)*Ammunition!$G$39+(Ammunition!$F$39/7000)*Ammunition!$H$39)</f>
        <v>25</v>
      </c>
      <c r="K30" s="11">
        <f t="shared" si="3"/>
        <v>4.9405076604911144</v>
      </c>
      <c r="L30" s="11">
        <f t="shared" si="2"/>
        <v>4.701356563934711</v>
      </c>
    </row>
    <row r="31" spans="1:12">
      <c r="A31">
        <v>69</v>
      </c>
      <c r="B31" t="s">
        <v>242</v>
      </c>
      <c r="C31" s="5">
        <v>50</v>
      </c>
      <c r="D31" s="4">
        <f>2.17+0.817</f>
        <v>2.9870000000000001</v>
      </c>
      <c r="G31" s="4">
        <f>(((Ammunition!$E$39/7000)*Ammunition!$G$39)+(Ammunition!$H$39*(Ammunition!$F$39/7000)))^2/(64.348*'9x19'!D31*2.205)</f>
        <v>1.4746914007556113</v>
      </c>
      <c r="H31" s="4">
        <f>(((Ammunition!$E$39/7000)*Ammunition!$G$39)+(Ammunition!$H$39*(Ammunition!$F$39/7000)))/('9x19'!D31*2.205)</f>
        <v>3.7957376902328837</v>
      </c>
      <c r="I31" s="4">
        <f>((Ammunition!$E$39/7000)*Ammunition!$G$39+(Ammunition!$F$39/7000)*Ammunition!$H$39)</f>
        <v>25</v>
      </c>
      <c r="K31" s="11">
        <f t="shared" si="3"/>
        <v>5.1206348238180874</v>
      </c>
      <c r="L31" s="11">
        <f t="shared" si="2"/>
        <v>4.885614250535129</v>
      </c>
    </row>
    <row r="32" spans="1:12">
      <c r="A32">
        <v>681</v>
      </c>
      <c r="B32" t="s">
        <v>251</v>
      </c>
      <c r="C32">
        <v>30</v>
      </c>
      <c r="D32" s="4">
        <f>1.65+0.518</f>
        <v>2.1680000000000001</v>
      </c>
      <c r="G32" s="4">
        <f>(((Ammunition!$E$39/7000)*Ammunition!$G$39)+(Ammunition!$H$39*(Ammunition!$F$39/7000)))^2/(64.348*'9x19'!D32*2.205)</f>
        <v>2.0317819253030498</v>
      </c>
      <c r="H32" s="4">
        <f>(((Ammunition!$E$39/7000)*Ammunition!$G$39)+(Ammunition!$H$39*(Ammunition!$F$39/7000)))/('9x19'!D32*2.205)</f>
        <v>5.2296441331760253</v>
      </c>
      <c r="I32" s="4">
        <f>((Ammunition!$E$39/7000)*Ammunition!$G$39+(Ammunition!$F$39/7000)*Ammunition!$H$39)</f>
        <v>25</v>
      </c>
      <c r="K32" s="11">
        <f t="shared" si="3"/>
        <v>6.7402381082770413</v>
      </c>
      <c r="L32" s="11">
        <f t="shared" si="2"/>
        <v>6.5423569032972448</v>
      </c>
    </row>
  </sheetData>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dimension ref="A1:R27"/>
  <sheetViews>
    <sheetView workbookViewId="0">
      <selection activeCell="I22" sqref="I22"/>
    </sheetView>
  </sheetViews>
  <sheetFormatPr baseColWidth="10" defaultRowHeight="15"/>
  <cols>
    <col min="1" max="1" width="4" bestFit="1" customWidth="1"/>
    <col min="2" max="2" width="18.5703125" bestFit="1" customWidth="1"/>
    <col min="3" max="3" width="8.7109375" bestFit="1" customWidth="1"/>
    <col min="4" max="4" width="16.28515625" style="4" bestFit="1" customWidth="1"/>
    <col min="7" max="7" width="13" style="4" bestFit="1" customWidth="1"/>
    <col min="8" max="8" width="13.85546875" style="4" bestFit="1" customWidth="1"/>
    <col min="9" max="9" width="13.5703125" style="4" bestFit="1" customWidth="1"/>
  </cols>
  <sheetData>
    <row r="1" spans="1:18">
      <c r="A1" t="s">
        <v>128</v>
      </c>
      <c r="B1" s="5" t="s">
        <v>22</v>
      </c>
      <c r="G1" s="4" t="s">
        <v>3</v>
      </c>
      <c r="H1" s="4" t="s">
        <v>4</v>
      </c>
      <c r="I1" s="4" t="s">
        <v>62</v>
      </c>
      <c r="K1" s="11" t="s">
        <v>362</v>
      </c>
      <c r="L1" s="4" t="s">
        <v>363</v>
      </c>
    </row>
    <row r="2" spans="1:18">
      <c r="B2" s="5" t="s">
        <v>231</v>
      </c>
      <c r="C2" s="9" t="s">
        <v>309</v>
      </c>
      <c r="D2" s="4" t="s">
        <v>79</v>
      </c>
      <c r="E2" t="s">
        <v>84</v>
      </c>
      <c r="P2" t="s">
        <v>22</v>
      </c>
    </row>
    <row r="3" spans="1:18">
      <c r="A3" s="7">
        <v>601</v>
      </c>
      <c r="B3" s="7" t="s">
        <v>332</v>
      </c>
      <c r="C3">
        <v>30</v>
      </c>
      <c r="D3" s="4">
        <f>1.65+0.291+0.1</f>
        <v>2.0409999999999999</v>
      </c>
      <c r="E3">
        <v>6.6</v>
      </c>
      <c r="G3" s="4">
        <f>(((Ammunition!$E$37/7000)*Ammunition!$G$37)+(Ammunition!$H$37*(Ammunition!$F$37/7000)))^2/(64.348*Rus9x!D3*2.205)</f>
        <v>0.89691433202574589</v>
      </c>
      <c r="H3" s="4">
        <f>(((Ammunition!$E$37/7000)*Ammunition!$G$37)+(Ammunition!$H$37*(Ammunition!$F$37/7000)))/(Rus9x!D3*2.205)</f>
        <v>3.5811062718641038</v>
      </c>
      <c r="I3" s="4">
        <f>((Ammunition!$E$37/7000)*Ammunition!$G$37+(Ammunition!$F$37/7000)*Ammunition!$H$37)</f>
        <v>16.116428571428571</v>
      </c>
      <c r="J3" s="11"/>
      <c r="K3" s="11">
        <f>(G3+H3*3+(I3/10))/3</f>
        <v>4.4172920015869712</v>
      </c>
      <c r="L3" s="11">
        <f t="shared" ref="L3:L6" si="0">(G3*2+H3*5+(I3/10))/4.5</f>
        <v>4.7357784178921936</v>
      </c>
      <c r="M3" s="11"/>
      <c r="P3" t="s">
        <v>283</v>
      </c>
      <c r="Q3" t="s">
        <v>281</v>
      </c>
    </row>
    <row r="4" spans="1:18">
      <c r="A4" s="7">
        <v>701</v>
      </c>
      <c r="B4" s="7" t="s">
        <v>333</v>
      </c>
      <c r="C4">
        <v>30</v>
      </c>
      <c r="D4" s="4">
        <v>1.8</v>
      </c>
      <c r="E4">
        <v>8</v>
      </c>
      <c r="G4" s="4">
        <f>(((Ammunition!$E$37/7000)*Ammunition!$G$37)+(Ammunition!$H$37*(Ammunition!$F$37/7000)))^2/(64.348*Rus9x!D4*2.205)</f>
        <v>1.0170011953691926</v>
      </c>
      <c r="H4" s="4">
        <f>(((Ammunition!$E$37/7000)*Ammunition!$G$37)+(Ammunition!$H$37*(Ammunition!$F$37/7000)))/(Rus9x!D4*2.205)</f>
        <v>4.0605766115970194</v>
      </c>
      <c r="I4" s="4">
        <f>((Ammunition!$E$37/7000)*Ammunition!$G$37+(Ammunition!$F$37/7000)*Ammunition!$H$37)</f>
        <v>16.116428571428571</v>
      </c>
      <c r="J4" s="11"/>
      <c r="K4" s="11">
        <f t="shared" ref="K4:K6" si="1">(G4+H4*3+(I4/10))/3</f>
        <v>4.9367912957677031</v>
      </c>
      <c r="L4" s="11">
        <f t="shared" si="0"/>
        <v>5.3218951790814097</v>
      </c>
      <c r="P4">
        <v>9.6999999999999993</v>
      </c>
      <c r="Q4">
        <v>20</v>
      </c>
      <c r="R4">
        <f>+P4*Q4</f>
        <v>194</v>
      </c>
    </row>
    <row r="5" spans="1:18">
      <c r="A5" s="7">
        <v>720</v>
      </c>
      <c r="B5" s="7" t="s">
        <v>334</v>
      </c>
      <c r="C5">
        <v>20</v>
      </c>
      <c r="D5" s="4">
        <f>1.44+0.194</f>
        <v>1.6339999999999999</v>
      </c>
      <c r="E5">
        <v>4.4000000000000004</v>
      </c>
      <c r="G5" s="4">
        <f>(((Ammunition!$E$37/7000)*Ammunition!$G$37)+(Ammunition!$H$37*(Ammunition!$F$37/7000)))^2/(64.348*Rus9x!D5*2.205)</f>
        <v>1.1203195542622688</v>
      </c>
      <c r="H5" s="4">
        <f>(((Ammunition!$E$37/7000)*Ammunition!$G$37)+(Ammunition!$H$37*(Ammunition!$F$37/7000)))/(Rus9x!D5*2.205)</f>
        <v>4.4730954105719922</v>
      </c>
      <c r="I5" s="4">
        <f>((Ammunition!$E$37/7000)*Ammunition!$G$37+(Ammunition!$F$37/7000)*Ammunition!$H$37)</f>
        <v>16.116428571428571</v>
      </c>
      <c r="J5" s="11"/>
      <c r="K5" s="11">
        <f t="shared" si="1"/>
        <v>5.3837495477070334</v>
      </c>
      <c r="L5" s="11">
        <f t="shared" si="0"/>
        <v>5.8261686707838569</v>
      </c>
      <c r="Q5">
        <v>30</v>
      </c>
      <c r="R5">
        <f>+P4*Q5</f>
        <v>291</v>
      </c>
    </row>
    <row r="6" spans="1:18">
      <c r="A6" s="7">
        <v>724</v>
      </c>
      <c r="B6" s="7" t="s">
        <v>335</v>
      </c>
      <c r="C6">
        <v>20</v>
      </c>
      <c r="D6" s="4">
        <f>1.02+0.194+0.05</f>
        <v>1.264</v>
      </c>
      <c r="E6">
        <v>5.5</v>
      </c>
      <c r="G6" s="4">
        <f>(((Ammunition!$E$37/7000)*Ammunition!$G$37)+(Ammunition!$H$37*(Ammunition!$F$37/7000)))^2/(64.348*Rus9x!D6*2.205)</f>
        <v>1.4482611959371416</v>
      </c>
      <c r="H6" s="4">
        <f>(((Ammunition!$E$37/7000)*Ammunition!$G$37)+(Ammunition!$H$37*(Ammunition!$F$37/7000)))/(Rus9x!D6*2.205)</f>
        <v>5.7824666937299325</v>
      </c>
      <c r="I6" s="4">
        <f>((Ammunition!$E$37/7000)*Ammunition!$G$37+(Ammunition!$F$37/7000)*Ammunition!$H$37)</f>
        <v>16.116428571428571</v>
      </c>
      <c r="J6" s="11"/>
      <c r="K6" s="11">
        <f t="shared" si="1"/>
        <v>6.8024347114232659</v>
      </c>
      <c r="L6" s="11">
        <f t="shared" si="0"/>
        <v>7.4267774928148453</v>
      </c>
    </row>
    <row r="11" spans="1:18">
      <c r="B11" s="5" t="s">
        <v>342</v>
      </c>
    </row>
    <row r="12" spans="1:18">
      <c r="B12" s="5" t="s">
        <v>230</v>
      </c>
      <c r="P12" t="s">
        <v>342</v>
      </c>
    </row>
    <row r="13" spans="1:18">
      <c r="A13">
        <v>619</v>
      </c>
      <c r="B13" t="s">
        <v>347</v>
      </c>
      <c r="C13">
        <v>30</v>
      </c>
      <c r="D13" s="4">
        <f>1.65+0.345</f>
        <v>1.9949999999999999</v>
      </c>
      <c r="E13">
        <v>6.8</v>
      </c>
      <c r="G13" s="4">
        <f>(((Ammunition!$E$41/7000)*Ammunition!$G$41)+(Ammunition!$H$41*(Ammunition!$F$41/7000)))^2/(64.348*Rus9x!D13*2.205)</f>
        <v>2.2340390028292503</v>
      </c>
      <c r="H13" s="4">
        <f>(((Ammunition!$E$41/7000)*Ammunition!$G$41)+(Ammunition!$H$41*(Ammunition!$F$41/7000)))/(Rus9x!D13*2.205)</f>
        <v>5.7165914462216447</v>
      </c>
      <c r="I13" s="4">
        <f>((Ammunition!$E$41/7000)*Ammunition!$G$41+(Ammunition!$F$41/7000)*Ammunition!$H$41)</f>
        <v>25.14714285714286</v>
      </c>
      <c r="J13" s="11"/>
      <c r="K13" s="11">
        <f t="shared" ref="K13" si="2">(G13+H13*3+(I13/10))/3</f>
        <v>7.2995092090694902</v>
      </c>
      <c r="L13" s="11">
        <f t="shared" ref="L13" si="3">(G13*2+H13*5+(I13/10))/4.5</f>
        <v>7.9034998938846677</v>
      </c>
      <c r="P13" t="s">
        <v>283</v>
      </c>
      <c r="Q13" t="s">
        <v>281</v>
      </c>
    </row>
    <row r="14" spans="1:18">
      <c r="P14">
        <v>11.5</v>
      </c>
      <c r="Q14">
        <v>30</v>
      </c>
      <c r="R14">
        <f>+P14*Q14</f>
        <v>345</v>
      </c>
    </row>
    <row r="18" spans="1:18">
      <c r="B18" s="5" t="s">
        <v>24</v>
      </c>
    </row>
    <row r="19" spans="1:18">
      <c r="B19" s="5" t="s">
        <v>105</v>
      </c>
    </row>
    <row r="20" spans="1:18">
      <c r="A20" s="7">
        <v>349</v>
      </c>
      <c r="B20" s="7" t="s">
        <v>268</v>
      </c>
      <c r="C20" s="7">
        <v>20</v>
      </c>
      <c r="D20" s="7">
        <v>2.5499999999999998</v>
      </c>
      <c r="E20" s="7">
        <v>6.15</v>
      </c>
      <c r="F20" s="7"/>
      <c r="G20" s="4">
        <f>(((Ammunition!$E$43/7000)*Ammunition!$G$43)+(Ammunition!$H$43*(Ammunition!$F$43/7000)))^2/(64.348*Rus9x!D20*2.205)</f>
        <v>4.3091952255870032</v>
      </c>
      <c r="H20" s="4">
        <f>(((Ammunition!$E$43/7000)*Ammunition!$G$43)+(Ammunition!$H$43*(Ammunition!$F$43/7000)))/(Rus9x!D20*2.205)</f>
        <v>7.0224915362970588</v>
      </c>
      <c r="I20" s="4">
        <f>((Ammunition!$E$43/7000)*Ammunition!$G$43+(Ammunition!$F$43/7000)*Ammunition!$H$43)</f>
        <v>39.485714285714288</v>
      </c>
      <c r="K20" s="11">
        <f t="shared" ref="K20:K22" si="4">(G20+H20*3+(I20/10))/3</f>
        <v>9.7750804210165363</v>
      </c>
      <c r="L20" s="11">
        <f t="shared" ref="L20:L22" si="5">(G20*2+H20*5+(I20/10))/4.5</f>
        <v>10.595426569162385</v>
      </c>
      <c r="P20" t="s">
        <v>24</v>
      </c>
    </row>
    <row r="21" spans="1:18">
      <c r="A21" s="7">
        <v>617</v>
      </c>
      <c r="B21" s="7" t="s">
        <v>269</v>
      </c>
      <c r="C21" s="7">
        <v>20</v>
      </c>
      <c r="D21" s="7">
        <v>3.05</v>
      </c>
      <c r="E21" s="7">
        <v>7.9</v>
      </c>
      <c r="G21" s="4">
        <f>(((Ammunition!$E$43/7000)*Ammunition!$G$43)+(Ammunition!$H$43*(Ammunition!$F$43/7000)))^2/(64.348*Rus9x!D21*2.205)</f>
        <v>3.6027697787694617</v>
      </c>
      <c r="H21" s="4">
        <f>(((Ammunition!$E$43/7000)*Ammunition!$G$43)+(Ammunition!$H$43*(Ammunition!$F$43/7000)))/(Rus9x!D21*2.205)</f>
        <v>5.8712634155926233</v>
      </c>
      <c r="I21" s="4">
        <f>((Ammunition!$E$43/7000)*Ammunition!$G$43+(Ammunition!$F$43/7000)*Ammunition!$H$43)</f>
        <v>39.485714285714288</v>
      </c>
      <c r="K21" s="11">
        <f t="shared" si="4"/>
        <v>8.3883771513729197</v>
      </c>
      <c r="L21" s="11">
        <f t="shared" si="5"/>
        <v>9.0023173475718821</v>
      </c>
      <c r="P21" t="s">
        <v>283</v>
      </c>
      <c r="Q21" t="s">
        <v>281</v>
      </c>
    </row>
    <row r="22" spans="1:18">
      <c r="A22" s="7">
        <v>660</v>
      </c>
      <c r="B22" s="7" t="s">
        <v>270</v>
      </c>
      <c r="C22" s="7">
        <v>20</v>
      </c>
      <c r="D22" s="7">
        <v>4.55</v>
      </c>
      <c r="E22" s="7">
        <v>9.5</v>
      </c>
      <c r="F22" s="7"/>
      <c r="G22" s="4">
        <f>(((Ammunition!$E$43/7000)*Ammunition!$G$43)+(Ammunition!$H$43*(Ammunition!$F$43/7000)))^2/(64.348*Rus9x!D22*2.205)</f>
        <v>2.4150434780762322</v>
      </c>
      <c r="H22" s="4">
        <f>(((Ammunition!$E$43/7000)*Ammunition!$G$43)+(Ammunition!$H$43*(Ammunition!$F$43/7000)))/(Rus9x!D22*2.205)</f>
        <v>3.9356820697928572</v>
      </c>
      <c r="I22" s="4">
        <f>((Ammunition!$E$43/7000)*Ammunition!$G$43+(Ammunition!$F$43/7000)*Ammunition!$H$43)</f>
        <v>39.485714285714288</v>
      </c>
      <c r="K22" s="11">
        <f t="shared" si="4"/>
        <v>6.0568870386754101</v>
      </c>
      <c r="L22" s="11">
        <f t="shared" si="5"/>
        <v>6.3237930519307062</v>
      </c>
      <c r="Q22">
        <v>20</v>
      </c>
      <c r="R22">
        <f>+P22*Q22</f>
        <v>0</v>
      </c>
    </row>
    <row r="23" spans="1:18">
      <c r="D23"/>
      <c r="G23"/>
      <c r="H23"/>
      <c r="I23"/>
    </row>
    <row r="24" spans="1:18">
      <c r="D24"/>
      <c r="G24"/>
      <c r="H24"/>
      <c r="I24"/>
    </row>
    <row r="25" spans="1:18">
      <c r="B25" s="10" t="s">
        <v>328</v>
      </c>
      <c r="D25"/>
      <c r="G25"/>
      <c r="H25"/>
      <c r="I25"/>
    </row>
    <row r="26" spans="1:18">
      <c r="A26" s="7">
        <v>745</v>
      </c>
      <c r="B26" s="7" t="s">
        <v>326</v>
      </c>
      <c r="C26" s="7">
        <v>20</v>
      </c>
      <c r="D26" s="7">
        <v>3.5</v>
      </c>
      <c r="G26" s="4">
        <f>(((Ammunition!$E$43/7000)*Ammunition!$G$43)+(Ammunition!$H$43*(Ammunition!$F$43/7000)))^2/(64.348*Rus9x!D26*2.205)</f>
        <v>3.1395565214991024</v>
      </c>
      <c r="H26" s="4">
        <f>(((Ammunition!$E$43/7000)*Ammunition!$G$43)+(Ammunition!$H$43*(Ammunition!$F$43/7000)))/(Rus9x!D26*2.205)</f>
        <v>5.1163866907307138</v>
      </c>
      <c r="I26" s="4">
        <f>((Ammunition!$E$43/7000)*Ammunition!$G$43+(Ammunition!$F$43/7000)*Ammunition!$H$43)</f>
        <v>39.485714285714288</v>
      </c>
      <c r="K26" s="11">
        <f t="shared" ref="K26:K27" si="6">(G26+H26*3+(I26/10))/3</f>
        <v>7.4790960074208916</v>
      </c>
      <c r="L26" s="11">
        <f t="shared" ref="L26:L27" si="7">(G26*2+H26*5+(I26/10))/4.5</f>
        <v>7.9576928722718225</v>
      </c>
    </row>
    <row r="27" spans="1:18">
      <c r="A27" s="7">
        <v>333</v>
      </c>
      <c r="B27" s="7" t="s">
        <v>327</v>
      </c>
      <c r="C27" s="7">
        <v>20</v>
      </c>
      <c r="D27" s="7">
        <v>3</v>
      </c>
      <c r="E27" s="7">
        <v>7.9</v>
      </c>
      <c r="F27" s="7"/>
      <c r="G27" s="4">
        <f>(((Ammunition!$E$43/7000)*Ammunition!$G$43)+(Ammunition!$H$43*(Ammunition!$F$43/7000)))^2/(64.348*Rus9x!D27*2.205)</f>
        <v>3.6628159417489523</v>
      </c>
      <c r="H27" s="4">
        <f>(((Ammunition!$E$43/7000)*Ammunition!$G$43)+(Ammunition!$H$43*(Ammunition!$F$43/7000)))/(Rus9x!D27*2.205)</f>
        <v>5.9691178058525001</v>
      </c>
      <c r="I27" s="4">
        <f>((Ammunition!$E$43/7000)*Ammunition!$G$43+(Ammunition!$F$43/7000)*Ammunition!$H$43)</f>
        <v>39.485714285714288</v>
      </c>
      <c r="K27" s="11">
        <f t="shared" si="6"/>
        <v>8.5062469292926277</v>
      </c>
      <c r="L27" s="11">
        <f t="shared" si="7"/>
        <v>9.1377316314070729</v>
      </c>
    </row>
  </sheetData>
  <pageMargins left="0.7" right="0.7" top="0.78740157499999996" bottom="0.78740157499999996" header="0.3" footer="0.3"/>
  <legacyDrawing r:id="rId1"/>
</worksheet>
</file>

<file path=xl/worksheets/sheet12.xml><?xml version="1.0" encoding="utf-8"?>
<worksheet xmlns="http://schemas.openxmlformats.org/spreadsheetml/2006/main" xmlns:r="http://schemas.openxmlformats.org/officeDocument/2006/relationships">
  <dimension ref="A1:R7"/>
  <sheetViews>
    <sheetView workbookViewId="0">
      <selection activeCell="M4" sqref="M4"/>
    </sheetView>
  </sheetViews>
  <sheetFormatPr baseColWidth="10" defaultRowHeight="15"/>
  <cols>
    <col min="1" max="1" width="4" bestFit="1" customWidth="1"/>
    <col min="2" max="2" width="10" bestFit="1" customWidth="1"/>
    <col min="4" max="4" width="16.28515625" style="4" bestFit="1" customWidth="1"/>
    <col min="7" max="7" width="13" style="4" bestFit="1" customWidth="1"/>
    <col min="8" max="8" width="13.85546875" style="4" bestFit="1" customWidth="1"/>
    <col min="9" max="9" width="13.5703125" style="4" bestFit="1" customWidth="1"/>
    <col min="11" max="12" width="12.140625" bestFit="1" customWidth="1"/>
  </cols>
  <sheetData>
    <row r="1" spans="1:18">
      <c r="A1" t="s">
        <v>128</v>
      </c>
      <c r="G1" s="4" t="s">
        <v>3</v>
      </c>
      <c r="H1" s="4" t="s">
        <v>4</v>
      </c>
      <c r="I1" s="4" t="s">
        <v>62</v>
      </c>
      <c r="K1" s="11" t="s">
        <v>362</v>
      </c>
      <c r="L1" s="4" t="s">
        <v>363</v>
      </c>
    </row>
    <row r="2" spans="1:18">
      <c r="B2" s="5" t="s">
        <v>230</v>
      </c>
      <c r="C2" t="s">
        <v>309</v>
      </c>
      <c r="D2" s="4" t="s">
        <v>79</v>
      </c>
      <c r="E2" t="s">
        <v>84</v>
      </c>
      <c r="P2" t="s">
        <v>28</v>
      </c>
    </row>
    <row r="3" spans="1:18">
      <c r="A3" s="7">
        <v>16</v>
      </c>
      <c r="B3" s="7" t="s">
        <v>337</v>
      </c>
      <c r="C3">
        <v>30</v>
      </c>
      <c r="D3" s="4">
        <f>1.9+0.318+0.15</f>
        <v>2.3679999999999999</v>
      </c>
      <c r="E3">
        <v>8.3000000000000007</v>
      </c>
      <c r="G3" s="4">
        <f>(((Ammunition!$E$47/7000)*Ammunition!$G$47)+(Ammunition!$H$47*(Ammunition!$F$47/7000)))^2/(64.348*'7.62x25'!D3*2.205)</f>
        <v>1.8495643145868661</v>
      </c>
      <c r="H3" s="4">
        <f>(((Ammunition!$E$47/7000)*Ammunition!$G$47)+(Ammunition!$H$47*(Ammunition!$F$47/7000)))/('7.62x25'!D3*2.205)</f>
        <v>4.7742713559040082</v>
      </c>
      <c r="I3" s="4">
        <f>((Ammunition!$E$47/7000)*Ammunition!$G$47+(Ammunition!$F$47/7000)*Ammunition!$H$47)</f>
        <v>24.928571428571427</v>
      </c>
      <c r="J3" s="11"/>
      <c r="K3" s="11">
        <f>(G3+H3*3+(I3/10))/3</f>
        <v>6.2217451750520114</v>
      </c>
      <c r="L3" s="11">
        <f t="shared" ref="L3:L7" si="0">(G3*2+H3*5+(I3/10))/4.5</f>
        <v>6.6807427892335376</v>
      </c>
      <c r="M3" s="11"/>
      <c r="P3" t="s">
        <v>283</v>
      </c>
      <c r="Q3" t="s">
        <v>281</v>
      </c>
    </row>
    <row r="4" spans="1:18">
      <c r="A4" s="7">
        <v>626</v>
      </c>
      <c r="B4" s="7" t="s">
        <v>338</v>
      </c>
      <c r="C4">
        <v>45</v>
      </c>
      <c r="D4" s="4">
        <f>2.47+0.477</f>
        <v>2.9470000000000001</v>
      </c>
      <c r="E4">
        <v>3.7</v>
      </c>
      <c r="G4" s="4">
        <f>(((Ammunition!$E$47/7000)*Ammunition!$G$47)+(Ammunition!$H$47*(Ammunition!$F$47/7000)))^2/(64.348*'7.62x25'!D4*2.205)</f>
        <v>1.4861785873572102</v>
      </c>
      <c r="H4" s="4">
        <f>(((Ammunition!$E$47/7000)*Ammunition!$G$47)+(Ammunition!$H$47*(Ammunition!$F$47/7000)))/('7.62x25'!D4*2.205)</f>
        <v>3.8362655482798411</v>
      </c>
      <c r="I4" s="4">
        <f>((Ammunition!$E$47/7000)*Ammunition!$G$47+(Ammunition!$F$47/7000)*Ammunition!$H$47)</f>
        <v>24.928571428571427</v>
      </c>
      <c r="J4" s="11"/>
      <c r="K4" s="11">
        <f t="shared" ref="K4:K7" si="1">(G4+H4*3+(I4/10))/3</f>
        <v>5.1626107916846253</v>
      </c>
      <c r="L4" s="11">
        <f t="shared" si="0"/>
        <v>5.4770093464379492</v>
      </c>
      <c r="P4">
        <v>10.6</v>
      </c>
      <c r="Q4">
        <v>30</v>
      </c>
      <c r="R4">
        <f>+P4*Q4</f>
        <v>318</v>
      </c>
    </row>
    <row r="5" spans="1:18">
      <c r="A5" s="7">
        <v>672</v>
      </c>
      <c r="B5" s="7" t="s">
        <v>339</v>
      </c>
      <c r="C5">
        <v>30</v>
      </c>
      <c r="D5" s="4">
        <f>1.8+0.318</f>
        <v>2.1179999999999999</v>
      </c>
      <c r="E5" t="s">
        <v>336</v>
      </c>
      <c r="G5" s="4">
        <f>(((Ammunition!$E$47/7000)*Ammunition!$G$47)+(Ammunition!$H$47*(Ammunition!$F$47/7000)))^2/(64.348*'7.62x25'!D5*2.205)</f>
        <v>2.0678792714550038</v>
      </c>
      <c r="H5" s="4">
        <f>(((Ammunition!$E$47/7000)*Ammunition!$G$47)+(Ammunition!$H$47*(Ammunition!$F$47/7000)))/('7.62x25'!D5*2.205)</f>
        <v>5.3378066906424424</v>
      </c>
      <c r="I5" s="4">
        <f>((Ammunition!$E$47/7000)*Ammunition!$G$47+(Ammunition!$F$47/7000)*Ammunition!$H$47)</f>
        <v>24.928571428571427</v>
      </c>
      <c r="J5" s="11"/>
      <c r="K5" s="11">
        <f t="shared" si="1"/>
        <v>6.8580521620798258</v>
      </c>
      <c r="L5" s="11">
        <f t="shared" si="0"/>
        <v>7.4039220308843028</v>
      </c>
    </row>
    <row r="6" spans="1:18">
      <c r="A6" s="7">
        <v>702</v>
      </c>
      <c r="B6" s="7" t="s">
        <v>340</v>
      </c>
      <c r="C6">
        <v>71</v>
      </c>
      <c r="D6" s="4">
        <v>5.45</v>
      </c>
      <c r="E6">
        <v>10.6</v>
      </c>
      <c r="G6" s="4">
        <f>(((Ammunition!$E$47/7000)*Ammunition!$G$47)+(Ammunition!$H$47*(Ammunition!$F$47/7000)))^2/(64.348*'7.62x25'!D6*2.205)</f>
        <v>0.80362721044801799</v>
      </c>
      <c r="H6" s="4">
        <f>(((Ammunition!$E$47/7000)*Ammunition!$G$47)+(Ammunition!$H$47*(Ammunition!$F$47/7000)))/('7.62x25'!D6*2.205)</f>
        <v>2.0743990038129709</v>
      </c>
      <c r="I6" s="4">
        <f>((Ammunition!$E$47/7000)*Ammunition!$G$47+(Ammunition!$F$47/7000)*Ammunition!$H$47)</f>
        <v>24.928571428571427</v>
      </c>
      <c r="J6" s="11"/>
      <c r="K6" s="11">
        <f t="shared" si="1"/>
        <v>3.1732271215813577</v>
      </c>
      <c r="L6" s="11">
        <f t="shared" si="0"/>
        <v>3.2160236850706738</v>
      </c>
    </row>
    <row r="7" spans="1:18">
      <c r="A7" s="7">
        <v>780</v>
      </c>
      <c r="B7" s="7" t="s">
        <v>341</v>
      </c>
      <c r="C7">
        <v>30</v>
      </c>
      <c r="D7" s="4">
        <f>3.5+0.318+0.2</f>
        <v>4.0179999999999998</v>
      </c>
      <c r="E7">
        <v>11.2</v>
      </c>
      <c r="G7" s="4">
        <f>(((Ammunition!$E$47/7000)*Ammunition!$G$47)+(Ammunition!$H$47*(Ammunition!$F$47/7000)))^2/(64.348*'7.62x25'!D7*2.205)</f>
        <v>1.0900369081487551</v>
      </c>
      <c r="H7" s="4">
        <f>(((Ammunition!$E$47/7000)*Ammunition!$G$47)+(Ammunition!$H$47*(Ammunition!$F$47/7000)))/('7.62x25'!D7*2.205)</f>
        <v>2.8137069613690122</v>
      </c>
      <c r="I7" s="4">
        <f>((Ammunition!$E$47/7000)*Ammunition!$G$47+(Ammunition!$F$47/7000)*Ammunition!$H$47)</f>
        <v>24.928571428571427</v>
      </c>
      <c r="J7" s="11"/>
      <c r="K7" s="11">
        <f t="shared" si="1"/>
        <v>4.0080049783709777</v>
      </c>
      <c r="L7" s="11">
        <f t="shared" si="0"/>
        <v>4.1647701702221589</v>
      </c>
      <c r="Q7">
        <v>45</v>
      </c>
      <c r="R7">
        <f>+Q7*P4</f>
        <v>477</v>
      </c>
    </row>
  </sheetData>
  <pageMargins left="0.7" right="0.7" top="0.78740157499999996" bottom="0.78740157499999996" header="0.3" footer="0.3"/>
  <legacyDrawing r:id="rId1"/>
</worksheet>
</file>

<file path=xl/worksheets/sheet13.xml><?xml version="1.0" encoding="utf-8"?>
<worksheet xmlns="http://schemas.openxmlformats.org/spreadsheetml/2006/main" xmlns:r="http://schemas.openxmlformats.org/officeDocument/2006/relationships">
  <dimension ref="A1:S16"/>
  <sheetViews>
    <sheetView workbookViewId="0">
      <selection activeCell="J7" sqref="J7"/>
    </sheetView>
  </sheetViews>
  <sheetFormatPr baseColWidth="10" defaultRowHeight="15"/>
  <cols>
    <col min="1" max="1" width="5" bestFit="1" customWidth="1"/>
    <col min="2" max="2" width="18.28515625" bestFit="1" customWidth="1"/>
    <col min="3" max="3" width="16.140625" bestFit="1" customWidth="1"/>
    <col min="4" max="4" width="4.7109375" bestFit="1" customWidth="1"/>
    <col min="5" max="5" width="16.28515625" style="4" bestFit="1" customWidth="1"/>
    <col min="6" max="6" width="8.42578125" bestFit="1" customWidth="1"/>
    <col min="8" max="8" width="13" style="4" bestFit="1" customWidth="1"/>
    <col min="9" max="9" width="13.85546875" style="4" bestFit="1" customWidth="1"/>
    <col min="10" max="10" width="13.5703125" style="4" bestFit="1" customWidth="1"/>
    <col min="11" max="12" width="12.140625" style="11" bestFit="1" customWidth="1"/>
  </cols>
  <sheetData>
    <row r="1" spans="1:19">
      <c r="A1" t="s">
        <v>128</v>
      </c>
      <c r="H1" s="4" t="s">
        <v>3</v>
      </c>
      <c r="I1" s="4" t="s">
        <v>4</v>
      </c>
      <c r="J1" s="4" t="s">
        <v>62</v>
      </c>
      <c r="K1" s="11" t="s">
        <v>362</v>
      </c>
      <c r="L1" s="11" t="s">
        <v>363</v>
      </c>
    </row>
    <row r="2" spans="1:19">
      <c r="D2" t="s">
        <v>352</v>
      </c>
      <c r="E2" s="4" t="s">
        <v>79</v>
      </c>
      <c r="F2" t="s">
        <v>84</v>
      </c>
      <c r="G2" s="4"/>
    </row>
    <row r="3" spans="1:19">
      <c r="B3" s="5" t="s">
        <v>231</v>
      </c>
      <c r="D3" s="8"/>
    </row>
    <row r="4" spans="1:19">
      <c r="A4" s="7">
        <v>673</v>
      </c>
      <c r="B4" s="7" t="s">
        <v>260</v>
      </c>
      <c r="C4" s="8" t="s">
        <v>261</v>
      </c>
      <c r="D4">
        <v>20</v>
      </c>
      <c r="E4" s="4">
        <v>1.3</v>
      </c>
      <c r="F4">
        <v>7.1</v>
      </c>
    </row>
    <row r="6" spans="1:19">
      <c r="B6" s="5" t="s">
        <v>230</v>
      </c>
    </row>
    <row r="7" spans="1:19">
      <c r="A7" s="7">
        <v>15</v>
      </c>
      <c r="B7" s="7" t="s">
        <v>262</v>
      </c>
      <c r="C7" s="8" t="s">
        <v>263</v>
      </c>
      <c r="D7" s="8">
        <v>50</v>
      </c>
      <c r="E7" s="4">
        <v>2.98</v>
      </c>
      <c r="F7">
        <v>10.5</v>
      </c>
      <c r="H7" s="4">
        <f>(((Ammunition!$E$54/7000)*Ammunition!$G$54)+(Ammunition!$H$54*(Ammunition!$F$54/7000)))^2/(64.348*Misc!E7*2.205)</f>
        <v>0.47014769551565377</v>
      </c>
      <c r="I7" s="4">
        <f>(((Ammunition!$E$54/7000)*Ammunition!$G$54)+(Ammunition!$H$54*(Ammunition!$F$54/7000)))/(Misc!E7*2.205)</f>
        <v>2.1457160684663763</v>
      </c>
      <c r="J7" s="4">
        <f>((Ammunition!$E$54/7000)*Ammunition!$G$54+(Ammunition!$F$54/7000)*Ammunition!$H$54)</f>
        <v>14.099285714285713</v>
      </c>
      <c r="K7" s="11">
        <f>(H7+I7*3+(J7/10))/3</f>
        <v>2.772408157447785</v>
      </c>
      <c r="L7" s="11">
        <f>(H7*2+I7*5+(J7/10))/4.5</f>
        <v>2.906400956620391</v>
      </c>
      <c r="M7" s="11"/>
    </row>
    <row r="8" spans="1:19">
      <c r="A8" s="7">
        <v>1190</v>
      </c>
      <c r="B8" s="7" t="s">
        <v>264</v>
      </c>
      <c r="C8" s="8" t="s">
        <v>265</v>
      </c>
      <c r="D8" s="8">
        <v>30</v>
      </c>
      <c r="E8" s="15" t="s">
        <v>356</v>
      </c>
      <c r="F8">
        <v>10</v>
      </c>
    </row>
    <row r="9" spans="1:19">
      <c r="A9" s="7">
        <v>1191</v>
      </c>
      <c r="B9" s="7" t="s">
        <v>266</v>
      </c>
      <c r="C9" s="8" t="s">
        <v>265</v>
      </c>
      <c r="D9" s="8">
        <v>30</v>
      </c>
      <c r="E9" s="4" t="s">
        <v>357</v>
      </c>
      <c r="F9">
        <v>10</v>
      </c>
    </row>
    <row r="10" spans="1:19">
      <c r="A10" s="7">
        <v>794</v>
      </c>
      <c r="B10" s="7" t="s">
        <v>379</v>
      </c>
      <c r="C10" s="8" t="s">
        <v>381</v>
      </c>
      <c r="D10" s="8">
        <v>30</v>
      </c>
      <c r="E10" s="4">
        <f>2.7+0.495</f>
        <v>3.1950000000000003</v>
      </c>
      <c r="F10">
        <v>8.9</v>
      </c>
      <c r="H10" s="4">
        <f>(((Ammunition!$E$63/7000)*Ammunition!$G$63)+(Ammunition!$H$63*(Ammunition!$F$63/7000)))^2/(64.348*Misc!E10*2.205)</f>
        <v>2.198740408191457</v>
      </c>
      <c r="I10" s="4">
        <f>(((Ammunition!$E$63/7000)*Ammunition!$G$63)+(Ammunition!$H$63*(Ammunition!$F$63/7000)))/(Misc!E10*2.205)</f>
        <v>4.4814110158557794</v>
      </c>
      <c r="J10" s="4">
        <f>((Ammunition!$E$63/7000)*Ammunition!$G$63+(Ammunition!$F$63/7000)*Ammunition!$H$63)</f>
        <v>31.571428571428573</v>
      </c>
      <c r="K10" s="11">
        <f>(H10+I10*3+(J10/10))/3</f>
        <v>6.2667054376338838</v>
      </c>
      <c r="L10" s="11">
        <f>(H10*2+I10*5+(J10/10))/4.5</f>
        <v>6.6581508339565936</v>
      </c>
      <c r="Q10">
        <v>16.5</v>
      </c>
      <c r="R10">
        <v>30</v>
      </c>
      <c r="S10">
        <f>+Q10*R10</f>
        <v>495</v>
      </c>
    </row>
    <row r="11" spans="1:19">
      <c r="A11" s="7">
        <v>671</v>
      </c>
      <c r="B11" s="7" t="s">
        <v>380</v>
      </c>
      <c r="C11" s="8" t="s">
        <v>12</v>
      </c>
      <c r="D11" s="8">
        <v>30</v>
      </c>
      <c r="E11" s="4">
        <f>2.7+0.52</f>
        <v>3.22</v>
      </c>
      <c r="F11">
        <v>8.9</v>
      </c>
      <c r="H11" s="4">
        <f>(((Ammunition!$E$65/7000)*Ammunition!$G$65)+(Ammunition!$H$65*(Ammunition!$F$65/7000)))^2/(64.348*Misc!E11*2.205)</f>
        <v>3.8086415783329399</v>
      </c>
      <c r="I11" s="4">
        <f>(((Ammunition!$E$65/7000)*Ammunition!$G$65)+(Ammunition!$H$65*(Ammunition!$F$65/7000)))/(Misc!E11*2.205)</f>
        <v>5.8751687601985481</v>
      </c>
      <c r="J11" s="4">
        <f>((Ammunition!$E$65/7000)*Ammunition!$G$65+(Ammunition!$F$65/7000)*Ammunition!$H$65)</f>
        <v>41.714285714285715</v>
      </c>
      <c r="K11" s="11">
        <f>(H11+I11*3+(J11/10))/3</f>
        <v>8.5351921434523845</v>
      </c>
      <c r="L11" s="11">
        <f>(H11*2+I11*5+(J11/10))/4.5</f>
        <v>9.1476790064638198</v>
      </c>
      <c r="Q11">
        <v>17.25</v>
      </c>
      <c r="R11">
        <v>30</v>
      </c>
      <c r="S11">
        <f>+Q11*R11</f>
        <v>517.5</v>
      </c>
    </row>
    <row r="13" spans="1:19">
      <c r="B13" s="10" t="s">
        <v>105</v>
      </c>
    </row>
    <row r="14" spans="1:19">
      <c r="A14" s="7">
        <v>1332</v>
      </c>
      <c r="B14" s="7" t="s">
        <v>267</v>
      </c>
      <c r="C14" s="8" t="s">
        <v>263</v>
      </c>
      <c r="D14">
        <v>50</v>
      </c>
      <c r="E14" s="4">
        <v>3.86</v>
      </c>
      <c r="F14">
        <v>16</v>
      </c>
      <c r="H14" s="4">
        <f>(((Ammunition!$E$54/7000)*Ammunition!$G$54)+(Ammunition!$H$54*(Ammunition!$F$54/7000)))^2/(64.348*Misc!E14*2.205)</f>
        <v>0.36296376493177418</v>
      </c>
      <c r="I14" s="4">
        <f>(((Ammunition!$E$54/7000)*Ammunition!$G$54)+(Ammunition!$H$54*(Ammunition!$F$54/7000)))/(Misc!E14*2.205)</f>
        <v>1.6565372756553891</v>
      </c>
      <c r="J14" s="4">
        <f>((Ammunition!$E$54/7000)*Ammunition!$G$54+(Ammunition!$F$54/7000)*Ammunition!$H$54)</f>
        <v>14.099285714285713</v>
      </c>
      <c r="K14" s="11">
        <f>(H14+I14*3+(J14/10))/3</f>
        <v>2.2475013877755043</v>
      </c>
      <c r="L14" s="11">
        <f>(H14*2+I14*5+(J14/10))/4.5</f>
        <v>2.3152316621264593</v>
      </c>
    </row>
    <row r="15" spans="1:19">
      <c r="A15" s="7">
        <v>30</v>
      </c>
      <c r="B15" s="7" t="s">
        <v>271</v>
      </c>
      <c r="C15" s="8" t="s">
        <v>272</v>
      </c>
      <c r="D15">
        <v>50</v>
      </c>
      <c r="E15" s="4">
        <v>4.5</v>
      </c>
    </row>
    <row r="16" spans="1:19">
      <c r="A16" s="7">
        <v>789</v>
      </c>
      <c r="B16" s="7" t="s">
        <v>273</v>
      </c>
      <c r="C16" s="8" t="s">
        <v>274</v>
      </c>
      <c r="E16" s="4" t="s">
        <v>361</v>
      </c>
      <c r="F16">
        <v>21.3</v>
      </c>
    </row>
  </sheetData>
  <pageMargins left="0.7" right="0.7" top="0.78740157499999996" bottom="0.78740157499999996" header="0.3" footer="0.3"/>
  <pageSetup paperSize="9" orientation="portrait" verticalDpi="0" r:id="rId1"/>
  <legacyDrawing r:id="rId2"/>
</worksheet>
</file>

<file path=xl/worksheets/sheet14.xml><?xml version="1.0" encoding="utf-8"?>
<worksheet xmlns="http://schemas.openxmlformats.org/spreadsheetml/2006/main" xmlns:r="http://schemas.openxmlformats.org/officeDocument/2006/relationships">
  <dimension ref="A1:M70"/>
  <sheetViews>
    <sheetView topLeftCell="A28" workbookViewId="0">
      <selection activeCell="K40" sqref="K40"/>
    </sheetView>
  </sheetViews>
  <sheetFormatPr baseColWidth="10" defaultColWidth="9.140625" defaultRowHeight="15"/>
  <cols>
    <col min="1" max="1" width="13.42578125" bestFit="1" customWidth="1"/>
    <col min="2" max="2" width="28.7109375" bestFit="1" customWidth="1"/>
    <col min="3" max="3" width="12" bestFit="1" customWidth="1"/>
    <col min="4" max="4" width="13" bestFit="1" customWidth="1"/>
    <col min="5" max="5" width="13.85546875" bestFit="1" customWidth="1"/>
    <col min="6" max="6" width="13.5703125" bestFit="1" customWidth="1"/>
    <col min="7" max="7" width="13.5703125" customWidth="1"/>
    <col min="10" max="10" width="12.5703125" bestFit="1" customWidth="1"/>
    <col min="11" max="11" width="57.28515625" bestFit="1" customWidth="1"/>
    <col min="12" max="12" width="15.7109375" customWidth="1"/>
    <col min="13" max="13" width="17.7109375" bestFit="1" customWidth="1"/>
    <col min="15" max="15" width="10.28515625" bestFit="1" customWidth="1"/>
    <col min="16" max="16" width="11.28515625" bestFit="1" customWidth="1"/>
    <col min="17" max="17" width="15.5703125" customWidth="1"/>
    <col min="18" max="18" width="9.7109375" customWidth="1"/>
  </cols>
  <sheetData>
    <row r="1" spans="1:11">
      <c r="A1" t="s">
        <v>5</v>
      </c>
      <c r="B1" t="s">
        <v>1</v>
      </c>
      <c r="C1" t="s">
        <v>2</v>
      </c>
      <c r="D1" t="s">
        <v>3</v>
      </c>
      <c r="E1" t="s">
        <v>4</v>
      </c>
      <c r="F1" t="s">
        <v>62</v>
      </c>
      <c r="G1" t="s">
        <v>178</v>
      </c>
      <c r="H1" t="s">
        <v>52</v>
      </c>
      <c r="J1" t="s">
        <v>38</v>
      </c>
      <c r="K1" s="2"/>
    </row>
    <row r="2" spans="1:11">
      <c r="K2" s="2" t="s">
        <v>48</v>
      </c>
    </row>
    <row r="3" spans="1:11">
      <c r="A3" t="s">
        <v>57</v>
      </c>
      <c r="K3" s="2" t="s">
        <v>58</v>
      </c>
    </row>
    <row r="4" spans="1:11">
      <c r="A4" t="s">
        <v>28</v>
      </c>
      <c r="B4" t="s">
        <v>53</v>
      </c>
      <c r="C4">
        <v>2.1</v>
      </c>
      <c r="D4">
        <v>4.8</v>
      </c>
      <c r="E4">
        <v>12.1</v>
      </c>
      <c r="K4" s="2" t="s">
        <v>39</v>
      </c>
    </row>
    <row r="5" spans="1:11">
      <c r="A5" t="s">
        <v>343</v>
      </c>
      <c r="B5" t="s">
        <v>344</v>
      </c>
      <c r="K5" s="2" t="s">
        <v>40</v>
      </c>
    </row>
    <row r="6" spans="1:11">
      <c r="A6" t="s">
        <v>342</v>
      </c>
      <c r="B6" t="s">
        <v>348</v>
      </c>
      <c r="K6" t="s">
        <v>41</v>
      </c>
    </row>
    <row r="7" spans="1:11">
      <c r="K7" t="s">
        <v>42</v>
      </c>
    </row>
    <row r="8" spans="1:11">
      <c r="A8" t="s">
        <v>22</v>
      </c>
      <c r="B8" t="s">
        <v>50</v>
      </c>
      <c r="C8">
        <v>1.5</v>
      </c>
      <c r="D8">
        <v>3</v>
      </c>
      <c r="E8">
        <v>11.2</v>
      </c>
      <c r="H8" s="6"/>
      <c r="K8" t="s">
        <v>43</v>
      </c>
    </row>
    <row r="9" spans="1:11">
      <c r="K9" t="s">
        <v>44</v>
      </c>
    </row>
    <row r="10" spans="1:11">
      <c r="K10" s="2" t="s">
        <v>45</v>
      </c>
    </row>
    <row r="11" spans="1:11">
      <c r="A11" t="s">
        <v>23</v>
      </c>
      <c r="B11" t="s">
        <v>47</v>
      </c>
      <c r="K11" t="s">
        <v>49</v>
      </c>
    </row>
    <row r="12" spans="1:11">
      <c r="K12" t="s">
        <v>51</v>
      </c>
    </row>
    <row r="13" spans="1:11">
      <c r="K13" t="s">
        <v>54</v>
      </c>
    </row>
    <row r="14" spans="1:11">
      <c r="A14" t="s">
        <v>19</v>
      </c>
      <c r="B14" t="s">
        <v>56</v>
      </c>
      <c r="C14">
        <v>1.5</v>
      </c>
      <c r="D14">
        <v>10.4</v>
      </c>
      <c r="E14">
        <v>21.2</v>
      </c>
      <c r="K14" t="s">
        <v>115</v>
      </c>
    </row>
    <row r="15" spans="1:11">
      <c r="K15" t="s">
        <v>117</v>
      </c>
    </row>
    <row r="16" spans="1:11">
      <c r="A16" t="s">
        <v>12</v>
      </c>
      <c r="B16" t="s">
        <v>11</v>
      </c>
      <c r="C16">
        <v>2.25</v>
      </c>
      <c r="D16">
        <v>11.4</v>
      </c>
      <c r="E16">
        <v>18.100000000000001</v>
      </c>
      <c r="K16" s="2" t="s">
        <v>149</v>
      </c>
    </row>
    <row r="17" spans="1:13">
      <c r="K17" t="s">
        <v>150</v>
      </c>
    </row>
    <row r="18" spans="1:13">
      <c r="K18" t="s">
        <v>151</v>
      </c>
    </row>
    <row r="19" spans="1:13">
      <c r="A19" s="5" t="s">
        <v>169</v>
      </c>
      <c r="K19" t="s">
        <v>152</v>
      </c>
    </row>
    <row r="20" spans="1:13">
      <c r="A20" t="s">
        <v>78</v>
      </c>
      <c r="B20" t="s">
        <v>0</v>
      </c>
      <c r="C20">
        <v>9.6999999999999993</v>
      </c>
      <c r="D20">
        <v>2.8</v>
      </c>
      <c r="E20">
        <v>4.3</v>
      </c>
      <c r="K20" t="s">
        <v>153</v>
      </c>
    </row>
    <row r="21" spans="1:13">
      <c r="A21" t="s">
        <v>106</v>
      </c>
      <c r="B21" t="s">
        <v>107</v>
      </c>
      <c r="C21">
        <v>9</v>
      </c>
      <c r="D21">
        <v>2.9</v>
      </c>
      <c r="E21">
        <v>4.5</v>
      </c>
      <c r="K21" s="2" t="s">
        <v>171</v>
      </c>
    </row>
    <row r="22" spans="1:13">
      <c r="A22" t="s">
        <v>108</v>
      </c>
      <c r="B22" t="s">
        <v>113</v>
      </c>
      <c r="C22">
        <v>9</v>
      </c>
      <c r="D22">
        <v>2.7</v>
      </c>
      <c r="E22">
        <v>4.4000000000000004</v>
      </c>
      <c r="K22" t="s">
        <v>175</v>
      </c>
    </row>
    <row r="23" spans="1:13">
      <c r="A23" t="s">
        <v>109</v>
      </c>
      <c r="B23" t="s">
        <v>112</v>
      </c>
      <c r="C23">
        <v>8.3000000000000007</v>
      </c>
      <c r="D23">
        <v>2.9</v>
      </c>
      <c r="E23">
        <v>4.7</v>
      </c>
      <c r="K23" t="s">
        <v>190</v>
      </c>
    </row>
    <row r="24" spans="1:13">
      <c r="A24" t="s">
        <v>110</v>
      </c>
      <c r="B24" t="s">
        <v>111</v>
      </c>
      <c r="C24">
        <v>7.7</v>
      </c>
      <c r="D24">
        <v>2.9</v>
      </c>
      <c r="E24">
        <v>4.9000000000000004</v>
      </c>
      <c r="K24" s="2" t="s">
        <v>198</v>
      </c>
    </row>
    <row r="25" spans="1:13">
      <c r="K25" t="s">
        <v>276</v>
      </c>
    </row>
    <row r="26" spans="1:13">
      <c r="A26" s="5" t="s">
        <v>170</v>
      </c>
      <c r="K26" s="2" t="s">
        <v>277</v>
      </c>
    </row>
    <row r="27" spans="1:13">
      <c r="A27" t="s">
        <v>118</v>
      </c>
      <c r="B27" t="s">
        <v>119</v>
      </c>
      <c r="C27">
        <v>9.1999999999999993</v>
      </c>
      <c r="D27">
        <v>7</v>
      </c>
      <c r="E27">
        <v>7</v>
      </c>
      <c r="K27" t="s">
        <v>280</v>
      </c>
      <c r="L27">
        <v>1.3</v>
      </c>
      <c r="M27" s="4">
        <f>L27^(1/4)</f>
        <v>1.0677899723724409</v>
      </c>
    </row>
    <row r="28" spans="1:13">
      <c r="A28" t="s">
        <v>116</v>
      </c>
      <c r="B28" t="s">
        <v>6</v>
      </c>
      <c r="C28">
        <v>8.8000000000000007</v>
      </c>
      <c r="D28">
        <v>6.8</v>
      </c>
      <c r="E28">
        <v>7.1</v>
      </c>
      <c r="K28" t="s">
        <v>284</v>
      </c>
    </row>
    <row r="29" spans="1:13">
      <c r="A29" t="s">
        <v>121</v>
      </c>
      <c r="B29" t="s">
        <v>120</v>
      </c>
      <c r="C29">
        <v>8.15</v>
      </c>
      <c r="D29">
        <v>6.9</v>
      </c>
      <c r="E29">
        <v>7.4</v>
      </c>
      <c r="K29" s="2" t="s">
        <v>296</v>
      </c>
    </row>
    <row r="30" spans="1:13">
      <c r="K30" s="2" t="s">
        <v>297</v>
      </c>
    </row>
    <row r="31" spans="1:13">
      <c r="A31" s="5" t="s">
        <v>15</v>
      </c>
      <c r="K31" t="s">
        <v>319</v>
      </c>
    </row>
    <row r="32" spans="1:13">
      <c r="A32" s="5"/>
      <c r="K32" t="s">
        <v>322</v>
      </c>
    </row>
    <row r="33" spans="1:12">
      <c r="A33" t="s">
        <v>191</v>
      </c>
      <c r="B33" t="s">
        <v>14</v>
      </c>
      <c r="C33">
        <v>7.5</v>
      </c>
      <c r="D33">
        <v>15.8</v>
      </c>
      <c r="E33">
        <v>11.7</v>
      </c>
      <c r="K33" t="s">
        <v>323</v>
      </c>
      <c r="L33" t="s">
        <v>324</v>
      </c>
    </row>
    <row r="34" spans="1:12">
      <c r="K34" t="s">
        <v>325</v>
      </c>
    </row>
    <row r="35" spans="1:12">
      <c r="K35" t="s">
        <v>329</v>
      </c>
    </row>
    <row r="36" spans="1:12">
      <c r="A36" s="5" t="s">
        <v>16</v>
      </c>
      <c r="K36" t="s">
        <v>330</v>
      </c>
    </row>
    <row r="37" spans="1:12">
      <c r="A37" t="s">
        <v>16</v>
      </c>
      <c r="B37" t="s">
        <v>8</v>
      </c>
      <c r="C37">
        <v>7</v>
      </c>
      <c r="D37">
        <v>6.9</v>
      </c>
      <c r="E37">
        <v>8</v>
      </c>
      <c r="K37" t="s">
        <v>358</v>
      </c>
    </row>
    <row r="38" spans="1:12">
      <c r="K38" t="s">
        <v>349</v>
      </c>
    </row>
    <row r="39" spans="1:12">
      <c r="A39" t="s">
        <v>275</v>
      </c>
      <c r="B39" t="s">
        <v>278</v>
      </c>
      <c r="D39">
        <v>2.5</v>
      </c>
      <c r="K39" s="2" t="s">
        <v>331</v>
      </c>
    </row>
    <row r="40" spans="1:12">
      <c r="A40" t="s">
        <v>17</v>
      </c>
      <c r="B40" t="s">
        <v>9</v>
      </c>
      <c r="C40">
        <v>9</v>
      </c>
      <c r="D40">
        <v>13.1</v>
      </c>
      <c r="E40">
        <v>9.6999999999999993</v>
      </c>
      <c r="K40" s="2" t="s">
        <v>384</v>
      </c>
    </row>
    <row r="42" spans="1:12">
      <c r="A42" t="s">
        <v>18</v>
      </c>
      <c r="B42" t="s">
        <v>10</v>
      </c>
      <c r="C42">
        <v>9.5</v>
      </c>
      <c r="D42">
        <v>37.200000000000003</v>
      </c>
      <c r="E42">
        <v>15.9</v>
      </c>
    </row>
    <row r="44" spans="1:12">
      <c r="A44" t="s">
        <v>32</v>
      </c>
    </row>
    <row r="45" spans="1:12">
      <c r="A45" s="1" t="s">
        <v>55</v>
      </c>
    </row>
    <row r="46" spans="1:12">
      <c r="A46" t="s">
        <v>27</v>
      </c>
    </row>
    <row r="48" spans="1:12">
      <c r="A48" t="s">
        <v>29</v>
      </c>
    </row>
    <row r="49" spans="1:5">
      <c r="A49" s="1">
        <v>0.35699999999999998</v>
      </c>
      <c r="B49" t="s">
        <v>46</v>
      </c>
      <c r="C49">
        <v>2.75</v>
      </c>
      <c r="D49">
        <v>7.2</v>
      </c>
      <c r="E49">
        <v>13</v>
      </c>
    </row>
    <row r="50" spans="1:5">
      <c r="A50" s="1">
        <v>0.44</v>
      </c>
    </row>
    <row r="51" spans="1:5">
      <c r="A51" s="1" t="s">
        <v>30</v>
      </c>
    </row>
    <row r="52" spans="1:5">
      <c r="A52" t="s">
        <v>20</v>
      </c>
      <c r="B52" t="s">
        <v>37</v>
      </c>
      <c r="C52">
        <v>3.2</v>
      </c>
      <c r="D52">
        <v>39</v>
      </c>
      <c r="E52">
        <v>28</v>
      </c>
    </row>
    <row r="53" spans="1:5">
      <c r="A53" t="s">
        <v>21</v>
      </c>
    </row>
    <row r="54" spans="1:5">
      <c r="A54" t="s">
        <v>31</v>
      </c>
      <c r="B54" t="s">
        <v>36</v>
      </c>
      <c r="C54">
        <v>3.2</v>
      </c>
      <c r="D54">
        <v>29.3</v>
      </c>
      <c r="E54">
        <v>24.3</v>
      </c>
    </row>
    <row r="56" spans="1:5">
      <c r="A56" t="s">
        <v>24</v>
      </c>
      <c r="B56" t="s">
        <v>346</v>
      </c>
    </row>
    <row r="59" spans="1:5">
      <c r="A59" t="s">
        <v>35</v>
      </c>
      <c r="B59" t="s">
        <v>34</v>
      </c>
      <c r="C59">
        <v>30</v>
      </c>
      <c r="D59">
        <v>70</v>
      </c>
      <c r="E59">
        <v>12.3</v>
      </c>
    </row>
    <row r="60" spans="1:5">
      <c r="A60" t="s">
        <v>13</v>
      </c>
      <c r="B60" t="s">
        <v>7</v>
      </c>
      <c r="C60">
        <v>7</v>
      </c>
      <c r="D60">
        <v>3.5</v>
      </c>
      <c r="E60">
        <v>5.7</v>
      </c>
    </row>
    <row r="61" spans="1:5">
      <c r="A61" t="s">
        <v>33</v>
      </c>
    </row>
    <row r="63" spans="1:5">
      <c r="A63" t="s">
        <v>321</v>
      </c>
      <c r="B63" t="s">
        <v>351</v>
      </c>
    </row>
    <row r="65" spans="1:2">
      <c r="A65" s="8" t="s">
        <v>359</v>
      </c>
      <c r="B65" s="8" t="s">
        <v>360</v>
      </c>
    </row>
    <row r="66" spans="1:2">
      <c r="A66" t="s">
        <v>25</v>
      </c>
      <c r="B66" t="s">
        <v>364</v>
      </c>
    </row>
    <row r="68" spans="1:2">
      <c r="A68" t="s">
        <v>26</v>
      </c>
      <c r="B68" t="s">
        <v>353</v>
      </c>
    </row>
    <row r="70" spans="1:2">
      <c r="A70" t="s">
        <v>354</v>
      </c>
      <c r="B70" t="s">
        <v>355</v>
      </c>
    </row>
  </sheetData>
  <hyperlinks>
    <hyperlink ref="K10" r:id="rId1"/>
    <hyperlink ref="K5" r:id="rId2"/>
    <hyperlink ref="K4" r:id="rId3"/>
    <hyperlink ref="K3" r:id="rId4"/>
    <hyperlink ref="K16" r:id="rId5"/>
    <hyperlink ref="K24" r:id="rId6"/>
    <hyperlink ref="K26" r:id="rId7"/>
    <hyperlink ref="K21" r:id="rId8"/>
    <hyperlink ref="K30" r:id="rId9"/>
    <hyperlink ref="K29" r:id="rId10"/>
    <hyperlink ref="K2" r:id="rId11"/>
    <hyperlink ref="K39" r:id="rId12"/>
    <hyperlink ref="K40" r:id="rId13"/>
  </hyperlinks>
  <pageMargins left="0.7" right="0.7" top="0.75" bottom="0.75" header="0.3" footer="0.3"/>
  <pageSetup paperSize="9" orientation="portrait" verticalDpi="0" r:id="rId14"/>
  <legacyDrawing r:id="rId15"/>
</worksheet>
</file>

<file path=xl/worksheets/sheet2.xml><?xml version="1.0" encoding="utf-8"?>
<worksheet xmlns="http://schemas.openxmlformats.org/spreadsheetml/2006/main" xmlns:r="http://schemas.openxmlformats.org/officeDocument/2006/relationships">
  <dimension ref="A1:N65"/>
  <sheetViews>
    <sheetView topLeftCell="A49" workbookViewId="0">
      <selection activeCell="J70" sqref="J70"/>
    </sheetView>
  </sheetViews>
  <sheetFormatPr baseColWidth="10" defaultRowHeight="15"/>
  <cols>
    <col min="1" max="1" width="12.42578125" bestFit="1" customWidth="1"/>
    <col min="2" max="2" width="8" customWidth="1"/>
    <col min="3" max="3" width="30.7109375" customWidth="1"/>
    <col min="4" max="4" width="6" bestFit="1" customWidth="1"/>
    <col min="5" max="5" width="6.28515625" bestFit="1" customWidth="1"/>
    <col min="6" max="6" width="7.85546875" bestFit="1" customWidth="1"/>
    <col min="7" max="7" width="10.7109375" bestFit="1" customWidth="1"/>
    <col min="8" max="8" width="17.7109375" bestFit="1" customWidth="1"/>
    <col min="10" max="10" width="20.28515625" style="4" bestFit="1" customWidth="1"/>
    <col min="11" max="11" width="21.42578125" style="4" bestFit="1" customWidth="1"/>
    <col min="12" max="12" width="21.5703125" style="4" bestFit="1" customWidth="1"/>
    <col min="13" max="14" width="11.42578125" style="4"/>
  </cols>
  <sheetData>
    <row r="1" spans="1:14">
      <c r="A1" t="s">
        <v>176</v>
      </c>
      <c r="B1" t="s">
        <v>177</v>
      </c>
      <c r="C1" t="s">
        <v>172</v>
      </c>
      <c r="D1" t="s">
        <v>186</v>
      </c>
      <c r="E1" t="s">
        <v>173</v>
      </c>
      <c r="F1" t="s">
        <v>174</v>
      </c>
      <c r="G1" t="s">
        <v>185</v>
      </c>
      <c r="H1" t="s">
        <v>183</v>
      </c>
      <c r="J1" s="4" t="s">
        <v>188</v>
      </c>
      <c r="K1" s="4" t="s">
        <v>189</v>
      </c>
      <c r="L1" s="4" t="s">
        <v>187</v>
      </c>
      <c r="M1" s="4" t="s">
        <v>362</v>
      </c>
      <c r="N1" s="4" t="s">
        <v>363</v>
      </c>
    </row>
    <row r="2" spans="1:14">
      <c r="D2" t="s">
        <v>179</v>
      </c>
      <c r="E2" t="s">
        <v>180</v>
      </c>
      <c r="F2" t="s">
        <v>181</v>
      </c>
      <c r="G2" t="s">
        <v>182</v>
      </c>
      <c r="H2" t="s">
        <v>184</v>
      </c>
      <c r="J2" s="4" t="e">
        <f>(((W1gr/7000)*Vp)+(Vc*(W2gr/7000)))^2/(64.348*Wg)</f>
        <v>#NAME?</v>
      </c>
      <c r="K2" s="4" t="e">
        <f>(((W1gr/7000)*Vp)+(Vc*(W2gr/7000)))/Wg</f>
        <v>#NAME?</v>
      </c>
    </row>
    <row r="3" spans="1:14">
      <c r="A3" t="s">
        <v>169</v>
      </c>
      <c r="B3">
        <v>20</v>
      </c>
      <c r="C3" t="s">
        <v>193</v>
      </c>
      <c r="D3">
        <f>4.66*2.205</f>
        <v>10.275300000000001</v>
      </c>
      <c r="E3">
        <v>62</v>
      </c>
      <c r="F3">
        <v>26.5</v>
      </c>
      <c r="G3">
        <v>3025</v>
      </c>
      <c r="H3">
        <v>4000</v>
      </c>
      <c r="J3" s="4">
        <f>(((E3/7000)*G3)+(H3*(F3/7000)))^2/(64.348*D3)</f>
        <v>2.6597359643527589</v>
      </c>
      <c r="K3" s="4">
        <f>(((E3/7000)*G3)+(H3*(F3/7000)))/D3</f>
        <v>4.0812155640919761</v>
      </c>
      <c r="L3" s="4">
        <f>((E3/7000)*G3+(F3/7000)*H3)</f>
        <v>41.935714285714283</v>
      </c>
      <c r="M3" s="4">
        <f>(J3+K3*3+(L3/10))/3</f>
        <v>6.365651361733371</v>
      </c>
      <c r="N3" s="4">
        <f>(J3*2+K3*5+(L3/10))/5</f>
        <v>5.983824235547365</v>
      </c>
    </row>
    <row r="4" spans="1:14">
      <c r="A4" t="s">
        <v>169</v>
      </c>
      <c r="B4">
        <v>18</v>
      </c>
      <c r="C4" t="s">
        <v>194</v>
      </c>
      <c r="D4">
        <v>10.38</v>
      </c>
      <c r="E4">
        <v>62</v>
      </c>
      <c r="F4">
        <v>26.5</v>
      </c>
      <c r="G4">
        <v>2900</v>
      </c>
      <c r="H4">
        <v>4000</v>
      </c>
      <c r="J4" s="4">
        <f>(((E4/7000)*G4)+(H4*(F4/7000)))^2/(64.348*D4)</f>
        <v>2.4957205912054179</v>
      </c>
      <c r="K4" s="4">
        <f t="shared" ref="K4:K6" si="0">(((E4/7000)*G4)+(H4*(F4/7000)))/D4</f>
        <v>3.9333883842554362</v>
      </c>
      <c r="L4" s="4">
        <f t="shared" ref="L4:L19" si="1">((E4/7000)*G4+(F4/7000)*H4)</f>
        <v>40.828571428571429</v>
      </c>
      <c r="M4" s="4">
        <f t="shared" ref="M4:M7" si="2">(J4+K4*3+(L4/10))/3</f>
        <v>6.1262476289429557</v>
      </c>
      <c r="N4" s="4">
        <f t="shared" ref="N4:N7" si="3">(J4*2+K4*5+(L4/10))/5</f>
        <v>5.7482480493090318</v>
      </c>
    </row>
    <row r="5" spans="1:14">
      <c r="A5" t="s">
        <v>169</v>
      </c>
      <c r="B5">
        <v>16</v>
      </c>
      <c r="C5" t="s">
        <v>195</v>
      </c>
      <c r="D5">
        <v>9.7200000000000006</v>
      </c>
      <c r="E5">
        <v>62</v>
      </c>
      <c r="F5">
        <v>26.5</v>
      </c>
      <c r="G5">
        <v>2800</v>
      </c>
      <c r="H5">
        <v>4000</v>
      </c>
      <c r="J5" s="4">
        <f>(((E5/7000)*G5)+(H5*(F5/7000)))^2/(64.348*D5)</f>
        <v>2.5508030996047051</v>
      </c>
      <c r="K5" s="4">
        <f t="shared" si="0"/>
        <v>4.1093474426807761</v>
      </c>
      <c r="L5" s="4">
        <f t="shared" si="1"/>
        <v>39.942857142857143</v>
      </c>
      <c r="M5" s="4">
        <f t="shared" si="2"/>
        <v>6.291043713977583</v>
      </c>
      <c r="N5" s="4">
        <f t="shared" si="3"/>
        <v>5.9285258253798006</v>
      </c>
    </row>
    <row r="6" spans="1:14">
      <c r="A6" t="s">
        <v>169</v>
      </c>
      <c r="B6">
        <v>14.5</v>
      </c>
      <c r="C6" t="s">
        <v>196</v>
      </c>
      <c r="D6">
        <v>9.61</v>
      </c>
      <c r="E6">
        <v>62</v>
      </c>
      <c r="F6">
        <v>26.5</v>
      </c>
      <c r="G6">
        <v>2700</v>
      </c>
      <c r="H6">
        <v>4000</v>
      </c>
      <c r="J6" s="4">
        <f>(((E6/7000)*G6)+(H6*(F6/7000)))^2/(64.348*D6)</f>
        <v>2.4668486206720286</v>
      </c>
      <c r="K6" s="4">
        <f t="shared" si="0"/>
        <v>4.0642188196818791</v>
      </c>
      <c r="L6" s="4">
        <f t="shared" si="1"/>
        <v>39.057142857142857</v>
      </c>
      <c r="M6" s="4">
        <f t="shared" si="2"/>
        <v>6.1884064551439835</v>
      </c>
      <c r="N6" s="4">
        <f t="shared" si="3"/>
        <v>5.8321011250935477</v>
      </c>
    </row>
    <row r="7" spans="1:14">
      <c r="A7" t="s">
        <v>169</v>
      </c>
      <c r="B7">
        <v>10</v>
      </c>
      <c r="C7" t="s">
        <v>197</v>
      </c>
      <c r="D7">
        <v>8.0500000000000007</v>
      </c>
      <c r="E7">
        <v>62</v>
      </c>
      <c r="F7">
        <v>26.5</v>
      </c>
      <c r="G7">
        <v>2550</v>
      </c>
      <c r="H7">
        <v>4000</v>
      </c>
      <c r="J7" s="4">
        <f>(((E7/7000)*G7)+(H7*(F7/7000)))^2/(64.348*D7)</f>
        <v>2.7479560905449603</v>
      </c>
      <c r="K7" s="4">
        <f>(((E7/7000)*G7)+(H7*(F7/7000)))/D7</f>
        <v>4.6867790594498659</v>
      </c>
      <c r="L7" s="4">
        <f t="shared" si="1"/>
        <v>37.728571428571428</v>
      </c>
      <c r="M7" s="4">
        <f t="shared" si="2"/>
        <v>6.8603834705839004</v>
      </c>
      <c r="N7" s="4">
        <f t="shared" si="3"/>
        <v>6.5405329242392778</v>
      </c>
    </row>
    <row r="10" spans="1:14">
      <c r="A10" t="s">
        <v>170</v>
      </c>
      <c r="B10">
        <v>18</v>
      </c>
      <c r="C10" t="s">
        <v>119</v>
      </c>
      <c r="D10">
        <f>4.15*2.205</f>
        <v>9.1507500000000004</v>
      </c>
      <c r="E10">
        <v>115</v>
      </c>
      <c r="F10">
        <v>33.5</v>
      </c>
      <c r="G10">
        <v>2750</v>
      </c>
      <c r="H10">
        <v>4000</v>
      </c>
      <c r="J10" s="4">
        <f t="shared" ref="J10:J19" si="4">(((E10/7000)*G10)+(H10*(F10/7000)))^2/(64.348*D10)</f>
        <v>7.0261856257774964</v>
      </c>
      <c r="K10" s="4">
        <f t="shared" ref="K10:K19" si="5">(((E10/7000)*G10)+(H10*(F10/7000)))/D10</f>
        <v>7.0290881699782606</v>
      </c>
      <c r="L10" s="4">
        <f t="shared" si="1"/>
        <v>64.321428571428569</v>
      </c>
      <c r="M10" s="4">
        <f>(J10+K10*3+(L10/10))/3</f>
        <v>11.515197664285045</v>
      </c>
      <c r="N10" s="4">
        <f>(J10*2+K10*5+(L10/10))/5</f>
        <v>11.125990991717831</v>
      </c>
    </row>
    <row r="11" spans="1:14">
      <c r="A11" t="s">
        <v>170</v>
      </c>
      <c r="B11">
        <v>16</v>
      </c>
      <c r="C11" t="s">
        <v>6</v>
      </c>
      <c r="D11">
        <f>4.05*2.205</f>
        <v>8.9302499999999991</v>
      </c>
      <c r="E11">
        <v>115</v>
      </c>
      <c r="F11">
        <v>33.5</v>
      </c>
      <c r="G11">
        <v>2625</v>
      </c>
      <c r="H11">
        <v>4000</v>
      </c>
      <c r="J11" s="4">
        <f t="shared" si="4"/>
        <v>6.7472867987354981</v>
      </c>
      <c r="K11" s="4">
        <f t="shared" si="5"/>
        <v>6.9726891344427253</v>
      </c>
      <c r="L11" s="4">
        <f t="shared" si="1"/>
        <v>62.267857142857139</v>
      </c>
      <c r="M11" s="4">
        <f t="shared" ref="M11:M12" si="6">(J11+K11*3+(L11/10))/3</f>
        <v>11.297379972116461</v>
      </c>
      <c r="N11" s="4">
        <f t="shared" ref="N11:N12" si="7">(J11*2+K11*5+(L11/10))/5</f>
        <v>10.916960996794067</v>
      </c>
    </row>
    <row r="12" spans="1:14">
      <c r="A12" t="s">
        <v>170</v>
      </c>
      <c r="B12">
        <v>12</v>
      </c>
      <c r="C12" t="s">
        <v>120</v>
      </c>
      <c r="D12">
        <f>3.7*2.205</f>
        <v>8.1585000000000001</v>
      </c>
      <c r="E12">
        <v>115</v>
      </c>
      <c r="F12">
        <v>33.5</v>
      </c>
      <c r="G12">
        <v>2500</v>
      </c>
      <c r="H12">
        <v>4000</v>
      </c>
      <c r="J12" s="4">
        <f t="shared" si="4"/>
        <v>6.9064314708580268</v>
      </c>
      <c r="K12" s="4">
        <f t="shared" si="5"/>
        <v>7.3805584009665637</v>
      </c>
      <c r="L12" s="4">
        <f t="shared" si="1"/>
        <v>60.214285714285708</v>
      </c>
      <c r="M12" s="4">
        <f t="shared" si="6"/>
        <v>11.689845081728762</v>
      </c>
      <c r="N12" s="4">
        <f t="shared" si="7"/>
        <v>11.347416703595488</v>
      </c>
    </row>
    <row r="15" spans="1:14">
      <c r="A15" t="s">
        <v>15</v>
      </c>
      <c r="B15">
        <v>21</v>
      </c>
      <c r="C15" t="s">
        <v>200</v>
      </c>
      <c r="D15">
        <f>5.2*2.205</f>
        <v>11.466000000000001</v>
      </c>
      <c r="E15">
        <v>147</v>
      </c>
      <c r="F15">
        <v>46</v>
      </c>
      <c r="G15">
        <v>2750</v>
      </c>
      <c r="H15">
        <v>4000</v>
      </c>
      <c r="J15" s="4">
        <f t="shared" si="4"/>
        <v>9.5715175742060357</v>
      </c>
      <c r="K15" s="4">
        <f t="shared" si="5"/>
        <v>7.3291221250404925</v>
      </c>
      <c r="L15" s="4">
        <f t="shared" si="1"/>
        <v>84.035714285714292</v>
      </c>
      <c r="M15" s="4">
        <f>(J15+K15*3+(L15/10))/3</f>
        <v>13.32081845929965</v>
      </c>
      <c r="N15" s="4">
        <f>(J15*2+K15*5+(L15/10))/5</f>
        <v>12.838443440437192</v>
      </c>
    </row>
    <row r="16" spans="1:14">
      <c r="A16" t="s">
        <v>15</v>
      </c>
      <c r="B16">
        <v>18</v>
      </c>
      <c r="C16" t="s">
        <v>192</v>
      </c>
      <c r="D16">
        <f>5.2*2.205</f>
        <v>11.466000000000001</v>
      </c>
      <c r="E16">
        <v>147</v>
      </c>
      <c r="F16">
        <v>46</v>
      </c>
      <c r="G16">
        <v>2675</v>
      </c>
      <c r="H16">
        <v>4000</v>
      </c>
      <c r="J16" s="4">
        <f t="shared" si="4"/>
        <v>9.2161003345088979</v>
      </c>
      <c r="K16" s="4">
        <f t="shared" si="5"/>
        <v>7.1917594876778548</v>
      </c>
      <c r="L16" s="4">
        <f t="shared" si="1"/>
        <v>82.460714285714289</v>
      </c>
      <c r="M16" s="4">
        <f t="shared" ref="M16:M19" si="8">(J16+K16*3+(L16/10))/3</f>
        <v>13.012483408704631</v>
      </c>
      <c r="N16" s="4">
        <f t="shared" ref="N16:N19" si="9">(J16*2+K16*5+(L16/10))/5</f>
        <v>12.527413907195699</v>
      </c>
    </row>
    <row r="17" spans="1:14">
      <c r="A17" t="s">
        <v>15</v>
      </c>
      <c r="B17">
        <v>16.5</v>
      </c>
      <c r="C17" t="s">
        <v>201</v>
      </c>
      <c r="D17">
        <f>4.85*2.205</f>
        <v>10.69425</v>
      </c>
      <c r="E17">
        <v>147</v>
      </c>
      <c r="F17">
        <v>46</v>
      </c>
      <c r="G17">
        <v>2625</v>
      </c>
      <c r="H17">
        <v>4000</v>
      </c>
      <c r="J17" s="4">
        <f t="shared" si="4"/>
        <v>9.6311410855677373</v>
      </c>
      <c r="K17" s="4">
        <f t="shared" si="5"/>
        <v>7.6125688370586335</v>
      </c>
      <c r="L17" s="4">
        <f t="shared" si="1"/>
        <v>81.410714285714292</v>
      </c>
      <c r="M17" s="4">
        <f t="shared" si="8"/>
        <v>13.536639675105024</v>
      </c>
      <c r="N17" s="4">
        <f t="shared" si="9"/>
        <v>13.093239557000015</v>
      </c>
    </row>
    <row r="18" spans="1:14">
      <c r="A18" t="s">
        <v>15</v>
      </c>
      <c r="B18">
        <v>13</v>
      </c>
      <c r="C18" t="s">
        <v>199</v>
      </c>
      <c r="D18">
        <f>4.5*2.205</f>
        <v>9.9224999999999994</v>
      </c>
      <c r="E18">
        <v>147</v>
      </c>
      <c r="F18">
        <v>46</v>
      </c>
      <c r="G18">
        <v>2450</v>
      </c>
      <c r="H18">
        <v>4000</v>
      </c>
      <c r="J18" s="4">
        <f t="shared" si="4"/>
        <v>9.4642243401000101</v>
      </c>
      <c r="K18" s="4">
        <f t="shared" si="5"/>
        <v>7.8342871540150467</v>
      </c>
      <c r="L18" s="4">
        <f t="shared" si="1"/>
        <v>77.735714285714295</v>
      </c>
      <c r="M18" s="4">
        <f t="shared" si="8"/>
        <v>13.580219076905527</v>
      </c>
      <c r="N18" s="4">
        <f t="shared" si="9"/>
        <v>13.174691175769336</v>
      </c>
    </row>
    <row r="19" spans="1:14">
      <c r="A19" t="s">
        <v>15</v>
      </c>
      <c r="B19">
        <v>9</v>
      </c>
      <c r="C19" t="s">
        <v>202</v>
      </c>
      <c r="D19">
        <f>3.9*2.205</f>
        <v>8.5995000000000008</v>
      </c>
      <c r="E19">
        <v>147</v>
      </c>
      <c r="F19">
        <v>46</v>
      </c>
      <c r="G19">
        <v>2300</v>
      </c>
      <c r="H19">
        <v>4000</v>
      </c>
      <c r="J19" s="4">
        <f t="shared" si="4"/>
        <v>10.053170598209864</v>
      </c>
      <c r="K19" s="4">
        <f t="shared" si="5"/>
        <v>8.6732617344862231</v>
      </c>
      <c r="L19" s="4">
        <f t="shared" si="1"/>
        <v>74.585714285714289</v>
      </c>
      <c r="M19" s="4">
        <f t="shared" si="8"/>
        <v>14.510509076746652</v>
      </c>
      <c r="N19" s="4">
        <f t="shared" si="9"/>
        <v>14.186244259484454</v>
      </c>
    </row>
    <row r="22" spans="1:14">
      <c r="A22" t="s">
        <v>17</v>
      </c>
      <c r="C22" t="s">
        <v>9</v>
      </c>
      <c r="E22">
        <v>150</v>
      </c>
      <c r="F22">
        <v>48</v>
      </c>
      <c r="G22">
        <v>2800</v>
      </c>
      <c r="H22">
        <v>4000</v>
      </c>
    </row>
    <row r="25" spans="1:14">
      <c r="A25" t="s">
        <v>16</v>
      </c>
      <c r="B25">
        <v>20</v>
      </c>
      <c r="C25" t="s">
        <v>299</v>
      </c>
      <c r="D25">
        <f>4.54*2.205</f>
        <v>10.0107</v>
      </c>
      <c r="E25">
        <v>125</v>
      </c>
      <c r="F25">
        <v>24</v>
      </c>
      <c r="G25">
        <v>2400</v>
      </c>
      <c r="H25">
        <v>4000</v>
      </c>
      <c r="J25" s="4">
        <f t="shared" ref="J25:J27" si="10">(((E25/7000)*G25)+(H25*(F25/7000)))^2/(64.348*D25)</f>
        <v>4.968151055762398</v>
      </c>
      <c r="K25" s="4">
        <f t="shared" ref="K25:K27" si="11">(((E25/7000)*G25)+(H25*(F25/7000)))/D25</f>
        <v>5.651096184225735</v>
      </c>
      <c r="L25" s="4">
        <f t="shared" ref="L25:L27" si="12">((E25/7000)*G25+(F25/7000)*H25)</f>
        <v>56.571428571428569</v>
      </c>
      <c r="M25" s="4">
        <f t="shared" ref="M25:M27" si="13">(J25+K25*3+(L25/10))/3</f>
        <v>9.192860821860819</v>
      </c>
      <c r="N25" s="4">
        <f>(J25*2+K25*5+(L25/10))/5</f>
        <v>8.7697851779592675</v>
      </c>
    </row>
    <row r="26" spans="1:14">
      <c r="A26" t="s">
        <v>16</v>
      </c>
      <c r="B26">
        <v>16.3</v>
      </c>
      <c r="C26" t="s">
        <v>8</v>
      </c>
      <c r="D26">
        <f>5.12*2.205</f>
        <v>11.2896</v>
      </c>
      <c r="E26">
        <v>125</v>
      </c>
      <c r="F26">
        <v>24</v>
      </c>
      <c r="G26">
        <v>2350</v>
      </c>
      <c r="H26">
        <v>4000</v>
      </c>
      <c r="J26" s="4">
        <f t="shared" si="10"/>
        <v>4.2673922068736054</v>
      </c>
      <c r="K26" s="4">
        <f t="shared" si="11"/>
        <v>4.9318462504049236</v>
      </c>
      <c r="L26" s="4">
        <f t="shared" si="12"/>
        <v>55.678571428571431</v>
      </c>
      <c r="M26" s="4">
        <f t="shared" si="13"/>
        <v>8.2102627003151731</v>
      </c>
      <c r="N26" s="4">
        <f t="shared" ref="N26:N27" si="14">(J26*2+K26*5+(L26/10))/5</f>
        <v>7.7523745617257944</v>
      </c>
    </row>
    <row r="27" spans="1:14">
      <c r="A27" t="s">
        <v>16</v>
      </c>
      <c r="B27">
        <v>12.5</v>
      </c>
      <c r="C27" t="s">
        <v>300</v>
      </c>
      <c r="D27">
        <f>4.31*2.205</f>
        <v>9.5035499999999988</v>
      </c>
      <c r="E27">
        <v>125</v>
      </c>
      <c r="F27">
        <v>24</v>
      </c>
      <c r="G27">
        <v>2250</v>
      </c>
      <c r="H27">
        <v>4000</v>
      </c>
      <c r="J27" s="4">
        <f t="shared" si="10"/>
        <v>4.7494300940234648</v>
      </c>
      <c r="K27" s="4">
        <f t="shared" si="11"/>
        <v>5.6708132374593854</v>
      </c>
      <c r="L27" s="4">
        <f t="shared" si="12"/>
        <v>53.892857142857139</v>
      </c>
      <c r="M27" s="4">
        <f t="shared" si="13"/>
        <v>9.0503851735624448</v>
      </c>
      <c r="N27" s="4">
        <f t="shared" si="14"/>
        <v>8.6484424179259136</v>
      </c>
    </row>
    <row r="28" spans="1:14">
      <c r="A28" t="s">
        <v>16</v>
      </c>
      <c r="B28">
        <v>10.5</v>
      </c>
      <c r="C28" t="s">
        <v>298</v>
      </c>
      <c r="E28">
        <v>125</v>
      </c>
      <c r="F28">
        <v>24</v>
      </c>
      <c r="G28">
        <v>2100</v>
      </c>
      <c r="H28">
        <v>4000</v>
      </c>
    </row>
    <row r="29" spans="1:14">
      <c r="A29" t="s">
        <v>16</v>
      </c>
      <c r="B29">
        <v>9</v>
      </c>
      <c r="C29" t="s">
        <v>301</v>
      </c>
      <c r="E29">
        <v>125</v>
      </c>
      <c r="F29">
        <v>24</v>
      </c>
      <c r="G29">
        <v>2000</v>
      </c>
      <c r="H29">
        <v>4000</v>
      </c>
    </row>
    <row r="32" spans="1:14">
      <c r="A32" t="s">
        <v>275</v>
      </c>
      <c r="B32">
        <v>16.3</v>
      </c>
      <c r="C32" t="s">
        <v>278</v>
      </c>
      <c r="E32">
        <v>56</v>
      </c>
      <c r="F32">
        <v>22.2</v>
      </c>
      <c r="G32">
        <v>2890</v>
      </c>
      <c r="H32">
        <v>4000</v>
      </c>
      <c r="J32" s="4" t="e">
        <f t="shared" ref="J32" si="15">(((E32/7000)*G32)+(H32*(F32/7000)))^2/(64.348*D32)</f>
        <v>#DIV/0!</v>
      </c>
      <c r="K32" s="4" t="e">
        <f t="shared" ref="K32" si="16">(((E32/7000)*G32)+(H32*(F32/7000)))/D32</f>
        <v>#DIV/0!</v>
      </c>
      <c r="L32" s="4">
        <f t="shared" ref="L32" si="17">((E32/7000)*G32+(F32/7000)*H32)</f>
        <v>35.805714285714288</v>
      </c>
    </row>
    <row r="33" spans="1:14">
      <c r="A33" t="s">
        <v>275</v>
      </c>
      <c r="B33">
        <v>12.5</v>
      </c>
      <c r="C33" t="s">
        <v>304</v>
      </c>
      <c r="E33">
        <v>56</v>
      </c>
      <c r="F33">
        <v>22.2</v>
      </c>
      <c r="G33">
        <v>2750</v>
      </c>
      <c r="H33">
        <v>4000</v>
      </c>
    </row>
    <row r="34" spans="1:14">
      <c r="A34" t="s">
        <v>275</v>
      </c>
      <c r="B34">
        <v>8.3000000000000007</v>
      </c>
      <c r="C34" t="s">
        <v>279</v>
      </c>
      <c r="E34">
        <v>56</v>
      </c>
      <c r="F34">
        <v>22.2</v>
      </c>
      <c r="G34">
        <v>2425</v>
      </c>
      <c r="H34">
        <v>4000</v>
      </c>
    </row>
    <row r="37" spans="1:14">
      <c r="A37" t="s">
        <v>22</v>
      </c>
      <c r="B37" t="s">
        <v>320</v>
      </c>
      <c r="C37" t="s">
        <v>50</v>
      </c>
      <c r="E37">
        <v>95</v>
      </c>
      <c r="F37">
        <v>3.86</v>
      </c>
      <c r="G37">
        <v>1025</v>
      </c>
      <c r="H37">
        <v>4000</v>
      </c>
    </row>
    <row r="39" spans="1:14">
      <c r="A39" t="s">
        <v>23</v>
      </c>
      <c r="B39" t="s">
        <v>320</v>
      </c>
      <c r="C39" t="s">
        <v>47</v>
      </c>
      <c r="D39">
        <v>7.21</v>
      </c>
      <c r="E39">
        <v>124</v>
      </c>
      <c r="F39">
        <v>5</v>
      </c>
      <c r="G39">
        <v>1250</v>
      </c>
      <c r="H39">
        <v>4000</v>
      </c>
      <c r="J39" s="4">
        <f t="shared" ref="J39" si="18">(((E39/7000)*G39)+(H39*(F39/7000)))^2/(64.348*D39)</f>
        <v>1.3471305945902512</v>
      </c>
      <c r="K39" s="4">
        <f t="shared" ref="K39" si="19">(((E39/7000)*G39)+(H39*(F39/7000)))/D39</f>
        <v>3.4674063800277395</v>
      </c>
      <c r="L39" s="4">
        <f t="shared" ref="L39" si="20">((E39/7000)*G39+(F39/7000)*H39)</f>
        <v>25</v>
      </c>
      <c r="M39" s="4">
        <f t="shared" ref="M39" si="21">(J39+K39*3+(L39/10))/3</f>
        <v>4.7497832448911561</v>
      </c>
      <c r="N39" s="4">
        <f>(J39*2+K39*5+(L39/10))/5</f>
        <v>4.50625861786384</v>
      </c>
    </row>
    <row r="41" spans="1:14">
      <c r="A41" t="s">
        <v>342</v>
      </c>
      <c r="C41" t="s">
        <v>348</v>
      </c>
      <c r="E41">
        <v>103</v>
      </c>
      <c r="F41">
        <v>7.7</v>
      </c>
      <c r="G41">
        <v>1410</v>
      </c>
      <c r="H41">
        <v>4000</v>
      </c>
    </row>
    <row r="43" spans="1:14">
      <c r="A43" t="s">
        <v>24</v>
      </c>
      <c r="C43" t="s">
        <v>346</v>
      </c>
      <c r="E43">
        <v>260</v>
      </c>
      <c r="F43">
        <v>9.3000000000000007</v>
      </c>
      <c r="G43">
        <v>920</v>
      </c>
      <c r="H43">
        <v>4000</v>
      </c>
    </row>
    <row r="46" spans="1:14">
      <c r="A46" t="s">
        <v>28</v>
      </c>
      <c r="C46" t="s">
        <v>53</v>
      </c>
      <c r="E46">
        <v>85</v>
      </c>
      <c r="F46">
        <v>7.5</v>
      </c>
      <c r="G46">
        <v>1575</v>
      </c>
      <c r="H46">
        <v>4000</v>
      </c>
    </row>
    <row r="47" spans="1:14">
      <c r="A47" t="s">
        <v>345</v>
      </c>
      <c r="C47" t="s">
        <v>344</v>
      </c>
      <c r="D47">
        <v>12.02</v>
      </c>
      <c r="E47">
        <v>85</v>
      </c>
      <c r="F47">
        <v>7.5</v>
      </c>
      <c r="G47">
        <v>1700</v>
      </c>
      <c r="H47">
        <v>4000</v>
      </c>
      <c r="J47" s="4">
        <f t="shared" ref="J47" si="22">(((E47/7000)*G47)+(H47*(F47/7000)))^2/(64.348*D47)</f>
        <v>0.80344335230918851</v>
      </c>
      <c r="K47" s="4">
        <f t="shared" ref="K47" si="23">(((E47/7000)*G47)+(H47*(F47/7000)))/D47</f>
        <v>2.0739244116947941</v>
      </c>
      <c r="L47" s="4">
        <f t="shared" ref="L47" si="24">((E47/7000)*G47+(F47/7000)*H47)</f>
        <v>24.928571428571427</v>
      </c>
      <c r="M47" s="4">
        <f t="shared" ref="M47" si="25">(J47+K47*3+(L47/10))/3</f>
        <v>3.1726912434169048</v>
      </c>
      <c r="N47" s="4">
        <f>(J47*2+K47*5+(L47/10))/5</f>
        <v>2.8938731811898983</v>
      </c>
    </row>
    <row r="50" spans="1:14">
      <c r="A50" t="s">
        <v>321</v>
      </c>
      <c r="C50" t="s">
        <v>351</v>
      </c>
      <c r="D50">
        <f>3.28*2.205</f>
        <v>7.2324000000000002</v>
      </c>
      <c r="E50">
        <v>230</v>
      </c>
      <c r="F50">
        <v>5</v>
      </c>
      <c r="G50">
        <v>850</v>
      </c>
      <c r="H50">
        <v>4000</v>
      </c>
      <c r="J50" s="4">
        <f t="shared" ref="J50:J51" si="26">(((E50/7000)*G50)+(H50*(F50/7000)))^2/(64.348*D50)</f>
        <v>2.036483887372933</v>
      </c>
      <c r="K50" s="4">
        <f t="shared" ref="K50:K51" si="27">(((E50/7000)*G50)+(H50*(F50/7000)))/D50</f>
        <v>4.2566387763002993</v>
      </c>
      <c r="L50" s="4">
        <f t="shared" ref="L50:L51" si="28">((E50/7000)*G50+(F50/7000)*H50)</f>
        <v>30.785714285714285</v>
      </c>
      <c r="M50" s="4">
        <f>(J50+K50*3+(L50/10))/3</f>
        <v>5.9616572149484197</v>
      </c>
      <c r="N50" s="4">
        <f>(J50*2+K50*5+(L50/10))/5</f>
        <v>5.6869466169637581</v>
      </c>
    </row>
    <row r="51" spans="1:14">
      <c r="C51" t="s">
        <v>351</v>
      </c>
      <c r="D51">
        <f>3.28*2.205</f>
        <v>7.2324000000000002</v>
      </c>
      <c r="E51">
        <v>230</v>
      </c>
      <c r="F51">
        <v>5</v>
      </c>
      <c r="G51">
        <v>925</v>
      </c>
      <c r="H51">
        <v>4000</v>
      </c>
      <c r="J51" s="4">
        <f t="shared" si="26"/>
        <v>2.3755589315077583</v>
      </c>
      <c r="K51" s="4">
        <f t="shared" si="27"/>
        <v>4.5973674022454505</v>
      </c>
      <c r="L51" s="4">
        <f t="shared" si="28"/>
        <v>33.25</v>
      </c>
      <c r="M51" s="4">
        <f>(J51+K51*3+(L51/10))/3</f>
        <v>6.4975537127480365</v>
      </c>
      <c r="N51" s="4">
        <f>(J51*2+K51*5+(L51/10))/5</f>
        <v>6.2125909748485535</v>
      </c>
    </row>
    <row r="54" spans="1:14">
      <c r="A54" t="s">
        <v>26</v>
      </c>
      <c r="C54" t="s">
        <v>353</v>
      </c>
      <c r="D54">
        <f>3*2.205</f>
        <v>6.6150000000000002</v>
      </c>
      <c r="E54">
        <v>31</v>
      </c>
      <c r="F54">
        <v>6.5</v>
      </c>
      <c r="G54">
        <v>2345</v>
      </c>
      <c r="H54">
        <v>4000</v>
      </c>
      <c r="J54" s="4">
        <f t="shared" ref="J54" si="29">(((E54/7000)*G54)+(H54*(F54/7000)))^2/(64.348*D54)</f>
        <v>0.46701337754554945</v>
      </c>
      <c r="K54" s="4">
        <f t="shared" ref="K54" si="30">(((E54/7000)*G54)+(H54*(F54/7000)))/D54</f>
        <v>2.1314112946766004</v>
      </c>
      <c r="L54" s="4">
        <f t="shared" ref="L54" si="31">((E54/7000)*G54+(F54/7000)*H54)</f>
        <v>14.099285714285713</v>
      </c>
      <c r="M54" s="4">
        <f t="shared" ref="M54" si="32">(J54+K54*3+(L54/10))/3</f>
        <v>2.7570586110013071</v>
      </c>
      <c r="N54" s="4">
        <f>(J54*2+K54*5+(L54/10))/5</f>
        <v>2.6002023599805342</v>
      </c>
    </row>
    <row r="57" spans="1:14">
      <c r="A57" s="8" t="s">
        <v>359</v>
      </c>
      <c r="C57" s="8" t="s">
        <v>360</v>
      </c>
      <c r="E57">
        <v>52</v>
      </c>
      <c r="G57">
        <v>3030</v>
      </c>
      <c r="H57">
        <v>4000</v>
      </c>
    </row>
    <row r="60" spans="1:14">
      <c r="A60" t="s">
        <v>25</v>
      </c>
      <c r="C60" t="s">
        <v>364</v>
      </c>
      <c r="D60">
        <v>2.86</v>
      </c>
      <c r="E60">
        <v>31</v>
      </c>
      <c r="G60">
        <v>2380</v>
      </c>
      <c r="H60">
        <v>4000</v>
      </c>
    </row>
    <row r="63" spans="1:14">
      <c r="A63" t="s">
        <v>19</v>
      </c>
      <c r="C63" t="s">
        <v>382</v>
      </c>
      <c r="E63">
        <v>180</v>
      </c>
      <c r="F63">
        <v>8</v>
      </c>
      <c r="G63">
        <v>1050</v>
      </c>
      <c r="H63">
        <v>4000</v>
      </c>
    </row>
    <row r="65" spans="1:8">
      <c r="A65" t="s">
        <v>12</v>
      </c>
      <c r="C65" t="s">
        <v>383</v>
      </c>
      <c r="E65">
        <v>180</v>
      </c>
      <c r="F65">
        <v>10</v>
      </c>
      <c r="G65">
        <v>1400</v>
      </c>
      <c r="H65">
        <v>4000</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dimension ref="A1:S17"/>
  <sheetViews>
    <sheetView workbookViewId="0">
      <selection activeCell="K1" sqref="K1"/>
    </sheetView>
  </sheetViews>
  <sheetFormatPr baseColWidth="10" defaultRowHeight="15"/>
  <cols>
    <col min="1" max="1" width="4" bestFit="1" customWidth="1"/>
    <col min="2" max="2" width="15.140625" bestFit="1" customWidth="1"/>
    <col min="3" max="3" width="5" customWidth="1"/>
    <col min="4" max="4" width="16.28515625" bestFit="1" customWidth="1"/>
    <col min="5" max="5" width="8.42578125" bestFit="1" customWidth="1"/>
    <col min="7" max="7" width="13" style="4" bestFit="1" customWidth="1"/>
    <col min="8" max="8" width="13.85546875" style="4" bestFit="1" customWidth="1"/>
    <col min="9" max="9" width="13.5703125" style="4" bestFit="1" customWidth="1"/>
    <col min="11" max="11" width="12.140625" style="11" bestFit="1" customWidth="1"/>
    <col min="12" max="12" width="12.140625" bestFit="1" customWidth="1"/>
  </cols>
  <sheetData>
    <row r="1" spans="1:19">
      <c r="A1" t="s">
        <v>128</v>
      </c>
      <c r="B1" s="5" t="s">
        <v>105</v>
      </c>
      <c r="C1" s="5"/>
      <c r="G1" s="4" t="s">
        <v>3</v>
      </c>
      <c r="H1" s="4" t="s">
        <v>4</v>
      </c>
      <c r="I1" s="4" t="s">
        <v>62</v>
      </c>
      <c r="K1" s="11" t="s">
        <v>362</v>
      </c>
      <c r="L1" s="4" t="s">
        <v>363</v>
      </c>
    </row>
    <row r="2" spans="1:19">
      <c r="B2" s="5" t="s">
        <v>307</v>
      </c>
      <c r="C2" s="9" t="s">
        <v>352</v>
      </c>
      <c r="D2" t="s">
        <v>79</v>
      </c>
      <c r="E2" t="s">
        <v>84</v>
      </c>
      <c r="Q2" t="s">
        <v>283</v>
      </c>
      <c r="R2" t="s">
        <v>281</v>
      </c>
    </row>
    <row r="3" spans="1:19">
      <c r="A3">
        <v>610</v>
      </c>
      <c r="B3" t="s">
        <v>207</v>
      </c>
      <c r="C3">
        <v>30</v>
      </c>
      <c r="D3">
        <v>4.3</v>
      </c>
      <c r="E3">
        <v>16.3</v>
      </c>
      <c r="G3" s="4">
        <f>(((Ammunition!$E$32/7000)*Ammunition!$G$32)+(Ammunition!$H$32*(Ammunition!$F$32/7000)))^2/(64.348*'5.45x39'!D3*2.205)</f>
        <v>2.1013218730359222</v>
      </c>
      <c r="H3" s="4">
        <f>(((Ammunition!$E$32/7000)*Ammunition!$G$32)+(Ammunition!$H$32*(Ammunition!$F$32/7000)))/('5.56x45'!D3*2.205)</f>
        <v>3.5455063705665255</v>
      </c>
      <c r="I3" s="4">
        <f>((Ammunition!$E$32/7000)*Ammunition!$G$32+(Ammunition!$F$32/7000)*Ammunition!$H$32)</f>
        <v>35.805714285714288</v>
      </c>
      <c r="K3" s="11">
        <f>(G3+H3*3+(I3/10))/3</f>
        <v>5.4394708044356426</v>
      </c>
      <c r="L3" s="11">
        <f>(G3*2+H3*5+(I3/10))/5</f>
        <v>5.1021494054951795</v>
      </c>
      <c r="M3" s="11"/>
      <c r="Q3">
        <v>10.7</v>
      </c>
      <c r="R3">
        <v>30</v>
      </c>
      <c r="S3">
        <f>+Q3*R3</f>
        <v>321</v>
      </c>
    </row>
    <row r="4" spans="1:19">
      <c r="A4">
        <v>602</v>
      </c>
      <c r="B4" t="s">
        <v>205</v>
      </c>
      <c r="C4">
        <v>30</v>
      </c>
      <c r="D4">
        <v>3.8</v>
      </c>
      <c r="E4">
        <v>16.5</v>
      </c>
      <c r="G4" s="4">
        <f>(((Ammunition!$E$32/7000)*Ammunition!$G$32)+(Ammunition!$H$32*(Ammunition!$F$32/7000)))^2/(64.348*'5.45x39'!D4*2.205)</f>
        <v>2.3778115931722277</v>
      </c>
      <c r="H4" s="4">
        <f>(((Ammunition!$E$32/7000)*Ammunition!$G$32)+(Ammunition!$H$32*(Ammunition!$F$32/7000)))/('5.56x45'!D4*2.205)</f>
        <v>3.7074016386289244</v>
      </c>
      <c r="I4" s="4">
        <f>((Ammunition!$E$32/7000)*Ammunition!$G$32+(Ammunition!$F$32/7000)*Ammunition!$H$32)</f>
        <v>35.805714285714288</v>
      </c>
      <c r="K4" s="11">
        <f t="shared" ref="K4:K7" si="0">(G4+H4*3+(I4/10))/3</f>
        <v>5.6935293125434763</v>
      </c>
      <c r="L4" s="11">
        <f t="shared" ref="L4:L7" si="1">(G4*2+H4*5+(I4/10))/5</f>
        <v>5.3746405616121011</v>
      </c>
      <c r="S4">
        <v>180</v>
      </c>
    </row>
    <row r="5" spans="1:19">
      <c r="A5">
        <v>25</v>
      </c>
      <c r="B5" t="s">
        <v>204</v>
      </c>
      <c r="C5">
        <v>30</v>
      </c>
      <c r="D5">
        <v>3.57</v>
      </c>
      <c r="E5">
        <v>16.3</v>
      </c>
      <c r="G5" s="4">
        <f>(((Ammunition!$E$32/7000)*Ammunition!$G$32)+(Ammunition!$H$32*(Ammunition!$F$32/7000)))^2/(64.348*'5.45x39'!D5*2.205)</f>
        <v>2.5310039367099342</v>
      </c>
      <c r="H5" s="4">
        <f>(((Ammunition!$E$32/7000)*Ammunition!$G$32)+(Ammunition!$H$32*(Ammunition!$F$32/7000)))/('5.56x45'!D5*2.205)</f>
        <v>3.7329699257918825</v>
      </c>
      <c r="I5" s="4">
        <f>((Ammunition!$E$32/7000)*Ammunition!$G$32+(Ammunition!$F$32/7000)*Ammunition!$H$32)</f>
        <v>35.805714285714288</v>
      </c>
      <c r="K5" s="11">
        <f t="shared" si="0"/>
        <v>5.7701617142190038</v>
      </c>
      <c r="L5" s="11">
        <f t="shared" si="1"/>
        <v>5.461485786190142</v>
      </c>
      <c r="S5">
        <v>500</v>
      </c>
    </row>
    <row r="6" spans="1:19">
      <c r="A6">
        <v>614</v>
      </c>
      <c r="B6" t="s">
        <v>208</v>
      </c>
      <c r="C6">
        <v>30</v>
      </c>
      <c r="D6">
        <v>3.47</v>
      </c>
      <c r="E6">
        <v>16.3</v>
      </c>
      <c r="G6" s="4">
        <f>(((Ammunition!$E$32/7000)*Ammunition!$G$32)+(Ammunition!$H$32*(Ammunition!$F$32/7000)))^2/(64.348*'5.45x39'!D6*2.205)</f>
        <v>2.6039435314277992</v>
      </c>
      <c r="H6" s="4">
        <f>(((Ammunition!$E$32/7000)*Ammunition!$G$32)+(Ammunition!$H$32*(Ammunition!$F$32/7000)))/('5.56x45'!D6*2.205)</f>
        <v>3.7329699257918825</v>
      </c>
      <c r="I6" s="4">
        <f>((Ammunition!$E$32/7000)*Ammunition!$G$32+(Ammunition!$F$32/7000)*Ammunition!$H$32)</f>
        <v>35.805714285714288</v>
      </c>
      <c r="K6" s="11">
        <f t="shared" si="0"/>
        <v>5.7944749124582913</v>
      </c>
      <c r="L6" s="11">
        <f t="shared" si="1"/>
        <v>5.4906616240772879</v>
      </c>
    </row>
    <row r="7" spans="1:19">
      <c r="A7">
        <v>616</v>
      </c>
      <c r="B7" t="s">
        <v>209</v>
      </c>
      <c r="C7">
        <v>30</v>
      </c>
      <c r="D7">
        <v>4.3499999999999996</v>
      </c>
      <c r="E7">
        <v>16</v>
      </c>
      <c r="G7" s="4">
        <f>(((Ammunition!$E$32/7000)*Ammunition!$G$32)+(Ammunition!$H$32*(Ammunition!$F$32/7000)))^2/(64.348*'5.45x39'!D7*2.205)</f>
        <v>2.0771687480584977</v>
      </c>
      <c r="H7" s="4">
        <f>(((Ammunition!$E$32/7000)*Ammunition!$G$32)+(Ammunition!$H$32*(Ammunition!$F$32/7000)))/('5.56x45'!D7*2.205)</f>
        <v>3.811835487604387</v>
      </c>
      <c r="I7" s="4">
        <f>((Ammunition!$E$32/7000)*Ammunition!$G$32+(Ammunition!$F$32/7000)*Ammunition!$H$32)</f>
        <v>35.805714285714288</v>
      </c>
      <c r="K7" s="11">
        <f t="shared" si="0"/>
        <v>5.6977488798143625</v>
      </c>
      <c r="L7" s="11">
        <f t="shared" si="1"/>
        <v>5.3588172725420709</v>
      </c>
    </row>
    <row r="9" spans="1:19">
      <c r="B9" s="5" t="s">
        <v>306</v>
      </c>
      <c r="C9" s="5"/>
    </row>
    <row r="10" spans="1:19">
      <c r="A10">
        <v>609</v>
      </c>
      <c r="B10" t="s">
        <v>206</v>
      </c>
      <c r="C10">
        <v>30</v>
      </c>
      <c r="D10">
        <v>3.5</v>
      </c>
      <c r="E10">
        <v>12.5</v>
      </c>
      <c r="G10" s="4">
        <f>(((Ammunition!$E$33/7000)*Ammunition!$G$33)+(Ammunition!$H$33*(Ammunition!$F$33/7000)))^2/(64.348*'5.45x39'!D10*2.205)</f>
        <v>2.4226439602619214</v>
      </c>
      <c r="H10" s="4">
        <f>(((Ammunition!$E$33/7000)*Ammunition!$G$33)+(Ammunition!$H$33*(Ammunition!$F$33/7000)))/('5.56x45'!D10*2.205)</f>
        <v>4.0026673458672208</v>
      </c>
      <c r="I10" s="4">
        <f>((Ammunition!$E$33/7000)*Ammunition!$G$33+(Ammunition!$F$33/7000)*Ammunition!$H$33)</f>
        <v>34.685714285714283</v>
      </c>
      <c r="K10" s="11">
        <f t="shared" ref="K10" si="2">(G10+H10*3+(I10/10))/3</f>
        <v>5.9664058088116718</v>
      </c>
      <c r="L10" s="11">
        <f>(G10*2+H10*5+(I10/10))/5</f>
        <v>5.6654392156862752</v>
      </c>
    </row>
    <row r="12" spans="1:19">
      <c r="B12" s="5" t="s">
        <v>305</v>
      </c>
      <c r="C12" s="5"/>
    </row>
    <row r="13" spans="1:19">
      <c r="A13">
        <v>14</v>
      </c>
      <c r="B13" t="s">
        <v>203</v>
      </c>
      <c r="C13">
        <v>30</v>
      </c>
      <c r="D13">
        <v>3</v>
      </c>
      <c r="E13">
        <v>8.3000000000000007</v>
      </c>
      <c r="G13" s="4">
        <f>(((Ammunition!$E$34/7000)*Ammunition!$G$34)+(Ammunition!$H$34*(Ammunition!$F$34/7000)))^2/(64.348*'5.45x39'!D13*2.205)</f>
        <v>2.4185692235931455</v>
      </c>
      <c r="H13" s="4">
        <f>(((Ammunition!$E$34/7000)*Ammunition!$G$34)+(Ammunition!$H$34*(Ammunition!$F$34/7000)))/('5.56x45'!D13*2.205)</f>
        <v>4.2423744452660976</v>
      </c>
      <c r="I13" s="4">
        <f>((Ammunition!$E$34/7000)*Ammunition!$G$34+(Ammunition!$F$34/7000)*Ammunition!$H$34)</f>
        <v>32.085714285714289</v>
      </c>
      <c r="K13" s="11">
        <f t="shared" ref="K13" si="3">(G13+H13*3+(I13/10))/3</f>
        <v>6.1180879959876222</v>
      </c>
      <c r="L13" s="11">
        <f>(G13*2+H13*5+(I13/10))/5</f>
        <v>5.8515164204176413</v>
      </c>
    </row>
    <row r="15" spans="1:19">
      <c r="B15" s="5" t="s">
        <v>148</v>
      </c>
      <c r="C15" s="5"/>
      <c r="D15" t="s">
        <v>79</v>
      </c>
      <c r="E15" t="s">
        <v>84</v>
      </c>
      <c r="R15">
        <v>45</v>
      </c>
      <c r="S15">
        <f>+R15*Q3</f>
        <v>481.49999999999994</v>
      </c>
    </row>
    <row r="16" spans="1:19">
      <c r="A16">
        <v>35</v>
      </c>
      <c r="B16" t="s">
        <v>210</v>
      </c>
      <c r="C16">
        <v>45</v>
      </c>
      <c r="D16">
        <v>5.45</v>
      </c>
      <c r="E16">
        <v>23</v>
      </c>
      <c r="G16" s="4">
        <f>(((Ammunition!$E$32/7000)*Ammunition!$G$32)+(Ammunition!$H$32*(Ammunition!$F$32/7000)))^2/(64.348*'5.45x39'!D16*2.205)</f>
        <v>1.6579236796430208</v>
      </c>
      <c r="H16" s="4">
        <f>(((Ammunition!$E$32/7000)*Ammunition!$G$32)+(Ammunition!$H$32*(Ammunition!$F$32/7000)))/('5.56x45'!D16*2.205)</f>
        <v>3.5072179648368658</v>
      </c>
      <c r="I16" s="4">
        <f>((Ammunition!$E$32/7000)*Ammunition!$G$32+(Ammunition!$F$32/7000)*Ammunition!$H$32)</f>
        <v>35.805714285714288</v>
      </c>
      <c r="K16" s="11">
        <f t="shared" ref="K16" si="4">(G16+H16*3+(I16/10))/3</f>
        <v>5.2533830009083493</v>
      </c>
      <c r="L16" s="11">
        <f>(G16*2+H16*5+(I16/10))/5</f>
        <v>4.8865017224083598</v>
      </c>
    </row>
    <row r="17" spans="19:19">
      <c r="S17">
        <v>750</v>
      </c>
    </row>
  </sheetData>
  <pageMargins left="0.7" right="0.7" top="0.78740157499999996" bottom="0.78740157499999996"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dimension ref="A1:T66"/>
  <sheetViews>
    <sheetView topLeftCell="A29" workbookViewId="0">
      <selection activeCell="A38" sqref="A38:XFD38"/>
    </sheetView>
  </sheetViews>
  <sheetFormatPr baseColWidth="10" defaultColWidth="9.140625" defaultRowHeight="15"/>
  <cols>
    <col min="2" max="2" width="17.28515625" bestFit="1" customWidth="1"/>
    <col min="3" max="3" width="4.7109375" bestFit="1" customWidth="1"/>
    <col min="4" max="4" width="16.28515625" bestFit="1" customWidth="1"/>
    <col min="5" max="5" width="8.42578125" bestFit="1" customWidth="1"/>
    <col min="7" max="7" width="13.85546875" style="4" bestFit="1" customWidth="1"/>
    <col min="8" max="8" width="13" style="4" bestFit="1" customWidth="1"/>
    <col min="9" max="9" width="13.5703125" style="4" bestFit="1" customWidth="1"/>
    <col min="10" max="10" width="11.28515625" bestFit="1" customWidth="1"/>
    <col min="11" max="11" width="9.140625" style="11"/>
    <col min="17" max="17" width="11" customWidth="1"/>
  </cols>
  <sheetData>
    <row r="1" spans="1:13">
      <c r="A1" t="s">
        <v>128</v>
      </c>
      <c r="B1" s="5" t="s">
        <v>105</v>
      </c>
      <c r="C1" s="5"/>
      <c r="G1" s="4" t="s">
        <v>3</v>
      </c>
      <c r="H1" s="4" t="s">
        <v>4</v>
      </c>
      <c r="I1" s="4" t="s">
        <v>62</v>
      </c>
      <c r="K1" s="11" t="s">
        <v>362</v>
      </c>
      <c r="L1" s="4" t="s">
        <v>363</v>
      </c>
    </row>
    <row r="2" spans="1:13">
      <c r="B2" s="5" t="s">
        <v>81</v>
      </c>
      <c r="C2" s="9" t="s">
        <v>352</v>
      </c>
      <c r="D2" t="s">
        <v>79</v>
      </c>
      <c r="E2" t="s">
        <v>84</v>
      </c>
    </row>
    <row r="3" spans="1:13">
      <c r="A3">
        <v>713</v>
      </c>
      <c r="B3" t="s">
        <v>60</v>
      </c>
      <c r="C3">
        <v>30</v>
      </c>
      <c r="D3">
        <v>4.58</v>
      </c>
      <c r="E3">
        <v>20</v>
      </c>
      <c r="G3" s="4">
        <f>(((Ammunition!$E$3/7000)*Ammunition!$G$3)+(Ammunition!$H$3*(Ammunition!$F$3/7000)))^2/(64.348*'5.56x45'!D3*2.205)</f>
        <v>2.7061942344724579</v>
      </c>
      <c r="H3" s="4">
        <f>(((Ammunition!$E$3/7000)*Ammunition!$G$3)+(Ammunition!$H$3*(Ammunition!$F$3/7000)))/('5.56x45'!D3*2.205)</f>
        <v>4.1525031721983865</v>
      </c>
      <c r="I3" s="4">
        <f>((Ammunition!$E$3/7000)*Ammunition!$G$3+(Ammunition!$F$3/7000)*Ammunition!$H$3)</f>
        <v>41.935714285714283</v>
      </c>
      <c r="K3" s="11">
        <f>(G3+H3*3+(I3/10))/3</f>
        <v>6.4524250598796824</v>
      </c>
      <c r="L3" s="11">
        <f t="shared" ref="L3:L13" si="0">(G3*2+H3*5+(I3/10))/4.5</f>
        <v>6.7485501685573945</v>
      </c>
      <c r="M3" s="11"/>
    </row>
    <row r="4" spans="1:13">
      <c r="A4">
        <v>1072</v>
      </c>
      <c r="B4" t="s">
        <v>77</v>
      </c>
      <c r="C4">
        <v>30</v>
      </c>
      <c r="D4">
        <v>4.38</v>
      </c>
      <c r="E4">
        <v>20</v>
      </c>
      <c r="G4" s="4">
        <f>(((Ammunition!$E$3/7000)*Ammunition!$G$3)+(Ammunition!$H$3*(Ammunition!$F$3/7000)))^2/(64.348*'5.56x45'!D4*2.205)</f>
        <v>2.8297647474620682</v>
      </c>
      <c r="H4" s="4">
        <f>(((Ammunition!$E$3/7000)*Ammunition!$G$3)+(Ammunition!$H$3*(Ammunition!$F$3/7000)))/('5.56x45'!D4*2.205)</f>
        <v>4.3421151891937466</v>
      </c>
      <c r="I4" s="4">
        <f>((Ammunition!$E$3/7000)*Ammunition!$G$3+(Ammunition!$F$3/7000)*Ammunition!$H$3)</f>
        <v>41.935714285714283</v>
      </c>
      <c r="K4" s="11">
        <f t="shared" ref="K4:K13" si="1">(G4+H4*3+(I4/10))/3</f>
        <v>6.6832272478715788</v>
      </c>
      <c r="L4" s="11">
        <f t="shared" si="0"/>
        <v>7.0141504154365109</v>
      </c>
    </row>
    <row r="5" spans="1:13">
      <c r="A5">
        <v>331</v>
      </c>
      <c r="B5" t="s">
        <v>66</v>
      </c>
      <c r="C5">
        <v>30</v>
      </c>
      <c r="D5">
        <v>4.3499999999999996</v>
      </c>
      <c r="E5">
        <v>20</v>
      </c>
      <c r="G5" s="4">
        <f>(((Ammunition!$E$3/7000)*Ammunition!$G$3)+(Ammunition!$H$3*(Ammunition!$F$3/7000)))^2/(64.348*'5.56x45'!D5*2.205)</f>
        <v>2.8492803664100825</v>
      </c>
      <c r="H5" s="4">
        <f>(((Ammunition!$E$3/7000)*Ammunition!$G$3)+(Ammunition!$H$3*(Ammunition!$F$3/7000)))/('5.56x45'!D5*2.205)</f>
        <v>4.3720608111881862</v>
      </c>
      <c r="I5" s="4">
        <f>((Ammunition!$E$3/7000)*Ammunition!$G$3+(Ammunition!$F$3/7000)*Ammunition!$H$3)</f>
        <v>41.935714285714283</v>
      </c>
      <c r="K5" s="11">
        <f t="shared" si="1"/>
        <v>6.7196780761820234</v>
      </c>
      <c r="L5" s="11">
        <f t="shared" si="0"/>
        <v>7.0560969371850053</v>
      </c>
    </row>
    <row r="6" spans="1:13">
      <c r="A6">
        <v>781</v>
      </c>
      <c r="B6" t="s">
        <v>73</v>
      </c>
      <c r="C6">
        <v>30</v>
      </c>
      <c r="D6">
        <v>4.3499999999999996</v>
      </c>
      <c r="E6">
        <v>20</v>
      </c>
      <c r="G6" s="4">
        <f>(((Ammunition!$E$3/7000)*Ammunition!$G$3)+(Ammunition!$H$3*(Ammunition!$F$3/7000)))^2/(64.348*'5.56x45'!D6*2.205)</f>
        <v>2.8492803664100825</v>
      </c>
      <c r="H6" s="4">
        <f>(((Ammunition!$E$3/7000)*Ammunition!$G$3)+(Ammunition!$H$3*(Ammunition!$F$3/7000)))/('5.56x45'!D6*2.205)</f>
        <v>4.3720608111881862</v>
      </c>
      <c r="I6" s="4">
        <f>((Ammunition!$E$3/7000)*Ammunition!$G$3+(Ammunition!$F$3/7000)*Ammunition!$H$3)</f>
        <v>41.935714285714283</v>
      </c>
      <c r="K6" s="11">
        <f t="shared" si="1"/>
        <v>6.7196780761820234</v>
      </c>
      <c r="L6" s="11">
        <f t="shared" si="0"/>
        <v>7.0560969371850053</v>
      </c>
    </row>
    <row r="7" spans="1:13">
      <c r="A7">
        <v>20</v>
      </c>
      <c r="B7" t="s">
        <v>154</v>
      </c>
      <c r="C7">
        <v>30</v>
      </c>
      <c r="D7">
        <v>4.26</v>
      </c>
      <c r="E7">
        <v>20</v>
      </c>
      <c r="G7" s="4">
        <f>(((Ammunition!$E$3/7000)*Ammunition!$G$3)+(Ammunition!$H$3*(Ammunition!$F$3/7000)))^2/(64.348*'5.56x45'!D7*2.205)</f>
        <v>2.9094764304891689</v>
      </c>
      <c r="H7" s="4">
        <f>(((Ammunition!$E$3/7000)*Ammunition!$G$3)+(Ammunition!$H$3*(Ammunition!$F$3/7000)))/('5.56x45'!D7*2.205)</f>
        <v>4.4644282931146968</v>
      </c>
      <c r="I7" s="4">
        <f>((Ammunition!$E$3/7000)*Ammunition!$G$3+(Ammunition!$F$3/7000)*Ammunition!$H$3)</f>
        <v>41.935714285714283</v>
      </c>
      <c r="K7" s="11">
        <f t="shared" si="1"/>
        <v>6.8321109128015616</v>
      </c>
      <c r="L7" s="11">
        <f t="shared" si="0"/>
        <v>7.1854812789162787</v>
      </c>
    </row>
    <row r="8" spans="1:13">
      <c r="A8">
        <v>24</v>
      </c>
      <c r="B8" t="s">
        <v>68</v>
      </c>
      <c r="C8">
        <v>30</v>
      </c>
      <c r="D8">
        <v>4.33</v>
      </c>
      <c r="E8">
        <v>20</v>
      </c>
      <c r="G8" s="4">
        <f>(((Ammunition!$E$3/7000)*Ammunition!$G$3)+(Ammunition!$H$3*(Ammunition!$F$3/7000)))^2/(64.348*'5.56x45'!D8*2.205)</f>
        <v>2.8624410147537782</v>
      </c>
      <c r="H8" s="4">
        <f>(((Ammunition!$E$3/7000)*Ammunition!$G$3)+(Ammunition!$H$3*(Ammunition!$F$3/7000)))/('5.56x45'!D8*2.205)</f>
        <v>4.3922550874523347</v>
      </c>
      <c r="I8" s="4">
        <f>((Ammunition!$E$3/7000)*Ammunition!$G$3+(Ammunition!$F$3/7000)*Ammunition!$H$3)</f>
        <v>41.935714285714283</v>
      </c>
      <c r="K8" s="11">
        <f t="shared" si="1"/>
        <v>6.7442592352274033</v>
      </c>
      <c r="L8" s="11">
        <f t="shared" si="0"/>
        <v>7.0843841989645906</v>
      </c>
    </row>
    <row r="9" spans="1:13">
      <c r="A9">
        <v>752</v>
      </c>
      <c r="B9" t="s">
        <v>93</v>
      </c>
      <c r="C9">
        <v>30</v>
      </c>
      <c r="D9">
        <v>4.0199999999999996</v>
      </c>
      <c r="E9">
        <v>20</v>
      </c>
      <c r="G9" s="4">
        <f>(((Ammunition!$E$3/7000)*Ammunition!$G$3)+(Ammunition!$H$3*(Ammunition!$F$3/7000)))^2/(64.348*'5.56x45'!D9*2.205)</f>
        <v>3.0831765158915072</v>
      </c>
      <c r="H9" s="4">
        <f>(((Ammunition!$E$3/7000)*Ammunition!$G$3)+(Ammunition!$H$3*(Ammunition!$F$3/7000)))/('5.56x45'!D9*2.205)</f>
        <v>4.7309613255394556</v>
      </c>
      <c r="I9" s="4">
        <f>((Ammunition!$E$3/7000)*Ammunition!$G$3+(Ammunition!$F$3/7000)*Ammunition!$H$3)</f>
        <v>41.935714285714283</v>
      </c>
      <c r="K9" s="11">
        <f t="shared" si="1"/>
        <v>7.1565439736937675</v>
      </c>
      <c r="L9" s="11">
        <f t="shared" si="0"/>
        <v>7.5588291306781592</v>
      </c>
    </row>
    <row r="10" spans="1:13">
      <c r="A10">
        <v>704</v>
      </c>
      <c r="B10" t="s">
        <v>72</v>
      </c>
      <c r="C10">
        <v>30</v>
      </c>
      <c r="D10">
        <v>3.93</v>
      </c>
      <c r="E10">
        <v>20</v>
      </c>
      <c r="G10" s="4">
        <f>(((Ammunition!$E$3/7000)*Ammunition!$G$3)+(Ammunition!$H$3*(Ammunition!$F$3/7000)))^2/(64.348*'5.56x45'!D10*2.205)</f>
        <v>3.1537836116752818</v>
      </c>
      <c r="H10" s="4">
        <f>(((Ammunition!$E$3/7000)*Ammunition!$G$3)+(Ammunition!$H$3*(Ammunition!$F$3/7000)))/('5.56x45'!D10*2.205)</f>
        <v>4.8393039513151672</v>
      </c>
      <c r="I10" s="4">
        <f>((Ammunition!$E$3/7000)*Ammunition!$G$3+(Ammunition!$F$3/7000)*Ammunition!$H$3)</f>
        <v>41.935714285714283</v>
      </c>
      <c r="K10" s="11">
        <f t="shared" si="1"/>
        <v>7.2884222980640709</v>
      </c>
      <c r="L10" s="11">
        <f t="shared" si="0"/>
        <v>7.7105907574439625</v>
      </c>
    </row>
    <row r="11" spans="1:13">
      <c r="A11">
        <v>632</v>
      </c>
      <c r="B11" t="s">
        <v>71</v>
      </c>
      <c r="C11">
        <v>30</v>
      </c>
      <c r="D11">
        <v>3.93</v>
      </c>
      <c r="E11">
        <v>20</v>
      </c>
      <c r="G11" s="4">
        <f>(((Ammunition!$E$3/7000)*Ammunition!$G$3)+(Ammunition!$H$3*(Ammunition!$F$3/7000)))^2/(64.348*'5.56x45'!D11*2.205)</f>
        <v>3.1537836116752818</v>
      </c>
      <c r="H11" s="4">
        <f>(((Ammunition!$E$3/7000)*Ammunition!$G$3)+(Ammunition!$H$3*(Ammunition!$F$3/7000)))/('5.56x45'!D11*2.205)</f>
        <v>4.8393039513151672</v>
      </c>
      <c r="I11" s="4">
        <f>((Ammunition!$E$3/7000)*Ammunition!$G$3+(Ammunition!$F$3/7000)*Ammunition!$H$3)</f>
        <v>41.935714285714283</v>
      </c>
      <c r="K11" s="11">
        <f t="shared" si="1"/>
        <v>7.2884222980640709</v>
      </c>
      <c r="L11" s="11">
        <f t="shared" si="0"/>
        <v>7.7105907574439625</v>
      </c>
    </row>
    <row r="12" spans="1:13">
      <c r="A12">
        <v>23</v>
      </c>
      <c r="B12" t="s">
        <v>61</v>
      </c>
      <c r="C12">
        <v>30</v>
      </c>
      <c r="D12">
        <v>3.83</v>
      </c>
      <c r="E12">
        <v>20</v>
      </c>
      <c r="G12" s="4">
        <f>(((Ammunition!$E$3/7000)*Ammunition!$G$3)+(Ammunition!$H$3*(Ammunition!$F$3/7000)))^2/(64.348*'5.56x45'!D12*2.205)</f>
        <v>3.2361278313012685</v>
      </c>
      <c r="H12" s="4">
        <f>(((Ammunition!$E$3/7000)*Ammunition!$G$3)+(Ammunition!$H$3*(Ammunition!$F$3/7000)))/('5.56x45'!D12*2.205)</f>
        <v>4.96565653490042</v>
      </c>
      <c r="I12" s="4">
        <f>((Ammunition!$E$3/7000)*Ammunition!$G$3+(Ammunition!$F$3/7000)*Ammunition!$H$3)</f>
        <v>41.935714285714283</v>
      </c>
      <c r="K12" s="11">
        <f t="shared" si="1"/>
        <v>7.4422229548579857</v>
      </c>
      <c r="L12" s="11">
        <f t="shared" si="0"/>
        <v>7.887579947928014</v>
      </c>
    </row>
    <row r="13" spans="1:13">
      <c r="A13">
        <v>752</v>
      </c>
      <c r="B13" t="s">
        <v>94</v>
      </c>
      <c r="C13">
        <v>30</v>
      </c>
      <c r="D13">
        <v>3.43</v>
      </c>
      <c r="E13">
        <v>20</v>
      </c>
      <c r="G13" s="4">
        <f>(((Ammunition!$E$3/7000)*Ammunition!$G$3)+(Ammunition!$H$3*(Ammunition!$F$3/7000)))^2/(64.348*'5.56x45'!D13*2.205)</f>
        <v>3.6135188320361102</v>
      </c>
      <c r="H13" s="4">
        <f>(((Ammunition!$E$3/7000)*Ammunition!$G$3)+(Ammunition!$H$3*(Ammunition!$F$3/7000)))/('5.56x45'!D13*2.205)</f>
        <v>5.5447418450928891</v>
      </c>
      <c r="I13" s="4">
        <f>((Ammunition!$E$3/7000)*Ammunition!$G$3+(Ammunition!$F$3/7000)*Ammunition!$H$3)</f>
        <v>41.935714285714283</v>
      </c>
      <c r="K13" s="11">
        <f t="shared" si="1"/>
        <v>8.1471052652954015</v>
      </c>
      <c r="L13" s="11">
        <f t="shared" si="0"/>
        <v>8.6987374040240226</v>
      </c>
    </row>
    <row r="15" spans="1:13">
      <c r="B15" s="5" t="s">
        <v>104</v>
      </c>
      <c r="C15" s="5"/>
    </row>
    <row r="16" spans="1:13">
      <c r="A16">
        <v>21</v>
      </c>
      <c r="B16" t="s">
        <v>155</v>
      </c>
      <c r="C16">
        <v>30</v>
      </c>
      <c r="D16">
        <v>4.63</v>
      </c>
      <c r="E16">
        <v>18</v>
      </c>
      <c r="G16" s="4">
        <f>(((Ammunition!$E$4/7000)*Ammunition!$G$4)+(Ammunition!$H$4*(Ammunition!$F$4/7000)))^2/(64.348*'5.56x45'!D16*2.205)</f>
        <v>2.5374864446807268</v>
      </c>
      <c r="H16" s="4">
        <f>(((Ammunition!$E$4/7000)*Ammunition!$G$4)+(Ammunition!$H$4*(Ammunition!$F$4/7000)))/('5.56x45'!D16*2.205)</f>
        <v>3.9992135906095445</v>
      </c>
      <c r="I16" s="4">
        <f>((Ammunition!$E$4/7000)*Ammunition!$G$4+(Ammunition!$F$4/7000)*Ammunition!$H$4)</f>
        <v>40.828571428571429</v>
      </c>
      <c r="K16" s="11">
        <f t="shared" ref="K16:K23" si="2">(G16+H16*3+(I16/10))/3</f>
        <v>6.2059947864555012</v>
      </c>
      <c r="L16" s="11">
        <f t="shared" ref="L16:L23" si="3">(G16*2+H16*5+(I16/10))/4.5</f>
        <v>6.4786439967258485</v>
      </c>
    </row>
    <row r="17" spans="1:20">
      <c r="A17">
        <v>324</v>
      </c>
      <c r="B17" t="s">
        <v>87</v>
      </c>
      <c r="C17">
        <v>30</v>
      </c>
      <c r="D17">
        <v>4.5999999999999996</v>
      </c>
      <c r="E17">
        <v>18</v>
      </c>
      <c r="G17" s="4">
        <f>(((Ammunition!$E$4/7000)*Ammunition!$G$4)+(Ammunition!$H$4*(Ammunition!$F$4/7000)))^2/(64.348*'5.56x45'!D17*2.205)</f>
        <v>2.5540352693199488</v>
      </c>
      <c r="H17" s="4">
        <f>(((Ammunition!$E$4/7000)*Ammunition!$G$4)+(Ammunition!$H$4*(Ammunition!$F$4/7000)))/('5.56x45'!D17*2.205)</f>
        <v>4.0252954183743892</v>
      </c>
      <c r="I17" s="4">
        <f>((Ammunition!$E$4/7000)*Ammunition!$G$4+(Ammunition!$F$4/7000)*Ammunition!$H$4)</f>
        <v>40.828571428571429</v>
      </c>
      <c r="K17" s="11">
        <f t="shared" si="2"/>
        <v>6.2375928891000862</v>
      </c>
      <c r="L17" s="11">
        <f t="shared" si="3"/>
        <v>6.5149788385264422</v>
      </c>
    </row>
    <row r="18" spans="1:20">
      <c r="A18">
        <v>653</v>
      </c>
      <c r="B18" t="s">
        <v>59</v>
      </c>
      <c r="C18">
        <v>30</v>
      </c>
      <c r="D18">
        <v>4.59</v>
      </c>
      <c r="E18">
        <v>18</v>
      </c>
      <c r="G18" s="4">
        <f>(((Ammunition!$E$4/7000)*Ammunition!$G$4)+(Ammunition!$H$4*(Ammunition!$F$4/7000)))^2/(64.348*'5.56x45'!D18*2.205)</f>
        <v>2.5595996163119317</v>
      </c>
      <c r="H18" s="4">
        <f>(((Ammunition!$E$4/7000)*Ammunition!$G$4)+(Ammunition!$H$4*(Ammunition!$F$4/7000)))/('5.56x45'!D18*2.205)</f>
        <v>4.0340651251682331</v>
      </c>
      <c r="I18" s="4">
        <f>((Ammunition!$E$4/7000)*Ammunition!$G$4+(Ammunition!$F$4/7000)*Ammunition!$H$4)</f>
        <v>40.828571428571429</v>
      </c>
      <c r="K18" s="11">
        <f t="shared" si="2"/>
        <v>6.2482173782245916</v>
      </c>
      <c r="L18" s="11">
        <f t="shared" si="3"/>
        <v>6.5271960002938165</v>
      </c>
    </row>
    <row r="19" spans="1:20">
      <c r="A19" t="s">
        <v>165</v>
      </c>
      <c r="B19" t="s">
        <v>64</v>
      </c>
      <c r="C19">
        <v>30</v>
      </c>
      <c r="D19">
        <f>3.77+0.36</f>
        <v>4.13</v>
      </c>
      <c r="E19">
        <v>19</v>
      </c>
      <c r="G19" s="4">
        <f>(((Ammunition!$E$4/7000)*Ammunition!$G$4)+(Ammunition!$H$4*(Ammunition!$F$4/7000)))^2/(64.348*'5.56x45'!D19*2.205)</f>
        <v>2.8446881934314199</v>
      </c>
      <c r="H19" s="4">
        <f>(((Ammunition!$E$4/7000)*Ammunition!$G$4)+(Ammunition!$H$4*(Ammunition!$F$4/7000)))/('5.56x45'!D19*2.205)</f>
        <v>4.4833798848722006</v>
      </c>
      <c r="I19" s="4">
        <f>((Ammunition!$E$4/7000)*Ammunition!$G$4+(Ammunition!$F$4/7000)*Ammunition!$H$4)</f>
        <v>40.828571428571429</v>
      </c>
      <c r="K19" s="11">
        <f t="shared" si="2"/>
        <v>6.7925616636350554</v>
      </c>
      <c r="L19" s="11">
        <f t="shared" si="3"/>
        <v>7.1531406564624405</v>
      </c>
    </row>
    <row r="20" spans="1:20">
      <c r="A20">
        <v>781</v>
      </c>
      <c r="B20" t="s">
        <v>96</v>
      </c>
      <c r="C20">
        <v>30</v>
      </c>
      <c r="D20">
        <v>4.0199999999999996</v>
      </c>
      <c r="E20">
        <v>18</v>
      </c>
      <c r="G20" s="4">
        <f>(((Ammunition!$E$4/7000)*Ammunition!$G$4)+(Ammunition!$H$4*(Ammunition!$F$4/7000)))^2/(64.348*'5.56x45'!D20*2.205)</f>
        <v>2.9225279201173544</v>
      </c>
      <c r="H20" s="4">
        <f>(((Ammunition!$E$4/7000)*Ammunition!$G$4)+(Ammunition!$H$4*(Ammunition!$F$4/7000)))/('5.56x45'!D20*2.205)</f>
        <v>4.6060594339607448</v>
      </c>
      <c r="I20" s="4">
        <f>((Ammunition!$E$4/7000)*Ammunition!$G$4+(Ammunition!$F$4/7000)*Ammunition!$H$4)</f>
        <v>40.828571428571429</v>
      </c>
      <c r="K20" s="11">
        <f t="shared" si="2"/>
        <v>6.9411877882855775</v>
      </c>
      <c r="L20" s="11">
        <f t="shared" si="3"/>
        <v>7.3240467006434606</v>
      </c>
    </row>
    <row r="21" spans="1:20">
      <c r="A21">
        <v>332</v>
      </c>
      <c r="B21" t="s">
        <v>69</v>
      </c>
      <c r="C21">
        <v>30</v>
      </c>
      <c r="D21">
        <v>3.8</v>
      </c>
      <c r="E21">
        <v>18</v>
      </c>
      <c r="G21" s="4">
        <f>(((Ammunition!$E$4/7000)*Ammunition!$G$4)+(Ammunition!$H$4*(Ammunition!$F$4/7000)))^2/(64.348*'5.56x45'!D21*2.205)</f>
        <v>3.0917269049662539</v>
      </c>
      <c r="H21" s="4">
        <f>(((Ammunition!$E$4/7000)*Ammunition!$G$4)+(Ammunition!$H$4*(Ammunition!$F$4/7000)))/('5.56x45'!D21*2.205)</f>
        <v>4.8727260327689974</v>
      </c>
      <c r="I21" s="4">
        <f>((Ammunition!$E$4/7000)*Ammunition!$G$4+(Ammunition!$F$4/7000)*Ammunition!$H$4)</f>
        <v>40.828571428571429</v>
      </c>
      <c r="K21" s="11">
        <f t="shared" si="2"/>
        <v>7.2642540487101295</v>
      </c>
      <c r="L21" s="11">
        <f t="shared" si="3"/>
        <v>7.6955424703632538</v>
      </c>
    </row>
    <row r="22" spans="1:20">
      <c r="A22">
        <v>350</v>
      </c>
      <c r="B22" t="s">
        <v>70</v>
      </c>
      <c r="C22">
        <v>30</v>
      </c>
      <c r="D22">
        <v>3.79</v>
      </c>
      <c r="E22">
        <v>18</v>
      </c>
      <c r="G22" s="4">
        <f>(((Ammunition!$E$4/7000)*Ammunition!$G$4)+(Ammunition!$H$4*(Ammunition!$F$4/7000)))^2/(64.348*'5.56x45'!D22*2.205)</f>
        <v>3.0998844957445284</v>
      </c>
      <c r="H22" s="4">
        <f>(((Ammunition!$E$4/7000)*Ammunition!$G$4)+(Ammunition!$H$4*(Ammunition!$F$4/7000)))/('5.56x45'!D22*2.205)</f>
        <v>4.8855828296892314</v>
      </c>
      <c r="I22" s="4">
        <f>((Ammunition!$E$4/7000)*Ammunition!$G$4+(Ammunition!$F$4/7000)*Ammunition!$H$4)</f>
        <v>40.828571428571429</v>
      </c>
      <c r="K22" s="11">
        <f t="shared" si="2"/>
        <v>7.2798300425564557</v>
      </c>
      <c r="L22" s="11">
        <f t="shared" si="3"/>
        <v>7.7134533961760798</v>
      </c>
    </row>
    <row r="23" spans="1:20">
      <c r="A23">
        <v>757</v>
      </c>
      <c r="B23" t="s">
        <v>65</v>
      </c>
      <c r="C23">
        <v>30</v>
      </c>
      <c r="D23">
        <v>3.73</v>
      </c>
      <c r="E23">
        <v>18</v>
      </c>
      <c r="G23" s="4">
        <f>(((Ammunition!$E$4/7000)*Ammunition!$G$4)+(Ammunition!$H$4*(Ammunition!$F$4/7000)))^2/(64.348*'5.56x45'!D23*2.205)</f>
        <v>3.1497485895098567</v>
      </c>
      <c r="H23" s="4">
        <f>(((Ammunition!$E$4/7000)*Ammunition!$G$4)+(Ammunition!$H$4*(Ammunition!$F$4/7000)))/('5.56x45'!D23*2.205)</f>
        <v>4.9641712934375839</v>
      </c>
      <c r="I23" s="4">
        <f>((Ammunition!$E$4/7000)*Ammunition!$G$4+(Ammunition!$F$4/7000)*Ammunition!$H$4)</f>
        <v>40.828571428571429</v>
      </c>
      <c r="K23" s="11">
        <f t="shared" si="2"/>
        <v>7.375039870893251</v>
      </c>
      <c r="L23" s="11">
        <f t="shared" si="3"/>
        <v>7.8229357309032839</v>
      </c>
    </row>
    <row r="24" spans="1:20">
      <c r="Q24" s="2" t="s">
        <v>80</v>
      </c>
    </row>
    <row r="25" spans="1:20">
      <c r="B25" s="5" t="s">
        <v>82</v>
      </c>
      <c r="C25" s="5"/>
    </row>
    <row r="26" spans="1:20">
      <c r="A26">
        <v>611</v>
      </c>
      <c r="B26" t="s">
        <v>67</v>
      </c>
      <c r="C26">
        <v>30</v>
      </c>
      <c r="D26">
        <v>4.33</v>
      </c>
      <c r="E26">
        <v>16</v>
      </c>
      <c r="G26" s="4">
        <f>(((Ammunition!$E$5/7000)*Ammunition!$G$5)+(Ammunition!$H$5*(Ammunition!$F$5/7000)))^2/(64.348*'5.56x45'!D26*2.205)</f>
        <v>2.5968490809945624</v>
      </c>
      <c r="H26" s="4">
        <f>(((Ammunition!$E$5/7000)*Ammunition!$G$5)+(Ammunition!$H$5*(Ammunition!$F$5/7000)))/('5.56x45'!D26*2.205)</f>
        <v>4.1835275845739153</v>
      </c>
      <c r="I26" s="4">
        <f>((Ammunition!$E$5/7000)*Ammunition!$G$5+(Ammunition!$F$5/7000)*Ammunition!$H$5)</f>
        <v>39.942857142857143</v>
      </c>
      <c r="K26" s="11">
        <f t="shared" ref="K26:K29" si="4">(G26+H26*3+(I26/10))/3</f>
        <v>6.3805725163340066</v>
      </c>
      <c r="L26" s="11">
        <f t="shared" ref="L26:L29" si="5">(G26*2+H26*5+(I26/10))/4.5</f>
        <v>6.6901381775876478</v>
      </c>
    </row>
    <row r="27" spans="1:20">
      <c r="A27">
        <v>646</v>
      </c>
      <c r="B27" t="s">
        <v>63</v>
      </c>
      <c r="C27">
        <v>30</v>
      </c>
      <c r="D27">
        <v>4.13</v>
      </c>
      <c r="E27">
        <v>16</v>
      </c>
      <c r="G27" s="4">
        <f>(((Ammunition!$E$5/7000)*Ammunition!$G$5)+(Ammunition!$H$5*(Ammunition!$F$5/7000)))^2/(64.348*'5.56x45'!D27*2.205)</f>
        <v>2.7226044844325559</v>
      </c>
      <c r="H27" s="4">
        <f>(((Ammunition!$E$5/7000)*Ammunition!$G$5)+(Ammunition!$H$5*(Ammunition!$F$5/7000)))/('5.56x45'!D27*2.205)</f>
        <v>4.38611971942011</v>
      </c>
      <c r="I27" s="4">
        <f>((Ammunition!$E$5/7000)*Ammunition!$G$5+(Ammunition!$F$5/7000)*Ammunition!$H$5)</f>
        <v>39.942857142857143</v>
      </c>
      <c r="K27" s="11">
        <f t="shared" si="4"/>
        <v>6.6250831189928663</v>
      </c>
      <c r="L27" s="11">
        <f t="shared" si="5"/>
        <v>6.9711318400558602</v>
      </c>
    </row>
    <row r="28" spans="1:20">
      <c r="A28">
        <v>1070</v>
      </c>
      <c r="B28" t="s">
        <v>76</v>
      </c>
      <c r="C28">
        <v>30</v>
      </c>
      <c r="D28">
        <v>4.03</v>
      </c>
      <c r="E28">
        <v>16</v>
      </c>
      <c r="G28" s="4">
        <f>(((Ammunition!$E$5/7000)*Ammunition!$G$5)+(Ammunition!$H$5*(Ammunition!$F$5/7000)))^2/(64.348*'5.56x45'!D28*2.205)</f>
        <v>2.7901629083638841</v>
      </c>
      <c r="H28" s="4">
        <f>(((Ammunition!$E$5/7000)*Ammunition!$G$5)+(Ammunition!$H$5*(Ammunition!$F$5/7000)))/('5.56x45'!D28*2.205)</f>
        <v>4.4949564370235864</v>
      </c>
      <c r="I28" s="4">
        <f>((Ammunition!$E$5/7000)*Ammunition!$G$5+(Ammunition!$F$5/7000)*Ammunition!$H$5)</f>
        <v>39.942857142857143</v>
      </c>
      <c r="K28" s="11">
        <f t="shared" si="4"/>
        <v>6.7564393112401184</v>
      </c>
      <c r="L28" s="11">
        <f t="shared" si="5"/>
        <v>7.1220874924736473</v>
      </c>
    </row>
    <row r="29" spans="1:20">
      <c r="A29">
        <v>743</v>
      </c>
      <c r="B29" t="s">
        <v>90</v>
      </c>
      <c r="C29">
        <v>30</v>
      </c>
      <c r="D29">
        <v>3.83</v>
      </c>
      <c r="E29">
        <v>16</v>
      </c>
      <c r="G29" s="4">
        <f>(((Ammunition!$E$5/7000)*Ammunition!$G$5)+(Ammunition!$H$5*(Ammunition!$F$5/7000)))^2/(64.348*'5.56x45'!D29*2.205)</f>
        <v>2.9358633213332781</v>
      </c>
      <c r="H29" s="4">
        <f>(((Ammunition!$E$5/7000)*Ammunition!$G$5)+(Ammunition!$H$5*(Ammunition!$F$5/7000)))/('5.56x45'!D29*2.205)</f>
        <v>4.7296800107585</v>
      </c>
      <c r="I29" s="4">
        <f>((Ammunition!$E$5/7000)*Ammunition!$G$5+(Ammunition!$F$5/7000)*Ammunition!$H$5)</f>
        <v>39.942857142857143</v>
      </c>
      <c r="K29" s="11">
        <f t="shared" si="4"/>
        <v>7.0397296892981638</v>
      </c>
      <c r="L29" s="11">
        <f t="shared" si="5"/>
        <v>7.447647202387726</v>
      </c>
    </row>
    <row r="30" spans="1:20">
      <c r="Q30" t="s">
        <v>164</v>
      </c>
      <c r="S30" t="s">
        <v>114</v>
      </c>
      <c r="T30">
        <v>-1</v>
      </c>
    </row>
    <row r="31" spans="1:20">
      <c r="B31" s="5" t="s">
        <v>83</v>
      </c>
      <c r="C31" s="5"/>
    </row>
    <row r="32" spans="1:20">
      <c r="A32">
        <v>656</v>
      </c>
      <c r="B32" t="s">
        <v>89</v>
      </c>
      <c r="C32">
        <v>30</v>
      </c>
      <c r="D32">
        <v>4.28</v>
      </c>
      <c r="E32">
        <v>13</v>
      </c>
      <c r="G32" s="4">
        <f>(((Ammunition!$E$6/7000)*Ammunition!$G$6)+(Ammunition!$H$6*(Ammunition!$F$6/7000)))^2/(64.348*'5.56x45'!D32*2.205)</f>
        <v>2.511964656013117</v>
      </c>
      <c r="H32" s="4">
        <f>(((Ammunition!$E$6/7000)*Ammunition!$G$6)+(Ammunition!$H$6*(Ammunition!$F$6/7000)))/('5.56x45'!D32*2.205)</f>
        <v>4.1385490555812892</v>
      </c>
      <c r="I32" s="4">
        <f>((Ammunition!$E$6/7000)*Ammunition!$G$6+(Ammunition!$F$6/7000)*Ammunition!$H$6)</f>
        <v>39.057142857142857</v>
      </c>
      <c r="K32" s="11">
        <f t="shared" ref="K32:K39" si="6">(G32+H32*3+(I32/10))/3</f>
        <v>6.2777753694904233</v>
      </c>
      <c r="L32" s="11">
        <f t="shared" ref="L32:L39" si="7">(G32*2+H32*5+(I32/10))/4.5</f>
        <v>6.5827530834771038</v>
      </c>
    </row>
    <row r="33" spans="1:20">
      <c r="A33">
        <v>662</v>
      </c>
      <c r="B33" t="s">
        <v>159</v>
      </c>
      <c r="C33">
        <v>30</v>
      </c>
      <c r="D33">
        <f>3.54+0.36</f>
        <v>3.9</v>
      </c>
      <c r="E33">
        <v>14.5</v>
      </c>
      <c r="G33" s="4">
        <f>(((Ammunition!$E$6/7000)*Ammunition!$G$6)+(Ammunition!$H$6*(Ammunition!$F$6/7000)))^2/(64.348*'5.56x45'!D33*2.205)</f>
        <v>2.7567201865990105</v>
      </c>
      <c r="H33" s="4">
        <f>(((Ammunition!$E$6/7000)*Ammunition!$G$6)+(Ammunition!$H$6*(Ammunition!$F$6/7000)))/('5.56x45'!D33*2.205)</f>
        <v>4.5417922968943376</v>
      </c>
      <c r="I33" s="4">
        <f>((Ammunition!$E$6/7000)*Ammunition!$G$6+(Ammunition!$F$6/7000)*Ammunition!$H$6)</f>
        <v>39.057142857142857</v>
      </c>
      <c r="K33" s="11">
        <f t="shared" si="6"/>
        <v>6.7626037876654364</v>
      </c>
      <c r="L33" s="11">
        <f t="shared" si="7"/>
        <v>7.1395813651964426</v>
      </c>
    </row>
    <row r="34" spans="1:20">
      <c r="A34">
        <v>714</v>
      </c>
      <c r="B34" t="s">
        <v>74</v>
      </c>
      <c r="C34">
        <v>30</v>
      </c>
      <c r="D34">
        <v>3.83</v>
      </c>
      <c r="E34">
        <v>14.5</v>
      </c>
      <c r="G34" s="4">
        <f>(((Ammunition!$E$6/7000)*Ammunition!$G$6)+(Ammunition!$H$6*(Ammunition!$F$6/7000)))^2/(64.348*'5.56x45'!D34*2.205)</f>
        <v>2.8071041064585227</v>
      </c>
      <c r="H34" s="4">
        <f>(((Ammunition!$E$6/7000)*Ammunition!$G$6)+(Ammunition!$H$6*(Ammunition!$F$6/7000)))/('5.56x45'!D34*2.205)</f>
        <v>4.6248015555843125</v>
      </c>
      <c r="I34" s="4">
        <f>((Ammunition!$E$6/7000)*Ammunition!$G$6+(Ammunition!$F$6/7000)*Ammunition!$H$6)</f>
        <v>39.057142857142857</v>
      </c>
      <c r="K34" s="11">
        <f t="shared" si="6"/>
        <v>6.8624076863085826</v>
      </c>
      <c r="L34" s="11">
        <f t="shared" si="7"/>
        <v>7.254206728122865</v>
      </c>
      <c r="Q34" t="s">
        <v>283</v>
      </c>
      <c r="R34" t="s">
        <v>281</v>
      </c>
    </row>
    <row r="35" spans="1:20">
      <c r="A35" t="s">
        <v>166</v>
      </c>
      <c r="B35" t="s">
        <v>85</v>
      </c>
      <c r="C35">
        <v>30</v>
      </c>
      <c r="D35">
        <f>3.44+0.36</f>
        <v>3.8</v>
      </c>
      <c r="E35">
        <v>12.5</v>
      </c>
      <c r="G35" s="4">
        <f>(((Ammunition!$E$6/7000)*Ammunition!$G$6)+(Ammunition!$H$6*(Ammunition!$F$6/7000)))^2/(64.348*'5.56x45'!D35*2.205)</f>
        <v>2.8292654546674059</v>
      </c>
      <c r="H35" s="4">
        <f>(((Ammunition!$E$6/7000)*Ammunition!$G$6)+(Ammunition!$H$6*(Ammunition!$F$6/7000)))/('5.56x45'!D35*2.205)</f>
        <v>4.6613131468126099</v>
      </c>
      <c r="I35" s="4">
        <f>((Ammunition!$E$6/7000)*Ammunition!$G$6+(Ammunition!$F$6/7000)*Ammunition!$H$6)</f>
        <v>39.057142857142857</v>
      </c>
      <c r="K35" s="11">
        <f t="shared" si="6"/>
        <v>6.9063063936065072</v>
      </c>
      <c r="L35" s="11">
        <f t="shared" si="7"/>
        <v>7.3046246509138104</v>
      </c>
      <c r="Q35">
        <v>12</v>
      </c>
      <c r="R35">
        <v>30</v>
      </c>
      <c r="S35">
        <f>+Q35*R35</f>
        <v>360</v>
      </c>
    </row>
    <row r="36" spans="1:20">
      <c r="A36">
        <v>606</v>
      </c>
      <c r="B36" t="s">
        <v>86</v>
      </c>
      <c r="C36">
        <v>30</v>
      </c>
      <c r="D36">
        <v>3.53</v>
      </c>
      <c r="E36">
        <v>12.5</v>
      </c>
      <c r="G36" s="4">
        <f>(((Ammunition!$E$6/7000)*Ammunition!$G$6)+(Ammunition!$H$6*(Ammunition!$F$6/7000)))^2/(64.348*'5.56x45'!D36*2.205)</f>
        <v>3.0456681948261024</v>
      </c>
      <c r="H36" s="4">
        <f>(((Ammunition!$E$6/7000)*Ammunition!$G$6)+(Ammunition!$H$6*(Ammunition!$F$6/7000)))/('5.56x45'!D36*2.205)</f>
        <v>5.0178441807047927</v>
      </c>
      <c r="I36" s="4">
        <f>((Ammunition!$E$6/7000)*Ammunition!$G$6+(Ammunition!$F$6/7000)*Ammunition!$H$6)</f>
        <v>39.057142857142857</v>
      </c>
      <c r="K36" s="11">
        <f t="shared" si="6"/>
        <v>7.3349716742182558</v>
      </c>
      <c r="L36" s="11">
        <f t="shared" si="7"/>
        <v>7.7969492397534346</v>
      </c>
      <c r="S36">
        <v>170</v>
      </c>
      <c r="T36" t="s">
        <v>290</v>
      </c>
    </row>
    <row r="37" spans="1:20">
      <c r="A37">
        <v>750</v>
      </c>
      <c r="B37" t="s">
        <v>91</v>
      </c>
      <c r="C37">
        <v>30</v>
      </c>
      <c r="D37">
        <v>3.19</v>
      </c>
      <c r="E37">
        <v>12.5</v>
      </c>
      <c r="G37" s="4">
        <f>(((Ammunition!$E$6/7000)*Ammunition!$G$6)+(Ammunition!$H$6*(Ammunition!$F$6/7000)))^2/(64.348*'5.56x45'!D37*2.205)</f>
        <v>3.3702848676288846</v>
      </c>
      <c r="H37" s="4">
        <f>(((Ammunition!$E$6/7000)*Ammunition!$G$6)+(Ammunition!$H$6*(Ammunition!$F$6/7000)))/('5.56x45'!D37*2.205)</f>
        <v>5.5526614288049894</v>
      </c>
      <c r="I37" s="4">
        <f>((Ammunition!$E$6/7000)*Ammunition!$G$6+(Ammunition!$F$6/7000)*Ammunition!$H$6)</f>
        <v>39.057142857142857</v>
      </c>
      <c r="K37" s="11">
        <f t="shared" si="6"/>
        <v>7.9779944799193805</v>
      </c>
      <c r="L37" s="11">
        <f t="shared" si="7"/>
        <v>8.535464703332666</v>
      </c>
      <c r="S37">
        <f>+S35+S36</f>
        <v>530</v>
      </c>
    </row>
    <row r="38" spans="1:20">
      <c r="A38">
        <v>633</v>
      </c>
      <c r="B38" t="s">
        <v>102</v>
      </c>
      <c r="C38">
        <v>30</v>
      </c>
      <c r="D38">
        <v>3.05</v>
      </c>
      <c r="E38">
        <v>14.5</v>
      </c>
      <c r="G38" s="4">
        <f>(((Ammunition!$E$6/7000)*Ammunition!$G$6)+(Ammunition!$H$6*(Ammunition!$F$6/7000)))^2/(64.348*'5.56x45'!D38*2.205)</f>
        <v>3.5249864681102108</v>
      </c>
      <c r="H38" s="4">
        <f>(((Ammunition!$E$6/7000)*Ammunition!$G$6)+(Ammunition!$H$6*(Ammunition!$F$6/7000)))/('5.56x45'!D38*2.205)</f>
        <v>5.8075376911107925</v>
      </c>
      <c r="I38" s="4">
        <f>((Ammunition!$E$6/7000)*Ammunition!$G$6+(Ammunition!$F$6/7000)*Ammunition!$H$6)</f>
        <v>39.057142857142857</v>
      </c>
      <c r="K38" s="11">
        <f t="shared" si="6"/>
        <v>8.2844379423856243</v>
      </c>
      <c r="L38" s="11">
        <f t="shared" si="7"/>
        <v>8.8874168172197052</v>
      </c>
    </row>
    <row r="39" spans="1:20">
      <c r="A39">
        <v>12</v>
      </c>
      <c r="B39" t="s">
        <v>101</v>
      </c>
      <c r="C39">
        <v>30</v>
      </c>
      <c r="D39">
        <v>2.97</v>
      </c>
      <c r="E39">
        <v>11.5</v>
      </c>
      <c r="G39" s="4">
        <f>(((Ammunition!$E$6/7000)*Ammunition!$G$6)+(Ammunition!$H$6*(Ammunition!$F$6/7000)))^2/(64.348*'5.56x45'!D39*2.205)</f>
        <v>3.6199355985643571</v>
      </c>
      <c r="H39" s="4">
        <f>(((Ammunition!$E$6/7000)*Ammunition!$G$6)+(Ammunition!$H$6*(Ammunition!$F$6/7000)))/('5.56x45'!D39*2.205)</f>
        <v>5.9639696827905437</v>
      </c>
      <c r="I39" s="4">
        <f>((Ammunition!$E$6/7000)*Ammunition!$G$6+(Ammunition!$F$6/7000)*Ammunition!$H$6)</f>
        <v>39.057142857142857</v>
      </c>
      <c r="K39" s="11">
        <f t="shared" si="6"/>
        <v>8.4725196442167583</v>
      </c>
      <c r="L39" s="11">
        <f t="shared" si="7"/>
        <v>9.1034297548434928</v>
      </c>
    </row>
    <row r="41" spans="1:20">
      <c r="B41" s="5" t="s">
        <v>103</v>
      </c>
      <c r="C41" s="5"/>
    </row>
    <row r="42" spans="1:20">
      <c r="A42">
        <v>652</v>
      </c>
      <c r="B42" t="s">
        <v>88</v>
      </c>
      <c r="C42">
        <v>30</v>
      </c>
      <c r="D42">
        <v>3.57</v>
      </c>
      <c r="E42">
        <v>10</v>
      </c>
      <c r="G42" s="4">
        <f>(((Ammunition!$E$7/7000)*Ammunition!$G$7)+(Ammunition!$H$7*(Ammunition!$F$7/7000)))^2/(64.348*'5.56x45'!D42*2.205)</f>
        <v>2.8101458397818724</v>
      </c>
      <c r="H42" s="4">
        <f>(((Ammunition!$E$7/7000)*Ammunition!$G$7)+(Ammunition!$H$7*(Ammunition!$F$7/7000)))/('5.56x45'!D42*2.205)</f>
        <v>4.7928468439530008</v>
      </c>
      <c r="I42" s="4">
        <f>((Ammunition!$E$7/7000)*Ammunition!$G$7+(Ammunition!$F$7/7000)*Ammunition!$H$7)</f>
        <v>37.728571428571428</v>
      </c>
      <c r="K42" s="11">
        <f t="shared" ref="K42:K49" si="8">(G42+H42*3+(I42/10))/3</f>
        <v>6.9871811714993379</v>
      </c>
      <c r="L42" s="11">
        <f t="shared" ref="L42:L49" si="9">(G42*2+H42*5+(I42/10))/4.5</f>
        <v>7.4127517871524207</v>
      </c>
    </row>
    <row r="43" spans="1:20">
      <c r="A43">
        <v>1066</v>
      </c>
      <c r="B43" t="s">
        <v>97</v>
      </c>
      <c r="C43">
        <v>30</v>
      </c>
      <c r="D43">
        <f>3+0.36</f>
        <v>3.36</v>
      </c>
      <c r="E43">
        <v>10.5</v>
      </c>
      <c r="G43" s="4">
        <f>(((Ammunition!$E$7/7000)*Ammunition!$G$7)+(Ammunition!$H$7*(Ammunition!$F$7/7000)))^2/(64.348*'5.56x45'!D43*2.205)</f>
        <v>2.9857799547682391</v>
      </c>
      <c r="H43" s="4">
        <f>(((Ammunition!$E$7/7000)*Ammunition!$G$7)+(Ammunition!$H$7*(Ammunition!$F$7/7000)))/('5.56x45'!D43*2.205)</f>
        <v>5.0923997717000633</v>
      </c>
      <c r="I43" s="4">
        <f>((Ammunition!$E$7/7000)*Ammunition!$G$7+(Ammunition!$F$7/7000)*Ammunition!$H$7)</f>
        <v>37.728571428571428</v>
      </c>
      <c r="K43" s="11">
        <f t="shared" si="8"/>
        <v>7.3452788042418575</v>
      </c>
      <c r="L43" s="11">
        <f t="shared" si="9"/>
        <v>7.8236479801986532</v>
      </c>
    </row>
    <row r="44" spans="1:20">
      <c r="A44">
        <v>715</v>
      </c>
      <c r="B44" t="s">
        <v>75</v>
      </c>
      <c r="C44">
        <v>30</v>
      </c>
      <c r="D44">
        <v>3.53</v>
      </c>
      <c r="E44">
        <v>9</v>
      </c>
      <c r="G44" s="4">
        <f>(((Ammunition!$E$7/7000)*Ammunition!$G$7)+(Ammunition!$H$7*(Ammunition!$F$7/7000)))^2/(64.348*'5.56x45'!D44*2.205)</f>
        <v>2.8419888521306751</v>
      </c>
      <c r="H44" s="4">
        <f>(((Ammunition!$E$7/7000)*Ammunition!$G$7)+(Ammunition!$H$7*(Ammunition!$F$7/7000)))/('5.56x45'!D44*2.205)</f>
        <v>4.8471567232045931</v>
      </c>
      <c r="I44" s="4">
        <f>((Ammunition!$E$7/7000)*Ammunition!$G$7+(Ammunition!$F$7/7000)*Ammunition!$H$7)</f>
        <v>37.728571428571428</v>
      </c>
      <c r="K44" s="11">
        <f t="shared" si="8"/>
        <v>7.0521053882005313</v>
      </c>
      <c r="L44" s="11">
        <f t="shared" si="9"/>
        <v>7.4872485473647679</v>
      </c>
    </row>
    <row r="45" spans="1:20">
      <c r="A45">
        <v>13</v>
      </c>
      <c r="B45" t="s">
        <v>100</v>
      </c>
      <c r="C45">
        <v>30</v>
      </c>
      <c r="D45">
        <v>3.53</v>
      </c>
      <c r="E45">
        <v>8.5</v>
      </c>
      <c r="G45" s="4">
        <f>(((Ammunition!$E$7/7000)*Ammunition!$G$7)+(Ammunition!$H$7*(Ammunition!$F$7/7000)))^2/(64.348*'5.56x45'!D45*2.205)</f>
        <v>2.8419888521306751</v>
      </c>
      <c r="H45" s="4">
        <f>(((Ammunition!$E$7/7000)*Ammunition!$G$7)+(Ammunition!$H$7*(Ammunition!$F$7/7000)))/('5.56x45'!D45*2.205)</f>
        <v>4.8471567232045931</v>
      </c>
      <c r="I45" s="4">
        <f>((Ammunition!$E$7/7000)*Ammunition!$G$7+(Ammunition!$F$7/7000)*Ammunition!$H$7)</f>
        <v>37.728571428571428</v>
      </c>
      <c r="K45" s="11">
        <f t="shared" si="8"/>
        <v>7.0521053882005313</v>
      </c>
      <c r="L45" s="11">
        <f t="shared" si="9"/>
        <v>7.4872485473647679</v>
      </c>
    </row>
    <row r="46" spans="1:20">
      <c r="A46">
        <v>691</v>
      </c>
      <c r="B46" t="s">
        <v>98</v>
      </c>
      <c r="C46">
        <v>30</v>
      </c>
      <c r="D46">
        <v>3.48</v>
      </c>
      <c r="E46">
        <v>7.7</v>
      </c>
      <c r="G46" s="4">
        <f>(((Ammunition!$E$7/7000)*Ammunition!$G$7)+(Ammunition!$H$7*(Ammunition!$F$7/7000)))^2/(64.348*'5.56x45'!D46*2.205)</f>
        <v>2.8828220252934722</v>
      </c>
      <c r="H46" s="4">
        <f>(((Ammunition!$E$7/7000)*Ammunition!$G$7)+(Ammunition!$H$7*(Ammunition!$F$7/7000)))/('5.56x45'!D46*2.205)</f>
        <v>4.9167997795724752</v>
      </c>
      <c r="I46" s="4">
        <f>((Ammunition!$E$7/7000)*Ammunition!$G$7+(Ammunition!$F$7/7000)*Ammunition!$H$7)</f>
        <v>37.728571428571428</v>
      </c>
      <c r="K46" s="11">
        <f t="shared" si="8"/>
        <v>7.1353595022893463</v>
      </c>
      <c r="L46" s="11">
        <f t="shared" si="9"/>
        <v>7.5827777980681033</v>
      </c>
    </row>
    <row r="47" spans="1:20">
      <c r="A47">
        <v>664</v>
      </c>
      <c r="B47" t="s">
        <v>99</v>
      </c>
      <c r="C47">
        <v>30</v>
      </c>
      <c r="D47">
        <f>2.96+0.36</f>
        <v>3.32</v>
      </c>
      <c r="E47">
        <v>9</v>
      </c>
      <c r="G47" s="4">
        <f>(((Ammunition!$E$7/7000)*Ammunition!$G$7)+(Ammunition!$H$7*(Ammunition!$F$7/7000)))^2/(64.348*'5.56x45'!D47*2.205)</f>
        <v>3.0217532072353266</v>
      </c>
      <c r="H47" s="4">
        <f>(((Ammunition!$E$7/7000)*Ammunition!$G$7)+(Ammunition!$H$7*(Ammunition!$F$7/7000)))/('5.56x45'!D47*2.205)</f>
        <v>5.1537539858169312</v>
      </c>
      <c r="I47" s="4">
        <f>((Ammunition!$E$7/7000)*Ammunition!$G$7+(Ammunition!$F$7/7000)*Ammunition!$H$7)</f>
        <v>37.728571428571428</v>
      </c>
      <c r="K47" s="11">
        <f t="shared" si="8"/>
        <v>7.4186241025144213</v>
      </c>
      <c r="L47" s="11">
        <f t="shared" si="9"/>
        <v>7.907807441424989</v>
      </c>
    </row>
    <row r="48" spans="1:20">
      <c r="A48">
        <v>751</v>
      </c>
      <c r="B48" t="s">
        <v>92</v>
      </c>
      <c r="C48">
        <v>30</v>
      </c>
      <c r="D48">
        <v>3.12</v>
      </c>
      <c r="E48">
        <v>9</v>
      </c>
      <c r="G48" s="4">
        <f>(((Ammunition!$E$7/7000)*Ammunition!$G$7)+(Ammunition!$H$7*(Ammunition!$F$7/7000)))^2/(64.348*'5.56x45'!D48*2.205)</f>
        <v>3.2154553359042573</v>
      </c>
      <c r="H48" s="4">
        <f>(((Ammunition!$E$7/7000)*Ammunition!$G$7)+(Ammunition!$H$7*(Ammunition!$F$7/7000)))/('5.56x45'!D48*2.205)</f>
        <v>5.4841228310616055</v>
      </c>
      <c r="I48" s="4">
        <f>((Ammunition!$E$7/7000)*Ammunition!$G$7+(Ammunition!$F$7/7000)*Ammunition!$H$7)</f>
        <v>37.728571428571428</v>
      </c>
      <c r="K48" s="11">
        <f t="shared" si="8"/>
        <v>7.8135603239820712</v>
      </c>
      <c r="L48" s="11">
        <f t="shared" si="9"/>
        <v>8.3609737711052627</v>
      </c>
    </row>
    <row r="49" spans="1:20">
      <c r="A49">
        <v>763</v>
      </c>
      <c r="B49" t="s">
        <v>95</v>
      </c>
      <c r="C49">
        <v>30</v>
      </c>
      <c r="D49">
        <v>2.92</v>
      </c>
      <c r="E49">
        <v>10</v>
      </c>
      <c r="G49" s="4">
        <f>(((Ammunition!$E$7/7000)*Ammunition!$G$7)+(Ammunition!$H$7*(Ammunition!$F$7/7000)))^2/(64.348*'5.56x45'!D49*2.205)</f>
        <v>3.4356920027470155</v>
      </c>
      <c r="H49" s="4">
        <f>(((Ammunition!$E$7/7000)*Ammunition!$G$7)+(Ammunition!$H$7*(Ammunition!$F$7/7000)))/('5.56x45'!D49*2.205)</f>
        <v>5.8597476825041825</v>
      </c>
      <c r="I49" s="4">
        <f>((Ammunition!$E$7/7000)*Ammunition!$G$7+(Ammunition!$F$7/7000)*Ammunition!$H$7)</f>
        <v>37.728571428571428</v>
      </c>
      <c r="K49" s="11">
        <f t="shared" si="8"/>
        <v>8.2625973977055676</v>
      </c>
      <c r="L49" s="11">
        <f t="shared" si="9"/>
        <v>8.8762176801937969</v>
      </c>
    </row>
    <row r="52" spans="1:20">
      <c r="B52" s="5" t="s">
        <v>289</v>
      </c>
      <c r="C52" s="5"/>
      <c r="D52" t="s">
        <v>79</v>
      </c>
      <c r="E52" t="s">
        <v>84</v>
      </c>
      <c r="Q52" t="s">
        <v>283</v>
      </c>
      <c r="R52" t="s">
        <v>281</v>
      </c>
    </row>
    <row r="53" spans="1:20">
      <c r="A53">
        <v>726</v>
      </c>
      <c r="B53" t="s">
        <v>162</v>
      </c>
      <c r="C53">
        <v>30</v>
      </c>
      <c r="D53">
        <v>4.57</v>
      </c>
      <c r="E53">
        <v>24.4</v>
      </c>
      <c r="G53" s="4">
        <f>(((Ammunition!$E$3/7000)*Ammunition!$G$3)+(Ammunition!$H$3*(Ammunition!$F$3/7000)))^2/(64.348*'5.56x45'!D53*2.205)</f>
        <v>2.712115884876118</v>
      </c>
      <c r="H53" s="4">
        <f>(((Ammunition!$E$3/7000)*Ammunition!$G$3)+(Ammunition!$H$3*(Ammunition!$F$3/7000)))/('5.56x45'!D53*2.205)</f>
        <v>4.1615896124001335</v>
      </c>
      <c r="I53" s="4">
        <f>((Ammunition!$E$3/7000)*Ammunition!$G$3+(Ammunition!$F$3/7000)*Ammunition!$H$3)</f>
        <v>41.935714285714283</v>
      </c>
      <c r="K53" s="11">
        <f t="shared" ref="K53" si="10">(G53+H53*3+(I53/10))/3</f>
        <v>6.4634853835493153</v>
      </c>
      <c r="L53" s="11">
        <f t="shared" ref="L53" si="11">(G53*2+H53*5+(I53/10))/4.5</f>
        <v>6.7612780578498519</v>
      </c>
      <c r="Q53">
        <v>12</v>
      </c>
      <c r="R53">
        <v>42</v>
      </c>
      <c r="S53">
        <f>+Q53*R53</f>
        <v>504</v>
      </c>
    </row>
    <row r="54" spans="1:20">
      <c r="S54">
        <v>166</v>
      </c>
      <c r="T54" t="s">
        <v>291</v>
      </c>
    </row>
    <row r="55" spans="1:20">
      <c r="S55">
        <f>+S53+S54</f>
        <v>670</v>
      </c>
    </row>
    <row r="56" spans="1:20">
      <c r="B56" s="5" t="s">
        <v>287</v>
      </c>
      <c r="C56" s="5"/>
      <c r="D56" t="s">
        <v>79</v>
      </c>
      <c r="E56" t="s">
        <v>84</v>
      </c>
      <c r="Q56" t="s">
        <v>283</v>
      </c>
      <c r="R56" t="s">
        <v>281</v>
      </c>
    </row>
    <row r="57" spans="1:20">
      <c r="A57">
        <v>740</v>
      </c>
      <c r="B57" t="s">
        <v>163</v>
      </c>
      <c r="C57">
        <v>100</v>
      </c>
      <c r="D57">
        <v>6.4</v>
      </c>
      <c r="E57">
        <v>20</v>
      </c>
      <c r="G57" s="4">
        <f>(((Ammunition!$E$3/7000)*Ammunition!$G$3)+(Ammunition!$H$3*(Ammunition!$F$3/7000)))^2/(64.348*'5.56x45'!D57*2.205)</f>
        <v>1.9366202490443529</v>
      </c>
      <c r="H57" s="4">
        <f>(((Ammunition!$E$3/7000)*Ammunition!$G$3)+(Ammunition!$H$3*(Ammunition!$F$3/7000)))/('5.56x45'!D57*2.205)</f>
        <v>2.97163508260447</v>
      </c>
      <c r="I57" s="4">
        <f>((Ammunition!$E$3/7000)*Ammunition!$G$3+(Ammunition!$F$3/7000)*Ammunition!$H$3)</f>
        <v>41.935714285714283</v>
      </c>
      <c r="K57" s="11">
        <f t="shared" ref="K57:K61" si="12">(G57+H57*3+(I57/10))/3</f>
        <v>5.015032308476397</v>
      </c>
      <c r="L57" s="11">
        <f t="shared" ref="L57:L61" si="13">(G57*2+H57*5+(I57/10))/4.5</f>
        <v>5.094441631040552</v>
      </c>
      <c r="Q57">
        <v>12</v>
      </c>
      <c r="R57">
        <v>100</v>
      </c>
      <c r="S57">
        <f>+Q57*R57</f>
        <v>1200</v>
      </c>
    </row>
    <row r="58" spans="1:20">
      <c r="A58" t="s">
        <v>288</v>
      </c>
      <c r="B58" t="s">
        <v>160</v>
      </c>
      <c r="C58">
        <v>100</v>
      </c>
      <c r="D58">
        <v>5.26</v>
      </c>
      <c r="E58">
        <v>18.899999999999999</v>
      </c>
      <c r="G58" s="4">
        <f>(((Ammunition!$E$4/7000)*Ammunition!$G$4)+(Ammunition!$H$4*(Ammunition!$F$4/7000)))^2/(64.348*'5.56x45'!D58*2.205)</f>
        <v>2.2335669655649739</v>
      </c>
      <c r="H58" s="4">
        <f>(((Ammunition!$E$4/7000)*Ammunition!$G$4)+(Ammunition!$H$4*(Ammunition!$F$4/7000)))/('5.56x45'!D58*2.205)</f>
        <v>3.5202203278559296</v>
      </c>
      <c r="I58" s="4">
        <f>((Ammunition!$E$4/7000)*Ammunition!$G$4+(Ammunition!$F$4/7000)*Ammunition!$H$4)</f>
        <v>40.828571428571429</v>
      </c>
      <c r="K58" s="11">
        <f t="shared" si="12"/>
        <v>5.6256950306633016</v>
      </c>
      <c r="L58" s="11">
        <f t="shared" si="13"/>
        <v>5.8113539362814972</v>
      </c>
      <c r="S58">
        <v>300</v>
      </c>
      <c r="T58" t="s">
        <v>293</v>
      </c>
    </row>
    <row r="59" spans="1:20">
      <c r="A59">
        <v>661</v>
      </c>
      <c r="B59" t="s">
        <v>158</v>
      </c>
      <c r="C59">
        <v>100</v>
      </c>
      <c r="D59">
        <v>6.8</v>
      </c>
      <c r="E59">
        <v>17.8</v>
      </c>
      <c r="G59" s="4">
        <f>(((Ammunition!$E$4/7000)*Ammunition!$G$4)+(Ammunition!$H$4*(Ammunition!$F$4/7000)))^2/(64.348*'5.56x45'!D59*2.205)</f>
        <v>1.7277297410105534</v>
      </c>
      <c r="H59" s="4">
        <f>(((Ammunition!$E$4/7000)*Ammunition!$G$4)+(Ammunition!$H$4*(Ammunition!$F$4/7000)))/('5.56x45'!D59*2.205)</f>
        <v>2.7229939594885573</v>
      </c>
      <c r="I59" s="4">
        <f>((Ammunition!$E$4/7000)*Ammunition!$G$4+(Ammunition!$F$4/7000)*Ammunition!$H$4)</f>
        <v>40.828571428571429</v>
      </c>
      <c r="K59" s="11">
        <f t="shared" si="12"/>
        <v>4.6598562541111228</v>
      </c>
      <c r="L59" s="11">
        <f t="shared" si="13"/>
        <v>4.7007303160713416</v>
      </c>
      <c r="S59">
        <v>1500</v>
      </c>
    </row>
    <row r="60" spans="1:20">
      <c r="A60">
        <v>1076</v>
      </c>
      <c r="B60" t="s">
        <v>167</v>
      </c>
      <c r="C60">
        <v>100</v>
      </c>
      <c r="D60">
        <v>4.9000000000000004</v>
      </c>
      <c r="E60">
        <v>16</v>
      </c>
      <c r="G60" s="4">
        <f>(((Ammunition!$E$5/7000)*Ammunition!$G$5)+(Ammunition!$H$5*(Ammunition!$F$5/7000)))^2/(64.348*'5.56x45'!D60*2.205)</f>
        <v>2.2947666368788684</v>
      </c>
      <c r="H60" s="4">
        <f>(((Ammunition!$E$5/7000)*Ammunition!$G$5)+(Ammunition!$H$5*(Ammunition!$F$5/7000)))/('5.56x45'!D60*2.205)</f>
        <v>3.6968723349398065</v>
      </c>
      <c r="I60" s="4">
        <f>((Ammunition!$E$5/7000)*Ammunition!$G$5+(Ammunition!$F$5/7000)*Ammunition!$H$5)</f>
        <v>39.942857142857143</v>
      </c>
      <c r="K60" s="11">
        <f t="shared" si="12"/>
        <v>5.7932231186613343</v>
      </c>
      <c r="L60" s="11">
        <f t="shared" si="13"/>
        <v>6.0151512583872178</v>
      </c>
    </row>
    <row r="61" spans="1:20">
      <c r="A61">
        <v>1188</v>
      </c>
      <c r="B61" t="s">
        <v>168</v>
      </c>
      <c r="C61">
        <v>100</v>
      </c>
      <c r="D61">
        <v>6.8</v>
      </c>
      <c r="E61">
        <v>15.7</v>
      </c>
      <c r="G61" s="4">
        <f>(((Ammunition!$E$5/7000)*Ammunition!$G$5)+(Ammunition!$H$5*(Ammunition!$F$5/7000)))^2/(64.348*'5.56x45'!D61*2.205)</f>
        <v>1.6535818412803609</v>
      </c>
      <c r="H61" s="4">
        <f>(((Ammunition!$E$5/7000)*Ammunition!$G$5)+(Ammunition!$H$5*(Ammunition!$F$5/7000)))/('5.56x45'!D61*2.205)</f>
        <v>2.6639227119419195</v>
      </c>
      <c r="I61" s="4">
        <f>((Ammunition!$E$5/7000)*Ammunition!$G$5+(Ammunition!$F$5/7000)*Ammunition!$H$5)</f>
        <v>39.942857142857143</v>
      </c>
      <c r="K61" s="11">
        <f t="shared" si="12"/>
        <v>4.546545230463944</v>
      </c>
      <c r="L61" s="11">
        <f t="shared" si="13"/>
        <v>4.5824584347902295</v>
      </c>
    </row>
    <row r="63" spans="1:20">
      <c r="B63" s="5" t="s">
        <v>286</v>
      </c>
      <c r="C63" s="5"/>
      <c r="D63" t="s">
        <v>79</v>
      </c>
      <c r="E63" t="s">
        <v>84</v>
      </c>
      <c r="Q63" t="s">
        <v>283</v>
      </c>
      <c r="R63" t="s">
        <v>281</v>
      </c>
    </row>
    <row r="64" spans="1:20">
      <c r="A64">
        <v>669</v>
      </c>
      <c r="B64" t="s">
        <v>161</v>
      </c>
      <c r="C64">
        <v>200</v>
      </c>
      <c r="D64">
        <v>11.25</v>
      </c>
      <c r="E64">
        <v>18.899999999999999</v>
      </c>
      <c r="G64" s="4">
        <f>(((Ammunition!$E$4/7000)*Ammunition!$G$4)+(Ammunition!$H$4*(Ammunition!$F$4/7000)))^2/(64.348*'5.56x45'!D64*2.205)</f>
        <v>1.044316643455268</v>
      </c>
      <c r="H64" s="4">
        <f>(((Ammunition!$E$4/7000)*Ammunition!$G$4)+(Ammunition!$H$4*(Ammunition!$F$4/7000)))/('5.56x45'!D64*2.205)</f>
        <v>1.6458985710686389</v>
      </c>
      <c r="I64" s="4">
        <f>((Ammunition!$E$4/7000)*Ammunition!$G$4+(Ammunition!$F$4/7000)*Ammunition!$H$4)</f>
        <v>40.828571428571429</v>
      </c>
      <c r="K64" s="11">
        <f t="shared" ref="K64:K66" si="14">(G64+H64*3+(I64/10))/3</f>
        <v>3.3549564998394423</v>
      </c>
      <c r="L64" s="11">
        <f t="shared" ref="L64:L66" si="15">(G64*2+H64*5+(I64/10))/4.5</f>
        <v>3.2002185078024161</v>
      </c>
      <c r="Q64">
        <v>12</v>
      </c>
      <c r="R64">
        <v>200</v>
      </c>
      <c r="S64">
        <f>+Q64*R64</f>
        <v>2400</v>
      </c>
    </row>
    <row r="65" spans="1:20">
      <c r="A65">
        <v>34</v>
      </c>
      <c r="B65" t="s">
        <v>156</v>
      </c>
      <c r="C65">
        <v>200</v>
      </c>
      <c r="D65">
        <v>10.62</v>
      </c>
      <c r="E65">
        <v>18.3</v>
      </c>
      <c r="G65" s="4">
        <f>(((Ammunition!$E$4/7000)*Ammunition!$G$4)+(Ammunition!$H$4*(Ammunition!$F$4/7000)))^2/(64.348*'5.56x45'!D65*2.205)</f>
        <v>1.1062676307788857</v>
      </c>
      <c r="H65" s="4">
        <f>(((Ammunition!$E$4/7000)*Ammunition!$G$4)+(Ammunition!$H$4*(Ammunition!$F$4/7000)))/('5.56x45'!D65*2.205)</f>
        <v>1.743536621894745</v>
      </c>
      <c r="I65" s="4">
        <f>((Ammunition!$E$4/7000)*Ammunition!$G$4+(Ammunition!$F$4/7000)*Ammunition!$H$4)</f>
        <v>40.828571428571429</v>
      </c>
      <c r="K65" s="11">
        <f t="shared" si="14"/>
        <v>3.4732448797734214</v>
      </c>
      <c r="L65" s="11">
        <f t="shared" si="15"/>
        <v>3.3362390030863645</v>
      </c>
      <c r="S65">
        <v>750</v>
      </c>
      <c r="T65" t="s">
        <v>294</v>
      </c>
    </row>
    <row r="66" spans="1:20">
      <c r="A66">
        <v>650</v>
      </c>
      <c r="B66" t="s">
        <v>157</v>
      </c>
      <c r="C66">
        <v>200</v>
      </c>
      <c r="D66">
        <v>8.9</v>
      </c>
      <c r="E66">
        <v>16</v>
      </c>
      <c r="G66" s="4">
        <f>(((Ammunition!$E$5/7000)*Ammunition!$G$5)+(Ammunition!$H$5*(Ammunition!$F$5/7000)))^2/(64.348*'5.56x45'!D66*2.205)</f>
        <v>1.2634108450231971</v>
      </c>
      <c r="H66" s="4">
        <f>(((Ammunition!$E$5/7000)*Ammunition!$G$5)+(Ammunition!$H$5*(Ammunition!$F$5/7000)))/('5.56x45'!D66*2.205)</f>
        <v>2.0353566787870845</v>
      </c>
      <c r="I66" s="4">
        <f>((Ammunition!$E$5/7000)*Ammunition!$G$5+(Ammunition!$F$5/7000)*Ammunition!$H$5)</f>
        <v>39.942857142857143</v>
      </c>
      <c r="K66" s="11">
        <f t="shared" si="14"/>
        <v>3.7879221985567217</v>
      </c>
      <c r="L66" s="11">
        <f t="shared" si="15"/>
        <v>3.7106423996150064</v>
      </c>
      <c r="S66">
        <v>3150</v>
      </c>
    </row>
  </sheetData>
  <hyperlinks>
    <hyperlink ref="Q24" r:id="rId1"/>
  </hyperlinks>
  <pageMargins left="0.7" right="0.7" top="0.75" bottom="0.75" header="0.3" footer="0.3"/>
  <pageSetup paperSize="9" orientation="portrait" verticalDpi="0" r:id="rId2"/>
  <drawing r:id="rId3"/>
  <legacyDrawing r:id="rId4"/>
</worksheet>
</file>

<file path=xl/worksheets/sheet5.xml><?xml version="1.0" encoding="utf-8"?>
<worksheet xmlns="http://schemas.openxmlformats.org/spreadsheetml/2006/main" xmlns:r="http://schemas.openxmlformats.org/officeDocument/2006/relationships">
  <dimension ref="A1:U63"/>
  <sheetViews>
    <sheetView workbookViewId="0">
      <selection activeCell="A13" sqref="A13:XFD13"/>
    </sheetView>
  </sheetViews>
  <sheetFormatPr baseColWidth="10" defaultRowHeight="15"/>
  <cols>
    <col min="1" max="1" width="4" bestFit="1" customWidth="1"/>
    <col min="2" max="2" width="16.42578125" bestFit="1" customWidth="1"/>
    <col min="3" max="3" width="4.7109375" bestFit="1" customWidth="1"/>
    <col min="4" max="4" width="16.28515625" bestFit="1" customWidth="1"/>
    <col min="5" max="5" width="8.42578125" bestFit="1" customWidth="1"/>
    <col min="7" max="7" width="13" style="4" bestFit="1" customWidth="1"/>
    <col min="8" max="8" width="13.85546875" style="4" bestFit="1" customWidth="1"/>
    <col min="9" max="9" width="13.5703125" style="4" bestFit="1" customWidth="1"/>
    <col min="11" max="12" width="12.140625" bestFit="1" customWidth="1"/>
    <col min="13" max="13" width="12.28515625" bestFit="1" customWidth="1"/>
    <col min="14" max="14" width="7.5703125" bestFit="1" customWidth="1"/>
  </cols>
  <sheetData>
    <row r="1" spans="1:21">
      <c r="A1" t="s">
        <v>128</v>
      </c>
      <c r="B1" s="5" t="s">
        <v>105</v>
      </c>
      <c r="C1" s="5"/>
      <c r="G1" s="4" t="s">
        <v>3</v>
      </c>
      <c r="H1" s="4" t="s">
        <v>4</v>
      </c>
      <c r="I1" s="4" t="s">
        <v>62</v>
      </c>
      <c r="K1" s="11" t="s">
        <v>362</v>
      </c>
      <c r="L1" s="4" t="s">
        <v>363</v>
      </c>
    </row>
    <row r="2" spans="1:21">
      <c r="B2" s="5" t="s">
        <v>81</v>
      </c>
      <c r="C2" s="9" t="s">
        <v>352</v>
      </c>
      <c r="D2" t="s">
        <v>79</v>
      </c>
      <c r="E2" t="s">
        <v>84</v>
      </c>
      <c r="R2" t="s">
        <v>283</v>
      </c>
      <c r="S2" t="s">
        <v>281</v>
      </c>
    </row>
    <row r="3" spans="1:21">
      <c r="A3">
        <v>791</v>
      </c>
      <c r="B3" t="s">
        <v>225</v>
      </c>
      <c r="C3">
        <v>30</v>
      </c>
      <c r="D3">
        <v>4.54</v>
      </c>
      <c r="E3">
        <v>20</v>
      </c>
      <c r="G3" s="4">
        <f>(((Ammunition!$E$25/7000)*Ammunition!$G$25)+(Ammunition!$H$25*(Ammunition!$F$25/7000)))^2/(64.348*'7.62x39'!D3*2.205)</f>
        <v>4.9681510557623971</v>
      </c>
      <c r="H3" s="4">
        <f>(((Ammunition!$E$25/7000)*Ammunition!$G$25)+(Ammunition!$H$25*(Ammunition!$F$25/7000)))/('7.62x39'!D3*2.205)</f>
        <v>5.651096184225735</v>
      </c>
      <c r="I3" s="4">
        <f>((Ammunition!$E$25/7000)*Ammunition!$G$25+(Ammunition!$F$25/7000)*Ammunition!$H$25)</f>
        <v>56.571428571428569</v>
      </c>
      <c r="K3" s="11">
        <f t="shared" ref="K3" si="0">(G3+H3*3+(I3/10))/3</f>
        <v>9.192860821860819</v>
      </c>
      <c r="L3" s="11">
        <f t="shared" ref="L3" si="1">(G3*2+H3*5+(I3/10))/4.5</f>
        <v>9.7442057532880728</v>
      </c>
      <c r="M3" s="11"/>
      <c r="R3">
        <v>16</v>
      </c>
      <c r="S3">
        <v>30</v>
      </c>
      <c r="T3">
        <f>+S3*R3</f>
        <v>480</v>
      </c>
    </row>
    <row r="4" spans="1:21">
      <c r="T4">
        <v>340</v>
      </c>
      <c r="U4" t="s">
        <v>282</v>
      </c>
    </row>
    <row r="5" spans="1:21">
      <c r="B5" s="5" t="s">
        <v>82</v>
      </c>
      <c r="T5">
        <f>+T3+T4</f>
        <v>820</v>
      </c>
    </row>
    <row r="6" spans="1:21">
      <c r="A6">
        <v>347</v>
      </c>
      <c r="B6" t="s">
        <v>212</v>
      </c>
      <c r="C6">
        <v>30</v>
      </c>
      <c r="D6">
        <v>5.12</v>
      </c>
      <c r="E6">
        <v>16.3</v>
      </c>
      <c r="G6" s="4">
        <f>(((Ammunition!$E$26/7000)*Ammunition!$G$26)+(Ammunition!$H$26*(Ammunition!$F$26/7000)))^2/(64.348*'7.62x39'!D6*2.205)</f>
        <v>4.2673922068736054</v>
      </c>
      <c r="H6" s="4">
        <f>(((Ammunition!$E$26/7000)*Ammunition!$G$26)+(Ammunition!$H$26*(Ammunition!$F$26/7000)))/('7.62x39'!D6*2.205)</f>
        <v>4.9318462504049236</v>
      </c>
      <c r="I6" s="4">
        <f>((Ammunition!$E$26/7000)*Ammunition!$G$26+(Ammunition!$F$26/7000)*Ammunition!$H$26)</f>
        <v>55.678571428571431</v>
      </c>
      <c r="K6" s="11">
        <f t="shared" ref="K6:K14" si="2">(G6+H6*3+(I6/10))/3</f>
        <v>8.2102627003151731</v>
      </c>
      <c r="L6" s="11">
        <f t="shared" ref="L6:L14" si="3">(G6*2+H6*5+(I6/10))/4.5</f>
        <v>8.6137495130286599</v>
      </c>
    </row>
    <row r="7" spans="1:21">
      <c r="A7">
        <v>613</v>
      </c>
      <c r="B7" t="s">
        <v>217</v>
      </c>
      <c r="C7">
        <v>30</v>
      </c>
      <c r="D7">
        <v>4.72</v>
      </c>
      <c r="E7">
        <v>16.3</v>
      </c>
      <c r="G7" s="4">
        <f>(((Ammunition!$E$26/7000)*Ammunition!$G$26)+(Ammunition!$H$26*(Ammunition!$F$26/7000)))^2/(64.348*'7.62x39'!D7*2.205)</f>
        <v>4.6290356142357751</v>
      </c>
      <c r="H7" s="4">
        <f>(((Ammunition!$E$26/7000)*Ammunition!$G$26)+(Ammunition!$H$26*(Ammunition!$F$26/7000)))/('7.62x39'!D7*2.205)</f>
        <v>5.3497993224731379</v>
      </c>
      <c r="I7" s="4">
        <f>((Ammunition!$E$26/7000)*Ammunition!$G$26+(Ammunition!$F$26/7000)*Ammunition!$H$26)</f>
        <v>55.678571428571431</v>
      </c>
      <c r="K7" s="11">
        <f t="shared" si="2"/>
        <v>8.7487635748374437</v>
      </c>
      <c r="L7" s="11">
        <f t="shared" si="3"/>
        <v>9.2388722185987504</v>
      </c>
    </row>
    <row r="8" spans="1:21">
      <c r="A8">
        <v>782</v>
      </c>
      <c r="B8" t="s">
        <v>222</v>
      </c>
      <c r="C8">
        <v>30</v>
      </c>
      <c r="D8">
        <v>4.34</v>
      </c>
      <c r="E8">
        <v>14.5</v>
      </c>
      <c r="G8" s="4">
        <f>(((Ammunition!$E$26/7000)*Ammunition!$G$26)+(Ammunition!$H$26*(Ammunition!$F$26/7000)))^2/(64.348*'7.62x39'!D8*2.205)</f>
        <v>5.0343428799983556</v>
      </c>
      <c r="H8" s="4">
        <f>(((Ammunition!$E$26/7000)*Ammunition!$G$26)+(Ammunition!$H$26*(Ammunition!$F$26/7000)))/('7.62x39'!D8*2.205)</f>
        <v>5.8182149313532747</v>
      </c>
      <c r="I8" s="4">
        <f>((Ammunition!$E$26/7000)*Ammunition!$G$26+(Ammunition!$F$26/7000)*Ammunition!$H$26)</f>
        <v>55.678571428571431</v>
      </c>
      <c r="K8" s="11">
        <f t="shared" si="2"/>
        <v>9.3522816056384404</v>
      </c>
      <c r="L8" s="11">
        <f t="shared" si="3"/>
        <v>9.9394705688044951</v>
      </c>
    </row>
    <row r="9" spans="1:21">
      <c r="A9">
        <v>607</v>
      </c>
      <c r="B9" t="s">
        <v>214</v>
      </c>
      <c r="C9">
        <v>30</v>
      </c>
      <c r="D9">
        <v>4.22</v>
      </c>
      <c r="E9">
        <v>16.3</v>
      </c>
      <c r="G9" s="4">
        <f>(((Ammunition!$E$26/7000)*Ammunition!$G$26)+(Ammunition!$H$26*(Ammunition!$F$26/7000)))^2/(64.348*'7.62x39'!D9*2.205)</f>
        <v>5.1774995495717686</v>
      </c>
      <c r="H9" s="4">
        <f>(((Ammunition!$E$26/7000)*Ammunition!$G$26)+(Ammunition!$H$26*(Ammunition!$F$26/7000)))/('7.62x39'!D9*2.205)</f>
        <v>5.9836618014391503</v>
      </c>
      <c r="I9" s="4">
        <f>((Ammunition!$E$26/7000)*Ammunition!$G$26+(Ammunition!$F$26/7000)*Ammunition!$H$26)</f>
        <v>55.678571428571431</v>
      </c>
      <c r="K9" s="11">
        <f t="shared" si="2"/>
        <v>9.5654473655821217</v>
      </c>
      <c r="L9" s="11">
        <f t="shared" si="3"/>
        <v>10.186925610932541</v>
      </c>
    </row>
    <row r="10" spans="1:21">
      <c r="A10">
        <v>742</v>
      </c>
      <c r="B10" t="s">
        <v>221</v>
      </c>
      <c r="C10">
        <v>30</v>
      </c>
      <c r="D10">
        <v>4.12</v>
      </c>
      <c r="E10">
        <v>16.5</v>
      </c>
      <c r="G10" s="4">
        <f>(((Ammunition!$E$26/7000)*Ammunition!$G$26)+(Ammunition!$H$26*(Ammunition!$F$26/7000)))^2/(64.348*'7.62x39'!D10*2.205)</f>
        <v>5.3031670143671983</v>
      </c>
      <c r="H10" s="4">
        <f>(((Ammunition!$E$26/7000)*Ammunition!$G$26)+(Ammunition!$H$26*(Ammunition!$F$26/7000)))/('7.62x39'!D10*2.205)</f>
        <v>6.1288963111828183</v>
      </c>
      <c r="I10" s="4">
        <f>((Ammunition!$E$26/7000)*Ammunition!$G$26+(Ammunition!$F$26/7000)*Ammunition!$H$26)</f>
        <v>55.678571428571431</v>
      </c>
      <c r="K10" s="11">
        <f t="shared" si="2"/>
        <v>9.7525710302575987</v>
      </c>
      <c r="L10" s="11">
        <f t="shared" si="3"/>
        <v>10.404149495001251</v>
      </c>
    </row>
    <row r="11" spans="1:21">
      <c r="A11">
        <v>603</v>
      </c>
      <c r="B11" t="s">
        <v>213</v>
      </c>
      <c r="C11">
        <v>30</v>
      </c>
      <c r="D11">
        <v>4.12</v>
      </c>
      <c r="E11">
        <v>16.5</v>
      </c>
      <c r="G11" s="4">
        <f>(((Ammunition!$E$26/7000)*Ammunition!$G$26)+(Ammunition!$H$26*(Ammunition!$F$26/7000)))^2/(64.348*'7.62x39'!D11*2.205)</f>
        <v>5.3031670143671983</v>
      </c>
      <c r="H11" s="4">
        <f>(((Ammunition!$E$26/7000)*Ammunition!$G$26)+(Ammunition!$H$26*(Ammunition!$F$26/7000)))/('7.62x39'!D11*2.205)</f>
        <v>6.1288963111828183</v>
      </c>
      <c r="I11" s="4">
        <f>((Ammunition!$E$26/7000)*Ammunition!$G$26+(Ammunition!$F$26/7000)*Ammunition!$H$26)</f>
        <v>55.678571428571431</v>
      </c>
      <c r="K11" s="11">
        <f t="shared" si="2"/>
        <v>9.7525710302575987</v>
      </c>
      <c r="L11" s="11">
        <f t="shared" si="3"/>
        <v>10.404149495001251</v>
      </c>
    </row>
    <row r="12" spans="1:21">
      <c r="A12">
        <v>26</v>
      </c>
      <c r="B12" t="s">
        <v>211</v>
      </c>
      <c r="C12">
        <v>30</v>
      </c>
      <c r="D12">
        <v>3.96</v>
      </c>
      <c r="E12">
        <v>16.3</v>
      </c>
      <c r="G12" s="4">
        <f>(((Ammunition!$E$26/7000)*Ammunition!$G$26)+(Ammunition!$H$26*(Ammunition!$F$26/7000)))^2/(64.348*'7.62x39'!D12*2.205)</f>
        <v>5.5174363886850655</v>
      </c>
      <c r="H12" s="4">
        <f>(((Ammunition!$E$26/7000)*Ammunition!$G$26)+(Ammunition!$H$26*(Ammunition!$F$26/7000)))/('7.62x39'!D12*2.205)</f>
        <v>6.376528485372023</v>
      </c>
      <c r="I12" s="4">
        <f>((Ammunition!$E$26/7000)*Ammunition!$G$26+(Ammunition!$F$26/7000)*Ammunition!$H$26)</f>
        <v>55.678571428571431</v>
      </c>
      <c r="K12" s="11">
        <f t="shared" si="2"/>
        <v>10.071626329219425</v>
      </c>
      <c r="L12" s="11">
        <f t="shared" si="3"/>
        <v>10.774527188241642</v>
      </c>
    </row>
    <row r="13" spans="1:21">
      <c r="A13">
        <v>708</v>
      </c>
      <c r="B13" t="s">
        <v>220</v>
      </c>
      <c r="C13">
        <v>30</v>
      </c>
      <c r="D13">
        <v>3.92</v>
      </c>
      <c r="E13">
        <v>15.5</v>
      </c>
      <c r="G13" s="4">
        <f>(((Ammunition!$E$26/7000)*Ammunition!$G$26)+(Ammunition!$H$26*(Ammunition!$F$26/7000)))^2/(64.348*'7.62x39'!D13*2.205)</f>
        <v>5.5737367599981784</v>
      </c>
      <c r="H13" s="4">
        <f>(((Ammunition!$E$26/7000)*Ammunition!$G$26)+(Ammunition!$H$26*(Ammunition!$F$26/7000)))/('7.62x39'!D13*2.205)</f>
        <v>6.4415951025696971</v>
      </c>
      <c r="I13" s="4">
        <f>((Ammunition!$E$26/7000)*Ammunition!$G$26+(Ammunition!$F$26/7000)*Ammunition!$H$26)</f>
        <v>55.678571428571431</v>
      </c>
      <c r="K13" s="11">
        <f t="shared" si="2"/>
        <v>10.155459736854803</v>
      </c>
      <c r="L13" s="11">
        <f t="shared" si="3"/>
        <v>10.871845816822663</v>
      </c>
    </row>
    <row r="14" spans="1:21">
      <c r="A14">
        <v>612</v>
      </c>
      <c r="B14" t="s">
        <v>216</v>
      </c>
      <c r="C14">
        <v>30</v>
      </c>
      <c r="D14">
        <v>3.76</v>
      </c>
      <c r="E14">
        <v>16.3</v>
      </c>
      <c r="G14" s="4">
        <f>(((Ammunition!$E$26/7000)*Ammunition!$G$26)+(Ammunition!$H$26*(Ammunition!$F$26/7000)))^2/(64.348*'7.62x39'!D14*2.205)</f>
        <v>5.8109170476576759</v>
      </c>
      <c r="H14" s="4">
        <f>(((Ammunition!$E$26/7000)*Ammunition!$G$26)+(Ammunition!$H$26*(Ammunition!$F$26/7000)))/('7.62x39'!D14*2.205)</f>
        <v>6.7157055324662807</v>
      </c>
      <c r="I14" s="4">
        <f>((Ammunition!$E$26/7000)*Ammunition!$G$26+(Ammunition!$F$26/7000)*Ammunition!$H$26)</f>
        <v>55.678571428571431</v>
      </c>
      <c r="K14" s="11">
        <f t="shared" si="2"/>
        <v>10.508630262637887</v>
      </c>
      <c r="L14" s="11">
        <f t="shared" si="3"/>
        <v>11.281826422334198</v>
      </c>
    </row>
    <row r="15" spans="1:21">
      <c r="C15" s="5"/>
    </row>
    <row r="16" spans="1:21">
      <c r="B16" s="5" t="s">
        <v>302</v>
      </c>
    </row>
    <row r="17" spans="1:21">
      <c r="A17">
        <v>790</v>
      </c>
      <c r="B17" t="s">
        <v>224</v>
      </c>
      <c r="C17">
        <v>30</v>
      </c>
      <c r="D17">
        <v>4.3099999999999996</v>
      </c>
      <c r="E17">
        <v>13</v>
      </c>
      <c r="G17" s="4">
        <f>(((Ammunition!$E$27/7000)*Ammunition!$G$27)+(Ammunition!$H$27*(Ammunition!$F$27/7000)))^2/(64.348*'7.62x39'!D17*2.205)</f>
        <v>4.7494300940234639</v>
      </c>
      <c r="H17" s="4">
        <f>(((Ammunition!$E$27/7000)*Ammunition!$G$27)+(Ammunition!$H$27*(Ammunition!$F$27/7000)))/('7.62x39'!D17*2.205)</f>
        <v>5.6708132374593854</v>
      </c>
      <c r="I17" s="4">
        <f>((Ammunition!$E$27/7000)*Ammunition!$G$27+(Ammunition!$F$27/7000)*Ammunition!$H$27)</f>
        <v>53.892857142857139</v>
      </c>
      <c r="K17" s="11">
        <f t="shared" ref="K17:K19" si="4">(G17+H17*3+(I17/10))/3</f>
        <v>9.0503851735624448</v>
      </c>
      <c r="L17" s="11">
        <f t="shared" ref="L17:L19" si="5">(G17*2+H17*5+(I17/10))/5</f>
        <v>8.6484424179259136</v>
      </c>
    </row>
    <row r="18" spans="1:21">
      <c r="A18">
        <v>615</v>
      </c>
      <c r="B18" t="s">
        <v>218</v>
      </c>
      <c r="C18">
        <v>30</v>
      </c>
      <c r="D18">
        <v>4.03</v>
      </c>
      <c r="E18">
        <v>12.5</v>
      </c>
      <c r="G18" s="4">
        <f>(((Ammunition!$E$27/7000)*Ammunition!$G$27)+(Ammunition!$H$27*(Ammunition!$F$27/7000)))^2/(64.348*'7.62x39'!D18*2.205)</f>
        <v>5.0794153114742242</v>
      </c>
      <c r="H18" s="4">
        <f>(((Ammunition!$E$27/7000)*Ammunition!$G$27)+(Ammunition!$H$27*(Ammunition!$F$27/7000)))/('7.62x39'!D18*2.205)</f>
        <v>6.0648151497394407</v>
      </c>
      <c r="I18" s="4">
        <f>((Ammunition!$E$27/7000)*Ammunition!$G$27+(Ammunition!$F$27/7000)*Ammunition!$H$27)</f>
        <v>53.892857142857139</v>
      </c>
      <c r="K18" s="11">
        <f t="shared" si="4"/>
        <v>9.5543821583260868</v>
      </c>
      <c r="L18" s="11">
        <f t="shared" si="5"/>
        <v>9.1744384171862734</v>
      </c>
    </row>
    <row r="19" spans="1:21">
      <c r="A19">
        <v>608</v>
      </c>
      <c r="B19" t="s">
        <v>215</v>
      </c>
      <c r="C19">
        <v>30</v>
      </c>
      <c r="D19">
        <v>3.82</v>
      </c>
      <c r="E19">
        <v>12.5</v>
      </c>
      <c r="G19" s="4">
        <f>(((Ammunition!$E$27/7000)*Ammunition!$G$27)+(Ammunition!$H$27*(Ammunition!$F$27/7000)))^2/(64.348*'7.62x39'!D19*2.205)</f>
        <v>5.3586501846180958</v>
      </c>
      <c r="H19" s="4">
        <f>(((Ammunition!$E$27/7000)*Ammunition!$G$27)+(Ammunition!$H$27*(Ammunition!$F$27/7000)))/('7.62x39'!D19*2.205)</f>
        <v>6.3982212181806153</v>
      </c>
      <c r="I19" s="4">
        <f>((Ammunition!$E$27/7000)*Ammunition!$G$27+(Ammunition!$F$27/7000)*Ammunition!$H$27)</f>
        <v>53.892857142857139</v>
      </c>
      <c r="K19" s="11">
        <f t="shared" si="4"/>
        <v>9.9808665178152172</v>
      </c>
      <c r="L19" s="11">
        <f t="shared" si="5"/>
        <v>9.6195384348849977</v>
      </c>
    </row>
    <row r="21" spans="1:21">
      <c r="B21" s="5" t="s">
        <v>303</v>
      </c>
    </row>
    <row r="22" spans="1:21">
      <c r="A22">
        <v>785</v>
      </c>
      <c r="B22" t="s">
        <v>223</v>
      </c>
      <c r="C22">
        <v>30</v>
      </c>
      <c r="D22">
        <v>4.0199999999999996</v>
      </c>
      <c r="E22">
        <v>10</v>
      </c>
      <c r="G22" s="4">
        <f>(((Ammunition!$E$28/7000)*Ammunition!$G$28)+(Ammunition!$H$28*(Ammunition!$F$28/7000)))^2/(64.348*'7.62x39'!D22*2.205)</f>
        <v>4.5984613431035752</v>
      </c>
      <c r="H22" s="4">
        <f>(((Ammunition!$E$28/7000)*Ammunition!$G$28)+(Ammunition!$H$28*(Ammunition!$F$28/7000)))/('7.62x39'!D22*2.205)</f>
        <v>5.7777197588345937</v>
      </c>
      <c r="I22" s="4">
        <f>((Ammunition!$E$28/7000)*Ammunition!$G$28+(Ammunition!$F$28/7000)*Ammunition!$H$28)</f>
        <v>51.214285714285715</v>
      </c>
      <c r="K22" s="11">
        <f t="shared" ref="K22:K23" si="6">(G22+H22*3+(I22/10))/3</f>
        <v>9.0176830636786445</v>
      </c>
      <c r="L22" s="11">
        <f t="shared" ref="L22:L23" si="7">(G22*2+H22*5+(I22/10))/5</f>
        <v>8.6413900103617376</v>
      </c>
    </row>
    <row r="23" spans="1:21">
      <c r="A23">
        <v>659</v>
      </c>
      <c r="B23" t="s">
        <v>219</v>
      </c>
      <c r="C23">
        <v>30</v>
      </c>
      <c r="D23">
        <v>3.52</v>
      </c>
      <c r="E23">
        <v>9.5</v>
      </c>
      <c r="G23" s="4">
        <f>(((Ammunition!$E$28/7000)*Ammunition!$G$28)+(Ammunition!$H$28*(Ammunition!$F$28/7000)))^2/(64.348*'7.62x39'!D23*2.205)</f>
        <v>5.2516518747944234</v>
      </c>
      <c r="H23" s="4">
        <f>(((Ammunition!$E$28/7000)*Ammunition!$G$28)+(Ammunition!$H$28*(Ammunition!$F$28/7000)))/('7.62x39'!D23*2.205)</f>
        <v>6.5984185882145061</v>
      </c>
      <c r="I23" s="4">
        <f>((Ammunition!$E$28/7000)*Ammunition!$G$28+(Ammunition!$F$28/7000)*Ammunition!$H$28)</f>
        <v>51.214285714285715</v>
      </c>
      <c r="K23" s="11">
        <f t="shared" si="6"/>
        <v>10.056112070288838</v>
      </c>
      <c r="L23" s="11">
        <f t="shared" si="7"/>
        <v>9.7233650524179893</v>
      </c>
    </row>
    <row r="25" spans="1:21">
      <c r="C25" s="5"/>
    </row>
    <row r="26" spans="1:21">
      <c r="B26" s="5" t="s">
        <v>148</v>
      </c>
      <c r="D26" t="s">
        <v>79</v>
      </c>
      <c r="E26" t="s">
        <v>84</v>
      </c>
      <c r="R26" t="s">
        <v>283</v>
      </c>
      <c r="S26" t="s">
        <v>281</v>
      </c>
    </row>
    <row r="27" spans="1:21">
      <c r="A27">
        <v>705</v>
      </c>
      <c r="B27" t="s">
        <v>226</v>
      </c>
      <c r="C27">
        <v>75</v>
      </c>
      <c r="D27">
        <v>9.5</v>
      </c>
      <c r="E27">
        <v>20.5</v>
      </c>
      <c r="G27" s="4">
        <f>(((Ammunition!$E$25/7000)*Ammunition!$G$25)+(Ammunition!$H$25*(Ammunition!$F$25/7000)))^2/(64.348*'7.62x39'!D27*2.205)</f>
        <v>2.3742532413853983</v>
      </c>
      <c r="H27" s="4">
        <f>(((Ammunition!$E$25/7000)*Ammunition!$G$25)+(Ammunition!$H$25*(Ammunition!$F$25/7000)))/('7.62x39'!D27*2.205)</f>
        <v>2.7006291238299829</v>
      </c>
      <c r="I27" s="4">
        <f>((Ammunition!$E$25/7000)*Ammunition!$G$25+(Ammunition!$F$25/7000)*Ammunition!$H$25)</f>
        <v>56.571428571428569</v>
      </c>
      <c r="K27" s="11">
        <f t="shared" ref="K27:K28" si="8">(G27+H27*3+(I27/10))/3</f>
        <v>5.3777611566727339</v>
      </c>
      <c r="L27" s="11">
        <f t="shared" ref="L27:L28" si="9">(G27*2+H27*5+(I27/10))/5</f>
        <v>4.7817589918127137</v>
      </c>
      <c r="R27">
        <v>16</v>
      </c>
      <c r="S27">
        <v>75</v>
      </c>
      <c r="T27">
        <f>+R27*S27</f>
        <v>1200</v>
      </c>
    </row>
    <row r="28" spans="1:21">
      <c r="A28">
        <v>706</v>
      </c>
      <c r="B28" t="s">
        <v>227</v>
      </c>
      <c r="C28">
        <v>75</v>
      </c>
      <c r="D28">
        <v>7</v>
      </c>
      <c r="E28">
        <v>23</v>
      </c>
      <c r="G28" s="4">
        <f>(((Ammunition!$E$25/7000)*Ammunition!$G$25)+(Ammunition!$H$25*(Ammunition!$F$25/7000)))^2/(64.348*'7.62x39'!D28*2.205)</f>
        <v>3.2222008275944694</v>
      </c>
      <c r="H28" s="4">
        <f>(((Ammunition!$E$25/7000)*Ammunition!$G$25)+(Ammunition!$H$25*(Ammunition!$F$25/7000)))/('7.62x39'!D28*2.205)</f>
        <v>3.665139525197834</v>
      </c>
      <c r="I28" s="4">
        <f>((Ammunition!$E$25/7000)*Ammunition!$G$25+(Ammunition!$F$25/7000)*Ammunition!$H$25)</f>
        <v>56.571428571428569</v>
      </c>
      <c r="K28" s="11">
        <f t="shared" si="8"/>
        <v>6.6249207534436083</v>
      </c>
      <c r="L28" s="11">
        <f t="shared" si="9"/>
        <v>6.0854484276641942</v>
      </c>
      <c r="T28">
        <v>900</v>
      </c>
      <c r="U28" t="s">
        <v>295</v>
      </c>
    </row>
    <row r="29" spans="1:21">
      <c r="T29">
        <f>+T27+T28</f>
        <v>2100</v>
      </c>
    </row>
    <row r="31" spans="1:21">
      <c r="C31" s="5"/>
    </row>
    <row r="41" spans="3:3">
      <c r="C41" s="5"/>
    </row>
    <row r="52" spans="3:3">
      <c r="C52" s="5"/>
    </row>
    <row r="56" spans="3:3">
      <c r="C56" s="5"/>
    </row>
    <row r="63" spans="3:3">
      <c r="C63" s="5"/>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dimension ref="A1:Q63"/>
  <sheetViews>
    <sheetView workbookViewId="0">
      <selection activeCell="I21" sqref="I21"/>
    </sheetView>
  </sheetViews>
  <sheetFormatPr baseColWidth="10" defaultColWidth="9.140625" defaultRowHeight="15"/>
  <cols>
    <col min="2" max="2" width="17" bestFit="1" customWidth="1"/>
    <col min="3" max="3" width="4.7109375" bestFit="1" customWidth="1"/>
    <col min="4" max="4" width="16.28515625" bestFit="1" customWidth="1"/>
    <col min="5" max="5" width="8.42578125" bestFit="1" customWidth="1"/>
    <col min="7" max="7" width="13" style="4" bestFit="1" customWidth="1"/>
    <col min="8" max="8" width="13.85546875" style="4" bestFit="1" customWidth="1"/>
    <col min="9" max="9" width="13.5703125" style="4" bestFit="1" customWidth="1"/>
    <col min="10" max="10" width="11.28515625" bestFit="1" customWidth="1"/>
    <col min="11" max="12" width="12.140625" bestFit="1" customWidth="1"/>
    <col min="14" max="14" width="10.5703125" bestFit="1" customWidth="1"/>
  </cols>
  <sheetData>
    <row r="1" spans="1:17">
      <c r="A1" t="s">
        <v>128</v>
      </c>
      <c r="C1" s="5"/>
      <c r="G1" s="4" t="s">
        <v>3</v>
      </c>
      <c r="H1" s="4" t="s">
        <v>4</v>
      </c>
      <c r="I1" s="4" t="s">
        <v>62</v>
      </c>
      <c r="K1" s="11" t="s">
        <v>362</v>
      </c>
      <c r="L1" s="4" t="s">
        <v>363</v>
      </c>
    </row>
    <row r="2" spans="1:17">
      <c r="C2" s="9" t="s">
        <v>352</v>
      </c>
      <c r="D2" t="s">
        <v>79</v>
      </c>
      <c r="E2" t="s">
        <v>84</v>
      </c>
      <c r="N2" t="s">
        <v>283</v>
      </c>
      <c r="O2" t="s">
        <v>281</v>
      </c>
    </row>
    <row r="3" spans="1:17">
      <c r="A3">
        <v>1065</v>
      </c>
      <c r="B3" t="s">
        <v>127</v>
      </c>
      <c r="C3">
        <v>25</v>
      </c>
      <c r="D3">
        <v>4.3499999999999996</v>
      </c>
      <c r="E3">
        <v>20</v>
      </c>
      <c r="G3" s="4">
        <f>(((Ammunition!$E$10/7000)*Ammunition!$G$10)+(Ammunition!$H$10*(Ammunition!$F$10/7000)))^2/(64.348*'6.8 SPC'!D3*2.205)</f>
        <v>6.7031426085003698</v>
      </c>
      <c r="H3" s="4">
        <f>(((Ammunition!$E$10/7000)*Ammunition!$G$10)+(Ammunition!$H$10*(Ammunition!$F$10/7000)))/('6.8 SPC'!D3*2.205)</f>
        <v>6.7059117023930535</v>
      </c>
      <c r="I3" s="4">
        <f>((Ammunition!$E$10/7000)*Ammunition!$G$10+(Ammunition!$F$10/7000)*Ammunition!$H$10)</f>
        <v>64.321428571428569</v>
      </c>
      <c r="K3" s="11">
        <f t="shared" ref="K3:K8" si="0">(G3+H3*3+(I3/10))/3</f>
        <v>11.084340190940795</v>
      </c>
      <c r="L3" s="11">
        <f t="shared" ref="L3:L8" si="1">(G3*2+H3*5+(I3/10))/4.5</f>
        <v>11.859552574690859</v>
      </c>
      <c r="M3" s="11"/>
      <c r="N3">
        <v>18</v>
      </c>
      <c r="O3">
        <v>25</v>
      </c>
      <c r="P3">
        <f>+O3*N3</f>
        <v>450</v>
      </c>
    </row>
    <row r="4" spans="1:17">
      <c r="A4">
        <v>793</v>
      </c>
      <c r="B4" t="s">
        <v>126</v>
      </c>
      <c r="C4">
        <v>25</v>
      </c>
      <c r="D4">
        <v>4.1500000000000004</v>
      </c>
      <c r="E4">
        <v>18</v>
      </c>
      <c r="G4" s="4">
        <f>(((Ammunition!$E$10/7000)*Ammunition!$G$10)+(Ammunition!$H$10*(Ammunition!$F$10/7000)))^2/(64.348*'6.8 SPC'!D4*2.205)</f>
        <v>7.0261856257774946</v>
      </c>
      <c r="H4" s="4">
        <f>(((Ammunition!$E$10/7000)*Ammunition!$G$10)+(Ammunition!$H$10*(Ammunition!$F$10/7000)))/('6.8 SPC'!D4*2.205)</f>
        <v>7.0290881699782606</v>
      </c>
      <c r="I4" s="4">
        <f>((Ammunition!$E$10/7000)*Ammunition!$G$10+(Ammunition!$F$10/7000)*Ammunition!$H$10)</f>
        <v>64.321428571428569</v>
      </c>
      <c r="K4" s="11">
        <f t="shared" si="0"/>
        <v>11.515197664285045</v>
      </c>
      <c r="L4" s="11">
        <f t="shared" si="1"/>
        <v>12.362212213019809</v>
      </c>
      <c r="P4">
        <v>200</v>
      </c>
      <c r="Q4" t="s">
        <v>282</v>
      </c>
    </row>
    <row r="5" spans="1:17">
      <c r="A5">
        <v>797</v>
      </c>
      <c r="B5" t="s">
        <v>124</v>
      </c>
      <c r="C5">
        <v>25</v>
      </c>
      <c r="D5">
        <v>4.05</v>
      </c>
      <c r="E5">
        <v>16</v>
      </c>
      <c r="G5" s="4">
        <f>(((Ammunition!$E$11/7000)*Ammunition!$G$11)+(Ammunition!$H$11*(Ammunition!$F$11/7000)))^2/(64.348*'6.8 SPC'!D5*2.205)</f>
        <v>6.7472867987354963</v>
      </c>
      <c r="H5" s="4">
        <f>(((Ammunition!$E$11/7000)*Ammunition!$G$11)+(Ammunition!$H$11*(Ammunition!$F$11/7000)))/('6.8 SPC'!D5*2.205)</f>
        <v>6.9726891344427253</v>
      </c>
      <c r="I5" s="4">
        <f>((Ammunition!$E$11/7000)*Ammunition!$G$11+(Ammunition!$F$11/7000)*Ammunition!$H$11)</f>
        <v>62.267857142857139</v>
      </c>
      <c r="K5" s="11">
        <f t="shared" si="0"/>
        <v>11.297379972116461</v>
      </c>
      <c r="L5" s="11">
        <f t="shared" si="1"/>
        <v>12.129956663104517</v>
      </c>
      <c r="P5">
        <f>+P3+P4</f>
        <v>650</v>
      </c>
    </row>
    <row r="6" spans="1:17">
      <c r="A6">
        <v>795</v>
      </c>
      <c r="B6" t="s">
        <v>122</v>
      </c>
      <c r="C6">
        <v>25</v>
      </c>
      <c r="D6">
        <v>3.95</v>
      </c>
      <c r="E6">
        <v>16</v>
      </c>
      <c r="G6" s="4">
        <f>(((Ammunition!$E$11/7000)*Ammunition!$G$11)+(Ammunition!$H$11*(Ammunition!$F$11/7000)))^2/(64.348*'6.8 SPC'!D6*2.205)</f>
        <v>6.9181041860452552</v>
      </c>
      <c r="H6" s="4">
        <f>(((Ammunition!$E$11/7000)*Ammunition!$G$11)+(Ammunition!$H$11*(Ammunition!$F$11/7000)))/('6.8 SPC'!D6*2.205)</f>
        <v>7.1492129099982353</v>
      </c>
      <c r="I6" s="4">
        <f>((Ammunition!$E$11/7000)*Ammunition!$G$11+(Ammunition!$F$11/7000)*Ammunition!$H$11)</f>
        <v>62.267857142857139</v>
      </c>
      <c r="K6" s="11">
        <f t="shared" si="0"/>
        <v>11.530842876775225</v>
      </c>
      <c r="L6" s="11">
        <f t="shared" si="1"/>
        <v>12.402013030303866</v>
      </c>
    </row>
    <row r="7" spans="1:17">
      <c r="A7">
        <v>796</v>
      </c>
      <c r="B7" t="s">
        <v>123</v>
      </c>
      <c r="C7">
        <v>25</v>
      </c>
      <c r="D7">
        <v>3.65</v>
      </c>
      <c r="E7">
        <v>16</v>
      </c>
      <c r="G7" s="4">
        <f>(((Ammunition!$E$11/7000)*Ammunition!$G$11)+(Ammunition!$H$11*(Ammunition!$F$11/7000)))^2/(64.348*'6.8 SPC'!D7*2.205)</f>
        <v>7.4867154890078798</v>
      </c>
      <c r="H7" s="4">
        <f>(((Ammunition!$E$11/7000)*Ammunition!$G$11)+(Ammunition!$H$11*(Ammunition!$F$11/7000)))/('6.8 SPC'!D7*2.205)</f>
        <v>7.7368194505460375</v>
      </c>
      <c r="I7" s="4">
        <f>((Ammunition!$E$11/7000)*Ammunition!$G$11+(Ammunition!$F$11/7000)*Ammunition!$H$11)</f>
        <v>62.267857142857139</v>
      </c>
      <c r="K7" s="11">
        <f t="shared" si="0"/>
        <v>12.307986518310569</v>
      </c>
      <c r="L7" s="11">
        <f t="shared" si="1"/>
        <v>13.307625321118147</v>
      </c>
    </row>
    <row r="8" spans="1:17">
      <c r="A8">
        <v>792</v>
      </c>
      <c r="B8" t="s">
        <v>125</v>
      </c>
      <c r="C8">
        <v>25</v>
      </c>
      <c r="D8">
        <v>3.7</v>
      </c>
      <c r="E8">
        <v>12</v>
      </c>
      <c r="G8" s="4">
        <f>(((Ammunition!$E$12/7000)*Ammunition!$G$12)+(Ammunition!$H$12*(Ammunition!$F$12/7000)))^2/(64.348*'6.8 SPC'!D8*2.205)</f>
        <v>6.9064314708580268</v>
      </c>
      <c r="H8" s="4">
        <f>(((Ammunition!$E$12/7000)*Ammunition!$G$12)+(Ammunition!$H$12*(Ammunition!$F$12/7000)))/('6.8 SPC'!D8*2.205)</f>
        <v>7.3805584009665637</v>
      </c>
      <c r="I8" s="4">
        <f>((Ammunition!$E$12/7000)*Ammunition!$G$12+(Ammunition!$F$12/7000)*Ammunition!$H$12)</f>
        <v>60.214285714285708</v>
      </c>
      <c r="K8" s="11">
        <f t="shared" si="0"/>
        <v>11.689845081728762</v>
      </c>
      <c r="L8" s="11">
        <f t="shared" si="1"/>
        <v>12.608240781772766</v>
      </c>
    </row>
    <row r="15" spans="1:17">
      <c r="C15" s="5"/>
    </row>
    <row r="25" spans="3:3">
      <c r="C25" s="5"/>
    </row>
    <row r="31" spans="3:3">
      <c r="C31" s="5"/>
    </row>
    <row r="41" spans="3:3">
      <c r="C41" s="5"/>
    </row>
    <row r="52" spans="3:3">
      <c r="C52" s="5"/>
    </row>
    <row r="56" spans="3:3">
      <c r="C56" s="5"/>
    </row>
    <row r="63" spans="3:3">
      <c r="C63" s="5"/>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Q63"/>
  <sheetViews>
    <sheetView workbookViewId="0">
      <selection activeCell="L29" sqref="L29"/>
    </sheetView>
  </sheetViews>
  <sheetFormatPr baseColWidth="10" defaultRowHeight="15"/>
  <cols>
    <col min="2" max="2" width="17.5703125" bestFit="1" customWidth="1"/>
    <col min="3" max="3" width="4.7109375" bestFit="1" customWidth="1"/>
    <col min="4" max="4" width="16.28515625" bestFit="1" customWidth="1"/>
    <col min="7" max="7" width="13" bestFit="1" customWidth="1"/>
    <col min="8" max="8" width="13.85546875" bestFit="1" customWidth="1"/>
    <col min="9" max="9" width="13.5703125" bestFit="1" customWidth="1"/>
    <col min="10" max="10" width="11.28515625" bestFit="1" customWidth="1"/>
    <col min="11" max="11" width="12.140625" style="11" bestFit="1" customWidth="1"/>
    <col min="12" max="12" width="12.140625" bestFit="1" customWidth="1"/>
  </cols>
  <sheetData>
    <row r="1" spans="1:17">
      <c r="A1" t="s">
        <v>128</v>
      </c>
      <c r="B1" s="5" t="s">
        <v>105</v>
      </c>
      <c r="C1" s="5"/>
      <c r="G1" s="4" t="s">
        <v>3</v>
      </c>
      <c r="H1" s="4" t="s">
        <v>4</v>
      </c>
      <c r="I1" s="4" t="s">
        <v>62</v>
      </c>
      <c r="K1" s="11" t="s">
        <v>362</v>
      </c>
      <c r="L1" s="4" t="s">
        <v>363</v>
      </c>
    </row>
    <row r="2" spans="1:17">
      <c r="B2" s="5" t="s">
        <v>81</v>
      </c>
      <c r="C2" s="9" t="s">
        <v>352</v>
      </c>
      <c r="D2" t="s">
        <v>79</v>
      </c>
      <c r="E2" t="s">
        <v>84</v>
      </c>
      <c r="G2" s="4"/>
      <c r="H2" s="4"/>
      <c r="I2" s="4"/>
      <c r="N2" t="s">
        <v>283</v>
      </c>
      <c r="O2" t="s">
        <v>281</v>
      </c>
    </row>
    <row r="3" spans="1:17">
      <c r="A3">
        <v>27</v>
      </c>
      <c r="B3" t="s">
        <v>129</v>
      </c>
      <c r="C3">
        <v>20</v>
      </c>
      <c r="D3">
        <v>5.2</v>
      </c>
      <c r="E3">
        <v>22</v>
      </c>
      <c r="G3" s="4">
        <f>(((Ammunition!$E$15/7000)*Ammunition!$G$15)+(Ammunition!$H$15*(Ammunition!$F$15/7000)))^2/(64.348*'7.62x51'!D3*2.205)</f>
        <v>9.5715175742060374</v>
      </c>
      <c r="H3" s="4">
        <f>(((Ammunition!$E$15/7000)*Ammunition!$G$15)+(Ammunition!$H$15*(Ammunition!$F$15/7000)))/('7.62x51'!D3*2.205)</f>
        <v>7.3291221250404925</v>
      </c>
      <c r="I3" s="4">
        <f>((Ammunition!$E$15/7000)*Ammunition!$G$15+(Ammunition!$F$15/7000)*Ammunition!$H$15)</f>
        <v>84.035714285714292</v>
      </c>
      <c r="K3" s="11">
        <f>(G3+H3*3+(I3/10))/3</f>
        <v>13.32081845929965</v>
      </c>
      <c r="L3" s="11">
        <f>(G3*2+H3*5+(I3/10))/4.5</f>
        <v>14.264937156041327</v>
      </c>
      <c r="M3" s="11"/>
      <c r="N3">
        <v>24</v>
      </c>
      <c r="O3">
        <v>20</v>
      </c>
      <c r="P3">
        <f>+O3*N3</f>
        <v>480</v>
      </c>
    </row>
    <row r="4" spans="1:17">
      <c r="A4">
        <v>28</v>
      </c>
      <c r="B4" t="s">
        <v>130</v>
      </c>
      <c r="C4">
        <v>20</v>
      </c>
      <c r="D4">
        <v>5.0999999999999996</v>
      </c>
      <c r="E4">
        <v>21</v>
      </c>
      <c r="G4" s="4">
        <f>(((Ammunition!$E$15/7000)*Ammunition!$G$15)+(Ammunition!$H$15*(Ammunition!$F$15/7000)))^2/(64.348*'7.62x51'!D4*2.205)</f>
        <v>9.7591943893865487</v>
      </c>
      <c r="H4" s="4">
        <f>(((Ammunition!$E$15/7000)*Ammunition!$G$15)+(Ammunition!$H$15*(Ammunition!$F$15/7000)))/('7.62x51'!D4*2.205)</f>
        <v>7.4728304020020717</v>
      </c>
      <c r="I4" s="4">
        <f>((Ammunition!$E$15/7000)*Ammunition!$G$15+(Ammunition!$F$15/7000)*Ammunition!$H$15)</f>
        <v>84.035714285714292</v>
      </c>
      <c r="K4" s="11">
        <f t="shared" ref="K4:K6" si="0">(G4+H4*3+(I4/10))/3</f>
        <v>13.527085674654733</v>
      </c>
      <c r="L4" s="11">
        <f t="shared" ref="L4:L6" si="1">(G4*2+H4*5+(I4/10))/4.5</f>
        <v>14.508024937189974</v>
      </c>
      <c r="M4" s="11"/>
      <c r="P4">
        <v>320</v>
      </c>
      <c r="Q4" t="s">
        <v>282</v>
      </c>
    </row>
    <row r="5" spans="1:17">
      <c r="A5">
        <v>655</v>
      </c>
      <c r="B5" t="s">
        <v>139</v>
      </c>
      <c r="C5">
        <v>20</v>
      </c>
      <c r="D5">
        <v>5</v>
      </c>
      <c r="E5">
        <v>21</v>
      </c>
      <c r="G5" s="4">
        <f>(((Ammunition!$E$15/7000)*Ammunition!$G$15)+(Ammunition!$H$15*(Ammunition!$F$15/7000)))^2/(64.348*'7.62x51'!D5*2.205)</f>
        <v>9.9543782771742766</v>
      </c>
      <c r="H5" s="4">
        <f>(((Ammunition!$E$15/7000)*Ammunition!$G$15)+(Ammunition!$H$15*(Ammunition!$F$15/7000)))/('7.62x51'!D5*2.205)</f>
        <v>7.6222870100421121</v>
      </c>
      <c r="I5" s="4">
        <f>((Ammunition!$E$15/7000)*Ammunition!$G$15+(Ammunition!$F$15/7000)*Ammunition!$H$15)</f>
        <v>84.035714285714292</v>
      </c>
      <c r="K5" s="11">
        <f t="shared" si="0"/>
        <v>13.741603578624014</v>
      </c>
      <c r="L5" s="11">
        <f t="shared" si="1"/>
        <v>14.760836229584564</v>
      </c>
      <c r="M5" s="11"/>
      <c r="P5">
        <f>+P3+P4</f>
        <v>800</v>
      </c>
    </row>
    <row r="6" spans="1:17">
      <c r="A6">
        <v>787</v>
      </c>
      <c r="B6" t="s">
        <v>143</v>
      </c>
      <c r="C6">
        <v>20</v>
      </c>
      <c r="D6">
        <v>4.5</v>
      </c>
      <c r="E6">
        <v>20</v>
      </c>
      <c r="G6" s="4">
        <f>(((Ammunition!$E$15/7000)*Ammunition!$G$15)+(Ammunition!$H$15*(Ammunition!$F$15/7000)))^2/(64.348*'7.62x51'!D6*2.205)</f>
        <v>11.060420307971421</v>
      </c>
      <c r="H6" s="4">
        <f>(((Ammunition!$E$15/7000)*Ammunition!$G$15)+(Ammunition!$H$15*(Ammunition!$F$15/7000)))/('7.62x51'!D6*2.205)</f>
        <v>8.469207788935682</v>
      </c>
      <c r="I6" s="4">
        <f>((Ammunition!$E$15/7000)*Ammunition!$G$15+(Ammunition!$F$15/7000)*Ammunition!$H$15)</f>
        <v>84.035714285714292</v>
      </c>
      <c r="K6" s="11">
        <f t="shared" si="0"/>
        <v>14.957205034449965</v>
      </c>
      <c r="L6" s="11">
        <f t="shared" si="1"/>
        <v>16.193433553153927</v>
      </c>
      <c r="M6" s="11"/>
    </row>
    <row r="7" spans="1:17">
      <c r="G7" s="4"/>
      <c r="H7" s="4"/>
      <c r="I7" s="4"/>
    </row>
    <row r="8" spans="1:17">
      <c r="B8" s="5" t="s">
        <v>104</v>
      </c>
      <c r="G8" s="4"/>
      <c r="H8" s="4"/>
      <c r="I8" s="4"/>
    </row>
    <row r="9" spans="1:17">
      <c r="A9">
        <v>896</v>
      </c>
      <c r="B9" s="3" t="s">
        <v>144</v>
      </c>
      <c r="C9">
        <v>20</v>
      </c>
      <c r="D9">
        <v>5.9</v>
      </c>
      <c r="E9">
        <v>18</v>
      </c>
      <c r="G9" s="4">
        <f>(((Ammunition!$E$16/7000)*Ammunition!$G$16)+(Ammunition!$H$16*(Ammunition!$F$16/7000)))^2/(64.348*'7.62x51'!D9*2.205)</f>
        <v>8.122664701601062</v>
      </c>
      <c r="H9" s="4">
        <f>(((Ammunition!$E$16/7000)*Ammunition!$G$16)+(Ammunition!$H$16*(Ammunition!$F$16/7000)))/('7.62x51'!D9*2.205)</f>
        <v>6.3384998874448888</v>
      </c>
      <c r="I9" s="4">
        <f>((Ammunition!$E$16/7000)*Ammunition!$G$16+(Ammunition!$F$16/7000)*Ammunition!$H$16)</f>
        <v>82.460714285714289</v>
      </c>
      <c r="K9" s="11">
        <f t="shared" ref="K9:K12" si="2">(G9+H9*3+(I9/10))/3</f>
        <v>11.794745264169052</v>
      </c>
      <c r="L9" s="11">
        <f>(G9*2+H9*5+(I9/10))/4.5</f>
        <v>12.485311170888444</v>
      </c>
    </row>
    <row r="10" spans="1:17">
      <c r="A10">
        <v>29</v>
      </c>
      <c r="B10" t="s">
        <v>131</v>
      </c>
      <c r="C10">
        <v>20</v>
      </c>
      <c r="D10">
        <v>5.2</v>
      </c>
      <c r="E10">
        <v>18</v>
      </c>
      <c r="G10" s="4">
        <f>(((Ammunition!$E$16/7000)*Ammunition!$G$16)+(Ammunition!$H$16*(Ammunition!$F$16/7000)))^2/(64.348*'7.62x51'!D10*2.205)</f>
        <v>9.2161003345088996</v>
      </c>
      <c r="H10" s="4">
        <f>(((Ammunition!$E$16/7000)*Ammunition!$G$16)+(Ammunition!$H$16*(Ammunition!$F$16/7000)))/('7.62x51'!D10*2.205)</f>
        <v>7.1917594876778548</v>
      </c>
      <c r="I10" s="4">
        <f>((Ammunition!$E$16/7000)*Ammunition!$G$16+(Ammunition!$F$16/7000)*Ammunition!$H$16)</f>
        <v>82.460714285714289</v>
      </c>
      <c r="K10" s="11">
        <f t="shared" si="2"/>
        <v>13.012483408704631</v>
      </c>
      <c r="L10" s="11">
        <f t="shared" ref="L10:L12" si="3">(G10*2+H10*5+(I10/10))/4.5</f>
        <v>13.919348785773</v>
      </c>
    </row>
    <row r="11" spans="1:17">
      <c r="A11">
        <v>629</v>
      </c>
      <c r="B11" t="s">
        <v>134</v>
      </c>
      <c r="C11">
        <v>20</v>
      </c>
      <c r="D11">
        <v>5.2</v>
      </c>
      <c r="E11">
        <v>18</v>
      </c>
      <c r="G11" s="4">
        <f>(((Ammunition!$E$16/7000)*Ammunition!$G$16)+(Ammunition!$H$16*(Ammunition!$F$16/7000)))^2/(64.348*'7.62x51'!D11*2.205)</f>
        <v>9.2161003345088996</v>
      </c>
      <c r="H11" s="4">
        <f>(((Ammunition!$E$16/7000)*Ammunition!$G$16)+(Ammunition!$H$16*(Ammunition!$F$16/7000)))/('7.62x51'!D11*2.205)</f>
        <v>7.1917594876778548</v>
      </c>
      <c r="I11" s="4">
        <f>((Ammunition!$E$16/7000)*Ammunition!$G$16+(Ammunition!$F$16/7000)*Ammunition!$H$16)</f>
        <v>82.460714285714289</v>
      </c>
      <c r="K11" s="11">
        <f t="shared" si="2"/>
        <v>13.012483408704631</v>
      </c>
      <c r="L11" s="11">
        <f t="shared" si="3"/>
        <v>13.919348785773</v>
      </c>
    </row>
    <row r="12" spans="1:17">
      <c r="A12">
        <v>712</v>
      </c>
      <c r="B12" t="s">
        <v>142</v>
      </c>
      <c r="C12">
        <v>20</v>
      </c>
      <c r="D12">
        <v>4.3499999999999996</v>
      </c>
      <c r="E12">
        <v>18</v>
      </c>
      <c r="G12" s="4">
        <f>(((Ammunition!$E$16/7000)*Ammunition!$G$16)+(Ammunition!$H$16*(Ammunition!$F$16/7000)))^2/(64.348*'7.62x51'!D12*2.205)</f>
        <v>11.016947526309488</v>
      </c>
      <c r="H12" s="4">
        <f>(((Ammunition!$E$16/7000)*Ammunition!$G$16)+(Ammunition!$H$16*(Ammunition!$F$16/7000)))/('7.62x51'!D12*2.205)</f>
        <v>8.5970458243505394</v>
      </c>
      <c r="I12" s="4">
        <f>((Ammunition!$E$16/7000)*Ammunition!$G$16+(Ammunition!$F$16/7000)*Ammunition!$H$16)</f>
        <v>82.460714285714289</v>
      </c>
      <c r="K12" s="11">
        <f t="shared" si="2"/>
        <v>15.01805214264418</v>
      </c>
      <c r="L12" s="11">
        <f t="shared" si="3"/>
        <v>16.281154578431799</v>
      </c>
    </row>
    <row r="13" spans="1:17">
      <c r="G13" s="4"/>
      <c r="H13" s="4"/>
      <c r="I13" s="4"/>
    </row>
    <row r="14" spans="1:17">
      <c r="B14" s="5" t="s">
        <v>307</v>
      </c>
      <c r="G14" s="4"/>
      <c r="H14" s="4"/>
      <c r="I14" s="4"/>
    </row>
    <row r="15" spans="1:17">
      <c r="A15">
        <v>647</v>
      </c>
      <c r="B15" t="s">
        <v>135</v>
      </c>
      <c r="C15" s="9">
        <v>20</v>
      </c>
      <c r="D15">
        <v>4.5999999999999996</v>
      </c>
      <c r="E15">
        <v>17</v>
      </c>
      <c r="G15" s="4">
        <f>(((Ammunition!$E$17/7000)*Ammunition!$G$17)+(Ammunition!$H$17*(Ammunition!$F$17/7000)))^2/(64.348*'7.62x51'!D15*2.205)</f>
        <v>10.154572666305116</v>
      </c>
      <c r="H15" s="4">
        <f>(((Ammunition!$E$17/7000)*Ammunition!$G$17)+(Ammunition!$H$17*(Ammunition!$F$17/7000)))/('7.62x51'!D15*2.205)</f>
        <v>8.0262954042900816</v>
      </c>
      <c r="I15" s="4">
        <f>((Ammunition!$E$17/7000)*Ammunition!$G$17+(Ammunition!$F$17/7000)*Ammunition!$H$17)</f>
        <v>81.410714285714292</v>
      </c>
      <c r="K15" s="11">
        <f t="shared" ref="K15:K16" si="4">(G15+H15*3+(I15/10))/3</f>
        <v>14.124843435915595</v>
      </c>
      <c r="L15" s="11">
        <f>(G15*2+H15*5+(I15/10))/4.5</f>
        <v>15.24037639614046</v>
      </c>
    </row>
    <row r="16" spans="1:17">
      <c r="A16">
        <v>1077</v>
      </c>
      <c r="B16" t="s">
        <v>146</v>
      </c>
      <c r="C16">
        <v>20</v>
      </c>
      <c r="D16">
        <f>4.61+0.48</f>
        <v>5.09</v>
      </c>
      <c r="E16">
        <v>16</v>
      </c>
      <c r="G16" s="4">
        <f>(((Ammunition!$E$17/7000)*Ammunition!$G$17)+(Ammunition!$H$17*(Ammunition!$F$17/7000)))^2/(64.348*'7.62x51'!D16*2.205)</f>
        <v>9.1770204842836005</v>
      </c>
      <c r="H16" s="4">
        <f>(((Ammunition!$E$17/7000)*Ammunition!$G$17)+(Ammunition!$H$17*(Ammunition!$F$17/7000)))/('7.62x51'!D16*2.205)</f>
        <v>7.2536264950362224</v>
      </c>
      <c r="I16" s="4">
        <f>((Ammunition!$E$17/7000)*Ammunition!$G$17+(Ammunition!$F$17/7000)*Ammunition!$H$17)</f>
        <v>81.410714285714292</v>
      </c>
      <c r="K16" s="11">
        <f t="shared" si="4"/>
        <v>13.026323799321233</v>
      </c>
      <c r="L16" s="11">
        <f>(G16*2+H16*5+(I16/10))/4.5</f>
        <v>13.947387749404387</v>
      </c>
    </row>
    <row r="17" spans="1:17">
      <c r="G17" s="4"/>
      <c r="H17" s="4"/>
      <c r="I17" s="4"/>
    </row>
    <row r="18" spans="1:17">
      <c r="B18" s="5" t="s">
        <v>308</v>
      </c>
      <c r="G18" s="4"/>
      <c r="H18" s="4"/>
      <c r="I18" s="4"/>
    </row>
    <row r="19" spans="1:17">
      <c r="A19">
        <v>648</v>
      </c>
      <c r="B19" t="s">
        <v>136</v>
      </c>
      <c r="C19">
        <v>20</v>
      </c>
      <c r="D19">
        <v>4.5</v>
      </c>
      <c r="E19">
        <v>13</v>
      </c>
      <c r="G19" s="4">
        <f>(((Ammunition!$E$18/7000)*Ammunition!$G$18)+(Ammunition!$H$18*(Ammunition!$F$18/7000)))^2/(64.348*'7.62x51'!D19*2.205)</f>
        <v>9.4642243401000101</v>
      </c>
      <c r="H19" s="4">
        <f>(((Ammunition!$E$18/7000)*Ammunition!$G$18)+(Ammunition!$H$18*(Ammunition!$F$18/7000)))/('7.62x51'!D19*2.205)</f>
        <v>7.8342871540150467</v>
      </c>
      <c r="I19" s="4">
        <f>((Ammunition!$E$18/7000)*Ammunition!$G$18+(Ammunition!$F$18/7000)*Ammunition!$H$18)</f>
        <v>77.735714285714295</v>
      </c>
      <c r="K19" s="11">
        <f t="shared" ref="K19:K21" si="5">(G19+H19*3+(I19/10))/3</f>
        <v>13.580219076905527</v>
      </c>
      <c r="L19" s="11">
        <f>(G19*2+H19*5+(I19/10))/4.5</f>
        <v>14.638545750854819</v>
      </c>
    </row>
    <row r="20" spans="1:17">
      <c r="A20">
        <v>651</v>
      </c>
      <c r="B20" t="s">
        <v>138</v>
      </c>
      <c r="C20">
        <v>20</v>
      </c>
      <c r="D20">
        <v>4.3</v>
      </c>
      <c r="E20">
        <v>13</v>
      </c>
      <c r="G20" s="4">
        <f>(((Ammunition!$E$18/7000)*Ammunition!$G$18)+(Ammunition!$H$18*(Ammunition!$F$18/7000)))^2/(64.348*'7.62x51'!D20*2.205)</f>
        <v>9.9044208210348934</v>
      </c>
      <c r="H20" s="4">
        <f>(((Ammunition!$E$18/7000)*Ammunition!$G$18)+(Ammunition!$H$18*(Ammunition!$F$18/7000)))/('7.62x51'!D20*2.205)</f>
        <v>8.198672603039002</v>
      </c>
      <c r="I20" s="4">
        <f>((Ammunition!$E$18/7000)*Ammunition!$G$18+(Ammunition!$F$18/7000)*Ammunition!$H$18)</f>
        <v>77.735714285714295</v>
      </c>
      <c r="K20" s="11">
        <f t="shared" si="5"/>
        <v>14.091336686241112</v>
      </c>
      <c r="L20" s="11">
        <f t="shared" ref="L20:L21" si="6">(G20*2+H20*5+(I20/10))/4.5</f>
        <v>15.239061352408051</v>
      </c>
    </row>
    <row r="21" spans="1:17">
      <c r="A21">
        <v>667</v>
      </c>
      <c r="B21" t="s">
        <v>140</v>
      </c>
      <c r="C21">
        <v>20</v>
      </c>
      <c r="D21">
        <v>4.9000000000000004</v>
      </c>
      <c r="E21">
        <v>12.5</v>
      </c>
      <c r="G21" s="4">
        <f>(((Ammunition!$E$18/7000)*Ammunition!$G$18)+(Ammunition!$H$18*(Ammunition!$F$18/7000)))^2/(64.348*'7.62x51'!D21*2.205)</f>
        <v>8.6916345980510279</v>
      </c>
      <c r="H21" s="4">
        <f>(((Ammunition!$E$18/7000)*Ammunition!$G$18)+(Ammunition!$H$18*(Ammunition!$F$18/7000)))/('7.62x51'!D21*2.205)</f>
        <v>7.1947535087893275</v>
      </c>
      <c r="I21" s="4">
        <f>((Ammunition!$E$18/7000)*Ammunition!$G$18+(Ammunition!$F$18/7000)*Ammunition!$H$18)</f>
        <v>77.735714285714295</v>
      </c>
      <c r="K21" s="11">
        <f t="shared" si="5"/>
        <v>12.683155517663479</v>
      </c>
      <c r="L21" s="11">
        <f t="shared" si="6"/>
        <v>13.584579593026694</v>
      </c>
    </row>
    <row r="22" spans="1:17">
      <c r="G22" s="4"/>
      <c r="H22" s="4"/>
      <c r="I22" s="4"/>
    </row>
    <row r="23" spans="1:17">
      <c r="B23" s="5" t="s">
        <v>303</v>
      </c>
      <c r="G23" s="4"/>
      <c r="H23" s="4"/>
      <c r="I23" s="4"/>
    </row>
    <row r="24" spans="1:17">
      <c r="A24">
        <v>1195</v>
      </c>
      <c r="B24" t="s">
        <v>147</v>
      </c>
      <c r="C24">
        <v>20</v>
      </c>
      <c r="D24">
        <v>3.9</v>
      </c>
      <c r="E24">
        <v>9</v>
      </c>
      <c r="G24" s="4">
        <f>(((Ammunition!$E$19/7000)*Ammunition!$G$19)+(Ammunition!$H$19*(Ammunition!$F$19/7000)))^2/(64.348*'7.62x51'!D24*2.205)</f>
        <v>10.053170598209864</v>
      </c>
      <c r="H24" s="4">
        <f>(((Ammunition!$E$19/7000)*Ammunition!$G$19)+(Ammunition!$H$19*(Ammunition!$F$19/7000)))/('7.62x51'!D24*2.205)</f>
        <v>8.6732617344862231</v>
      </c>
      <c r="I24" s="4">
        <f>((Ammunition!$E$19/7000)*Ammunition!$G$19+(Ammunition!$F$19/7000)*Ammunition!$H$19)</f>
        <v>74.585714285714289</v>
      </c>
      <c r="K24" s="11">
        <f t="shared" ref="K24" si="7">(G24+H24*3+(I24/10))/3</f>
        <v>14.510509076746652</v>
      </c>
      <c r="L24" s="11">
        <f>(G24*2+H24*5+(I24/10))/4.5</f>
        <v>15.762493621649392</v>
      </c>
    </row>
    <row r="25" spans="1:17">
      <c r="C25" s="5"/>
    </row>
    <row r="28" spans="1:17">
      <c r="B28" t="s">
        <v>148</v>
      </c>
      <c r="D28" t="s">
        <v>79</v>
      </c>
      <c r="E28" t="s">
        <v>84</v>
      </c>
      <c r="N28" t="s">
        <v>283</v>
      </c>
      <c r="O28" t="s">
        <v>281</v>
      </c>
    </row>
    <row r="29" spans="1:17">
      <c r="A29">
        <v>36</v>
      </c>
      <c r="B29" t="s">
        <v>132</v>
      </c>
      <c r="C29">
        <v>100</v>
      </c>
      <c r="D29">
        <v>12.4</v>
      </c>
      <c r="G29" s="4">
        <f>(((Ammunition!$E$15/7000)*Ammunition!$G$15)+(Ammunition!$H$15*(Ammunition!$F$15/7000)))^2/(64.348*'7.62x51'!D29*2.205)</f>
        <v>4.0138622085380149</v>
      </c>
      <c r="H29" s="4">
        <f>(((Ammunition!$E$15/7000)*Ammunition!$G$15)+(Ammunition!$H$15*(Ammunition!$F$15/7000)))/('7.62x51'!D29*2.205)</f>
        <v>3.0735028266298841</v>
      </c>
      <c r="I29" s="4">
        <f>((Ammunition!$E$15/7000)*Ammunition!$G$15+(Ammunition!$F$15/7000)*Ammunition!$H$15)</f>
        <v>84.035714285714292</v>
      </c>
      <c r="K29" s="11">
        <f t="shared" ref="K29:K33" si="8">(G29+H29*3+(I29/10))/3</f>
        <v>7.2126473723330315</v>
      </c>
      <c r="L29" s="11">
        <f t="shared" ref="L29:L33" si="9">(G29*2+H29*5+(I29/10))/4.5</f>
        <v>7.0664022175104177</v>
      </c>
      <c r="N29">
        <v>24</v>
      </c>
      <c r="O29">
        <v>100</v>
      </c>
      <c r="P29">
        <f>+O29*N29</f>
        <v>2400</v>
      </c>
    </row>
    <row r="30" spans="1:17">
      <c r="A30">
        <v>627</v>
      </c>
      <c r="B30" t="s">
        <v>133</v>
      </c>
      <c r="C30">
        <v>100</v>
      </c>
      <c r="D30">
        <v>17.8</v>
      </c>
      <c r="G30" s="4">
        <f>(((Ammunition!$E$15/7000)*Ammunition!$G$15)+(Ammunition!$H$15*(Ammunition!$F$15/7000)))^2/(64.348*'7.62x51'!D30*2.205)</f>
        <v>2.7961736733635609</v>
      </c>
      <c r="H30" s="4">
        <f>(((Ammunition!$E$15/7000)*Ammunition!$G$15)+(Ammunition!$H$15*(Ammunition!$F$15/7000)))/('7.62x51'!D30*2.205)</f>
        <v>2.1410918567534023</v>
      </c>
      <c r="I30" s="4">
        <f>((Ammunition!$E$15/7000)*Ammunition!$G$15+(Ammunition!$F$15/7000)*Ammunition!$H$15)</f>
        <v>84.035714285714292</v>
      </c>
      <c r="K30" s="11">
        <f t="shared" si="8"/>
        <v>5.8743402240650653</v>
      </c>
      <c r="L30" s="11">
        <f t="shared" si="9"/>
        <v>5.4891951242367911</v>
      </c>
      <c r="P30">
        <v>750</v>
      </c>
      <c r="Q30" t="s">
        <v>292</v>
      </c>
    </row>
    <row r="31" spans="1:17">
      <c r="A31">
        <v>649</v>
      </c>
      <c r="B31" t="s">
        <v>137</v>
      </c>
      <c r="C31" s="9">
        <v>100</v>
      </c>
      <c r="D31">
        <v>15.6</v>
      </c>
      <c r="G31" s="4">
        <f>(((Ammunition!$E$15/7000)*Ammunition!$G$15)+(Ammunition!$H$15*(Ammunition!$F$15/7000)))^2/(64.348*'7.62x51'!D31*2.205)</f>
        <v>3.1905058580686787</v>
      </c>
      <c r="H31" s="4">
        <f>(((Ammunition!$E$15/7000)*Ammunition!$G$15)+(Ammunition!$H$15*(Ammunition!$F$15/7000)))/('7.62x51'!D31*2.205)</f>
        <v>2.4430407083468308</v>
      </c>
      <c r="I31" s="4">
        <f>((Ammunition!$E$15/7000)*Ammunition!$G$15+(Ammunition!$F$15/7000)*Ammunition!$H$15)</f>
        <v>84.035714285714292</v>
      </c>
      <c r="K31" s="11">
        <f t="shared" si="8"/>
        <v>6.3077331372268661</v>
      </c>
      <c r="L31" s="11">
        <f t="shared" si="9"/>
        <v>5.9999525969873204</v>
      </c>
      <c r="P31">
        <f>+P29+P30</f>
        <v>3150</v>
      </c>
    </row>
    <row r="32" spans="1:17">
      <c r="A32">
        <v>687</v>
      </c>
      <c r="B32" t="s">
        <v>141</v>
      </c>
      <c r="C32">
        <v>100</v>
      </c>
      <c r="D32">
        <v>13.6</v>
      </c>
      <c r="G32" s="4">
        <f>(((Ammunition!$E$15/7000)*Ammunition!$G$15)+(Ammunition!$H$15*(Ammunition!$F$15/7000)))^2/(64.348*'7.62x51'!D32*2.205)</f>
        <v>3.6596978960199551</v>
      </c>
      <c r="H32" s="4">
        <f>(((Ammunition!$E$15/7000)*Ammunition!$G$15)+(Ammunition!$H$15*(Ammunition!$F$15/7000)))/('7.62x51'!D32*2.205)</f>
        <v>2.8023114007507766</v>
      </c>
      <c r="I32" s="4">
        <f>((Ammunition!$E$15/7000)*Ammunition!$G$15+(Ammunition!$F$15/7000)*Ammunition!$H$15)</f>
        <v>84.035714285714292</v>
      </c>
      <c r="K32" s="11">
        <f t="shared" si="8"/>
        <v>6.8234011756145705</v>
      </c>
      <c r="L32" s="11">
        <f t="shared" si="9"/>
        <v>6.6076720498589374</v>
      </c>
    </row>
    <row r="33" spans="1:12">
      <c r="A33">
        <v>1075</v>
      </c>
      <c r="B33" t="s">
        <v>145</v>
      </c>
      <c r="C33">
        <v>100</v>
      </c>
      <c r="D33">
        <v>14.6</v>
      </c>
      <c r="G33" s="4">
        <f>(((Ammunition!$E$15/7000)*Ammunition!$G$15)+(Ammunition!$H$15*(Ammunition!$F$15/7000)))^2/(64.348*'7.62x51'!D33*2.205)</f>
        <v>3.409033656566534</v>
      </c>
      <c r="H33" s="4">
        <f>(((Ammunition!$E$15/7000)*Ammunition!$G$15)+(Ammunition!$H$15*(Ammunition!$F$15/7000)))/('7.62x51'!D33*2.205)</f>
        <v>2.6103722637130526</v>
      </c>
      <c r="I33" s="4">
        <f>((Ammunition!$E$15/7000)*Ammunition!$G$15+(Ammunition!$F$15/7000)*Ammunition!$H$15)</f>
        <v>84.035714285714292</v>
      </c>
      <c r="K33" s="11">
        <f t="shared" si="8"/>
        <v>6.5479072920923729</v>
      </c>
      <c r="L33" s="11">
        <f t="shared" si="9"/>
        <v>6.2830000133932806</v>
      </c>
    </row>
    <row r="41" spans="1:12">
      <c r="C41" s="5"/>
    </row>
    <row r="52" spans="3:3">
      <c r="C52" s="5"/>
    </row>
    <row r="56" spans="3:3">
      <c r="C56" s="5"/>
    </row>
    <row r="63" spans="3:3">
      <c r="C63" s="5"/>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dimension ref="A1:R63"/>
  <sheetViews>
    <sheetView workbookViewId="0">
      <selection activeCell="M12" sqref="M12"/>
    </sheetView>
  </sheetViews>
  <sheetFormatPr baseColWidth="10" defaultRowHeight="15"/>
  <cols>
    <col min="1" max="1" width="4" bestFit="1" customWidth="1"/>
    <col min="2" max="2" width="12.85546875" customWidth="1"/>
    <col min="3" max="3" width="4.7109375" bestFit="1" customWidth="1"/>
    <col min="4" max="4" width="16.28515625" bestFit="1" customWidth="1"/>
    <col min="5" max="5" width="8" customWidth="1"/>
    <col min="7" max="7" width="13" style="4" bestFit="1" customWidth="1"/>
    <col min="8" max="8" width="13.85546875" style="4" bestFit="1" customWidth="1"/>
    <col min="9" max="9" width="13.5703125" style="4" bestFit="1" customWidth="1"/>
  </cols>
  <sheetData>
    <row r="1" spans="1:18">
      <c r="A1" t="s">
        <v>128</v>
      </c>
      <c r="C1" s="5"/>
      <c r="G1" s="4" t="s">
        <v>3</v>
      </c>
      <c r="H1" s="4" t="s">
        <v>4</v>
      </c>
      <c r="I1" s="4" t="s">
        <v>62</v>
      </c>
      <c r="K1" s="11" t="s">
        <v>362</v>
      </c>
      <c r="L1" s="4" t="s">
        <v>363</v>
      </c>
    </row>
    <row r="2" spans="1:18">
      <c r="B2" t="s">
        <v>148</v>
      </c>
      <c r="C2" s="9" t="s">
        <v>352</v>
      </c>
      <c r="D2" t="s">
        <v>79</v>
      </c>
      <c r="E2" t="s">
        <v>84</v>
      </c>
      <c r="P2" t="s">
        <v>283</v>
      </c>
      <c r="Q2" t="s">
        <v>281</v>
      </c>
    </row>
    <row r="3" spans="1:18">
      <c r="A3" s="7">
        <v>699</v>
      </c>
      <c r="B3" s="7" t="s">
        <v>228</v>
      </c>
      <c r="C3">
        <v>200</v>
      </c>
      <c r="D3">
        <v>16.21</v>
      </c>
      <c r="E3">
        <v>26</v>
      </c>
      <c r="G3" s="4">
        <f>(((Ammunition!$E$22/7000)*Ammunition!$G$22)+(Ammunition!$H$22*(Ammunition!$F$22/7000)))^2/(64.348*'7.62x54R'!D3*2.205)</f>
        <v>3.3233807690506376</v>
      </c>
      <c r="H3" s="4">
        <f>(((Ammunition!$E$22/7000)*Ammunition!$G$22)+(Ammunition!$H$22*(Ammunition!$F$22/7000)))/('7.62x54R'!D3*2.205)</f>
        <v>2.4460299674642041</v>
      </c>
      <c r="I3" s="4">
        <f>((Ammunition!$E$22/7000)*Ammunition!$G$22+(Ammunition!$F$22/7000)*Ammunition!$H$22)</f>
        <v>87.428571428571431</v>
      </c>
      <c r="K3" s="11">
        <f>(G3+H3*3+(I3/10))/3</f>
        <v>6.4681092714334651</v>
      </c>
      <c r="L3" s="11">
        <f t="shared" ref="L3:L4" si="0">(G3*2+H3*5+(I3/10))/4.5</f>
        <v>6.1377263373954314</v>
      </c>
      <c r="M3" s="11"/>
      <c r="P3">
        <v>21.8</v>
      </c>
      <c r="Q3">
        <v>200</v>
      </c>
      <c r="R3">
        <f>+P3*Q3</f>
        <v>4360</v>
      </c>
    </row>
    <row r="4" spans="1:18">
      <c r="A4" s="7">
        <v>700</v>
      </c>
      <c r="B4" s="7" t="s">
        <v>229</v>
      </c>
      <c r="C4">
        <v>200</v>
      </c>
      <c r="D4">
        <v>15.5</v>
      </c>
      <c r="E4">
        <v>25.4</v>
      </c>
      <c r="G4" s="4">
        <f>(((Ammunition!$E$22/7000)*Ammunition!$G$22)+(Ammunition!$H$22*(Ammunition!$F$22/7000)))^2/(64.348*'7.62x54R'!D4*2.205)</f>
        <v>3.4756130494394086</v>
      </c>
      <c r="H4" s="4">
        <f>(((Ammunition!$E$22/7000)*Ammunition!$G$22)+(Ammunition!$H$22*(Ammunition!$F$22/7000)))/('7.62x54R'!D4*2.205)</f>
        <v>2.5580739208125647</v>
      </c>
      <c r="I4" s="4">
        <f>((Ammunition!$E$22/7000)*Ammunition!$G$22+(Ammunition!$F$22/7000)*Ammunition!$H$22)</f>
        <v>87.428571428571431</v>
      </c>
      <c r="K4" s="11">
        <f>(G4+H4*3+(I4/10))/3</f>
        <v>6.6308973182447488</v>
      </c>
      <c r="L4" s="11">
        <f t="shared" si="0"/>
        <v>6.3298784101775079</v>
      </c>
      <c r="Q4">
        <v>100</v>
      </c>
      <c r="R4">
        <f>+P3*Q4</f>
        <v>2180</v>
      </c>
    </row>
    <row r="8" spans="1:18">
      <c r="B8" t="s">
        <v>285</v>
      </c>
    </row>
    <row r="15" spans="1:18">
      <c r="C15" s="5"/>
    </row>
    <row r="25" spans="3:3">
      <c r="C25" s="5"/>
    </row>
    <row r="31" spans="3:3">
      <c r="C31" s="5"/>
    </row>
    <row r="41" spans="3:3">
      <c r="C41" s="5"/>
    </row>
    <row r="52" spans="3:3">
      <c r="C52" s="5"/>
    </row>
    <row r="56" spans="3:3">
      <c r="C56" s="5"/>
    </row>
    <row r="63" spans="3:3">
      <c r="C63" s="5"/>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dimension ref="A1:T9"/>
  <sheetViews>
    <sheetView workbookViewId="0">
      <selection activeCell="A8" sqref="A8:XFD8"/>
    </sheetView>
  </sheetViews>
  <sheetFormatPr baseColWidth="10" defaultRowHeight="15"/>
  <cols>
    <col min="1" max="1" width="5" bestFit="1" customWidth="1"/>
    <col min="2" max="2" width="16.42578125" customWidth="1"/>
    <col min="3" max="3" width="8.7109375" bestFit="1" customWidth="1"/>
    <col min="4" max="4" width="16.28515625" bestFit="1" customWidth="1"/>
    <col min="7" max="7" width="13" bestFit="1" customWidth="1"/>
    <col min="8" max="8" width="13.85546875" bestFit="1" customWidth="1"/>
    <col min="9" max="9" width="13.5703125" bestFit="1" customWidth="1"/>
  </cols>
  <sheetData>
    <row r="1" spans="1:20">
      <c r="A1" t="s">
        <v>128</v>
      </c>
      <c r="G1" s="4" t="s">
        <v>3</v>
      </c>
      <c r="H1" s="4" t="s">
        <v>4</v>
      </c>
      <c r="I1" s="4" t="s">
        <v>62</v>
      </c>
      <c r="K1" s="11" t="s">
        <v>362</v>
      </c>
      <c r="L1" s="4" t="s">
        <v>363</v>
      </c>
    </row>
    <row r="2" spans="1:20">
      <c r="B2" s="5" t="s">
        <v>231</v>
      </c>
      <c r="C2" t="s">
        <v>309</v>
      </c>
      <c r="D2" t="s">
        <v>79</v>
      </c>
      <c r="E2" t="s">
        <v>84</v>
      </c>
      <c r="Q2" t="s">
        <v>310</v>
      </c>
    </row>
    <row r="3" spans="1:20">
      <c r="A3">
        <v>10</v>
      </c>
      <c r="B3" t="s">
        <v>311</v>
      </c>
      <c r="C3">
        <v>30</v>
      </c>
      <c r="D3">
        <f>2.84+0.8</f>
        <v>3.6399999999999997</v>
      </c>
      <c r="G3" s="4">
        <f>(((Ammunition!$E$50/7000)*Ammunition!$G$50)+(Ammunition!$H$50*(Ammunition!$F$50/7000)))^2/(64.348*'.45 ACP'!D3*2.205)</f>
        <v>1.8350733930173684</v>
      </c>
      <c r="H3" s="4">
        <f>(((Ammunition!$E$50/7000)*Ammunition!$G$50)+(Ammunition!$H$50*(Ammunition!$F$50/7000)))/('.45 ACP'!D3*2.205)</f>
        <v>3.8356525236991712</v>
      </c>
      <c r="I3" s="4">
        <f>((Ammunition!$E$50/7000)*Ammunition!$G$50+(Ammunition!$F$50/7000)*Ammunition!$H$50)</f>
        <v>30.785714285714285</v>
      </c>
      <c r="K3" s="11">
        <f>(G3+H3*3+(I3/10))/3</f>
        <v>5.4735341308954375</v>
      </c>
      <c r="L3" s="11">
        <f>(G3*2+H3*5+(I3/10))/5</f>
        <v>5.1853961666204045</v>
      </c>
      <c r="M3" s="11"/>
      <c r="Q3" t="s">
        <v>283</v>
      </c>
      <c r="R3" t="s">
        <v>281</v>
      </c>
    </row>
    <row r="4" spans="1:20">
      <c r="Q4">
        <v>21</v>
      </c>
      <c r="R4">
        <v>30</v>
      </c>
      <c r="S4">
        <f>+Q4*R4</f>
        <v>630</v>
      </c>
    </row>
    <row r="5" spans="1:20">
      <c r="B5" s="5" t="s">
        <v>230</v>
      </c>
      <c r="S5">
        <v>170</v>
      </c>
      <c r="T5" t="s">
        <v>317</v>
      </c>
    </row>
    <row r="6" spans="1:20">
      <c r="A6">
        <v>11</v>
      </c>
      <c r="B6" t="s">
        <v>312</v>
      </c>
      <c r="C6">
        <v>30</v>
      </c>
      <c r="D6">
        <f>4.8+0.8</f>
        <v>5.6</v>
      </c>
      <c r="E6">
        <v>12</v>
      </c>
      <c r="G6" s="4">
        <f>(((Ammunition!$E$51/7000)*Ammunition!$G$51)+(Ammunition!$H$51*(Ammunition!$F$51/7000)))^2/(64.348*'.45 ACP'!D6*2.205)</f>
        <v>1.3913988027402584</v>
      </c>
      <c r="H6" s="4">
        <f>(((Ammunition!$E$51/7000)*Ammunition!$G$51)+(Ammunition!$H$51*(Ammunition!$F$51/7000)))/('.45 ACP'!D6*2.205)</f>
        <v>2.6927437641723357</v>
      </c>
      <c r="I6" s="4">
        <f>((Ammunition!$E$51/7000)*Ammunition!$G$51+(Ammunition!$F$51/7000)*Ammunition!$H$51)</f>
        <v>33.25</v>
      </c>
      <c r="K6" s="11">
        <f>(G6+H6*3+(I6/10))/3</f>
        <v>4.264876698419088</v>
      </c>
      <c r="L6" s="11">
        <f>(G6*2+H6*5+(I6/10))/5</f>
        <v>3.9143032852684394</v>
      </c>
      <c r="S6">
        <f>+S4+S5</f>
        <v>800</v>
      </c>
    </row>
    <row r="7" spans="1:20">
      <c r="A7">
        <v>677</v>
      </c>
      <c r="B7" t="s">
        <v>313</v>
      </c>
      <c r="C7">
        <v>30</v>
      </c>
      <c r="D7">
        <f>2.65+0.63</f>
        <v>3.28</v>
      </c>
      <c r="E7">
        <v>8</v>
      </c>
      <c r="G7" s="4">
        <f>(((Ammunition!$E$51/7000)*Ammunition!$G$51)+(Ammunition!$H$51*(Ammunition!$F$51/7000)))^2/(64.348*'.45 ACP'!D7*2.205)</f>
        <v>2.3755589315077588</v>
      </c>
      <c r="H7" s="4">
        <f>(((Ammunition!$E$51/7000)*Ammunition!$G$51)+(Ammunition!$H$51*(Ammunition!$F$51/7000)))/('.45 ACP'!D7*2.205)</f>
        <v>4.5973674022454505</v>
      </c>
      <c r="I7" s="4">
        <f>((Ammunition!$E$51/7000)*Ammunition!$G$51+(Ammunition!$F$51/7000)*Ammunition!$H$51)</f>
        <v>33.25</v>
      </c>
      <c r="K7" s="11">
        <f t="shared" ref="K7:K9" si="0">(G7+H7*3+(I7/10))/3</f>
        <v>6.4975537127480365</v>
      </c>
      <c r="L7" s="11">
        <f t="shared" ref="L7:L9" si="1">(G7*2+H7*5+(I7/10))/5</f>
        <v>6.2125909748485535</v>
      </c>
    </row>
    <row r="8" spans="1:20">
      <c r="A8">
        <v>737</v>
      </c>
      <c r="B8" t="s">
        <v>314</v>
      </c>
      <c r="C8">
        <v>50</v>
      </c>
      <c r="D8">
        <f>4.9+2.15</f>
        <v>7.0500000000000007</v>
      </c>
      <c r="E8">
        <v>10.5</v>
      </c>
      <c r="G8" s="4">
        <f>(((Ammunition!$E$51/7000)*Ammunition!$G$51)+(Ammunition!$H$51*(Ammunition!$F$51/7000)))^2/(64.348*'.45 ACP'!D8*2.205)</f>
        <v>1.1052245809000634</v>
      </c>
      <c r="H8" s="4">
        <f>(((Ammunition!$E$51/7000)*Ammunition!$G$51)+(Ammunition!$H$51*(Ammunition!$F$51/7000)))/('.45 ACP'!D8*2.205)</f>
        <v>2.1389170325340534</v>
      </c>
      <c r="I8" s="4">
        <f>((Ammunition!$E$51/7000)*Ammunition!$G$51+(Ammunition!$F$51/7000)*Ammunition!$H$51)</f>
        <v>33.25</v>
      </c>
      <c r="K8" s="11">
        <f t="shared" si="0"/>
        <v>3.615658559500742</v>
      </c>
      <c r="L8" s="11">
        <f t="shared" si="1"/>
        <v>3.2460068648940785</v>
      </c>
      <c r="R8">
        <v>50</v>
      </c>
      <c r="S8">
        <v>2.15</v>
      </c>
      <c r="T8" t="s">
        <v>350</v>
      </c>
    </row>
    <row r="9" spans="1:20">
      <c r="A9">
        <v>1071</v>
      </c>
      <c r="B9" t="s">
        <v>315</v>
      </c>
      <c r="C9">
        <v>30</v>
      </c>
      <c r="D9">
        <f>4.21+0.8</f>
        <v>5.01</v>
      </c>
      <c r="E9">
        <v>9.6999999999999993</v>
      </c>
      <c r="G9" s="4">
        <f>(((Ammunition!$E$51/7000)*Ammunition!$G$51)+(Ammunition!$H$51*(Ammunition!$F$51/7000)))^2/(64.348*'.45 ACP'!D9*2.205)</f>
        <v>1.5552561467755388</v>
      </c>
      <c r="H9" s="4">
        <f>(((Ammunition!$E$51/7000)*Ammunition!$G$51)+(Ammunition!$H$51*(Ammunition!$F$51/7000)))/('.45 ACP'!D9*2.205)</f>
        <v>3.0098533092545066</v>
      </c>
      <c r="I9" s="4">
        <f>((Ammunition!$E$51/7000)*Ammunition!$G$51+(Ammunition!$F$51/7000)*Ammunition!$H$51)</f>
        <v>33.25</v>
      </c>
      <c r="K9" s="11">
        <f t="shared" si="0"/>
        <v>4.6366053581796862</v>
      </c>
      <c r="L9" s="11">
        <f t="shared" si="1"/>
        <v>4.2969557679647217</v>
      </c>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Intro</vt:lpstr>
      <vt:lpstr>Ammunition</vt:lpstr>
      <vt:lpstr>5.45x39</vt:lpstr>
      <vt:lpstr>5.56x45</vt:lpstr>
      <vt:lpstr>7.62x39</vt:lpstr>
      <vt:lpstr>6.8 SPC</vt:lpstr>
      <vt:lpstr>7.62x51</vt:lpstr>
      <vt:lpstr>7.62x54R</vt:lpstr>
      <vt:lpstr>.45 ACP</vt:lpstr>
      <vt:lpstr>9x19</vt:lpstr>
      <vt:lpstr>Rus9x</vt:lpstr>
      <vt:lpstr>7.62x25</vt:lpstr>
      <vt:lpstr>Misc</vt:lpstr>
      <vt:lpstr>Sources+Scrap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2012-10-07T01:00:13Z</dcterms:modified>
</cp:coreProperties>
</file>