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work files\23春课程\高级计量经济学2\Homework 3 - IV(2)\"/>
    </mc:Choice>
  </mc:AlternateContent>
  <xr:revisionPtr revIDLastSave="0" documentId="13_ncr:1_{8467845D-5A7E-4BFC-8E6B-6FB3442E351F}" xr6:coauthVersionLast="47" xr6:coauthVersionMax="47" xr10:uidLastSave="{00000000-0000-0000-0000-000000000000}"/>
  <bookViews>
    <workbookView xWindow="-16320" yWindow="3795" windowWidth="16440" windowHeight="28440" activeTab="3" xr2:uid="{00000000-000D-0000-FFFF-FFFF00000000}"/>
  </bookViews>
  <sheets>
    <sheet name="Table2" sheetId="1" r:id="rId1"/>
    <sheet name="Table4" sheetId="2" r:id="rId2"/>
    <sheet name="Table5" sheetId="3" r:id="rId3"/>
    <sheet name="Table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M12" i="4"/>
  <c r="L12" i="4"/>
  <c r="K12" i="4"/>
  <c r="J12" i="4"/>
  <c r="I12" i="4"/>
  <c r="H12" i="4"/>
  <c r="G12" i="4"/>
  <c r="F12" i="4"/>
  <c r="E12" i="4"/>
  <c r="N7" i="4"/>
  <c r="M7" i="4"/>
  <c r="L7" i="4"/>
  <c r="K7" i="4"/>
  <c r="J7" i="4"/>
  <c r="I7" i="4"/>
  <c r="H7" i="4"/>
  <c r="G7" i="4"/>
  <c r="F7" i="4"/>
  <c r="E7" i="4"/>
  <c r="D7" i="4"/>
  <c r="N6" i="4"/>
  <c r="M6" i="4"/>
  <c r="L6" i="4"/>
  <c r="K6" i="4"/>
  <c r="J6" i="4"/>
  <c r="I6" i="4"/>
  <c r="H6" i="4"/>
  <c r="G6" i="4"/>
  <c r="F6" i="4"/>
  <c r="E6" i="4"/>
  <c r="N5" i="4"/>
  <c r="M5" i="4"/>
  <c r="L5" i="4"/>
  <c r="K5" i="4"/>
  <c r="J5" i="4"/>
  <c r="I5" i="4"/>
  <c r="H5" i="4"/>
  <c r="G5" i="4"/>
  <c r="F5" i="4"/>
  <c r="E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H3" i="4"/>
  <c r="G3" i="4"/>
  <c r="F3" i="4"/>
  <c r="E3" i="4"/>
  <c r="D3" i="4"/>
  <c r="F16" i="3"/>
  <c r="F17" i="3"/>
  <c r="F18" i="3"/>
  <c r="F19" i="3"/>
  <c r="G37" i="3"/>
  <c r="F37" i="3"/>
  <c r="E37" i="3"/>
  <c r="D37" i="3"/>
  <c r="G18" i="3"/>
  <c r="G19" i="3"/>
  <c r="I19" i="3"/>
  <c r="H19" i="3"/>
  <c r="I18" i="3"/>
  <c r="H18" i="3"/>
  <c r="I17" i="3"/>
  <c r="H17" i="3"/>
  <c r="G17" i="3"/>
  <c r="I16" i="3"/>
  <c r="H16" i="3"/>
  <c r="G16" i="3"/>
  <c r="A6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<sst xmlns="http://schemas.openxmlformats.org/spreadsheetml/2006/main" count="172" uniqueCount="63">
  <si>
    <t>0.154***</t>
  </si>
  <si>
    <t>0.0634***</t>
  </si>
  <si>
    <t>0.0751***</t>
  </si>
  <si>
    <t>-0.240***</t>
  </si>
  <si>
    <t>0.351***</t>
  </si>
  <si>
    <t>0.0550***</t>
  </si>
  <si>
    <t>N</t>
  </si>
  <si>
    <t>Average years of schooling (logged)</t>
    <phoneticPr fontId="1" type="noConversion"/>
  </si>
  <si>
    <t>Share of population with (×100, logged)</t>
    <phoneticPr fontId="1" type="noConversion"/>
  </si>
  <si>
    <t>Elementary
and secondary
school</t>
    <phoneticPr fontId="1" type="noConversion"/>
  </si>
  <si>
    <t>High
school</t>
    <phoneticPr fontId="1" type="noConversion"/>
  </si>
  <si>
    <t xml:space="preserve">No
education
</t>
    <phoneticPr fontId="1" type="noConversion"/>
  </si>
  <si>
    <t>University
and above</t>
    <phoneticPr fontId="1" type="noConversion"/>
  </si>
  <si>
    <t>(1)</t>
    <phoneticPr fontId="1" type="noConversion"/>
  </si>
  <si>
    <t>(2)</t>
    <phoneticPr fontId="1" type="noConversion"/>
  </si>
  <si>
    <t>(3)</t>
  </si>
  <si>
    <t>(4)</t>
  </si>
  <si>
    <t>(5)</t>
  </si>
  <si>
    <t>(6)</t>
  </si>
  <si>
    <t>(7)</t>
  </si>
  <si>
    <t>(8)</t>
  </si>
  <si>
    <t>Jinshi density
(logged)</t>
    <phoneticPr fontId="1" type="noConversion"/>
  </si>
  <si>
    <t>Night-time lights
in 2010 (logged)</t>
    <phoneticPr fontId="1" type="noConversion"/>
  </si>
  <si>
    <t>Distance to coast
(logged)</t>
    <phoneticPr fontId="1" type="noConversion"/>
  </si>
  <si>
    <t>Terrain</t>
    <phoneticPr fontId="1" type="noConversion"/>
  </si>
  <si>
    <t>Agricultural
suitability</t>
    <phoneticPr fontId="1" type="noConversion"/>
  </si>
  <si>
    <t>Population density
(logged)</t>
    <phoneticPr fontId="1" type="noConversion"/>
  </si>
  <si>
    <t>Province fixed
effects</t>
    <phoneticPr fontId="1" type="noConversion"/>
  </si>
  <si>
    <t>Yes</t>
  </si>
  <si>
    <t>Yes</t>
    <phoneticPr fontId="1" type="noConversion"/>
  </si>
  <si>
    <t>Adjusted R2</t>
    <phoneticPr fontId="1" type="noConversion"/>
  </si>
  <si>
    <t>Adjusted R</t>
    <phoneticPr fontId="1" type="noConversion"/>
  </si>
  <si>
    <t>Ming-Qing urbanisation rates</t>
    <phoneticPr fontId="1" type="noConversion"/>
  </si>
  <si>
    <t>Baseline controls</t>
    <phoneticPr fontId="1" type="noConversion"/>
  </si>
  <si>
    <t>Printed books
(logged)</t>
    <phoneticPr fontId="1" type="noConversion"/>
  </si>
  <si>
    <t>River distance to pine/bamboo</t>
    <phoneticPr fontId="1" type="noConversion"/>
  </si>
  <si>
    <t>Jinshi density (logged)</t>
    <phoneticPr fontId="1" type="noConversion"/>
  </si>
  <si>
    <t>Printing centre</t>
    <phoneticPr fontId="1" type="noConversion"/>
  </si>
  <si>
    <t>Printed books (logged)</t>
    <phoneticPr fontId="1" type="noConversion"/>
  </si>
  <si>
    <t>Distance to major
navigable rivers
(logged)</t>
    <phoneticPr fontId="1" type="noConversion"/>
  </si>
  <si>
    <t>River distance to
bamboo/pine (logged)</t>
    <phoneticPr fontId="1" type="noConversion"/>
  </si>
  <si>
    <t>First stage F-stat</t>
    <phoneticPr fontId="1" type="noConversion"/>
  </si>
  <si>
    <t>First stage partial R2</t>
    <phoneticPr fontId="1" type="noConversion"/>
  </si>
  <si>
    <t>Baseline + additional
controls</t>
    <phoneticPr fontId="1" type="noConversion"/>
  </si>
  <si>
    <t>Province fixed effects</t>
    <phoneticPr fontId="1" type="noConversion"/>
  </si>
  <si>
    <t>Number of observations</t>
    <phoneticPr fontId="1" type="noConversion"/>
  </si>
  <si>
    <t>Kleibergen–Paap rk
Wald F-stat</t>
    <phoneticPr fontId="1" type="noConversion"/>
  </si>
  <si>
    <t>274</t>
  </si>
  <si>
    <t>Average years of schooling
(logged)</t>
    <phoneticPr fontId="1" type="noConversion"/>
  </si>
  <si>
    <t>High school</t>
    <phoneticPr fontId="1" type="noConversion"/>
  </si>
  <si>
    <t>University and
above</t>
    <phoneticPr fontId="1" type="noConversion"/>
  </si>
  <si>
    <t>Share of population with (×100,
logged)</t>
    <phoneticPr fontId="1" type="noConversion"/>
  </si>
  <si>
    <t>Reduced-form</t>
    <phoneticPr fontId="1" type="noConversion"/>
  </si>
  <si>
    <t>2SLS</t>
    <phoneticPr fontId="1" type="noConversion"/>
  </si>
  <si>
    <t>Confucian academies
(Ming-Qing dynasties,
logged)</t>
    <phoneticPr fontId="2" type="noConversion"/>
  </si>
  <si>
    <t>Primary and middle
schools (1900, logged)</t>
    <phoneticPr fontId="2" type="noConversion"/>
  </si>
  <si>
    <t>Universities (1947, logged)</t>
    <phoneticPr fontId="2" type="noConversion"/>
  </si>
  <si>
    <t>Primary and middle
schools (2010, logged)</t>
    <phoneticPr fontId="2" type="noConversion"/>
  </si>
  <si>
    <t>Universities (2010, logged)</t>
    <phoneticPr fontId="2" type="noConversion"/>
  </si>
  <si>
    <t>OLS</t>
    <phoneticPr fontId="2" type="noConversion"/>
  </si>
  <si>
    <t>IV</t>
    <phoneticPr fontId="2" type="noConversion"/>
  </si>
  <si>
    <t>Baseline control
variables</t>
    <phoneticPr fontId="2" type="noConversion"/>
  </si>
  <si>
    <t>Additional control
variables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</si>
</sst>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0_);\(0.000\)"/>
    <numFmt numFmtId="192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/>
    <xf numFmtId="0" fontId="0" fillId="0" borderId="0" xfId="0" applyAlignment="1">
      <alignment wrapText="1"/>
    </xf>
    <xf numFmtId="18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wrapText="1"/>
    </xf>
    <xf numFmtId="192" fontId="0" fillId="0" borderId="0" xfId="0" applyNumberFormat="1"/>
    <xf numFmtId="19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B3" sqref="B3:I3"/>
    </sheetView>
  </sheetViews>
  <sheetFormatPr defaultRowHeight="14.15" x14ac:dyDescent="0.35"/>
  <cols>
    <col min="1" max="1" width="13.640625" customWidth="1"/>
    <col min="2" max="2" width="10.92578125" customWidth="1"/>
    <col min="7" max="7" width="16.78515625" customWidth="1"/>
  </cols>
  <sheetData>
    <row r="1" spans="1:9" x14ac:dyDescent="0.35">
      <c r="B1" s="1" t="s">
        <v>7</v>
      </c>
      <c r="C1" s="1"/>
      <c r="D1" s="1"/>
      <c r="E1" s="1"/>
      <c r="F1" s="1" t="s">
        <v>8</v>
      </c>
      <c r="G1" s="1"/>
      <c r="H1" s="1"/>
      <c r="I1" s="1"/>
    </row>
    <row r="2" spans="1:9" ht="42.45" x14ac:dyDescent="0.35">
      <c r="B2" s="1"/>
      <c r="C2" s="1"/>
      <c r="D2" s="1"/>
      <c r="E2" s="1"/>
      <c r="F2" s="2" t="s">
        <v>11</v>
      </c>
      <c r="G2" s="2" t="s">
        <v>9</v>
      </c>
      <c r="H2" s="2" t="s">
        <v>10</v>
      </c>
      <c r="I2" s="2" t="s">
        <v>12</v>
      </c>
    </row>
    <row r="3" spans="1:9" s="3" customFormat="1" x14ac:dyDescent="0.35"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</row>
    <row r="4" spans="1:9" ht="28.3" x14ac:dyDescent="0.35">
      <c r="A4" s="4" t="s">
        <v>21</v>
      </c>
      <c r="B4" s="6" t="str">
        <f>"0.0918***"</f>
        <v>0.0918***</v>
      </c>
      <c r="C4" s="6" t="str">
        <f>"0.0633***"</f>
        <v>0.0633***</v>
      </c>
      <c r="D4" s="6" t="str">
        <f>"0.0686***"</f>
        <v>0.0686***</v>
      </c>
      <c r="E4" s="6" t="str">
        <f>"0.0793**"</f>
        <v>0.0793**</v>
      </c>
      <c r="F4" s="6" t="str">
        <f>"-0.201***"</f>
        <v>-0.201***</v>
      </c>
      <c r="G4" s="6" t="str">
        <f>"-0.0879***"</f>
        <v>-0.0879***</v>
      </c>
      <c r="H4" s="6" t="str">
        <f>"0.118***"</f>
        <v>0.118***</v>
      </c>
      <c r="I4" s="6" t="str">
        <f>"0.494***"</f>
        <v>0.494***</v>
      </c>
    </row>
    <row r="5" spans="1:9" s="5" customFormat="1" x14ac:dyDescent="0.35">
      <c r="B5" s="6" t="str">
        <f>"(0.00664)"</f>
        <v>(0.00664)</v>
      </c>
      <c r="C5" s="6" t="str">
        <f>"(0.00759)"</f>
        <v>(0.00759)</v>
      </c>
      <c r="D5" s="6" t="str">
        <f>"(0.00725)"</f>
        <v>(0.00725)</v>
      </c>
      <c r="E5" s="6" t="str">
        <f>"(0.0224)"</f>
        <v>(0.0224)</v>
      </c>
      <c r="F5" s="6" t="str">
        <f>"(0.0342)"</f>
        <v>(0.0342)</v>
      </c>
      <c r="G5" s="6" t="str">
        <f>"(0.0145)"</f>
        <v>(0.0145)</v>
      </c>
      <c r="H5" s="6" t="str">
        <f>"(0.0246)"</f>
        <v>(0.0246)</v>
      </c>
      <c r="I5" s="6" t="str">
        <f>"(0.0816)"</f>
        <v>(0.0816)</v>
      </c>
    </row>
    <row r="6" spans="1:9" ht="56.6" x14ac:dyDescent="0.35">
      <c r="A6" s="4" t="s">
        <v>22</v>
      </c>
      <c r="B6" s="6" t="str">
        <f>""</f>
        <v/>
      </c>
      <c r="C6" s="6" t="str">
        <f>"0.0550***"</f>
        <v>0.0550***</v>
      </c>
      <c r="D6" s="6" t="str">
        <f>"0.0634***"</f>
        <v>0.0634***</v>
      </c>
      <c r="E6" s="6" t="str">
        <f>"0.0751***"</f>
        <v>0.0751***</v>
      </c>
      <c r="F6" s="6" t="str">
        <f>"-0.240***"</f>
        <v>-0.240***</v>
      </c>
      <c r="G6" s="6" t="str">
        <f>"-0.0275"</f>
        <v>-0.0275</v>
      </c>
      <c r="H6" s="6" t="str">
        <f>"0.154***"</f>
        <v>0.154***</v>
      </c>
      <c r="I6" s="6" t="str">
        <f>"0.351***"</f>
        <v>0.351***</v>
      </c>
    </row>
    <row r="7" spans="1:9" x14ac:dyDescent="0.35">
      <c r="B7" s="6" t="str">
        <f>""</f>
        <v/>
      </c>
      <c r="C7" s="6" t="str">
        <f>"(0.00980)"</f>
        <v>(0.00980)</v>
      </c>
      <c r="D7" s="6" t="str">
        <f>"(0.00985)"</f>
        <v>(0.00985)</v>
      </c>
      <c r="E7" s="6" t="str">
        <f>"(0.00687)"</f>
        <v>(0.00687)</v>
      </c>
      <c r="F7" s="6" t="str">
        <f>"(0.0354)"</f>
        <v>(0.0354)</v>
      </c>
      <c r="G7" s="6" t="str">
        <f>"(0.0183)"</f>
        <v>(0.0183)</v>
      </c>
      <c r="H7" s="6" t="str">
        <f>"(0.0179)"</f>
        <v>(0.0179)</v>
      </c>
      <c r="I7" s="6" t="str">
        <f>"(0.0905)"</f>
        <v>(0.0905)</v>
      </c>
    </row>
    <row r="8" spans="1:9" x14ac:dyDescent="0.35">
      <c r="A8" t="s">
        <v>24</v>
      </c>
      <c r="B8" s="6" t="str">
        <f>""</f>
        <v/>
      </c>
      <c r="C8" s="6" t="str">
        <f>"0.0617"</f>
        <v>0.0617</v>
      </c>
      <c r="D8" s="6" t="str">
        <f>"-0.0838"</f>
        <v>-0.0838</v>
      </c>
      <c r="E8" s="6" t="str">
        <f>"-0.0195"</f>
        <v>-0.0195</v>
      </c>
      <c r="F8" s="6" t="str">
        <f>"0.700"</f>
        <v>0.700</v>
      </c>
      <c r="G8" s="6" t="str">
        <f>"-0.261***"</f>
        <v>-0.261***</v>
      </c>
      <c r="H8" s="6" t="str">
        <f>"-0.148"</f>
        <v>-0.148</v>
      </c>
      <c r="I8" s="6" t="str">
        <f>"1.258*"</f>
        <v>1.258*</v>
      </c>
    </row>
    <row r="9" spans="1:9" x14ac:dyDescent="0.35">
      <c r="B9" s="6" t="str">
        <f>""</f>
        <v/>
      </c>
      <c r="C9" s="6" t="str">
        <f>"(0.0658)"</f>
        <v>(0.0658)</v>
      </c>
      <c r="D9" s="6" t="str">
        <f>"(0.0715)"</f>
        <v>(0.0715)</v>
      </c>
      <c r="E9" s="6" t="str">
        <f>"(0.0777)"</f>
        <v>(0.0777)</v>
      </c>
      <c r="F9" s="6" t="str">
        <f>"(0.418)"</f>
        <v>(0.418)</v>
      </c>
      <c r="G9" s="6" t="str">
        <f>"(0.0677)"</f>
        <v>(0.0677)</v>
      </c>
      <c r="H9" s="6" t="str">
        <f>"(0.206)"</f>
        <v>(0.206)</v>
      </c>
      <c r="I9" s="6" t="str">
        <f>"(0.464)"</f>
        <v>(0.464)</v>
      </c>
    </row>
    <row r="10" spans="1:9" ht="42.45" x14ac:dyDescent="0.35">
      <c r="A10" s="4" t="s">
        <v>23</v>
      </c>
      <c r="B10" s="6" t="str">
        <f>""</f>
        <v/>
      </c>
      <c r="C10" s="6" t="str">
        <f>"0.0108"</f>
        <v>0.0108</v>
      </c>
      <c r="D10" s="6" t="str">
        <f>"0.0100"</f>
        <v>0.0100</v>
      </c>
      <c r="E10" s="6" t="str">
        <f>"0.0120"</f>
        <v>0.0120</v>
      </c>
      <c r="F10" s="6" t="str">
        <f>"-0.0164"</f>
        <v>-0.0164</v>
      </c>
      <c r="G10" s="6" t="str">
        <f>"0.00106"</f>
        <v>0.00106</v>
      </c>
      <c r="H10" s="6" t="str">
        <f>"0.0242"</f>
        <v>0.0242</v>
      </c>
      <c r="I10" s="6" t="str">
        <f>"-0.0375"</f>
        <v>-0.0375</v>
      </c>
    </row>
    <row r="11" spans="1:9" x14ac:dyDescent="0.35">
      <c r="B11" s="6" t="str">
        <f>""</f>
        <v/>
      </c>
      <c r="C11" s="6" t="str">
        <f>"(0.0133)"</f>
        <v>(0.0133)</v>
      </c>
      <c r="D11" s="6" t="str">
        <f>"(0.0125)"</f>
        <v>(0.0125)</v>
      </c>
      <c r="E11" s="6" t="str">
        <f>"(0.0119)"</f>
        <v>(0.0119)</v>
      </c>
      <c r="F11" s="6" t="str">
        <f>"(0.0621)"</f>
        <v>(0.0621)</v>
      </c>
      <c r="G11" s="6" t="str">
        <f>"(0.0107)"</f>
        <v>(0.0107)</v>
      </c>
      <c r="H11" s="6" t="str">
        <f>"(0.0296)"</f>
        <v>(0.0296)</v>
      </c>
      <c r="I11" s="6" t="str">
        <f>"(0.0716)"</f>
        <v>(0.0716)</v>
      </c>
    </row>
    <row r="12" spans="1:9" ht="28.3" x14ac:dyDescent="0.35">
      <c r="A12" s="4" t="s">
        <v>25</v>
      </c>
      <c r="B12" s="6" t="str">
        <f>""</f>
        <v/>
      </c>
      <c r="C12" s="6" t="str">
        <f>""</f>
        <v/>
      </c>
      <c r="D12" s="6" t="str">
        <f>"-0.00264"</f>
        <v>-0.00264</v>
      </c>
      <c r="E12" s="6" t="str">
        <f>"-0.00648"</f>
        <v>-0.00648</v>
      </c>
      <c r="F12" s="6" t="str">
        <f>"0.00453"</f>
        <v>0.00453</v>
      </c>
      <c r="G12" s="6" t="str">
        <f>"0.00839"</f>
        <v>0.00839</v>
      </c>
      <c r="H12" s="6" t="str">
        <f>"-0.0148"</f>
        <v>-0.0148</v>
      </c>
      <c r="I12" s="6" t="str">
        <f>"-0.0548"</f>
        <v>-0.0548</v>
      </c>
    </row>
    <row r="13" spans="1:9" x14ac:dyDescent="0.35">
      <c r="B13" s="6" t="str">
        <f>""</f>
        <v/>
      </c>
      <c r="C13" s="6" t="str">
        <f>""</f>
        <v/>
      </c>
      <c r="D13" s="6" t="str">
        <f>"(0.0143)"</f>
        <v>(0.0143)</v>
      </c>
      <c r="E13" s="6" t="str">
        <f>"(0.0151)"</f>
        <v>(0.0151)</v>
      </c>
      <c r="F13" s="6" t="str">
        <f>"(0.0894)"</f>
        <v>(0.0894)</v>
      </c>
      <c r="G13" s="6" t="str">
        <f>"(0.00903)"</f>
        <v>(0.00903)</v>
      </c>
      <c r="H13" s="6" t="str">
        <f>"(0.0295)"</f>
        <v>(0.0295)</v>
      </c>
      <c r="I13" s="6" t="str">
        <f>"(0.0710)"</f>
        <v>(0.0710)</v>
      </c>
    </row>
    <row r="14" spans="1:9" ht="42.45" x14ac:dyDescent="0.35">
      <c r="A14" s="4" t="s">
        <v>26</v>
      </c>
      <c r="B14" s="6" t="str">
        <f>""</f>
        <v/>
      </c>
      <c r="C14" s="6" t="str">
        <f>""</f>
        <v/>
      </c>
      <c r="D14" s="6" t="str">
        <f>"-0.0432**"</f>
        <v>-0.0432**</v>
      </c>
      <c r="E14" s="6" t="str">
        <f>"-0.0359**"</f>
        <v>-0.0359**</v>
      </c>
      <c r="F14" s="6" t="str">
        <f>"0.118"</f>
        <v>0.118</v>
      </c>
      <c r="G14" s="6" t="str">
        <f>"0.0222"</f>
        <v>0.0222</v>
      </c>
      <c r="H14" s="6" t="str">
        <f>"-0.121***"</f>
        <v>-0.121***</v>
      </c>
      <c r="I14" s="6" t="str">
        <f>"-0.231**"</f>
        <v>-0.231**</v>
      </c>
    </row>
    <row r="15" spans="1:9" x14ac:dyDescent="0.35">
      <c r="B15" s="6" t="str">
        <f>""</f>
        <v/>
      </c>
      <c r="C15" s="6" t="str">
        <f>""</f>
        <v/>
      </c>
      <c r="D15" s="6" t="str">
        <f>"(0.0124)"</f>
        <v>(0.0124)</v>
      </c>
      <c r="E15" s="6" t="str">
        <f>"(0.0117)"</f>
        <v>(0.0117)</v>
      </c>
      <c r="F15" s="6" t="str">
        <f>"(0.0674)"</f>
        <v>(0.0674)</v>
      </c>
      <c r="G15" s="6" t="str">
        <f>"(0.0167)"</f>
        <v>(0.0167)</v>
      </c>
      <c r="H15" s="6" t="str">
        <f>"(0.0275)"</f>
        <v>(0.0275)</v>
      </c>
      <c r="I15" s="6" t="str">
        <f>"(0.0695)"</f>
        <v>(0.0695)</v>
      </c>
    </row>
    <row r="16" spans="1:9" x14ac:dyDescent="0.35">
      <c r="A16" t="s">
        <v>32</v>
      </c>
      <c r="B16" s="6" t="str">
        <f>""</f>
        <v/>
      </c>
      <c r="C16" s="6" t="str">
        <f>""</f>
        <v/>
      </c>
      <c r="D16" s="6" t="str">
        <f>"0.0288"</f>
        <v>0.0288</v>
      </c>
      <c r="E16" s="6" t="str">
        <f>"0.253"</f>
        <v>0.253</v>
      </c>
      <c r="F16" s="6" t="str">
        <f>"-1.535"</f>
        <v>-1.535</v>
      </c>
      <c r="G16" s="6" t="str">
        <f>"-0.320"</f>
        <v>-0.320</v>
      </c>
      <c r="H16" s="6" t="str">
        <f>"0.891"</f>
        <v>0.891</v>
      </c>
      <c r="I16" s="6" t="str">
        <f>"1.232"</f>
        <v>1.232</v>
      </c>
    </row>
    <row r="17" spans="1:9" x14ac:dyDescent="0.35">
      <c r="B17" s="6" t="str">
        <f>""</f>
        <v/>
      </c>
      <c r="C17" s="6" t="str">
        <f>""</f>
        <v/>
      </c>
      <c r="D17" s="6" t="str">
        <f>"(0.173)"</f>
        <v>(0.173)</v>
      </c>
      <c r="E17" s="6" t="str">
        <f>"(0.211)"</f>
        <v>(0.211)</v>
      </c>
      <c r="F17" s="6" t="str">
        <f>"(1.136)"</f>
        <v>(1.136)</v>
      </c>
      <c r="G17" s="6" t="str">
        <f>"(0.265)"</f>
        <v>(0.265)</v>
      </c>
      <c r="H17" s="6" t="str">
        <f>"(0.510)"</f>
        <v>(0.510)</v>
      </c>
      <c r="I17" s="6" t="str">
        <f>"(1.419)"</f>
        <v>(1.419)</v>
      </c>
    </row>
    <row r="18" spans="1:9" ht="28.3" x14ac:dyDescent="0.35">
      <c r="A18" s="4" t="s">
        <v>27</v>
      </c>
      <c r="B18" t="s">
        <v>29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</row>
    <row r="19" spans="1:9" x14ac:dyDescent="0.35">
      <c r="A19" t="s">
        <v>6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</row>
    <row r="20" spans="1:9" x14ac:dyDescent="0.35">
      <c r="A20" t="s">
        <v>31</v>
      </c>
      <c r="B20">
        <v>0.65900000000000003</v>
      </c>
      <c r="C20">
        <v>0.74399999999999999</v>
      </c>
      <c r="D20">
        <v>0.76200000000000001</v>
      </c>
      <c r="E20">
        <v>0.69899999999999995</v>
      </c>
      <c r="F20">
        <v>0.73399999999999999</v>
      </c>
      <c r="G20">
        <v>0.59199999999999997</v>
      </c>
      <c r="H20">
        <v>0.70499999999999996</v>
      </c>
      <c r="I20">
        <v>0.59799999999999998</v>
      </c>
    </row>
    <row r="101" spans="10:10" x14ac:dyDescent="0.35">
      <c r="J101">
        <v>0.59799999999999998</v>
      </c>
    </row>
  </sheetData>
  <mergeCells count="2">
    <mergeCell ref="F1:I1"/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A835-B20F-4DC8-89F2-CE2601ED54EC}">
  <dimension ref="A1:J98"/>
  <sheetViews>
    <sheetView workbookViewId="0">
      <selection activeCell="K24" sqref="K24"/>
    </sheetView>
  </sheetViews>
  <sheetFormatPr defaultRowHeight="14.15" x14ac:dyDescent="0.35"/>
  <cols>
    <col min="1" max="1" width="23.78515625" customWidth="1"/>
  </cols>
  <sheetData>
    <row r="1" spans="1:9" x14ac:dyDescent="0.35">
      <c r="B1" s="1" t="s">
        <v>36</v>
      </c>
      <c r="C1" s="1"/>
      <c r="D1" s="1" t="s">
        <v>37</v>
      </c>
      <c r="E1" s="1"/>
      <c r="F1" s="1" t="s">
        <v>38</v>
      </c>
      <c r="G1" s="1"/>
      <c r="H1" s="1" t="s">
        <v>36</v>
      </c>
      <c r="I1" s="1"/>
    </row>
    <row r="2" spans="1:9" x14ac:dyDescent="0.35">
      <c r="A2" s="3"/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9" ht="42.45" x14ac:dyDescent="0.35">
      <c r="A3" s="7" t="s">
        <v>34</v>
      </c>
      <c r="B3" s="6" t="str">
        <f>"0.179***"</f>
        <v>0.179***</v>
      </c>
      <c r="C3" s="6" t="str">
        <f>"0.149***"</f>
        <v>0.149***</v>
      </c>
      <c r="D3" s="6" t="str">
        <f>""</f>
        <v/>
      </c>
      <c r="E3" s="6" t="str">
        <f>""</f>
        <v/>
      </c>
      <c r="F3" s="6" t="str">
        <f>""</f>
        <v/>
      </c>
      <c r="G3" s="6" t="str">
        <f>""</f>
        <v/>
      </c>
      <c r="H3" s="6" t="str">
        <f>""</f>
        <v/>
      </c>
      <c r="I3" s="6" t="str">
        <f>""</f>
        <v/>
      </c>
    </row>
    <row r="4" spans="1:9" x14ac:dyDescent="0.35">
      <c r="A4" s="6" t="str">
        <f>""</f>
        <v/>
      </c>
      <c r="B4" s="6" t="str">
        <f>"(0.0311)"</f>
        <v>(0.0311)</v>
      </c>
      <c r="C4" s="6" t="str">
        <f>"(0.0343)"</f>
        <v>(0.0343)</v>
      </c>
      <c r="D4" s="6" t="str">
        <f>""</f>
        <v/>
      </c>
      <c r="E4" s="6" t="str">
        <f>""</f>
        <v/>
      </c>
      <c r="F4" s="6" t="str">
        <f>""</f>
        <v/>
      </c>
      <c r="G4" s="6" t="str">
        <f>""</f>
        <v/>
      </c>
      <c r="H4" s="6" t="str">
        <f>""</f>
        <v/>
      </c>
      <c r="I4" s="6" t="str">
        <f>""</f>
        <v/>
      </c>
    </row>
    <row r="5" spans="1:9" x14ac:dyDescent="0.35">
      <c r="A5" s="6" t="s">
        <v>35</v>
      </c>
      <c r="B5" s="6" t="str">
        <f>""</f>
        <v/>
      </c>
      <c r="C5" s="6" t="str">
        <f>""</f>
        <v/>
      </c>
      <c r="D5" s="6" t="str">
        <f>"-0.0166*"</f>
        <v>-0.0166*</v>
      </c>
      <c r="E5" s="6" t="str">
        <f>"-0.0161*"</f>
        <v>-0.0161*</v>
      </c>
      <c r="F5" s="6" t="str">
        <f>"-0.0917**"</f>
        <v>-0.0917**</v>
      </c>
      <c r="G5" s="6" t="str">
        <f>"-0.0801*"</f>
        <v>-0.0801*</v>
      </c>
      <c r="H5" s="6" t="str">
        <f>"-0.102***"</f>
        <v>-0.102***</v>
      </c>
      <c r="I5" s="6" t="str">
        <f>"-0.0879***"</f>
        <v>-0.0879***</v>
      </c>
    </row>
    <row r="6" spans="1:9" x14ac:dyDescent="0.35">
      <c r="A6" s="6" t="str">
        <f>""</f>
        <v/>
      </c>
      <c r="B6" s="6" t="str">
        <f>""</f>
        <v/>
      </c>
      <c r="C6" s="6" t="str">
        <f>""</f>
        <v/>
      </c>
      <c r="D6" s="6" t="str">
        <f>"(0.00668)"</f>
        <v>(0.00668)</v>
      </c>
      <c r="E6" s="6" t="str">
        <f>"(0.00631)"</f>
        <v>(0.00631)</v>
      </c>
      <c r="F6" s="6" t="str">
        <f>"(0.0293)"</f>
        <v>(0.0293)</v>
      </c>
      <c r="G6" s="6" t="str">
        <f>"(0.0298)"</f>
        <v>(0.0298)</v>
      </c>
      <c r="H6" s="6" t="str">
        <f>"(0.0114)"</f>
        <v>(0.0114)</v>
      </c>
      <c r="I6" s="6" t="str">
        <f>"(0.0106)"</f>
        <v>(0.0106)</v>
      </c>
    </row>
    <row r="7" spans="1:9" x14ac:dyDescent="0.35">
      <c r="A7" t="s">
        <v>33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</row>
    <row r="8" spans="1:9" ht="28.3" x14ac:dyDescent="0.35">
      <c r="A8" s="4" t="s">
        <v>27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</row>
    <row r="9" spans="1:9" x14ac:dyDescent="0.35">
      <c r="A9" t="s">
        <v>6</v>
      </c>
      <c r="B9">
        <v>274</v>
      </c>
      <c r="C9">
        <v>274</v>
      </c>
      <c r="D9">
        <v>274</v>
      </c>
      <c r="E9">
        <v>274</v>
      </c>
      <c r="F9">
        <v>274</v>
      </c>
      <c r="G9">
        <v>274</v>
      </c>
      <c r="H9">
        <v>274</v>
      </c>
      <c r="I9">
        <v>274</v>
      </c>
    </row>
    <row r="10" spans="1:9" x14ac:dyDescent="0.35">
      <c r="A10" t="s">
        <v>31</v>
      </c>
      <c r="B10">
        <v>0.32500000000000001</v>
      </c>
      <c r="C10">
        <v>0.439</v>
      </c>
      <c r="D10">
        <v>0.13300000000000001</v>
      </c>
      <c r="E10">
        <v>0.13400000000000001</v>
      </c>
      <c r="F10">
        <v>0.44700000000000001</v>
      </c>
      <c r="G10">
        <v>0.46500000000000002</v>
      </c>
      <c r="H10">
        <v>0.52700000000000002</v>
      </c>
      <c r="I10">
        <v>0.58299999999999996</v>
      </c>
    </row>
    <row r="98" spans="10:10" x14ac:dyDescent="0.35">
      <c r="J98">
        <v>0.58299999999999996</v>
      </c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BAEA-D667-4053-84E8-DD00DE6D0B23}">
  <dimension ref="A12:I42"/>
  <sheetViews>
    <sheetView workbookViewId="0">
      <selection activeCell="A16" activeCellId="1" sqref="A18 A16"/>
    </sheetView>
  </sheetViews>
  <sheetFormatPr defaultRowHeight="14.15" x14ac:dyDescent="0.35"/>
  <sheetData>
    <row r="12" spans="1:9" x14ac:dyDescent="0.35">
      <c r="B12" s="1" t="s">
        <v>52</v>
      </c>
      <c r="C12" s="1"/>
      <c r="D12" s="1"/>
      <c r="E12" s="1"/>
      <c r="F12" s="1" t="s">
        <v>53</v>
      </c>
      <c r="G12" s="1"/>
      <c r="H12" s="1"/>
      <c r="I12" s="1"/>
    </row>
    <row r="13" spans="1:9" x14ac:dyDescent="0.35">
      <c r="D13" s="11" t="s">
        <v>51</v>
      </c>
      <c r="E13" s="1"/>
      <c r="H13" s="11" t="s">
        <v>51</v>
      </c>
      <c r="I13" s="1"/>
    </row>
    <row r="14" spans="1:9" ht="42.45" x14ac:dyDescent="0.35">
      <c r="B14" s="11" t="s">
        <v>48</v>
      </c>
      <c r="C14" s="1"/>
      <c r="D14" t="s">
        <v>49</v>
      </c>
      <c r="E14" s="4" t="s">
        <v>50</v>
      </c>
      <c r="F14" s="11" t="s">
        <v>48</v>
      </c>
      <c r="G14" s="1"/>
      <c r="H14" t="s">
        <v>49</v>
      </c>
      <c r="I14" s="4" t="s">
        <v>50</v>
      </c>
    </row>
    <row r="15" spans="1:9" x14ac:dyDescent="0.35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19</v>
      </c>
      <c r="I15" s="3" t="s">
        <v>20</v>
      </c>
    </row>
    <row r="16" spans="1:9" x14ac:dyDescent="0.35">
      <c r="A16" t="s">
        <v>36</v>
      </c>
      <c r="D16" s="3"/>
      <c r="E16" s="3"/>
      <c r="F16" s="6" t="str">
        <f>"0.0834***"</f>
        <v>0.0834***</v>
      </c>
      <c r="G16" s="6" t="str">
        <f>"0.0850***"</f>
        <v>0.0850***</v>
      </c>
      <c r="H16" s="6" t="str">
        <f>"0.132***"</f>
        <v>0.132***</v>
      </c>
      <c r="I16" s="6" t="str">
        <f>"0.628***"</f>
        <v>0.628***</v>
      </c>
    </row>
    <row r="17" spans="1:9" x14ac:dyDescent="0.35">
      <c r="C17" s="3"/>
      <c r="D17" s="3"/>
      <c r="E17" s="3"/>
      <c r="F17" s="6" t="str">
        <f>"(0.0117)"</f>
        <v>(0.0117)</v>
      </c>
      <c r="G17" s="6" t="str">
        <f>"(0.0115)"</f>
        <v>(0.0115)</v>
      </c>
      <c r="H17" s="6" t="str">
        <f>"(0.0372)"</f>
        <v>(0.0372)</v>
      </c>
      <c r="I17" s="6" t="str">
        <f>"(0.0913)"</f>
        <v>(0.0913)</v>
      </c>
    </row>
    <row r="18" spans="1:9" ht="70.75" x14ac:dyDescent="0.35">
      <c r="A18" s="4" t="s">
        <v>39</v>
      </c>
      <c r="B18" s="8"/>
      <c r="C18">
        <v>8.0000000000000002E-3</v>
      </c>
      <c r="D18">
        <v>1.6E-2</v>
      </c>
      <c r="E18">
        <v>5.2999999999999999E-2</v>
      </c>
      <c r="F18" s="6" t="str">
        <f>""</f>
        <v/>
      </c>
      <c r="G18" s="6" t="str">
        <f>"0.00640"</f>
        <v>0.00640</v>
      </c>
      <c r="H18" s="6" t="str">
        <f>"0.0129"</f>
        <v>0.0129</v>
      </c>
      <c r="I18" s="6" t="str">
        <f>"0.0386"</f>
        <v>0.0386</v>
      </c>
    </row>
    <row r="19" spans="1:9" x14ac:dyDescent="0.35">
      <c r="B19" s="3"/>
      <c r="C19">
        <v>-6.0000000000000001E-3</v>
      </c>
      <c r="D19">
        <v>-1.7000000000000001E-2</v>
      </c>
      <c r="E19">
        <v>-4.8000000000000001E-2</v>
      </c>
      <c r="F19" s="6" t="str">
        <f>""</f>
        <v/>
      </c>
      <c r="G19" s="6" t="str">
        <f>"(0.00506)"</f>
        <v>(0.00506)</v>
      </c>
      <c r="H19" s="6" t="str">
        <f>"(0.0158)"</f>
        <v>(0.0158)</v>
      </c>
      <c r="I19" s="6" t="str">
        <f>"(0.0407)"</f>
        <v>(0.0407)</v>
      </c>
    </row>
    <row r="20" spans="1:9" ht="84.9" x14ac:dyDescent="0.35">
      <c r="A20" s="4" t="s">
        <v>40</v>
      </c>
      <c r="B20" s="9">
        <v>-7.0000000000000001E-3</v>
      </c>
      <c r="C20" s="10">
        <v>-7.2363999999999996E-3</v>
      </c>
      <c r="D20" s="9">
        <v>-1.12341E-2</v>
      </c>
      <c r="E20" s="10">
        <v>-5.3447000000000001E-2</v>
      </c>
      <c r="F20" s="9">
        <v>-8.4691699999999995E-2</v>
      </c>
      <c r="G20" s="9">
        <v>-8.5151299999999999E-2</v>
      </c>
      <c r="H20" s="9">
        <v>-8.5151299999999999E-2</v>
      </c>
      <c r="I20" s="9">
        <v>-8.5151299999999999E-2</v>
      </c>
    </row>
    <row r="21" spans="1:9" x14ac:dyDescent="0.35">
      <c r="A21" s="4"/>
      <c r="B21" s="9">
        <v>1.3278000000000001E-3</v>
      </c>
      <c r="C21" s="10">
        <v>1.3656E-3</v>
      </c>
      <c r="D21" s="9">
        <v>3.7953000000000001E-3</v>
      </c>
      <c r="E21" s="9">
        <v>1.0217800000000001E-2</v>
      </c>
      <c r="F21" s="9">
        <v>1.07633E-2</v>
      </c>
      <c r="G21" s="9">
        <v>1.0851599999999999E-2</v>
      </c>
      <c r="H21" s="9">
        <v>1.0851599999999999E-2</v>
      </c>
      <c r="I21" s="9">
        <v>1.0851599999999999E-2</v>
      </c>
    </row>
    <row r="22" spans="1:9" x14ac:dyDescent="0.35">
      <c r="A22" t="s">
        <v>41</v>
      </c>
      <c r="B22" s="3"/>
      <c r="C22" s="3"/>
      <c r="D22" s="3"/>
      <c r="E22" s="3"/>
      <c r="F22">
        <v>61.91</v>
      </c>
      <c r="G22">
        <v>61.57</v>
      </c>
      <c r="H22">
        <v>61.57</v>
      </c>
      <c r="I22">
        <v>61.57</v>
      </c>
    </row>
    <row r="23" spans="1:9" ht="28.3" x14ac:dyDescent="0.35">
      <c r="A23" s="4" t="s">
        <v>42</v>
      </c>
      <c r="B23" s="8"/>
      <c r="C23" s="8"/>
      <c r="D23" s="8"/>
      <c r="F23">
        <v>0.33100000000000002</v>
      </c>
      <c r="G23">
        <v>0.33300000000000002</v>
      </c>
      <c r="H23">
        <v>0.33300000000000002</v>
      </c>
      <c r="I23">
        <v>0.33300000000000002</v>
      </c>
    </row>
    <row r="24" spans="1:9" ht="42.45" x14ac:dyDescent="0.35">
      <c r="A24" s="4" t="s">
        <v>43</v>
      </c>
      <c r="B24" s="8" t="s">
        <v>28</v>
      </c>
      <c r="C24" s="8" t="s">
        <v>28</v>
      </c>
      <c r="D24" s="8" t="s">
        <v>28</v>
      </c>
      <c r="E24" s="8" t="s">
        <v>28</v>
      </c>
      <c r="F24" t="s">
        <v>28</v>
      </c>
      <c r="G24" t="s">
        <v>28</v>
      </c>
      <c r="H24" t="s">
        <v>28</v>
      </c>
      <c r="I24" t="s">
        <v>28</v>
      </c>
    </row>
    <row r="25" spans="1:9" ht="42.45" x14ac:dyDescent="0.35">
      <c r="A25" s="4" t="s">
        <v>44</v>
      </c>
      <c r="B25" s="8" t="s">
        <v>28</v>
      </c>
      <c r="C25" s="8" t="s">
        <v>28</v>
      </c>
      <c r="D25" s="8" t="s">
        <v>28</v>
      </c>
      <c r="E25" s="8" t="s">
        <v>28</v>
      </c>
      <c r="F25" t="s">
        <v>28</v>
      </c>
      <c r="G25" t="s">
        <v>28</v>
      </c>
      <c r="H25" t="s">
        <v>28</v>
      </c>
      <c r="I25" t="s">
        <v>28</v>
      </c>
    </row>
    <row r="26" spans="1:9" ht="56.6" x14ac:dyDescent="0.35">
      <c r="A26" s="4" t="s">
        <v>45</v>
      </c>
      <c r="B26" s="8" t="s">
        <v>47</v>
      </c>
      <c r="C26" s="8" t="s">
        <v>47</v>
      </c>
      <c r="D26" s="8" t="s">
        <v>47</v>
      </c>
      <c r="E26" s="8" t="s">
        <v>47</v>
      </c>
      <c r="F26">
        <v>274</v>
      </c>
      <c r="G26">
        <v>274</v>
      </c>
      <c r="H26">
        <v>274</v>
      </c>
      <c r="I26">
        <v>274</v>
      </c>
    </row>
    <row r="27" spans="1:9" ht="28.3" x14ac:dyDescent="0.35">
      <c r="A27" s="4" t="s">
        <v>30</v>
      </c>
      <c r="B27" s="4">
        <v>0.71099999999999997</v>
      </c>
      <c r="C27" s="4">
        <v>0.71399999999999997</v>
      </c>
      <c r="D27" s="4">
        <v>0.68100000000000005</v>
      </c>
      <c r="E27" s="4">
        <v>0.51900000000000002</v>
      </c>
      <c r="F27">
        <v>0.75700000000000001</v>
      </c>
      <c r="G27">
        <v>0.75800000000000001</v>
      </c>
      <c r="H27">
        <v>0.70499999999999996</v>
      </c>
      <c r="I27">
        <v>0.58699999999999997</v>
      </c>
    </row>
    <row r="28" spans="1:9" ht="56.6" x14ac:dyDescent="0.35">
      <c r="A28" s="4" t="s">
        <v>46</v>
      </c>
      <c r="B28" s="4"/>
      <c r="C28" s="4"/>
      <c r="D28" s="4"/>
      <c r="E28" s="4"/>
      <c r="F28">
        <v>61.914000000000001</v>
      </c>
      <c r="G28">
        <v>61.573999999999998</v>
      </c>
      <c r="H28">
        <v>61.573999999999998</v>
      </c>
      <c r="I28">
        <v>61.573999999999998</v>
      </c>
    </row>
    <row r="37" spans="4:9" x14ac:dyDescent="0.35">
      <c r="D37" s="6" t="str">
        <f>"0.757"</f>
        <v>0.757</v>
      </c>
      <c r="E37" s="6" t="str">
        <f>"0.758"</f>
        <v>0.758</v>
      </c>
      <c r="F37" s="6" t="str">
        <f>"0.705"</f>
        <v>0.705</v>
      </c>
      <c r="G37" s="6" t="str">
        <f>"0.587"</f>
        <v>0.587</v>
      </c>
    </row>
    <row r="42" spans="4:9" x14ac:dyDescent="0.35">
      <c r="F42" s="6"/>
      <c r="G42" s="6"/>
      <c r="H42" s="6"/>
      <c r="I42" s="6"/>
    </row>
  </sheetData>
  <mergeCells count="6">
    <mergeCell ref="B14:C14"/>
    <mergeCell ref="D13:E13"/>
    <mergeCell ref="B12:E12"/>
    <mergeCell ref="F12:I12"/>
    <mergeCell ref="H13:I13"/>
    <mergeCell ref="F14:G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9439-6D89-4534-BF3F-808E96654461}">
  <dimension ref="D1:N12"/>
  <sheetViews>
    <sheetView tabSelected="1" topLeftCell="C1" workbookViewId="0">
      <selection activeCell="K11" sqref="K11"/>
    </sheetView>
  </sheetViews>
  <sheetFormatPr defaultRowHeight="14.15" x14ac:dyDescent="0.35"/>
  <sheetData>
    <row r="1" spans="4:14" x14ac:dyDescent="0.35">
      <c r="D1" s="6"/>
      <c r="E1" s="12" t="s">
        <v>54</v>
      </c>
      <c r="F1" s="13"/>
      <c r="G1" s="12" t="s">
        <v>55</v>
      </c>
      <c r="H1" s="13"/>
      <c r="I1" s="13" t="s">
        <v>56</v>
      </c>
      <c r="J1" s="13"/>
      <c r="K1" s="12" t="s">
        <v>57</v>
      </c>
      <c r="L1" s="13"/>
      <c r="M1" s="13" t="s">
        <v>58</v>
      </c>
      <c r="N1" s="13"/>
    </row>
    <row r="2" spans="4:14" x14ac:dyDescent="0.35">
      <c r="D2" s="6"/>
      <c r="E2" s="6" t="s">
        <v>59</v>
      </c>
      <c r="F2" s="6" t="s">
        <v>60</v>
      </c>
      <c r="G2" s="6" t="s">
        <v>59</v>
      </c>
      <c r="H2" s="6" t="s">
        <v>60</v>
      </c>
      <c r="I2" s="6" t="s">
        <v>59</v>
      </c>
      <c r="J2" s="6" t="s">
        <v>60</v>
      </c>
      <c r="K2" s="6" t="s">
        <v>59</v>
      </c>
      <c r="L2" s="6" t="s">
        <v>60</v>
      </c>
      <c r="M2" s="6" t="s">
        <v>59</v>
      </c>
      <c r="N2" s="6" t="s">
        <v>60</v>
      </c>
    </row>
    <row r="3" spans="4:14" x14ac:dyDescent="0.35">
      <c r="D3" s="6" t="str">
        <f>""</f>
        <v/>
      </c>
      <c r="E3" s="6" t="str">
        <f>"(1)"</f>
        <v>(1)</v>
      </c>
      <c r="F3" s="6" t="str">
        <f>"(2)"</f>
        <v>(2)</v>
      </c>
      <c r="G3" s="6" t="str">
        <f>"(3)"</f>
        <v>(3)</v>
      </c>
      <c r="H3" s="6" t="str">
        <f>"(4)"</f>
        <v>(4)</v>
      </c>
      <c r="I3" s="6" t="str">
        <f>"(5)"</f>
        <v>(5)</v>
      </c>
      <c r="J3" s="6" t="str">
        <f>"(6)"</f>
        <v>(6)</v>
      </c>
      <c r="K3" s="6" t="str">
        <f>"(7)"</f>
        <v>(7)</v>
      </c>
      <c r="L3" s="6" t="str">
        <f>"(8)"</f>
        <v>(8)</v>
      </c>
      <c r="M3" s="6" t="str">
        <f>"(9)"</f>
        <v>(9)</v>
      </c>
      <c r="N3" s="6" t="str">
        <f>"(10)"</f>
        <v>(10)</v>
      </c>
    </row>
    <row r="4" spans="4:14" x14ac:dyDescent="0.35">
      <c r="D4" t="s">
        <v>36</v>
      </c>
      <c r="E4" s="6" t="str">
        <f>"0.349"</f>
        <v>0.349</v>
      </c>
      <c r="F4" s="6" t="str">
        <f>"0.450"</f>
        <v>0.450</v>
      </c>
      <c r="G4" s="6" t="str">
        <f>"0.0721"</f>
        <v>0.0721</v>
      </c>
      <c r="H4" s="6" t="str">
        <f>"0.179*"</f>
        <v>0.179*</v>
      </c>
      <c r="I4" s="6" t="str">
        <f>"0.887***"</f>
        <v>0.887***</v>
      </c>
      <c r="J4" s="6" t="str">
        <f>"0.889**"</f>
        <v>0.889**</v>
      </c>
      <c r="K4" s="6" t="str">
        <f>"-0.0902"</f>
        <v>-0.0902</v>
      </c>
      <c r="L4" s="6" t="str">
        <f>"0.00826"</f>
        <v>0.00826</v>
      </c>
      <c r="M4" s="6" t="str">
        <f>"0.568***"</f>
        <v>0.568***</v>
      </c>
      <c r="N4" s="6" t="str">
        <f>"0.772***"</f>
        <v>0.772***</v>
      </c>
    </row>
    <row r="5" spans="4:14" x14ac:dyDescent="0.35">
      <c r="E5" s="6" t="str">
        <f>"(0.183)"</f>
        <v>(0.183)</v>
      </c>
      <c r="F5" s="6" t="str">
        <f>"(0.404)"</f>
        <v>(0.404)</v>
      </c>
      <c r="G5" s="6" t="str">
        <f>"(0.0638)"</f>
        <v>(0.0638)</v>
      </c>
      <c r="H5" s="6" t="str">
        <f>"(0.0913)"</f>
        <v>(0.0913)</v>
      </c>
      <c r="I5" s="6" t="str">
        <f>"(0.193)"</f>
        <v>(0.193)</v>
      </c>
      <c r="J5" s="6" t="str">
        <f>"(0.278)"</f>
        <v>(0.278)</v>
      </c>
      <c r="K5" s="6" t="str">
        <f>"(0.0611)"</f>
        <v>(0.0611)</v>
      </c>
      <c r="L5" s="6" t="str">
        <f>"(0.0888)"</f>
        <v>(0.0888)</v>
      </c>
      <c r="M5" s="6" t="str">
        <f>"(0.0920)"</f>
        <v>(0.0920)</v>
      </c>
      <c r="N5" s="6" t="str">
        <f>"(0.152)"</f>
        <v>(0.152)</v>
      </c>
    </row>
    <row r="6" spans="4:14" ht="70.75" x14ac:dyDescent="0.35">
      <c r="D6" s="4" t="s">
        <v>39</v>
      </c>
      <c r="E6" s="6" t="str">
        <f>""</f>
        <v/>
      </c>
      <c r="F6" s="6" t="str">
        <f>"0.0774"</f>
        <v>0.0774</v>
      </c>
      <c r="G6" s="6" t="str">
        <f>""</f>
        <v/>
      </c>
      <c r="H6" s="6" t="str">
        <f>"-0.0401"</f>
        <v>-0.0401</v>
      </c>
      <c r="I6" s="6" t="str">
        <f>""</f>
        <v/>
      </c>
      <c r="J6" s="6" t="str">
        <f>"-0.0672"</f>
        <v>-0.0672</v>
      </c>
      <c r="K6" s="6" t="str">
        <f>""</f>
        <v/>
      </c>
      <c r="L6" s="6" t="str">
        <f>"-0.00848"</f>
        <v>-0.00848</v>
      </c>
      <c r="M6" s="6" t="str">
        <f>""</f>
        <v/>
      </c>
      <c r="N6" s="6" t="str">
        <f>"0.0518"</f>
        <v>0.0518</v>
      </c>
    </row>
    <row r="7" spans="4:14" x14ac:dyDescent="0.35">
      <c r="D7" s="6" t="str">
        <f>""</f>
        <v/>
      </c>
      <c r="E7" s="6" t="str">
        <f>""</f>
        <v/>
      </c>
      <c r="F7" s="6" t="str">
        <f>"(0.0978)"</f>
        <v>(0.0978)</v>
      </c>
      <c r="G7" s="6" t="str">
        <f>""</f>
        <v/>
      </c>
      <c r="H7" s="6" t="str">
        <f>"(0.0692)"</f>
        <v>(0.0692)</v>
      </c>
      <c r="I7" s="6" t="str">
        <f>""</f>
        <v/>
      </c>
      <c r="J7" s="6" t="str">
        <f>"(0.153)"</f>
        <v>(0.153)</v>
      </c>
      <c r="K7" s="6" t="str">
        <f>""</f>
        <v/>
      </c>
      <c r="L7" s="6" t="str">
        <f>"(0.0489)"</f>
        <v>(0.0489)</v>
      </c>
      <c r="M7" s="6" t="str">
        <f>""</f>
        <v/>
      </c>
      <c r="N7" s="6" t="str">
        <f>"(0.0449)"</f>
        <v>(0.0449)</v>
      </c>
    </row>
    <row r="8" spans="4:14" ht="42.45" x14ac:dyDescent="0.35">
      <c r="D8" s="7" t="s">
        <v>61</v>
      </c>
      <c r="E8" s="6" t="s">
        <v>28</v>
      </c>
      <c r="F8" s="6" t="s">
        <v>28</v>
      </c>
      <c r="G8" s="6" t="s">
        <v>28</v>
      </c>
      <c r="H8" s="6" t="s">
        <v>28</v>
      </c>
      <c r="I8" s="6" t="s">
        <v>28</v>
      </c>
      <c r="J8" s="6" t="s">
        <v>28</v>
      </c>
      <c r="K8" s="6" t="s">
        <v>28</v>
      </c>
      <c r="L8" s="6" t="s">
        <v>28</v>
      </c>
      <c r="M8" s="6" t="s">
        <v>28</v>
      </c>
      <c r="N8" s="6" t="s">
        <v>28</v>
      </c>
    </row>
    <row r="9" spans="4:14" ht="42.45" x14ac:dyDescent="0.35">
      <c r="D9" s="7" t="s">
        <v>62</v>
      </c>
      <c r="E9" s="6" t="s">
        <v>28</v>
      </c>
      <c r="F9" s="6" t="s">
        <v>28</v>
      </c>
      <c r="G9" s="6" t="s">
        <v>28</v>
      </c>
      <c r="H9" s="6" t="s">
        <v>28</v>
      </c>
      <c r="I9" s="6" t="s">
        <v>28</v>
      </c>
      <c r="J9" s="6" t="s">
        <v>28</v>
      </c>
      <c r="K9" s="6" t="s">
        <v>28</v>
      </c>
      <c r="L9" s="6" t="s">
        <v>28</v>
      </c>
      <c r="M9" s="6" t="s">
        <v>28</v>
      </c>
      <c r="N9" s="6" t="s">
        <v>28</v>
      </c>
    </row>
    <row r="10" spans="4:14" ht="42.45" x14ac:dyDescent="0.35">
      <c r="D10" s="4" t="s">
        <v>44</v>
      </c>
      <c r="E10" s="6" t="s">
        <v>28</v>
      </c>
      <c r="F10" s="6" t="s">
        <v>28</v>
      </c>
      <c r="G10" s="6" t="s">
        <v>28</v>
      </c>
      <c r="H10" s="6" t="s">
        <v>28</v>
      </c>
      <c r="I10" s="6" t="s">
        <v>28</v>
      </c>
      <c r="J10" s="6" t="s">
        <v>28</v>
      </c>
      <c r="K10" s="6" t="s">
        <v>28</v>
      </c>
      <c r="L10" s="6" t="s">
        <v>28</v>
      </c>
      <c r="M10" s="6" t="s">
        <v>28</v>
      </c>
      <c r="N10" s="6" t="s">
        <v>28</v>
      </c>
    </row>
    <row r="11" spans="4:14" ht="56.6" x14ac:dyDescent="0.35">
      <c r="D11" s="4" t="s">
        <v>45</v>
      </c>
      <c r="E11" s="6">
        <v>274</v>
      </c>
      <c r="F11" s="6">
        <v>274</v>
      </c>
      <c r="G11" s="6">
        <v>274</v>
      </c>
      <c r="H11" s="6">
        <v>274</v>
      </c>
      <c r="I11" s="6">
        <v>274</v>
      </c>
      <c r="J11" s="6">
        <v>274</v>
      </c>
      <c r="K11" s="6">
        <v>274</v>
      </c>
      <c r="L11" s="6">
        <v>274</v>
      </c>
      <c r="M11" s="6">
        <v>274</v>
      </c>
      <c r="N11" s="6">
        <v>274</v>
      </c>
    </row>
    <row r="12" spans="4:14" ht="28.3" x14ac:dyDescent="0.35">
      <c r="D12" s="4" t="s">
        <v>30</v>
      </c>
      <c r="E12" s="6" t="str">
        <f>"0.509"</f>
        <v>0.509</v>
      </c>
      <c r="F12" s="6" t="str">
        <f>"0.508"</f>
        <v>0.508</v>
      </c>
      <c r="G12" s="6" t="str">
        <f>"0.846"</f>
        <v>0.846</v>
      </c>
      <c r="H12" s="6" t="str">
        <f>"0.845"</f>
        <v>0.845</v>
      </c>
      <c r="I12" s="6" t="str">
        <f>"0.288"</f>
        <v>0.288</v>
      </c>
      <c r="J12" s="6" t="str">
        <f>"0.286"</f>
        <v>0.286</v>
      </c>
      <c r="K12" s="6" t="str">
        <f>"0.386"</f>
        <v>0.386</v>
      </c>
      <c r="L12" s="6" t="str">
        <f>"0.378"</f>
        <v>0.378</v>
      </c>
      <c r="M12" s="6" t="str">
        <f>"0.616"</f>
        <v>0.616</v>
      </c>
      <c r="N12" s="6" t="str">
        <f>"0.605"</f>
        <v>0.605</v>
      </c>
    </row>
  </sheetData>
  <mergeCells count="5"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Table2</vt:lpstr>
      <vt:lpstr>Table4</vt:lpstr>
      <vt:lpstr>Table5</vt:lpstr>
      <vt:lpstr>Table7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张维昱</dc:creator>
  <cp:lastModifiedBy>张维昱</cp:lastModifiedBy>
  <dcterms:created xsi:type="dcterms:W3CDTF">2015-06-05T18:19:34Z</dcterms:created>
  <dcterms:modified xsi:type="dcterms:W3CDTF">2023-04-10T03:43:19Z</dcterms:modified>
</cp:coreProperties>
</file>