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730" windowHeight="12750"/>
  </bookViews>
  <sheets>
    <sheet name="沪深Ａ股20180724" sheetId="1" r:id="rId1"/>
  </sheets>
  <calcPr calcId="144525"/>
</workbook>
</file>

<file path=xl/sharedStrings.xml><?xml version="1.0" encoding="utf-8"?>
<sst xmlns="http://schemas.openxmlformats.org/spreadsheetml/2006/main" count="3711">
  <si>
    <t>代码</t>
  </si>
  <si>
    <t>名称</t>
  </si>
  <si>
    <t>涨幅%%</t>
  </si>
  <si>
    <t>现价</t>
  </si>
  <si>
    <t>涨跌</t>
  </si>
  <si>
    <t>买价</t>
  </si>
  <si>
    <t>卖价</t>
  </si>
  <si>
    <t>总量</t>
  </si>
  <si>
    <t>现量</t>
  </si>
  <si>
    <t>涨速%%</t>
  </si>
  <si>
    <t>换手%%</t>
  </si>
  <si>
    <t>今开</t>
  </si>
  <si>
    <t>最高</t>
  </si>
  <si>
    <t>最低</t>
  </si>
  <si>
    <t>昨收</t>
  </si>
  <si>
    <t>市盈(动)</t>
  </si>
  <si>
    <t>总金额</t>
  </si>
  <si>
    <t>量比</t>
  </si>
  <si>
    <t>细分行业</t>
  </si>
  <si>
    <t>地区</t>
  </si>
  <si>
    <t>振幅%%</t>
  </si>
  <si>
    <t>均价</t>
  </si>
  <si>
    <t>内盘</t>
  </si>
  <si>
    <t>外盘</t>
  </si>
  <si>
    <t>内外比</t>
  </si>
  <si>
    <t>买量</t>
  </si>
  <si>
    <t>卖量</t>
  </si>
  <si>
    <t>未匹配量</t>
  </si>
  <si>
    <t>流通股(亿)</t>
  </si>
  <si>
    <t>平安银行</t>
  </si>
  <si>
    <t>银行</t>
  </si>
  <si>
    <t>深圳</t>
  </si>
  <si>
    <t xml:space="preserve">--  </t>
  </si>
  <si>
    <t>万 科Ａ</t>
  </si>
  <si>
    <t>全国地产</t>
  </si>
  <si>
    <t>国农科技</t>
  </si>
  <si>
    <t>生物制药</t>
  </si>
  <si>
    <t>世纪星源</t>
  </si>
  <si>
    <t>房产服务</t>
  </si>
  <si>
    <t>深振业Ａ</t>
  </si>
  <si>
    <t>区域地产</t>
  </si>
  <si>
    <t>全新好</t>
  </si>
  <si>
    <t>酒店餐饮</t>
  </si>
  <si>
    <t>神州高铁</t>
  </si>
  <si>
    <t>运输设备</t>
  </si>
  <si>
    <t>北京</t>
  </si>
  <si>
    <t>中国宝安</t>
  </si>
  <si>
    <t>综合类</t>
  </si>
  <si>
    <t>美丽生态</t>
  </si>
  <si>
    <t>建筑施工</t>
  </si>
  <si>
    <t>深物业A</t>
  </si>
  <si>
    <t>南 玻Ａ</t>
  </si>
  <si>
    <t>玻璃</t>
  </si>
  <si>
    <t>沙河股份</t>
  </si>
  <si>
    <t>深康佳Ａ</t>
  </si>
  <si>
    <t>家用电器</t>
  </si>
  <si>
    <t>深中华A</t>
  </si>
  <si>
    <t>文教休闲</t>
  </si>
  <si>
    <t>神州长城</t>
  </si>
  <si>
    <t>装修装饰</t>
  </si>
  <si>
    <t>深深宝Ａ</t>
  </si>
  <si>
    <t>软饮料</t>
  </si>
  <si>
    <t>深华发Ａ</t>
  </si>
  <si>
    <t>元器件</t>
  </si>
  <si>
    <t>深科技</t>
  </si>
  <si>
    <t>电脑设备</t>
  </si>
  <si>
    <t>深赤湾Ａ</t>
  </si>
  <si>
    <t>港口</t>
  </si>
  <si>
    <t>深天地Ａ</t>
  </si>
  <si>
    <t>其他建材</t>
  </si>
  <si>
    <t>特 力Ａ</t>
  </si>
  <si>
    <t>汽车服务</t>
  </si>
  <si>
    <t>飞亚达Ａ</t>
  </si>
  <si>
    <t>其他商业</t>
  </si>
  <si>
    <t>深圳能源</t>
  </si>
  <si>
    <t>火力发电</t>
  </si>
  <si>
    <t>国药一致</t>
  </si>
  <si>
    <t>医药商业</t>
  </si>
  <si>
    <t>深深房Ａ</t>
  </si>
  <si>
    <t>富奥股份</t>
  </si>
  <si>
    <t>汽车配件</t>
  </si>
  <si>
    <t>吉林</t>
  </si>
  <si>
    <t>中粮地产</t>
  </si>
  <si>
    <t>深桑达Ａ</t>
  </si>
  <si>
    <t>神州数码</t>
  </si>
  <si>
    <t>中国天楹</t>
  </si>
  <si>
    <t>环境保护</t>
  </si>
  <si>
    <t>江苏</t>
  </si>
  <si>
    <t>华联控股</t>
  </si>
  <si>
    <t>深南电A</t>
  </si>
  <si>
    <t>深大通</t>
  </si>
  <si>
    <t>广告包装</t>
  </si>
  <si>
    <t>中集集团</t>
  </si>
  <si>
    <t>轻工机械</t>
  </si>
  <si>
    <t>东旭蓝天</t>
  </si>
  <si>
    <t>新型电力</t>
  </si>
  <si>
    <t>中洲控股</t>
  </si>
  <si>
    <t>中航善达</t>
  </si>
  <si>
    <t>深纺织Ａ</t>
  </si>
  <si>
    <t>纺织</t>
  </si>
  <si>
    <t>泛海控股</t>
  </si>
  <si>
    <t>*ST康达</t>
  </si>
  <si>
    <t>饲料</t>
  </si>
  <si>
    <t>德赛电池</t>
  </si>
  <si>
    <t>电气设备</t>
  </si>
  <si>
    <t>深天马Ａ</t>
  </si>
  <si>
    <t>方大集团</t>
  </si>
  <si>
    <t>皇庭国际</t>
  </si>
  <si>
    <t>深 赛 格</t>
  </si>
  <si>
    <t>华锦股份</t>
  </si>
  <si>
    <t>石油加工</t>
  </si>
  <si>
    <t>辽宁</t>
  </si>
  <si>
    <t>中金岭南</t>
  </si>
  <si>
    <t>铅锌</t>
  </si>
  <si>
    <t>农 产 品</t>
  </si>
  <si>
    <t>农业综合</t>
  </si>
  <si>
    <t>深圳华强</t>
  </si>
  <si>
    <t>批发业</t>
  </si>
  <si>
    <t>中兴通讯</t>
  </si>
  <si>
    <t>通信设备</t>
  </si>
  <si>
    <t>北方国际</t>
  </si>
  <si>
    <t>中国长城</t>
  </si>
  <si>
    <t>华控赛格</t>
  </si>
  <si>
    <t>华侨城Ａ</t>
  </si>
  <si>
    <t>旅游景点</t>
  </si>
  <si>
    <t>特发信息</t>
  </si>
  <si>
    <t>海王生物</t>
  </si>
  <si>
    <t>盐 田 港</t>
  </si>
  <si>
    <t>深圳机场</t>
  </si>
  <si>
    <t>机场</t>
  </si>
  <si>
    <t>天健集团</t>
  </si>
  <si>
    <t>广聚能源</t>
  </si>
  <si>
    <t>石油贸易</t>
  </si>
  <si>
    <t>中信海直</t>
  </si>
  <si>
    <t>空运</t>
  </si>
  <si>
    <t>TCL 集团</t>
  </si>
  <si>
    <t>广东</t>
  </si>
  <si>
    <t>宜华健康</t>
  </si>
  <si>
    <t>医疗保健</t>
  </si>
  <si>
    <t>中成股份</t>
  </si>
  <si>
    <t>商贸代理</t>
  </si>
  <si>
    <t>丰原药业</t>
  </si>
  <si>
    <t>化学制药</t>
  </si>
  <si>
    <t>安徽</t>
  </si>
  <si>
    <t>川化股份</t>
  </si>
  <si>
    <t>农药化肥</t>
  </si>
  <si>
    <t>四川</t>
  </si>
  <si>
    <t>华数传媒</t>
  </si>
  <si>
    <t>影视音像</t>
  </si>
  <si>
    <t>浙江</t>
  </si>
  <si>
    <t>中联重科</t>
  </si>
  <si>
    <t>工程机械</t>
  </si>
  <si>
    <t>湖南</t>
  </si>
  <si>
    <t>常山北明</t>
  </si>
  <si>
    <t>河北</t>
  </si>
  <si>
    <t>国际实业</t>
  </si>
  <si>
    <t>新疆</t>
  </si>
  <si>
    <t>申万宏源</t>
  </si>
  <si>
    <t>证券</t>
  </si>
  <si>
    <t>东方市场</t>
  </si>
  <si>
    <t>美的集团</t>
  </si>
  <si>
    <t>潍柴动力</t>
  </si>
  <si>
    <t>山东</t>
  </si>
  <si>
    <t>许继电气</t>
  </si>
  <si>
    <t>河南</t>
  </si>
  <si>
    <t>冀东水泥</t>
  </si>
  <si>
    <t>水泥</t>
  </si>
  <si>
    <t>金 融 街</t>
  </si>
  <si>
    <t>ST生化</t>
  </si>
  <si>
    <t>山西</t>
  </si>
  <si>
    <t>长虹华意</t>
  </si>
  <si>
    <t>专用机械</t>
  </si>
  <si>
    <t>江西</t>
  </si>
  <si>
    <t>胜利股份</t>
  </si>
  <si>
    <t>供气供热</t>
  </si>
  <si>
    <t>藏格控股</t>
  </si>
  <si>
    <t>青海</t>
  </si>
  <si>
    <t>*ST地矿</t>
  </si>
  <si>
    <t>沈阳机床</t>
  </si>
  <si>
    <t>机床制造</t>
  </si>
  <si>
    <t>英特集团</t>
  </si>
  <si>
    <t>东旭光电</t>
  </si>
  <si>
    <t>渤海金控</t>
  </si>
  <si>
    <t>多元金融</t>
  </si>
  <si>
    <t>民生控股</t>
  </si>
  <si>
    <t>合肥百货</t>
  </si>
  <si>
    <t>百货</t>
  </si>
  <si>
    <t>小天鹅Ａ</t>
  </si>
  <si>
    <t>通程控股</t>
  </si>
  <si>
    <t>吉林化纤</t>
  </si>
  <si>
    <t>化纤</t>
  </si>
  <si>
    <t>南京公用</t>
  </si>
  <si>
    <t>*ST宜化</t>
  </si>
  <si>
    <t>湖北</t>
  </si>
  <si>
    <t>东阿阿胶</t>
  </si>
  <si>
    <t>中成药</t>
  </si>
  <si>
    <t>徐工机械</t>
  </si>
  <si>
    <t>兴业矿业</t>
  </si>
  <si>
    <t>内蒙</t>
  </si>
  <si>
    <t>华天酒店</t>
  </si>
  <si>
    <t>粤高速Ａ</t>
  </si>
  <si>
    <t>路桥</t>
  </si>
  <si>
    <t>张家界</t>
  </si>
  <si>
    <t>晨鸣纸业</t>
  </si>
  <si>
    <t>造纸</t>
  </si>
  <si>
    <t>山东路桥</t>
  </si>
  <si>
    <t>鄂武商Ａ</t>
  </si>
  <si>
    <t>绿景控股</t>
  </si>
  <si>
    <t>国新健康</t>
  </si>
  <si>
    <t>海南</t>
  </si>
  <si>
    <t>南华生物</t>
  </si>
  <si>
    <t>出版业</t>
  </si>
  <si>
    <t>京粮控股</t>
  </si>
  <si>
    <t>食品</t>
  </si>
  <si>
    <t>中润资源</t>
  </si>
  <si>
    <t>珠海港</t>
  </si>
  <si>
    <t>华塑控股</t>
  </si>
  <si>
    <t>金路集团</t>
  </si>
  <si>
    <t>化工原料</t>
  </si>
  <si>
    <t>丽珠集团</t>
  </si>
  <si>
    <t>渝 开 发</t>
  </si>
  <si>
    <t>重庆</t>
  </si>
  <si>
    <t>国际医学</t>
  </si>
  <si>
    <t>陕西</t>
  </si>
  <si>
    <t>荣安地产</t>
  </si>
  <si>
    <t>四环生物</t>
  </si>
  <si>
    <t>中兵红箭</t>
  </si>
  <si>
    <t>矿物制品</t>
  </si>
  <si>
    <t>长航凤凰</t>
  </si>
  <si>
    <t>水运</t>
  </si>
  <si>
    <t>长虹美菱</t>
  </si>
  <si>
    <t>广州浪奇</t>
  </si>
  <si>
    <t>日用化工</t>
  </si>
  <si>
    <t>岭南控股</t>
  </si>
  <si>
    <t>红 太 阳</t>
  </si>
  <si>
    <t>紫光学大</t>
  </si>
  <si>
    <t>福建</t>
  </si>
  <si>
    <t>柳 工</t>
  </si>
  <si>
    <t>广西</t>
  </si>
  <si>
    <t>广弘控股</t>
  </si>
  <si>
    <t>大冷股份</t>
  </si>
  <si>
    <t>机械基件</t>
  </si>
  <si>
    <t>穗恒运Ａ</t>
  </si>
  <si>
    <t>华金资本</t>
  </si>
  <si>
    <t>万 家 乐</t>
  </si>
  <si>
    <t>万泽股份</t>
  </si>
  <si>
    <t>华映科技</t>
  </si>
  <si>
    <t>广宇发展</t>
  </si>
  <si>
    <t>天津</t>
  </si>
  <si>
    <t>云南白药</t>
  </si>
  <si>
    <t>云南</t>
  </si>
  <si>
    <t>粤电力Ａ</t>
  </si>
  <si>
    <t>中天金融</t>
  </si>
  <si>
    <t>贵州</t>
  </si>
  <si>
    <t>佛山照明</t>
  </si>
  <si>
    <t>皖能电力</t>
  </si>
  <si>
    <t>中原环保</t>
  </si>
  <si>
    <t>金浦钛业</t>
  </si>
  <si>
    <t>金圆股份</t>
  </si>
  <si>
    <t>航天发展</t>
  </si>
  <si>
    <t>湖南投资</t>
  </si>
  <si>
    <t>江铃汽车</t>
  </si>
  <si>
    <t>汽车整车</t>
  </si>
  <si>
    <t>创元科技</t>
  </si>
  <si>
    <t>靖远煤电</t>
  </si>
  <si>
    <t>煤炭开采</t>
  </si>
  <si>
    <t>甘肃</t>
  </si>
  <si>
    <t>沙隆达Ａ</t>
  </si>
  <si>
    <t>泰山石油</t>
  </si>
  <si>
    <t>神州信息</t>
  </si>
  <si>
    <t>软件服务</t>
  </si>
  <si>
    <t>西部创业</t>
  </si>
  <si>
    <t>红黄药酒</t>
  </si>
  <si>
    <t>宁夏</t>
  </si>
  <si>
    <t>莱茵体育</t>
  </si>
  <si>
    <t>万向钱潮</t>
  </si>
  <si>
    <t>我爱我家</t>
  </si>
  <si>
    <t>烽火电子</t>
  </si>
  <si>
    <t>陕国投Ａ</t>
  </si>
  <si>
    <t>供销大集</t>
  </si>
  <si>
    <t>渝三峡Ａ</t>
  </si>
  <si>
    <t>染料涂料</t>
  </si>
  <si>
    <t>海南海药</t>
  </si>
  <si>
    <t>海德股份</t>
  </si>
  <si>
    <t>泸州老窖</t>
  </si>
  <si>
    <t>白酒</t>
  </si>
  <si>
    <t>苏常柴Ａ</t>
  </si>
  <si>
    <t>新大洲Ａ</t>
  </si>
  <si>
    <t>海马汽车</t>
  </si>
  <si>
    <t>粤宏远Ａ</t>
  </si>
  <si>
    <t>广东甘化</t>
  </si>
  <si>
    <t>威孚高科</t>
  </si>
  <si>
    <t>北部湾港</t>
  </si>
  <si>
    <t>哈工智能</t>
  </si>
  <si>
    <t>*ST东电</t>
  </si>
  <si>
    <t>汇源通信</t>
  </si>
  <si>
    <t>金洲慈航</t>
  </si>
  <si>
    <t>黑龙江</t>
  </si>
  <si>
    <t>黔轮胎Ａ</t>
  </si>
  <si>
    <t>启迪古汉</t>
  </si>
  <si>
    <t>太阳能</t>
  </si>
  <si>
    <t>平潭发展</t>
  </si>
  <si>
    <t>林业</t>
  </si>
  <si>
    <t>大通燃气</t>
  </si>
  <si>
    <t>宝塔实业</t>
  </si>
  <si>
    <t>古井贡酒</t>
  </si>
  <si>
    <t>东北制药</t>
  </si>
  <si>
    <t>兴蓉环境</t>
  </si>
  <si>
    <t>水务</t>
  </si>
  <si>
    <t>青岛双星</t>
  </si>
  <si>
    <t>建投能源</t>
  </si>
  <si>
    <t>韶能股份</t>
  </si>
  <si>
    <t>水力发电</t>
  </si>
  <si>
    <t>盛达矿业</t>
  </si>
  <si>
    <t>渤海股份</t>
  </si>
  <si>
    <t>顺利办</t>
  </si>
  <si>
    <t>互联网</t>
  </si>
  <si>
    <t>华媒控股</t>
  </si>
  <si>
    <t>阳光股份</t>
  </si>
  <si>
    <t>中迪投资</t>
  </si>
  <si>
    <t>西安旅游</t>
  </si>
  <si>
    <t>旅游服务</t>
  </si>
  <si>
    <t>天首发展</t>
  </si>
  <si>
    <t>焦作万方</t>
  </si>
  <si>
    <t>铝</t>
  </si>
  <si>
    <t>大东海A</t>
  </si>
  <si>
    <t>京汉股份</t>
  </si>
  <si>
    <t>海航投资</t>
  </si>
  <si>
    <t>中油资本</t>
  </si>
  <si>
    <t>海螺型材</t>
  </si>
  <si>
    <t>新华联</t>
  </si>
  <si>
    <t>恒立实业</t>
  </si>
  <si>
    <t>吉林敖东</t>
  </si>
  <si>
    <t>长安汽车</t>
  </si>
  <si>
    <t>远大控股</t>
  </si>
  <si>
    <t>天茂集团</t>
  </si>
  <si>
    <t>保险</t>
  </si>
  <si>
    <t>高新发展</t>
  </si>
  <si>
    <t>园区开发</t>
  </si>
  <si>
    <t>铜陵有色</t>
  </si>
  <si>
    <t>铜</t>
  </si>
  <si>
    <t>顺发恒业</t>
  </si>
  <si>
    <t>三木集团</t>
  </si>
  <si>
    <t>合金投资</t>
  </si>
  <si>
    <t>英 力 特</t>
  </si>
  <si>
    <t>风华高科</t>
  </si>
  <si>
    <t>茂化实华</t>
  </si>
  <si>
    <t>万方发展</t>
  </si>
  <si>
    <t>西王食品</t>
  </si>
  <si>
    <t>仁和药业</t>
  </si>
  <si>
    <t>格力电器</t>
  </si>
  <si>
    <t>泰达股份</t>
  </si>
  <si>
    <t>*ST金岭</t>
  </si>
  <si>
    <t>普钢</t>
  </si>
  <si>
    <t>金科股份</t>
  </si>
  <si>
    <t>中钨高新</t>
  </si>
  <si>
    <t>小金属</t>
  </si>
  <si>
    <t>珠海中富</t>
  </si>
  <si>
    <t>长春高新</t>
  </si>
  <si>
    <t>天夏智慧</t>
  </si>
  <si>
    <t>永安林业</t>
  </si>
  <si>
    <t>湖北广电</t>
  </si>
  <si>
    <t>经纬纺机</t>
  </si>
  <si>
    <t>纺织机械</t>
  </si>
  <si>
    <t>美好置业</t>
  </si>
  <si>
    <t>荣丰控股</t>
  </si>
  <si>
    <t>上海</t>
  </si>
  <si>
    <t>金鸿控股</t>
  </si>
  <si>
    <t>盈方微</t>
  </si>
  <si>
    <t>阳 光 城</t>
  </si>
  <si>
    <t>上峰水泥</t>
  </si>
  <si>
    <t>当代东方</t>
  </si>
  <si>
    <t>智度股份</t>
  </si>
  <si>
    <t>恒天海龙</t>
  </si>
  <si>
    <t>襄阳轴承</t>
  </si>
  <si>
    <t>大连友谊</t>
  </si>
  <si>
    <t>山推股份</t>
  </si>
  <si>
    <t>视觉中国</t>
  </si>
  <si>
    <t>东方电子</t>
  </si>
  <si>
    <t>远兴能源</t>
  </si>
  <si>
    <t>中山公用</t>
  </si>
  <si>
    <t>东北证券</t>
  </si>
  <si>
    <t>华讯方舟</t>
  </si>
  <si>
    <t>建新矿业</t>
  </si>
  <si>
    <t>宝新能源</t>
  </si>
  <si>
    <t>亚太实业</t>
  </si>
  <si>
    <t>惠天热电</t>
  </si>
  <si>
    <t>滨海能源</t>
  </si>
  <si>
    <t>炼石有色</t>
  </si>
  <si>
    <t>航空</t>
  </si>
  <si>
    <t>沈阳化工</t>
  </si>
  <si>
    <t>模塑科技</t>
  </si>
  <si>
    <t>厦门信达</t>
  </si>
  <si>
    <t>正虹科技</t>
  </si>
  <si>
    <t>恒逸石化</t>
  </si>
  <si>
    <t>浙江震元</t>
  </si>
  <si>
    <t>*ST双环</t>
  </si>
  <si>
    <t>大冶特钢</t>
  </si>
  <si>
    <t>特种钢</t>
  </si>
  <si>
    <t>河钢股份</t>
  </si>
  <si>
    <t>贝瑞基因</t>
  </si>
  <si>
    <t>京蓝科技</t>
  </si>
  <si>
    <t>锦龙股份</t>
  </si>
  <si>
    <t>丰乐种业</t>
  </si>
  <si>
    <t>种植业</t>
  </si>
  <si>
    <t>中兴商业</t>
  </si>
  <si>
    <t>黑芝麻</t>
  </si>
  <si>
    <t>韶钢松山</t>
  </si>
  <si>
    <t>苏宁环球</t>
  </si>
  <si>
    <t>中原传媒</t>
  </si>
  <si>
    <t>*ST新能</t>
  </si>
  <si>
    <t>西安饮食</t>
  </si>
  <si>
    <t>湖南发展</t>
  </si>
  <si>
    <t>美锦能源</t>
  </si>
  <si>
    <t>焦炭加工</t>
  </si>
  <si>
    <t>京东方Ａ</t>
  </si>
  <si>
    <t>鲁 泰Ａ</t>
  </si>
  <si>
    <t>华东科技</t>
  </si>
  <si>
    <t>国元证券</t>
  </si>
  <si>
    <t>燕京啤酒</t>
  </si>
  <si>
    <t>啤酒</t>
  </si>
  <si>
    <t>四川美丰</t>
  </si>
  <si>
    <t>泰禾集团</t>
  </si>
  <si>
    <t>振华科技</t>
  </si>
  <si>
    <t>罗 牛 山</t>
  </si>
  <si>
    <t>中交地产</t>
  </si>
  <si>
    <t>*ST南风</t>
  </si>
  <si>
    <t>航发控制</t>
  </si>
  <si>
    <t>普洛药业</t>
  </si>
  <si>
    <t>国海证券</t>
  </si>
  <si>
    <t>锌业股份</t>
  </si>
  <si>
    <t>西藏发展</t>
  </si>
  <si>
    <t>西藏</t>
  </si>
  <si>
    <t>漳州发展</t>
  </si>
  <si>
    <t>*ST三维</t>
  </si>
  <si>
    <t>新华制药</t>
  </si>
  <si>
    <t>浩物股份</t>
  </si>
  <si>
    <t>中色股份</t>
  </si>
  <si>
    <t>中百集团</t>
  </si>
  <si>
    <t>超市连锁</t>
  </si>
  <si>
    <t>斯太尔</t>
  </si>
  <si>
    <t>本钢板材</t>
  </si>
  <si>
    <t>西藏矿业</t>
  </si>
  <si>
    <t>通化金马</t>
  </si>
  <si>
    <t>漳泽电力</t>
  </si>
  <si>
    <t>中航飞机</t>
  </si>
  <si>
    <t>广发证券</t>
  </si>
  <si>
    <t>中核科技</t>
  </si>
  <si>
    <t>新兴铸管</t>
  </si>
  <si>
    <t>钢加工</t>
  </si>
  <si>
    <t>三毛派神</t>
  </si>
  <si>
    <t>平庄能源</t>
  </si>
  <si>
    <t>美达股份</t>
  </si>
  <si>
    <t>长江证券</t>
  </si>
  <si>
    <t>武汉中商</t>
  </si>
  <si>
    <t>北新建材</t>
  </si>
  <si>
    <t>北大医药</t>
  </si>
  <si>
    <t>万年青</t>
  </si>
  <si>
    <t>泰合健康</t>
  </si>
  <si>
    <t>甘肃电投</t>
  </si>
  <si>
    <t>盐湖股份</t>
  </si>
  <si>
    <t>华闻传媒</t>
  </si>
  <si>
    <t>英洛华</t>
  </si>
  <si>
    <t>凯撒旅游</t>
  </si>
  <si>
    <t>中国武夷</t>
  </si>
  <si>
    <t>中水渔业</t>
  </si>
  <si>
    <t>渔业</t>
  </si>
  <si>
    <t>酒鬼酒</t>
  </si>
  <si>
    <t>一汽轿车</t>
  </si>
  <si>
    <t>四川九洲</t>
  </si>
  <si>
    <t>北京文化</t>
  </si>
  <si>
    <t>*ST金宇</t>
  </si>
  <si>
    <t>银河生物</t>
  </si>
  <si>
    <t>云铝股份</t>
  </si>
  <si>
    <t>铁岭新城</t>
  </si>
  <si>
    <t>创维数字</t>
  </si>
  <si>
    <t>冰轮环境</t>
  </si>
  <si>
    <t>陕西金叶</t>
  </si>
  <si>
    <t>德展健康</t>
  </si>
  <si>
    <t>美利云</t>
  </si>
  <si>
    <t>*ST慧业</t>
  </si>
  <si>
    <t>农用机械</t>
  </si>
  <si>
    <t>航锦科技</t>
  </si>
  <si>
    <t>岳阳兴长</t>
  </si>
  <si>
    <t>神雾节能</t>
  </si>
  <si>
    <t>京山轻机</t>
  </si>
  <si>
    <t>山东海化</t>
  </si>
  <si>
    <t>超声电子</t>
  </si>
  <si>
    <t>太钢不锈</t>
  </si>
  <si>
    <t>启迪桑德</t>
  </si>
  <si>
    <t>东莞控股</t>
  </si>
  <si>
    <t>天音控股</t>
  </si>
  <si>
    <t>鲁西化工</t>
  </si>
  <si>
    <t>五矿稀土</t>
  </si>
  <si>
    <t>粤桂股份</t>
  </si>
  <si>
    <t>长城动漫</t>
  </si>
  <si>
    <t>鑫茂科技</t>
  </si>
  <si>
    <t>秦川机床</t>
  </si>
  <si>
    <t>财信发展</t>
  </si>
  <si>
    <t>中信国安</t>
  </si>
  <si>
    <t>承德露露</t>
  </si>
  <si>
    <t>华茂股份</t>
  </si>
  <si>
    <t>高鸿股份</t>
  </si>
  <si>
    <t>石化机械</t>
  </si>
  <si>
    <t>化工机械</t>
  </si>
  <si>
    <t>冀东装备</t>
  </si>
  <si>
    <t>五 粮 液</t>
  </si>
  <si>
    <t>国风塑业</t>
  </si>
  <si>
    <t>塑料</t>
  </si>
  <si>
    <t>顺鑫农业</t>
  </si>
  <si>
    <t>海印股份</t>
  </si>
  <si>
    <t>银星能源</t>
  </si>
  <si>
    <t>三湘印象</t>
  </si>
  <si>
    <t>安凯客车</t>
  </si>
  <si>
    <t>张 裕Ａ</t>
  </si>
  <si>
    <t>吉电股份</t>
  </si>
  <si>
    <t>新 希 望</t>
  </si>
  <si>
    <t>天山股份</t>
  </si>
  <si>
    <t>云南铜业</t>
  </si>
  <si>
    <t>潍柴重机</t>
  </si>
  <si>
    <t>中广核技</t>
  </si>
  <si>
    <t>华联股份</t>
  </si>
  <si>
    <t>湖北能源</t>
  </si>
  <si>
    <t>同力水泥</t>
  </si>
  <si>
    <t>海南高速</t>
  </si>
  <si>
    <t>中鼎股份</t>
  </si>
  <si>
    <t>橡胶</t>
  </si>
  <si>
    <t>峨眉山Ａ</t>
  </si>
  <si>
    <t>茂业通信</t>
  </si>
  <si>
    <t>法 尔 胜</t>
  </si>
  <si>
    <t>欢瑞世纪</t>
  </si>
  <si>
    <t>*ST东凌</t>
  </si>
  <si>
    <t>双汇发展</t>
  </si>
  <si>
    <t>津滨发展</t>
  </si>
  <si>
    <t>鞍钢股份</t>
  </si>
  <si>
    <t>赣能股份</t>
  </si>
  <si>
    <t>现代投资</t>
  </si>
  <si>
    <t>航天科技</t>
  </si>
  <si>
    <t>新洋丰</t>
  </si>
  <si>
    <t>云内动力</t>
  </si>
  <si>
    <t>厦门港务</t>
  </si>
  <si>
    <t>浙商中拓</t>
  </si>
  <si>
    <t>景峰医药</t>
  </si>
  <si>
    <t>数源科技</t>
  </si>
  <si>
    <t>大亚圣象</t>
  </si>
  <si>
    <t>家居用品</t>
  </si>
  <si>
    <t>南宁糖业</t>
  </si>
  <si>
    <t>*ST天化</t>
  </si>
  <si>
    <t>钱江摩托</t>
  </si>
  <si>
    <t>摩托车</t>
  </si>
  <si>
    <t>山大华特</t>
  </si>
  <si>
    <t>电广传媒</t>
  </si>
  <si>
    <t>嘉凯城</t>
  </si>
  <si>
    <t>金陵药业</t>
  </si>
  <si>
    <t>南方汇通</t>
  </si>
  <si>
    <t>海信科龙</t>
  </si>
  <si>
    <t>*ST佳电</t>
  </si>
  <si>
    <t>河北宣工</t>
  </si>
  <si>
    <t>众合科技</t>
  </si>
  <si>
    <t>福星股份</t>
  </si>
  <si>
    <t>一汽夏利</t>
  </si>
  <si>
    <t>中钢国际</t>
  </si>
  <si>
    <t>兰州黄河</t>
  </si>
  <si>
    <t>中粮生化</t>
  </si>
  <si>
    <t>中 关 村</t>
  </si>
  <si>
    <t>华菱钢铁</t>
  </si>
  <si>
    <t>神火股份</t>
  </si>
  <si>
    <t>四川双马</t>
  </si>
  <si>
    <t>华西股份</t>
  </si>
  <si>
    <t>冀中能源</t>
  </si>
  <si>
    <t>紫光股份</t>
  </si>
  <si>
    <t>*ST凯迪</t>
  </si>
  <si>
    <t>南天信息</t>
  </si>
  <si>
    <t>新乡化纤</t>
  </si>
  <si>
    <t>中国重汽</t>
  </si>
  <si>
    <t>广济药业</t>
  </si>
  <si>
    <t>ST河化</t>
  </si>
  <si>
    <t>欣龙控股</t>
  </si>
  <si>
    <t>中通客车</t>
  </si>
  <si>
    <t>东方能源</t>
  </si>
  <si>
    <t>首钢股份</t>
  </si>
  <si>
    <t>锡业股份</t>
  </si>
  <si>
    <t>中南建设</t>
  </si>
  <si>
    <t>东方钽业</t>
  </si>
  <si>
    <t>华东医药</t>
  </si>
  <si>
    <t>天保基建</t>
  </si>
  <si>
    <t>长源电力</t>
  </si>
  <si>
    <t>盈峰环境</t>
  </si>
  <si>
    <t>蓝焰控股</t>
  </si>
  <si>
    <t>安泰科技</t>
  </si>
  <si>
    <t>中科三环</t>
  </si>
  <si>
    <t>高升控股</t>
  </si>
  <si>
    <t>*ST中基</t>
  </si>
  <si>
    <t>佛塑科技</t>
  </si>
  <si>
    <t>银泰资源</t>
  </si>
  <si>
    <t>华铁股份</t>
  </si>
  <si>
    <t>浪潮信息</t>
  </si>
  <si>
    <t>桂林旅游</t>
  </si>
  <si>
    <t>中弘股份</t>
  </si>
  <si>
    <t>众泰汽车</t>
  </si>
  <si>
    <t>银亿股份</t>
  </si>
  <si>
    <t>*ST 中绒</t>
  </si>
  <si>
    <t>西山煤电</t>
  </si>
  <si>
    <t>大庆华科</t>
  </si>
  <si>
    <t>越秀金控</t>
  </si>
  <si>
    <t>华工科技</t>
  </si>
  <si>
    <t>电器仪表</t>
  </si>
  <si>
    <t>九 芝 堂</t>
  </si>
  <si>
    <t>诚志股份</t>
  </si>
  <si>
    <t>闽东电力</t>
  </si>
  <si>
    <t>*ST皇台</t>
  </si>
  <si>
    <t>中国中期</t>
  </si>
  <si>
    <t>新 大 陆</t>
  </si>
  <si>
    <t>隆平高科</t>
  </si>
  <si>
    <t>华润三九</t>
  </si>
  <si>
    <t>宗申动力</t>
  </si>
  <si>
    <t>豫能控股</t>
  </si>
  <si>
    <t>招商公路</t>
  </si>
  <si>
    <t>招商蛇口</t>
  </si>
  <si>
    <t>新 和 成</t>
  </si>
  <si>
    <t>鸿达兴业</t>
  </si>
  <si>
    <t>伟星股份</t>
  </si>
  <si>
    <t>服饰</t>
  </si>
  <si>
    <t>华邦健康</t>
  </si>
  <si>
    <t>德豪润达</t>
  </si>
  <si>
    <t>精功科技</t>
  </si>
  <si>
    <t>华兰生物</t>
  </si>
  <si>
    <t>大族激光</t>
  </si>
  <si>
    <t>天奇股份</t>
  </si>
  <si>
    <t>传化智联</t>
  </si>
  <si>
    <t>盾安环境</t>
  </si>
  <si>
    <t>凯恩股份</t>
  </si>
  <si>
    <t>中航机电</t>
  </si>
  <si>
    <t>永新股份</t>
  </si>
  <si>
    <t>霞客环保</t>
  </si>
  <si>
    <t>世荣兆业</t>
  </si>
  <si>
    <t>东信和平</t>
  </si>
  <si>
    <t>*ST华信</t>
  </si>
  <si>
    <t>亿帆医药</t>
  </si>
  <si>
    <t>京新药业</t>
  </si>
  <si>
    <t>中捷资源</t>
  </si>
  <si>
    <t>科华生物</t>
  </si>
  <si>
    <t>海特高新</t>
  </si>
  <si>
    <t>苏宁易购</t>
  </si>
  <si>
    <t>电器连锁</t>
  </si>
  <si>
    <t>航天电器</t>
  </si>
  <si>
    <t>山东威达</t>
  </si>
  <si>
    <t>分众传媒</t>
  </si>
  <si>
    <t>思源电气</t>
  </si>
  <si>
    <t>七 匹 狼</t>
  </si>
  <si>
    <t>达安基因</t>
  </si>
  <si>
    <t>巨轮智能</t>
  </si>
  <si>
    <t>苏 泊 尔</t>
  </si>
  <si>
    <t>丽江旅游</t>
  </si>
  <si>
    <t>旺能环境</t>
  </si>
  <si>
    <t>华帝股份</t>
  </si>
  <si>
    <t>联创电子</t>
  </si>
  <si>
    <t>久联发展</t>
  </si>
  <si>
    <t>双鹭药业</t>
  </si>
  <si>
    <t>黔源电力</t>
  </si>
  <si>
    <t>南 京 港</t>
  </si>
  <si>
    <t>登海种业</t>
  </si>
  <si>
    <t>华孚时尚</t>
  </si>
  <si>
    <t>兔 宝 宝</t>
  </si>
  <si>
    <t>美年健康</t>
  </si>
  <si>
    <t>国光电器</t>
  </si>
  <si>
    <t>轴研科技</t>
  </si>
  <si>
    <t>宝鹰股份</t>
  </si>
  <si>
    <t>宁波华翔</t>
  </si>
  <si>
    <t>紫光国微</t>
  </si>
  <si>
    <t>三花智控</t>
  </si>
  <si>
    <t>中工国际</t>
  </si>
  <si>
    <t>同洲电子</t>
  </si>
  <si>
    <t>云南能投</t>
  </si>
  <si>
    <t>德美化工</t>
  </si>
  <si>
    <t>得润电子</t>
  </si>
  <si>
    <t>横店东磁</t>
  </si>
  <si>
    <t>中钢天源</t>
  </si>
  <si>
    <t>威 尔 泰</t>
  </si>
  <si>
    <t>云南旅游</t>
  </si>
  <si>
    <t>粤 水 电</t>
  </si>
  <si>
    <t>浙江交科</t>
  </si>
  <si>
    <t>宏润建设</t>
  </si>
  <si>
    <t>远光软件</t>
  </si>
  <si>
    <t>华峰氨纶</t>
  </si>
  <si>
    <t>东华软件</t>
  </si>
  <si>
    <t>瑞泰科技</t>
  </si>
  <si>
    <t>景兴纸业</t>
  </si>
  <si>
    <t>黑猫股份</t>
  </si>
  <si>
    <t>獐子岛</t>
  </si>
  <si>
    <t>长城影视</t>
  </si>
  <si>
    <t>凯瑞德</t>
  </si>
  <si>
    <t>软控股份</t>
  </si>
  <si>
    <t>国轩高科</t>
  </si>
  <si>
    <t>沙钢股份</t>
  </si>
  <si>
    <t>雪 莱 特</t>
  </si>
  <si>
    <t>大港股份</t>
  </si>
  <si>
    <t>太阳纸业</t>
  </si>
  <si>
    <t>苏州固锝</t>
  </si>
  <si>
    <t>半导体</t>
  </si>
  <si>
    <t>中材科技</t>
  </si>
  <si>
    <t>金 螳 螂</t>
  </si>
  <si>
    <t>万邦德</t>
  </si>
  <si>
    <t>孚日股份</t>
  </si>
  <si>
    <t>海鸥住工</t>
  </si>
  <si>
    <t>万丰奥威</t>
  </si>
  <si>
    <t>东方海洋</t>
  </si>
  <si>
    <t>新野纺织</t>
  </si>
  <si>
    <t>鲁阳节能</t>
  </si>
  <si>
    <t>新 海 宜</t>
  </si>
  <si>
    <t>金智科技</t>
  </si>
  <si>
    <t>江苏国泰</t>
  </si>
  <si>
    <t>中泰化学</t>
  </si>
  <si>
    <t>国脉科技</t>
  </si>
  <si>
    <t>电信运营</t>
  </si>
  <si>
    <t>青岛金王</t>
  </si>
  <si>
    <t>生 意 宝</t>
  </si>
  <si>
    <t>南岭民爆</t>
  </si>
  <si>
    <t>山河智能</t>
  </si>
  <si>
    <t>浔兴股份</t>
  </si>
  <si>
    <t>海翔药业</t>
  </si>
  <si>
    <t>天康生物</t>
  </si>
  <si>
    <t>广东鸿图</t>
  </si>
  <si>
    <t>冠福股份</t>
  </si>
  <si>
    <t>广博股份</t>
  </si>
  <si>
    <t>恒宝股份</t>
  </si>
  <si>
    <t>信隆健康</t>
  </si>
  <si>
    <t>莱宝高科</t>
  </si>
  <si>
    <t>沃华医药</t>
  </si>
  <si>
    <t>沧州明珠</t>
  </si>
  <si>
    <t>兴化股份</t>
  </si>
  <si>
    <t>三钢闽光</t>
  </si>
  <si>
    <t>威海广泰</t>
  </si>
  <si>
    <t>三变科技</t>
  </si>
  <si>
    <t>天润数娱</t>
  </si>
  <si>
    <t>罗平锌电</t>
  </si>
  <si>
    <t>三维通信</t>
  </si>
  <si>
    <t>中国海诚</t>
  </si>
  <si>
    <t>东港股份</t>
  </si>
  <si>
    <t>紫鑫药业</t>
  </si>
  <si>
    <t>康强电子</t>
  </si>
  <si>
    <t>韵达股份</t>
  </si>
  <si>
    <t>仓储物流</t>
  </si>
  <si>
    <t>科陆电子</t>
  </si>
  <si>
    <t>*ST天马</t>
  </si>
  <si>
    <t>梦网集团</t>
  </si>
  <si>
    <t>天邦股份</t>
  </si>
  <si>
    <t>湘潭电化</t>
  </si>
  <si>
    <t>银轮股份</t>
  </si>
  <si>
    <t>南极电商</t>
  </si>
  <si>
    <t>露天煤业</t>
  </si>
  <si>
    <t>中环股份</t>
  </si>
  <si>
    <t>沃尔核材</t>
  </si>
  <si>
    <t>利欧股份</t>
  </si>
  <si>
    <t>恒星科技</t>
  </si>
  <si>
    <t>广宇集团</t>
  </si>
  <si>
    <t>天津普林</t>
  </si>
  <si>
    <t>东南网架</t>
  </si>
  <si>
    <t>安 纳 达</t>
  </si>
  <si>
    <t>麦达数字</t>
  </si>
  <si>
    <t>顺络电子</t>
  </si>
  <si>
    <t>拓邦股份</t>
  </si>
  <si>
    <t>东华科技</t>
  </si>
  <si>
    <t>贤丰控股</t>
  </si>
  <si>
    <t>宁波银行</t>
  </si>
  <si>
    <t>印纪传媒</t>
  </si>
  <si>
    <t>宏达高科</t>
  </si>
  <si>
    <t>中核钛白</t>
  </si>
  <si>
    <t>荣盛发展</t>
  </si>
  <si>
    <t>新光圆成</t>
  </si>
  <si>
    <t>北纬科技</t>
  </si>
  <si>
    <t>西部材料</t>
  </si>
  <si>
    <t>通润装备</t>
  </si>
  <si>
    <t>北斗星通</t>
  </si>
  <si>
    <t>广电运通</t>
  </si>
  <si>
    <t>石基信息</t>
  </si>
  <si>
    <t>报 喜 鸟</t>
  </si>
  <si>
    <t>湖南黄金</t>
  </si>
  <si>
    <t>黄金</t>
  </si>
  <si>
    <t>通富微电</t>
  </si>
  <si>
    <t>正邦科技</t>
  </si>
  <si>
    <t>汉钟精机</t>
  </si>
  <si>
    <t>三特索道</t>
  </si>
  <si>
    <t>常铝股份</t>
  </si>
  <si>
    <t>远 望 谷</t>
  </si>
  <si>
    <t>悦心健康</t>
  </si>
  <si>
    <t>中航三鑫</t>
  </si>
  <si>
    <t>宁波东力</t>
  </si>
  <si>
    <t>红 宝 丽</t>
  </si>
  <si>
    <t>莱茵生物</t>
  </si>
  <si>
    <t>东方锆业</t>
  </si>
  <si>
    <t>深圳惠程</t>
  </si>
  <si>
    <t>智光电气</t>
  </si>
  <si>
    <t>芭田股份</t>
  </si>
  <si>
    <t>楚江新材</t>
  </si>
  <si>
    <t>澳洋科技</t>
  </si>
  <si>
    <t>创新医疗</t>
  </si>
  <si>
    <t>游族网络</t>
  </si>
  <si>
    <t>东方网络</t>
  </si>
  <si>
    <t>江特电机</t>
  </si>
  <si>
    <t>御银股份</t>
  </si>
  <si>
    <t>延华智能</t>
  </si>
  <si>
    <t>中航光电</t>
  </si>
  <si>
    <t>纳思达</t>
  </si>
  <si>
    <t>粤 传 媒</t>
  </si>
  <si>
    <t>云海金属</t>
  </si>
  <si>
    <t>怡 亚 通</t>
  </si>
  <si>
    <t>海得控制</t>
  </si>
  <si>
    <t>华天科技</t>
  </si>
  <si>
    <t>全 聚 德</t>
  </si>
  <si>
    <t>广百股份</t>
  </si>
  <si>
    <t>*ST巴士</t>
  </si>
  <si>
    <t>利达光电</t>
  </si>
  <si>
    <t>成飞集成</t>
  </si>
  <si>
    <t>劲嘉股份</t>
  </si>
  <si>
    <t>融捷股份</t>
  </si>
  <si>
    <t>如意集团</t>
  </si>
  <si>
    <t>*ST凡谷</t>
  </si>
  <si>
    <t>二三四五</t>
  </si>
  <si>
    <t>方正电机</t>
  </si>
  <si>
    <t>证通电子</t>
  </si>
  <si>
    <t>嘉应制药</t>
  </si>
  <si>
    <t>东晶电子</t>
  </si>
  <si>
    <t>云投生态</t>
  </si>
  <si>
    <t>九鼎新材</t>
  </si>
  <si>
    <t>金风科技</t>
  </si>
  <si>
    <t>海亮股份</t>
  </si>
  <si>
    <t>大连重工</t>
  </si>
  <si>
    <t>国统股份</t>
  </si>
  <si>
    <t>海 利 得</t>
  </si>
  <si>
    <t>*ST准油</t>
  </si>
  <si>
    <t>石油开采</t>
  </si>
  <si>
    <t>合肥城建</t>
  </si>
  <si>
    <t>达 意 隆</t>
  </si>
  <si>
    <t>飞马国际</t>
  </si>
  <si>
    <t>宏达新材</t>
  </si>
  <si>
    <t>南洋股份</t>
  </si>
  <si>
    <t>特 尔 佳</t>
  </si>
  <si>
    <t>大立科技</t>
  </si>
  <si>
    <t>诺 普 信</t>
  </si>
  <si>
    <t>三全食品</t>
  </si>
  <si>
    <t>合力泰</t>
  </si>
  <si>
    <t>拓日新能</t>
  </si>
  <si>
    <t>恒康医疗</t>
  </si>
  <si>
    <t>天宝食品</t>
  </si>
  <si>
    <t>东华能源</t>
  </si>
  <si>
    <t>福晶科技</t>
  </si>
  <si>
    <t>鱼跃医疗</t>
  </si>
  <si>
    <t>三 力 士</t>
  </si>
  <si>
    <t>濮耐股份</t>
  </si>
  <si>
    <t>江南化工</t>
  </si>
  <si>
    <t>奥 特 迅</t>
  </si>
  <si>
    <t>合兴包装</t>
  </si>
  <si>
    <t>鸿博股份</t>
  </si>
  <si>
    <t>科大讯飞</t>
  </si>
  <si>
    <t>奥维通信</t>
  </si>
  <si>
    <t>启明信息</t>
  </si>
  <si>
    <t>塔牌集团</t>
  </si>
  <si>
    <t>民和股份</t>
  </si>
  <si>
    <t>安妮股份</t>
  </si>
  <si>
    <t>大华股份</t>
  </si>
  <si>
    <t>恒邦股份</t>
  </si>
  <si>
    <t>天威视讯</t>
  </si>
  <si>
    <t>奥特佳</t>
  </si>
  <si>
    <t>威华股份</t>
  </si>
  <si>
    <t>歌尔股份</t>
  </si>
  <si>
    <t>九阳股份</t>
  </si>
  <si>
    <t>通产丽星</t>
  </si>
  <si>
    <t>滨江集团</t>
  </si>
  <si>
    <t>澳洋顺昌</t>
  </si>
  <si>
    <t>北化股份</t>
  </si>
  <si>
    <t>帝龙文化</t>
  </si>
  <si>
    <t>华东数控</t>
  </si>
  <si>
    <t>大洋电机</t>
  </si>
  <si>
    <t>联化科技</t>
  </si>
  <si>
    <t>步 步 高</t>
  </si>
  <si>
    <t>上海莱士</t>
  </si>
  <si>
    <t>川大智胜</t>
  </si>
  <si>
    <t>泰和新材</t>
  </si>
  <si>
    <t>海陆重工</t>
  </si>
  <si>
    <t>兆新股份</t>
  </si>
  <si>
    <t>利尔化学</t>
  </si>
  <si>
    <t>升达林业</t>
  </si>
  <si>
    <t>*ST德奥</t>
  </si>
  <si>
    <t>拓维信息</t>
  </si>
  <si>
    <t>恩华药业</t>
  </si>
  <si>
    <t>*ST东南</t>
  </si>
  <si>
    <t>新 华 都</t>
  </si>
  <si>
    <t>西仪股份</t>
  </si>
  <si>
    <t>浙富控股</t>
  </si>
  <si>
    <t>陕天然气</t>
  </si>
  <si>
    <t>卫 士 通</t>
  </si>
  <si>
    <t>美邦服饰</t>
  </si>
  <si>
    <t>华明装备</t>
  </si>
  <si>
    <t>东方雨虹</t>
  </si>
  <si>
    <t>川润股份</t>
  </si>
  <si>
    <t>水晶光电</t>
  </si>
  <si>
    <t>华昌化工</t>
  </si>
  <si>
    <t>桂林三金</t>
  </si>
  <si>
    <t>万马股份</t>
  </si>
  <si>
    <t>友阿股份</t>
  </si>
  <si>
    <t>神开股份</t>
  </si>
  <si>
    <t>久其软件</t>
  </si>
  <si>
    <t>联络互动</t>
  </si>
  <si>
    <t>光迅科技</t>
  </si>
  <si>
    <t>博深工具</t>
  </si>
  <si>
    <t>天润曲轴</t>
  </si>
  <si>
    <t>亚太股份</t>
  </si>
  <si>
    <t>世联行</t>
  </si>
  <si>
    <t>保龄宝</t>
  </si>
  <si>
    <t>奇正藏药</t>
  </si>
  <si>
    <t>超华科技</t>
  </si>
  <si>
    <t>宇顺电子</t>
  </si>
  <si>
    <t>中科新材</t>
  </si>
  <si>
    <t>星期六</t>
  </si>
  <si>
    <t>奥飞娱乐</t>
  </si>
  <si>
    <t>罗莱生活</t>
  </si>
  <si>
    <t>信立泰</t>
  </si>
  <si>
    <t>精艺股份</t>
  </si>
  <si>
    <t>辉煌科技</t>
  </si>
  <si>
    <t>博云新材</t>
  </si>
  <si>
    <t>中电兴发</t>
  </si>
  <si>
    <t>圣农发展</t>
  </si>
  <si>
    <t>太阳电缆</t>
  </si>
  <si>
    <t>齐心集团</t>
  </si>
  <si>
    <t>西部建设</t>
  </si>
  <si>
    <t>美盈森</t>
  </si>
  <si>
    <t>洋河股份</t>
  </si>
  <si>
    <t>南国置业</t>
  </si>
  <si>
    <t>*ST云网</t>
  </si>
  <si>
    <t>北新路桥</t>
  </si>
  <si>
    <t>威创股份</t>
  </si>
  <si>
    <t>中利集团</t>
  </si>
  <si>
    <t>东方园林</t>
  </si>
  <si>
    <t>海大集团</t>
  </si>
  <si>
    <t>三泰控股</t>
  </si>
  <si>
    <t>日海智能</t>
  </si>
  <si>
    <t>南山控股</t>
  </si>
  <si>
    <t>焦点科技</t>
  </si>
  <si>
    <t>亚联发展</t>
  </si>
  <si>
    <t>众生药业</t>
  </si>
  <si>
    <t>久立特材</t>
  </si>
  <si>
    <t>乐通股份</t>
  </si>
  <si>
    <t>海峡股份</t>
  </si>
  <si>
    <t>华英农业</t>
  </si>
  <si>
    <t>理工环科</t>
  </si>
  <si>
    <t>*ST百特</t>
  </si>
  <si>
    <t>普利特</t>
  </si>
  <si>
    <t>洪涛股份</t>
  </si>
  <si>
    <t>永太科技</t>
  </si>
  <si>
    <t>富安娜</t>
  </si>
  <si>
    <t>新朋股份</t>
  </si>
  <si>
    <t>皇氏集团</t>
  </si>
  <si>
    <t>乳制品</t>
  </si>
  <si>
    <t>得利斯</t>
  </si>
  <si>
    <t>皖通科技</t>
  </si>
  <si>
    <t>仙琚制药</t>
  </si>
  <si>
    <t>罗普斯金</t>
  </si>
  <si>
    <t>英威腾</t>
  </si>
  <si>
    <t>科华恒盛</t>
  </si>
  <si>
    <t>人人乐</t>
  </si>
  <si>
    <t>赛象科技</t>
  </si>
  <si>
    <t>奥普光电</t>
  </si>
  <si>
    <t>积成电子</t>
  </si>
  <si>
    <t>格林美</t>
  </si>
  <si>
    <t>新纶科技</t>
  </si>
  <si>
    <t>巨力索具</t>
  </si>
  <si>
    <t>慈文传媒</t>
  </si>
  <si>
    <t>海宁皮城</t>
  </si>
  <si>
    <t>商品城</t>
  </si>
  <si>
    <t>潮宏基</t>
  </si>
  <si>
    <t>柘中股份</t>
  </si>
  <si>
    <t>泰尔股份</t>
  </si>
  <si>
    <t>高乐股份</t>
  </si>
  <si>
    <t>精华制药</t>
  </si>
  <si>
    <t>北京科锐</t>
  </si>
  <si>
    <t>漫步者</t>
  </si>
  <si>
    <t>顺丰控股</t>
  </si>
  <si>
    <t>杰瑞股份</t>
  </si>
  <si>
    <t>天神娱乐</t>
  </si>
  <si>
    <t>兴民智通</t>
  </si>
  <si>
    <t>赫美集团</t>
  </si>
  <si>
    <t>富临运业</t>
  </si>
  <si>
    <t>公路</t>
  </si>
  <si>
    <t>森源电气</t>
  </si>
  <si>
    <t>北讯集团</t>
  </si>
  <si>
    <t>同德化工</t>
  </si>
  <si>
    <t>神剑股份</t>
  </si>
  <si>
    <t>汉王科技</t>
  </si>
  <si>
    <t>隆基机械</t>
  </si>
  <si>
    <t>中恒电气</t>
  </si>
  <si>
    <t>永安药业</t>
  </si>
  <si>
    <t>台海核电</t>
  </si>
  <si>
    <t>康力电梯</t>
  </si>
  <si>
    <t>太极股份</t>
  </si>
  <si>
    <t>卓翼科技</t>
  </si>
  <si>
    <t>亚太药业</t>
  </si>
  <si>
    <t>北方华创</t>
  </si>
  <si>
    <t>伟星新材</t>
  </si>
  <si>
    <t>千方科技</t>
  </si>
  <si>
    <t>丽鹏股份</t>
  </si>
  <si>
    <t>亚厦股份</t>
  </si>
  <si>
    <t>新北洋</t>
  </si>
  <si>
    <t>国创高新</t>
  </si>
  <si>
    <t>章源钨业</t>
  </si>
  <si>
    <t>宏创控股</t>
  </si>
  <si>
    <t>科远股份</t>
  </si>
  <si>
    <t>双箭股份</t>
  </si>
  <si>
    <t>蓝帆医疗</t>
  </si>
  <si>
    <t>合众思壮</t>
  </si>
  <si>
    <t>东山精密</t>
  </si>
  <si>
    <t>大北农</t>
  </si>
  <si>
    <t>天原集团</t>
  </si>
  <si>
    <t>维信诺</t>
  </si>
  <si>
    <t>新亚制程</t>
  </si>
  <si>
    <t>南洋科技</t>
  </si>
  <si>
    <t>信邦制药</t>
  </si>
  <si>
    <t>长青股份</t>
  </si>
  <si>
    <t>北京利尔</t>
  </si>
  <si>
    <t>力生制药</t>
  </si>
  <si>
    <t>联发股份</t>
  </si>
  <si>
    <t>双象股份</t>
  </si>
  <si>
    <t>星网锐捷</t>
  </si>
  <si>
    <t>梦洁股份</t>
  </si>
  <si>
    <t>建研集团</t>
  </si>
  <si>
    <t>海普瑞</t>
  </si>
  <si>
    <t>省广集团</t>
  </si>
  <si>
    <t>中远海科</t>
  </si>
  <si>
    <t>和而泰</t>
  </si>
  <si>
    <t>爱仕达</t>
  </si>
  <si>
    <t>嘉欣丝绸</t>
  </si>
  <si>
    <t>四维图新</t>
  </si>
  <si>
    <t>远东传动</t>
  </si>
  <si>
    <t>多氟多</t>
  </si>
  <si>
    <t>齐翔腾达</t>
  </si>
  <si>
    <t>雅克科技</t>
  </si>
  <si>
    <t>广联达</t>
  </si>
  <si>
    <t>必康股份</t>
  </si>
  <si>
    <t>汉森制药</t>
  </si>
  <si>
    <t>雷科防务</t>
  </si>
  <si>
    <t>高德红外</t>
  </si>
  <si>
    <t>海康威视</t>
  </si>
  <si>
    <t>爱施德</t>
  </si>
  <si>
    <t>深南股份</t>
  </si>
  <si>
    <t>康盛股份</t>
  </si>
  <si>
    <t>天虹股份</t>
  </si>
  <si>
    <t>毅昌股份</t>
  </si>
  <si>
    <t>达实智能</t>
  </si>
  <si>
    <t>科伦药业</t>
  </si>
  <si>
    <t>中原特钢</t>
  </si>
  <si>
    <t>贵州百灵</t>
  </si>
  <si>
    <t>凯撒文化</t>
  </si>
  <si>
    <t>胜利精密</t>
  </si>
  <si>
    <t>*ST尤夫</t>
  </si>
  <si>
    <t>云南锗业</t>
  </si>
  <si>
    <t>兆驰股份</t>
  </si>
  <si>
    <t>杭氧股份</t>
  </si>
  <si>
    <t>棕榈股份</t>
  </si>
  <si>
    <t>九安医疗</t>
  </si>
  <si>
    <t>太安堂</t>
  </si>
  <si>
    <t>万里扬</t>
  </si>
  <si>
    <t>长江润发</t>
  </si>
  <si>
    <t>兴森科技</t>
  </si>
  <si>
    <t>誉衡药业</t>
  </si>
  <si>
    <t>江苏神通</t>
  </si>
  <si>
    <t>启明星辰</t>
  </si>
  <si>
    <t>闰土股份</t>
  </si>
  <si>
    <t>众业达</t>
  </si>
  <si>
    <t>龙星化工</t>
  </si>
  <si>
    <t>金洲管道</t>
  </si>
  <si>
    <t>巨星科技</t>
  </si>
  <si>
    <t>中南文化</t>
  </si>
  <si>
    <t>盛路通信</t>
  </si>
  <si>
    <t>晨鑫科技</t>
  </si>
  <si>
    <t>中原内配</t>
  </si>
  <si>
    <t>国星光电</t>
  </si>
  <si>
    <t>康得新</t>
  </si>
  <si>
    <t>摩恩电气</t>
  </si>
  <si>
    <t>长高集团</t>
  </si>
  <si>
    <t>华软科技</t>
  </si>
  <si>
    <t>松芝股份</t>
  </si>
  <si>
    <t>百川股份</t>
  </si>
  <si>
    <t>欧菲科技</t>
  </si>
  <si>
    <t>青龙管业</t>
  </si>
  <si>
    <t>益生股份</t>
  </si>
  <si>
    <t>天业通联</t>
  </si>
  <si>
    <t>赣锋锂业</t>
  </si>
  <si>
    <t>珠江啤酒</t>
  </si>
  <si>
    <t>嘉事堂</t>
  </si>
  <si>
    <t>沪电股份</t>
  </si>
  <si>
    <t>众应互联</t>
  </si>
  <si>
    <t>海格通信</t>
  </si>
  <si>
    <t>天齐锂业</t>
  </si>
  <si>
    <t>二六三</t>
  </si>
  <si>
    <t>申通快递</t>
  </si>
  <si>
    <t>三维工程</t>
  </si>
  <si>
    <t>金正大</t>
  </si>
  <si>
    <t>中超控股</t>
  </si>
  <si>
    <t>双环传动</t>
  </si>
  <si>
    <t>*ST圣莱</t>
  </si>
  <si>
    <t>榕基软件</t>
  </si>
  <si>
    <t>立讯精密</t>
  </si>
  <si>
    <t>宝莫股份</t>
  </si>
  <si>
    <t>雏鹰农牧</t>
  </si>
  <si>
    <t>常宝股份</t>
  </si>
  <si>
    <t>富春环保</t>
  </si>
  <si>
    <t>新筑股份</t>
  </si>
  <si>
    <t>双塔食品</t>
  </si>
  <si>
    <t>广田集团</t>
  </si>
  <si>
    <t>润邦股份</t>
  </si>
  <si>
    <t>江海股份</t>
  </si>
  <si>
    <t>希努尔</t>
  </si>
  <si>
    <t>嘉麟杰</t>
  </si>
  <si>
    <t>大金重工</t>
  </si>
  <si>
    <t>金固股份</t>
  </si>
  <si>
    <t>浙江永强</t>
  </si>
  <si>
    <t>山东墨龙</t>
  </si>
  <si>
    <t>通鼎互联</t>
  </si>
  <si>
    <t>恒基达鑫</t>
  </si>
  <si>
    <t>荣盛石化</t>
  </si>
  <si>
    <t>华斯股份</t>
  </si>
  <si>
    <t>佳隆股份</t>
  </si>
  <si>
    <t>辉丰股份</t>
  </si>
  <si>
    <t>雅化集团</t>
  </si>
  <si>
    <t>汉缆股份</t>
  </si>
  <si>
    <t>科林环保</t>
  </si>
  <si>
    <t>山西证券</t>
  </si>
  <si>
    <t>利源精制</t>
  </si>
  <si>
    <t>骅威文化</t>
  </si>
  <si>
    <t>搜于特</t>
  </si>
  <si>
    <t>弘高创意</t>
  </si>
  <si>
    <t>大康农业</t>
  </si>
  <si>
    <t>协鑫集成</t>
  </si>
  <si>
    <t>涪陵榨菜</t>
  </si>
  <si>
    <t>老板电器</t>
  </si>
  <si>
    <t>天广中茂</t>
  </si>
  <si>
    <t>天汽模</t>
  </si>
  <si>
    <t>中顺洁柔</t>
  </si>
  <si>
    <t>达华智能</t>
  </si>
  <si>
    <t>蓝丰生化</t>
  </si>
  <si>
    <t>宝馨科技</t>
  </si>
  <si>
    <t>金字火腿</t>
  </si>
  <si>
    <t>旷达科技</t>
  </si>
  <si>
    <t>恺英网络</t>
  </si>
  <si>
    <t>科士达</t>
  </si>
  <si>
    <t>银河电子</t>
  </si>
  <si>
    <t>日发精机</t>
  </si>
  <si>
    <t>齐峰新材</t>
  </si>
  <si>
    <t>浙江众成</t>
  </si>
  <si>
    <t>天桥起重</t>
  </si>
  <si>
    <t>光正集团</t>
  </si>
  <si>
    <t>山东矿机</t>
  </si>
  <si>
    <t>新时达</t>
  </si>
  <si>
    <t>英飞拓</t>
  </si>
  <si>
    <t>海源机械</t>
  </si>
  <si>
    <t>金财互联</t>
  </si>
  <si>
    <t>天顺风能</t>
  </si>
  <si>
    <t>新界泵业</t>
  </si>
  <si>
    <t>金杯电工</t>
  </si>
  <si>
    <t>杭锅股份</t>
  </si>
  <si>
    <t>林州重机</t>
  </si>
  <si>
    <t>西泵股份</t>
  </si>
  <si>
    <t>海联金汇</t>
  </si>
  <si>
    <t>司尔特</t>
  </si>
  <si>
    <t>云图控股</t>
  </si>
  <si>
    <t>亚太科技</t>
  </si>
  <si>
    <t>鸿路钢构</t>
  </si>
  <si>
    <t>中化岩土</t>
  </si>
  <si>
    <t>万和电气</t>
  </si>
  <si>
    <t>杰赛科技</t>
  </si>
  <si>
    <t>东方铁塔</t>
  </si>
  <si>
    <t>新联电子</t>
  </si>
  <si>
    <t>春兴精工</t>
  </si>
  <si>
    <t>金新农</t>
  </si>
  <si>
    <t>凯美特气</t>
  </si>
  <si>
    <t>千红制药</t>
  </si>
  <si>
    <t>尚荣医疗</t>
  </si>
  <si>
    <t>*ST宝鼎</t>
  </si>
  <si>
    <t>南方轴承</t>
  </si>
  <si>
    <t>惠博普</t>
  </si>
  <si>
    <t>三七互娱</t>
  </si>
  <si>
    <t>辉隆股份</t>
  </si>
  <si>
    <t>洽洽食品</t>
  </si>
  <si>
    <t>巨人网络</t>
  </si>
  <si>
    <t>亚威股份</t>
  </si>
  <si>
    <t>通达股份</t>
  </si>
  <si>
    <t>徐家汇</t>
  </si>
  <si>
    <t>兄弟科技</t>
  </si>
  <si>
    <t>森马服饰</t>
  </si>
  <si>
    <t>天沃科技</t>
  </si>
  <si>
    <t>顺灏股份</t>
  </si>
  <si>
    <t>益盛药业</t>
  </si>
  <si>
    <t>唐人神</t>
  </si>
  <si>
    <t>百润股份</t>
  </si>
  <si>
    <t>步森股份</t>
  </si>
  <si>
    <t>*ST因美</t>
  </si>
  <si>
    <t>德力股份</t>
  </si>
  <si>
    <t>索菲亚</t>
  </si>
  <si>
    <t>清新环境</t>
  </si>
  <si>
    <t>明牌珠宝</t>
  </si>
  <si>
    <t>群兴玩具</t>
  </si>
  <si>
    <t>通达动力</t>
  </si>
  <si>
    <t>雷柏科技</t>
  </si>
  <si>
    <t>闽发铝业</t>
  </si>
  <si>
    <t>中京电子</t>
  </si>
  <si>
    <t>圣阳股份</t>
  </si>
  <si>
    <t>未名医药</t>
  </si>
  <si>
    <t>好想你</t>
  </si>
  <si>
    <t>海能达</t>
  </si>
  <si>
    <t>西陇科学</t>
  </si>
  <si>
    <t>双星新材</t>
  </si>
  <si>
    <t>围海股份</t>
  </si>
  <si>
    <t>奥拓电子</t>
  </si>
  <si>
    <t>史丹利</t>
  </si>
  <si>
    <t>瑞康医药</t>
  </si>
  <si>
    <t>万安科技</t>
  </si>
  <si>
    <t>恒大高新</t>
  </si>
  <si>
    <t>八菱科技</t>
  </si>
  <si>
    <t>日上集团</t>
  </si>
  <si>
    <t>比亚迪</t>
  </si>
  <si>
    <t>豪迈科技</t>
  </si>
  <si>
    <t>海南瑞泽</t>
  </si>
  <si>
    <t>金禾实业</t>
  </si>
  <si>
    <t>山东章鼓</t>
  </si>
  <si>
    <t>盛通股份</t>
  </si>
  <si>
    <t>领益智造</t>
  </si>
  <si>
    <t>龙蟒佰利</t>
  </si>
  <si>
    <t>世纪华通</t>
  </si>
  <si>
    <t>以岭药业</t>
  </si>
  <si>
    <t>*ST龙力</t>
  </si>
  <si>
    <t>姚记扑克</t>
  </si>
  <si>
    <t>大连电瓷</t>
  </si>
  <si>
    <t>亚夏汽车</t>
  </si>
  <si>
    <t>江苏国信</t>
  </si>
  <si>
    <t>捷顺科技</t>
  </si>
  <si>
    <t>爱康科技</t>
  </si>
  <si>
    <t>东方精工</t>
  </si>
  <si>
    <t>朗姿股份</t>
  </si>
  <si>
    <t>北玻股份</t>
  </si>
  <si>
    <t>奥佳华</t>
  </si>
  <si>
    <t>哈尔斯</t>
  </si>
  <si>
    <t>长青集团</t>
  </si>
  <si>
    <t>露笑科技</t>
  </si>
  <si>
    <t>丹邦科技</t>
  </si>
  <si>
    <t>艾格拉斯</t>
  </si>
  <si>
    <t>瑞和股份</t>
  </si>
  <si>
    <t>三垒股份</t>
  </si>
  <si>
    <t>融钰集团</t>
  </si>
  <si>
    <t>亚玛顿</t>
  </si>
  <si>
    <t>完美世界</t>
  </si>
  <si>
    <t>光启技术</t>
  </si>
  <si>
    <t>金达威</t>
  </si>
  <si>
    <t>宜昌交运</t>
  </si>
  <si>
    <t>公共交通</t>
  </si>
  <si>
    <t>成都路桥</t>
  </si>
  <si>
    <t>仁智股份</t>
  </si>
  <si>
    <t>华西能源</t>
  </si>
  <si>
    <t>德尔未来</t>
  </si>
  <si>
    <t>道明光学</t>
  </si>
  <si>
    <t>申科股份</t>
  </si>
  <si>
    <t>棒杰股份</t>
  </si>
  <si>
    <t>安洁科技</t>
  </si>
  <si>
    <t>金安国纪</t>
  </si>
  <si>
    <t>赞宇科技</t>
  </si>
  <si>
    <t>勤上股份</t>
  </si>
  <si>
    <t>雪人股份</t>
  </si>
  <si>
    <t>跨境通</t>
  </si>
  <si>
    <t>永高股份</t>
  </si>
  <si>
    <t>荣之联</t>
  </si>
  <si>
    <t>万润股份</t>
  </si>
  <si>
    <t>佛慈制药</t>
  </si>
  <si>
    <t>华宏科技</t>
  </si>
  <si>
    <t>青青稞酒</t>
  </si>
  <si>
    <t>民盛金科</t>
  </si>
  <si>
    <t>卫星石化</t>
  </si>
  <si>
    <t>博彦科技</t>
  </si>
  <si>
    <t>加加食品</t>
  </si>
  <si>
    <t>利君股份</t>
  </si>
  <si>
    <t>扬子新材</t>
  </si>
  <si>
    <t>海思科</t>
  </si>
  <si>
    <t>万润科技</t>
  </si>
  <si>
    <t>共达电声</t>
  </si>
  <si>
    <t>摩登大道</t>
  </si>
  <si>
    <t>中科金财</t>
  </si>
  <si>
    <t>雪迪龙</t>
  </si>
  <si>
    <t>凯文教育</t>
  </si>
  <si>
    <t>茂硕电源</t>
  </si>
  <si>
    <t>克明面业</t>
  </si>
  <si>
    <t>京威股份</t>
  </si>
  <si>
    <t>普邦股份</t>
  </si>
  <si>
    <t>长鹰信质</t>
  </si>
  <si>
    <t>首航节能</t>
  </si>
  <si>
    <t>德联集团</t>
  </si>
  <si>
    <t>鞍重股份</t>
  </si>
  <si>
    <t>奥马电器</t>
  </si>
  <si>
    <t>康达新材</t>
  </si>
  <si>
    <t>国盛金控</t>
  </si>
  <si>
    <t>龙泉股份</t>
  </si>
  <si>
    <t>东江环保</t>
  </si>
  <si>
    <t>西部证券</t>
  </si>
  <si>
    <t>兴业科技</t>
  </si>
  <si>
    <t>东诚药业</t>
  </si>
  <si>
    <t>顺威股份</t>
  </si>
  <si>
    <t>浙江美大</t>
  </si>
  <si>
    <t>珠江钢琴</t>
  </si>
  <si>
    <t>福建金森</t>
  </si>
  <si>
    <t>长生生物</t>
  </si>
  <si>
    <t>奋达科技</t>
  </si>
  <si>
    <t>龙洲股份</t>
  </si>
  <si>
    <t>宏大爆破</t>
  </si>
  <si>
    <t>猛狮科技</t>
  </si>
  <si>
    <t>华东重机</t>
  </si>
  <si>
    <t>亿利达</t>
  </si>
  <si>
    <t>乔治白</t>
  </si>
  <si>
    <t>金河生物</t>
  </si>
  <si>
    <t>远大智能</t>
  </si>
  <si>
    <t>美亚光电</t>
  </si>
  <si>
    <t>冀凯股份</t>
  </si>
  <si>
    <t>睿康股份</t>
  </si>
  <si>
    <t>双成药业</t>
  </si>
  <si>
    <t>顾地科技</t>
  </si>
  <si>
    <t>煌上煌</t>
  </si>
  <si>
    <t>百洋股份</t>
  </si>
  <si>
    <t>红旗连锁</t>
  </si>
  <si>
    <t>博实股份</t>
  </si>
  <si>
    <t>美盛文化</t>
  </si>
  <si>
    <t>新疆浩源</t>
  </si>
  <si>
    <t>奥瑞金</t>
  </si>
  <si>
    <t>海欣食品</t>
  </si>
  <si>
    <t>浙江世宝</t>
  </si>
  <si>
    <t>新宝股份</t>
  </si>
  <si>
    <t>良信电器</t>
  </si>
  <si>
    <t>众信旅游</t>
  </si>
  <si>
    <t>光洋股份</t>
  </si>
  <si>
    <t>天赐材料</t>
  </si>
  <si>
    <t>欧浦智网</t>
  </si>
  <si>
    <t>思美传媒</t>
  </si>
  <si>
    <t>东易日盛</t>
  </si>
  <si>
    <t>牧原股份</t>
  </si>
  <si>
    <t>登云股份</t>
  </si>
  <si>
    <t>金贵银业</t>
  </si>
  <si>
    <t>岭南股份</t>
  </si>
  <si>
    <t>友邦吊顶</t>
  </si>
  <si>
    <t>麦趣尔</t>
  </si>
  <si>
    <t>金一文化</t>
  </si>
  <si>
    <t>金轮股份</t>
  </si>
  <si>
    <t>金莱特</t>
  </si>
  <si>
    <t>海洋王</t>
  </si>
  <si>
    <t>跃岭股份</t>
  </si>
  <si>
    <t>龙大肉食</t>
  </si>
  <si>
    <t>一心堂</t>
  </si>
  <si>
    <t>特一药业</t>
  </si>
  <si>
    <t>好利来</t>
  </si>
  <si>
    <t>电光科技</t>
  </si>
  <si>
    <t>萃华珠宝</t>
  </si>
  <si>
    <t>燕塘乳业</t>
  </si>
  <si>
    <t>雄韬股份</t>
  </si>
  <si>
    <t>利民股份</t>
  </si>
  <si>
    <t>王子新材</t>
  </si>
  <si>
    <t>国信证券</t>
  </si>
  <si>
    <t>葵花药业</t>
  </si>
  <si>
    <t>中矿资源</t>
  </si>
  <si>
    <t>万达电影</t>
  </si>
  <si>
    <t>爱迪尔</t>
  </si>
  <si>
    <t>光华科技</t>
  </si>
  <si>
    <t>三圣股份</t>
  </si>
  <si>
    <t>富煌钢构</t>
  </si>
  <si>
    <t>木林森</t>
  </si>
  <si>
    <t>仙坛股份</t>
  </si>
  <si>
    <t>埃斯顿</t>
  </si>
  <si>
    <t>世龙实业</t>
  </si>
  <si>
    <t>国光股份</t>
  </si>
  <si>
    <t>龙津药业</t>
  </si>
  <si>
    <t>易尚展示</t>
  </si>
  <si>
    <t>昇兴股份</t>
  </si>
  <si>
    <t>永东股份</t>
  </si>
  <si>
    <t>东方新星</t>
  </si>
  <si>
    <t>永兴特钢</t>
  </si>
  <si>
    <t>南兴装备</t>
  </si>
  <si>
    <t>华通医药</t>
  </si>
  <si>
    <t>天际股份</t>
  </si>
  <si>
    <t>凤形股份</t>
  </si>
  <si>
    <t>多喜爱</t>
  </si>
  <si>
    <t>金发拉比</t>
  </si>
  <si>
    <t>汇洁股份</t>
  </si>
  <si>
    <t>蓝黛传动</t>
  </si>
  <si>
    <t>索菱股份</t>
  </si>
  <si>
    <t>先锋电子</t>
  </si>
  <si>
    <t>国恩股份</t>
  </si>
  <si>
    <t>普路通</t>
  </si>
  <si>
    <t>科迪乳业</t>
  </si>
  <si>
    <t>真视通</t>
  </si>
  <si>
    <t>众兴菌业</t>
  </si>
  <si>
    <t>康弘药业</t>
  </si>
  <si>
    <t>快意电梯</t>
  </si>
  <si>
    <t>文科园林</t>
  </si>
  <si>
    <t>柏堡龙</t>
  </si>
  <si>
    <t>久远银海</t>
  </si>
  <si>
    <t>高科石化</t>
  </si>
  <si>
    <t>中坚科技</t>
  </si>
  <si>
    <t>三夫户外</t>
  </si>
  <si>
    <t>奇信股份</t>
  </si>
  <si>
    <t>可立克</t>
  </si>
  <si>
    <t>凯龙股份</t>
  </si>
  <si>
    <t>万里石</t>
  </si>
  <si>
    <t>银宝山新</t>
  </si>
  <si>
    <t>华源控股</t>
  </si>
  <si>
    <t>鹭燕医药</t>
  </si>
  <si>
    <t>建艺集团</t>
  </si>
  <si>
    <t>瑞尔特</t>
  </si>
  <si>
    <t>坚朗五金</t>
  </si>
  <si>
    <t>通宇通讯</t>
  </si>
  <si>
    <t>东音股份</t>
  </si>
  <si>
    <t>永和智控</t>
  </si>
  <si>
    <t>世嘉科技</t>
  </si>
  <si>
    <t>第一创业</t>
  </si>
  <si>
    <t>帝欧家居</t>
  </si>
  <si>
    <t>环球印务</t>
  </si>
  <si>
    <t>天顺股份</t>
  </si>
  <si>
    <t>微光股份</t>
  </si>
  <si>
    <t>洪汇新材</t>
  </si>
  <si>
    <t>吉宏股份</t>
  </si>
  <si>
    <t>丰元股份</t>
  </si>
  <si>
    <t>华锋股份</t>
  </si>
  <si>
    <t>江阴银行</t>
  </si>
  <si>
    <t>苏州恒久</t>
  </si>
  <si>
    <t>红墙股份</t>
  </si>
  <si>
    <t>山东赫达</t>
  </si>
  <si>
    <t>亚泰国际</t>
  </si>
  <si>
    <t>创新股份</t>
  </si>
  <si>
    <t>路畅科技</t>
  </si>
  <si>
    <t>崇达技术</t>
  </si>
  <si>
    <t>和科达</t>
  </si>
  <si>
    <t>黄山胶囊</t>
  </si>
  <si>
    <t>富森美</t>
  </si>
  <si>
    <t>东方中科</t>
  </si>
  <si>
    <t>桂发祥</t>
  </si>
  <si>
    <t>凯莱英</t>
  </si>
  <si>
    <t>中装建设</t>
  </si>
  <si>
    <t>凯中精密</t>
  </si>
  <si>
    <t>和胜股份</t>
  </si>
  <si>
    <t>纳尔股份</t>
  </si>
  <si>
    <t>易明医药</t>
  </si>
  <si>
    <t>高争民爆</t>
  </si>
  <si>
    <t>贝肯能源</t>
  </si>
  <si>
    <t>星网宇达</t>
  </si>
  <si>
    <t>名雕股份</t>
  </si>
  <si>
    <t>裕同科技</t>
  </si>
  <si>
    <t>比音勒芬</t>
  </si>
  <si>
    <t>弘亚数控</t>
  </si>
  <si>
    <t>同为股份</t>
  </si>
  <si>
    <t>新宏泽</t>
  </si>
  <si>
    <t>英维克</t>
  </si>
  <si>
    <t>道恩股份</t>
  </si>
  <si>
    <t>张家港行</t>
  </si>
  <si>
    <t>华统股份</t>
  </si>
  <si>
    <t>视源股份</t>
  </si>
  <si>
    <t>翔鹭钨业</t>
  </si>
  <si>
    <t>泰嘉股份</t>
  </si>
  <si>
    <t>同兴达</t>
  </si>
  <si>
    <t>英联股份</t>
  </si>
  <si>
    <t>盐津铺子</t>
  </si>
  <si>
    <t>高斯贝尔</t>
  </si>
  <si>
    <t>威星智能</t>
  </si>
  <si>
    <t>科达利</t>
  </si>
  <si>
    <t>麦格米特</t>
  </si>
  <si>
    <t>道道全</t>
  </si>
  <si>
    <t>皮阿诺</t>
  </si>
  <si>
    <t>捷荣技术</t>
  </si>
  <si>
    <t>美芝股份</t>
  </si>
  <si>
    <t>三晖电气</t>
  </si>
  <si>
    <t>力盛赛车</t>
  </si>
  <si>
    <t>洁美科技</t>
  </si>
  <si>
    <t>星帅尔</t>
  </si>
  <si>
    <t>瀛通通讯</t>
  </si>
  <si>
    <t>实丰文化</t>
  </si>
  <si>
    <t>今飞凯达</t>
  </si>
  <si>
    <t>盘龙药业</t>
  </si>
  <si>
    <t>钧达股份</t>
  </si>
  <si>
    <t>传艺科技</t>
  </si>
  <si>
    <t>周大生</t>
  </si>
  <si>
    <t>绿康生化</t>
  </si>
  <si>
    <t>金溢科技</t>
  </si>
  <si>
    <t>香山股份</t>
  </si>
  <si>
    <t>伟隆股份</t>
  </si>
  <si>
    <t>天圣制药</t>
  </si>
  <si>
    <t>新天药业</t>
  </si>
  <si>
    <t>安奈儿</t>
  </si>
  <si>
    <t>三利谱</t>
  </si>
  <si>
    <t>智能自控</t>
  </si>
  <si>
    <t>元隆雅图</t>
  </si>
  <si>
    <t>长缆科技</t>
  </si>
  <si>
    <t>卫光生物</t>
  </si>
  <si>
    <t>美格智能</t>
  </si>
  <si>
    <t>金龙羽</t>
  </si>
  <si>
    <t>中设股份</t>
  </si>
  <si>
    <t>凌霄泵业</t>
  </si>
  <si>
    <t>京泉华</t>
  </si>
  <si>
    <t>沃特股份</t>
  </si>
  <si>
    <t>绿茵生态</t>
  </si>
  <si>
    <t>惠威科技</t>
  </si>
  <si>
    <t>东方嘉盛</t>
  </si>
  <si>
    <t>弘宇股份</t>
  </si>
  <si>
    <t>中宠股份</t>
  </si>
  <si>
    <t>科力尔</t>
  </si>
  <si>
    <t>华通热力</t>
  </si>
  <si>
    <t>川恒股份</t>
  </si>
  <si>
    <t>中大力德</t>
  </si>
  <si>
    <t>意华股份</t>
  </si>
  <si>
    <t>赛隆药业</t>
  </si>
  <si>
    <t>英派斯</t>
  </si>
  <si>
    <t>哈三联</t>
  </si>
  <si>
    <t>大博医疗</t>
  </si>
  <si>
    <t>铭普光磁</t>
  </si>
  <si>
    <t>宇环数控</t>
  </si>
  <si>
    <t>金逸影视</t>
  </si>
  <si>
    <t>华阳集团</t>
  </si>
  <si>
    <t>华森制药</t>
  </si>
  <si>
    <t>德生科技</t>
  </si>
  <si>
    <t>集泰股份</t>
  </si>
  <si>
    <t>庄园牧场</t>
  </si>
  <si>
    <t>佛燃股份</t>
  </si>
  <si>
    <t>中新赛克</t>
  </si>
  <si>
    <t>奥士康</t>
  </si>
  <si>
    <t>中欣氟材</t>
  </si>
  <si>
    <t>深南电路</t>
  </si>
  <si>
    <t>金奥博</t>
  </si>
  <si>
    <t>蒙娜丽莎</t>
  </si>
  <si>
    <t>名臣健康</t>
  </si>
  <si>
    <t>德赛西威</t>
  </si>
  <si>
    <t>联诚精密</t>
  </si>
  <si>
    <t>伊戈尔</t>
  </si>
  <si>
    <t>润都股份</t>
  </si>
  <si>
    <t>盈趣科技</t>
  </si>
  <si>
    <t>华西证券</t>
  </si>
  <si>
    <t>泰永长征</t>
  </si>
  <si>
    <t>华夏航空</t>
  </si>
  <si>
    <t>润建通信</t>
  </si>
  <si>
    <t>宏川智慧</t>
  </si>
  <si>
    <t>锋龙股份</t>
  </si>
  <si>
    <t>明德生物</t>
  </si>
  <si>
    <t>特锐德</t>
  </si>
  <si>
    <t>神州泰岳</t>
  </si>
  <si>
    <t>乐普医疗</t>
  </si>
  <si>
    <t>南风股份</t>
  </si>
  <si>
    <t>探路者</t>
  </si>
  <si>
    <t>莱美药业</t>
  </si>
  <si>
    <t>汉威科技</t>
  </si>
  <si>
    <t>天海防务</t>
  </si>
  <si>
    <t>船舶</t>
  </si>
  <si>
    <t>安科生物</t>
  </si>
  <si>
    <t>立思辰</t>
  </si>
  <si>
    <t>鼎汉技术</t>
  </si>
  <si>
    <t>华测检测</t>
  </si>
  <si>
    <t>新宁物流</t>
  </si>
  <si>
    <t>亿纬锂能</t>
  </si>
  <si>
    <t>爱尔眼科</t>
  </si>
  <si>
    <t>北陆药业</t>
  </si>
  <si>
    <t>网宿科技</t>
  </si>
  <si>
    <t>中元股份</t>
  </si>
  <si>
    <t>硅宝科技</t>
  </si>
  <si>
    <t>银江股份</t>
  </si>
  <si>
    <t>大禹节水</t>
  </si>
  <si>
    <t>吉峰农机</t>
  </si>
  <si>
    <t>宝德股份</t>
  </si>
  <si>
    <t>机器人</t>
  </si>
  <si>
    <t>华星创业</t>
  </si>
  <si>
    <t>红日药业</t>
  </si>
  <si>
    <t>华谊兄弟</t>
  </si>
  <si>
    <t>*金亚</t>
  </si>
  <si>
    <t>天龙光电</t>
  </si>
  <si>
    <t>阳普医疗</t>
  </si>
  <si>
    <t>宝通科技</t>
  </si>
  <si>
    <t>金龙机电</t>
  </si>
  <si>
    <t>同花顺</t>
  </si>
  <si>
    <t>钢研高纳</t>
  </si>
  <si>
    <t>中科电气</t>
  </si>
  <si>
    <t>超图软件</t>
  </si>
  <si>
    <t>新宙邦</t>
  </si>
  <si>
    <t>梅泰诺</t>
  </si>
  <si>
    <t>上海凯宝</t>
  </si>
  <si>
    <t>九洲电气</t>
  </si>
  <si>
    <t>回天新材</t>
  </si>
  <si>
    <t>朗科科技</t>
  </si>
  <si>
    <t>星辉娱乐</t>
  </si>
  <si>
    <t>赛为智能</t>
  </si>
  <si>
    <t>华力创通</t>
  </si>
  <si>
    <t>台基股份</t>
  </si>
  <si>
    <t>天源迪科</t>
  </si>
  <si>
    <t>合康新能</t>
  </si>
  <si>
    <t>福瑞股份</t>
  </si>
  <si>
    <t>世纪鼎利</t>
  </si>
  <si>
    <t>三五互联</t>
  </si>
  <si>
    <t>中青宝</t>
  </si>
  <si>
    <t>欧比特</t>
  </si>
  <si>
    <t>鼎龙股份</t>
  </si>
  <si>
    <t>万邦达</t>
  </si>
  <si>
    <t>三维丝</t>
  </si>
  <si>
    <t>万顺股份</t>
  </si>
  <si>
    <t>蓝色光标</t>
  </si>
  <si>
    <t>东方财富</t>
  </si>
  <si>
    <t>康旗股份</t>
  </si>
  <si>
    <t>中能电气</t>
  </si>
  <si>
    <t>天龙集团</t>
  </si>
  <si>
    <t>豫金刚石</t>
  </si>
  <si>
    <t>海兰信</t>
  </si>
  <si>
    <t>三川智慧</t>
  </si>
  <si>
    <t>安诺其</t>
  </si>
  <si>
    <t>南都电源</t>
  </si>
  <si>
    <t>金利华电</t>
  </si>
  <si>
    <t>碧水源</t>
  </si>
  <si>
    <t>华谊嘉信</t>
  </si>
  <si>
    <t>三聚环保</t>
  </si>
  <si>
    <t>当升科技</t>
  </si>
  <si>
    <t>华平股份</t>
  </si>
  <si>
    <t>数字政通</t>
  </si>
  <si>
    <t>GQY视讯</t>
  </si>
  <si>
    <t>国民技术</t>
  </si>
  <si>
    <t>思创医惠</t>
  </si>
  <si>
    <t>数码科技</t>
  </si>
  <si>
    <t>易成新能</t>
  </si>
  <si>
    <t>恒信东方</t>
  </si>
  <si>
    <t>奥克股份</t>
  </si>
  <si>
    <t>劲胜智能</t>
  </si>
  <si>
    <t>海默科技</t>
  </si>
  <si>
    <t>银之杰</t>
  </si>
  <si>
    <t>康芝药业</t>
  </si>
  <si>
    <t>荃银高科</t>
  </si>
  <si>
    <t>长信科技</t>
  </si>
  <si>
    <t>文化长城</t>
  </si>
  <si>
    <t>陶瓷</t>
  </si>
  <si>
    <t>盛运环保</t>
  </si>
  <si>
    <t>金通灵</t>
  </si>
  <si>
    <t>科新机电</t>
  </si>
  <si>
    <t>金刚玻璃</t>
  </si>
  <si>
    <t>国联水产</t>
  </si>
  <si>
    <t>华伍股份</t>
  </si>
  <si>
    <t>易联众</t>
  </si>
  <si>
    <t>智云股份</t>
  </si>
  <si>
    <t>高新兴</t>
  </si>
  <si>
    <t>精准信息</t>
  </si>
  <si>
    <t>双林股份</t>
  </si>
  <si>
    <t>振芯科技</t>
  </si>
  <si>
    <t>乾照光电</t>
  </si>
  <si>
    <t>达刚路机</t>
  </si>
  <si>
    <t>乐视网</t>
  </si>
  <si>
    <t>龙源技术</t>
  </si>
  <si>
    <t>西部牧业</t>
  </si>
  <si>
    <t>建新股份</t>
  </si>
  <si>
    <t>吉药控股</t>
  </si>
  <si>
    <t>新开源</t>
  </si>
  <si>
    <t>华仁药业</t>
  </si>
  <si>
    <t>向日葵</t>
  </si>
  <si>
    <t>万讯自控</t>
  </si>
  <si>
    <t>顺网科技</t>
  </si>
  <si>
    <t>中航电测</t>
  </si>
  <si>
    <t>长盈精密</t>
  </si>
  <si>
    <t>坚瑞沃能</t>
  </si>
  <si>
    <t>嘉寓股份</t>
  </si>
  <si>
    <t>东方日升</t>
  </si>
  <si>
    <t>瑞普生物</t>
  </si>
  <si>
    <t>经纬辉开</t>
  </si>
  <si>
    <t>阳谷华泰</t>
  </si>
  <si>
    <t>智飞生物</t>
  </si>
  <si>
    <t>亚光科技</t>
  </si>
  <si>
    <t>汇川技术</t>
  </si>
  <si>
    <t>易世达</t>
  </si>
  <si>
    <t>锐奇股份</t>
  </si>
  <si>
    <t>银河磁体</t>
  </si>
  <si>
    <t>锦富技术</t>
  </si>
  <si>
    <t>泰胜风能</t>
  </si>
  <si>
    <t>新国都</t>
  </si>
  <si>
    <t>英唐智控</t>
  </si>
  <si>
    <t>青松股份</t>
  </si>
  <si>
    <t>华策影视</t>
  </si>
  <si>
    <t>大富科技</t>
  </si>
  <si>
    <t>宝利国际</t>
  </si>
  <si>
    <t>信维通信</t>
  </si>
  <si>
    <t>先河环保</t>
  </si>
  <si>
    <t>晨光生物</t>
  </si>
  <si>
    <t>晓程科技</t>
  </si>
  <si>
    <t>中环装备</t>
  </si>
  <si>
    <t>和顺电气</t>
  </si>
  <si>
    <t>沃森生物</t>
  </si>
  <si>
    <t>星普医科</t>
  </si>
  <si>
    <t>宋城演艺</t>
  </si>
  <si>
    <t>中金环境</t>
  </si>
  <si>
    <t>汤臣倍健</t>
  </si>
  <si>
    <t>香雪制药</t>
  </si>
  <si>
    <t>天舟文化</t>
  </si>
  <si>
    <t>量子生物</t>
  </si>
  <si>
    <t>世纪瑞尔</t>
  </si>
  <si>
    <t>昌红科技</t>
  </si>
  <si>
    <t>科融环境</t>
  </si>
  <si>
    <t>科泰电源</t>
  </si>
  <si>
    <t>瑞凌股份</t>
  </si>
  <si>
    <t>安居宝</t>
  </si>
  <si>
    <t>神雾环保</t>
  </si>
  <si>
    <t>恒泰艾普</t>
  </si>
  <si>
    <t>振东制药</t>
  </si>
  <si>
    <t>新研股份</t>
  </si>
  <si>
    <t>秀强股份</t>
  </si>
  <si>
    <t>华中数控</t>
  </si>
  <si>
    <t>雷曼股份</t>
  </si>
  <si>
    <t>先锋新材</t>
  </si>
  <si>
    <t>通源石油</t>
  </si>
  <si>
    <t>天瑞仪器</t>
  </si>
  <si>
    <t>东方国信</t>
  </si>
  <si>
    <t>迪威迅</t>
  </si>
  <si>
    <t>万达信息</t>
  </si>
  <si>
    <t>天晟新材</t>
  </si>
  <si>
    <t>汉得信息</t>
  </si>
  <si>
    <t>东富龙</t>
  </si>
  <si>
    <t>中电环保</t>
  </si>
  <si>
    <t>智慧松德</t>
  </si>
  <si>
    <t>元力股份</t>
  </si>
  <si>
    <t>朗源股份</t>
  </si>
  <si>
    <t>鸿特科技</t>
  </si>
  <si>
    <t>中海达</t>
  </si>
  <si>
    <t>腾邦国际</t>
  </si>
  <si>
    <t>四方达</t>
  </si>
  <si>
    <t>华峰超纤</t>
  </si>
  <si>
    <t>佐力药业</t>
  </si>
  <si>
    <t>捷成股份</t>
  </si>
  <si>
    <t>东软载波</t>
  </si>
  <si>
    <t>力源信息</t>
  </si>
  <si>
    <t>通裕重工</t>
  </si>
  <si>
    <t>永清环保</t>
  </si>
  <si>
    <t>美亚柏科</t>
  </si>
  <si>
    <t>神农基因</t>
  </si>
  <si>
    <t>维尔利</t>
  </si>
  <si>
    <t>潜能恒信</t>
  </si>
  <si>
    <t>科斯伍德</t>
  </si>
  <si>
    <t>佳士科技</t>
  </si>
  <si>
    <t>福安药业</t>
  </si>
  <si>
    <t>长荣股份</t>
  </si>
  <si>
    <t>长海股份</t>
  </si>
  <si>
    <t>铁汉生态</t>
  </si>
  <si>
    <t>纳川股份</t>
  </si>
  <si>
    <t>翰宇药业</t>
  </si>
  <si>
    <t>高盟新材</t>
  </si>
  <si>
    <t>海伦哲</t>
  </si>
  <si>
    <t>聚龙股份</t>
  </si>
  <si>
    <t>聚光科技</t>
  </si>
  <si>
    <t>舒泰神</t>
  </si>
  <si>
    <t>天喻信息</t>
  </si>
  <si>
    <t>理邦仪器</t>
  </si>
  <si>
    <t>欣旺达</t>
  </si>
  <si>
    <t>恒顺众昇</t>
  </si>
  <si>
    <t>天泽信息</t>
  </si>
  <si>
    <t>森远股份</t>
  </si>
  <si>
    <t>亿通科技</t>
  </si>
  <si>
    <t>易华录</t>
  </si>
  <si>
    <t>佳讯飞鸿</t>
  </si>
  <si>
    <t>日科化学</t>
  </si>
  <si>
    <t>电科院</t>
  </si>
  <si>
    <t>千山药机</t>
  </si>
  <si>
    <t>东方电热</t>
  </si>
  <si>
    <t>安利股份</t>
  </si>
  <si>
    <t>鸿利智汇</t>
  </si>
  <si>
    <t>金运激光</t>
  </si>
  <si>
    <t>银禧科技</t>
  </si>
  <si>
    <t>科大智能</t>
  </si>
  <si>
    <t>北京君正</t>
  </si>
  <si>
    <t>正海磁材</t>
  </si>
  <si>
    <t>金力泰</t>
  </si>
  <si>
    <t>上海钢联</t>
  </si>
  <si>
    <t>光韵达</t>
  </si>
  <si>
    <t>富瑞特装</t>
  </si>
  <si>
    <t>拓尔思</t>
  </si>
  <si>
    <t>永利股份</t>
  </si>
  <si>
    <t>银信科技</t>
  </si>
  <si>
    <t>洲明科技</t>
  </si>
  <si>
    <t>金城医药</t>
  </si>
  <si>
    <t>开尔新材</t>
  </si>
  <si>
    <t>方直科技</t>
  </si>
  <si>
    <t>上海新阳</t>
  </si>
  <si>
    <t>美晨生态</t>
  </si>
  <si>
    <t>冠昊生物</t>
  </si>
  <si>
    <t>东宝生物</t>
  </si>
  <si>
    <t>飞力达</t>
  </si>
  <si>
    <t>瑞丰光电</t>
  </si>
  <si>
    <t>佳云科技</t>
  </si>
  <si>
    <t>瑞丰高材</t>
  </si>
  <si>
    <t>迪安诊断</t>
  </si>
  <si>
    <t>天玑科技</t>
  </si>
  <si>
    <t>宝莱特</t>
  </si>
  <si>
    <t>乐金健康</t>
  </si>
  <si>
    <t>新开普</t>
  </si>
  <si>
    <t>依米康</t>
  </si>
  <si>
    <t>初灵信息</t>
  </si>
  <si>
    <t>光线传媒</t>
  </si>
  <si>
    <t>金信诺</t>
  </si>
  <si>
    <t>卫宁健康</t>
  </si>
  <si>
    <t>仟源医药</t>
  </si>
  <si>
    <t>常山药业</t>
  </si>
  <si>
    <t>星星科技</t>
  </si>
  <si>
    <t>开山股份</t>
  </si>
  <si>
    <t>精锻科技</t>
  </si>
  <si>
    <t>新天科技</t>
  </si>
  <si>
    <t>新莱应材</t>
  </si>
  <si>
    <t>雅本化学</t>
  </si>
  <si>
    <t>巴安水务</t>
  </si>
  <si>
    <t>隆华节能</t>
  </si>
  <si>
    <t>佳创视讯</t>
  </si>
  <si>
    <t>通光线缆</t>
  </si>
  <si>
    <t>兴源环境</t>
  </si>
  <si>
    <t>尔康制药</t>
  </si>
  <si>
    <t>佳沃股份</t>
  </si>
  <si>
    <t>联建光电</t>
  </si>
  <si>
    <t>中威电子</t>
  </si>
  <si>
    <t>华宇软件</t>
  </si>
  <si>
    <t>开能健康</t>
  </si>
  <si>
    <t>和佳股份</t>
  </si>
  <si>
    <t>阳光电源</t>
  </si>
  <si>
    <t>梅安森</t>
  </si>
  <si>
    <t>三丰智能</t>
  </si>
  <si>
    <t>海联讯</t>
  </si>
  <si>
    <t>华昌达</t>
  </si>
  <si>
    <t>和晶科技</t>
  </si>
  <si>
    <t>南通锻压</t>
  </si>
  <si>
    <t>金明精机</t>
  </si>
  <si>
    <t>三盛教育</t>
  </si>
  <si>
    <t>温州宏丰</t>
  </si>
  <si>
    <t>苏交科</t>
  </si>
  <si>
    <t>国瓷材料</t>
  </si>
  <si>
    <t>安科瑞</t>
  </si>
  <si>
    <t>飞利信</t>
  </si>
  <si>
    <t>朗玛信息</t>
  </si>
  <si>
    <t>利德曼</t>
  </si>
  <si>
    <t>荣科科技</t>
  </si>
  <si>
    <t>华录百纳</t>
  </si>
  <si>
    <t>吴通控股</t>
  </si>
  <si>
    <t>蓝英装备</t>
  </si>
  <si>
    <t>博雅生物</t>
  </si>
  <si>
    <t>三六五网</t>
  </si>
  <si>
    <t>利亚德</t>
  </si>
  <si>
    <t>蓝盾股份</t>
  </si>
  <si>
    <t>三诺生物</t>
  </si>
  <si>
    <t>富春股份</t>
  </si>
  <si>
    <t>汉鼎宇佑</t>
  </si>
  <si>
    <t>长方集团</t>
  </si>
  <si>
    <t>同有科技</t>
  </si>
  <si>
    <t>聚飞光电</t>
  </si>
  <si>
    <t>云意电气</t>
  </si>
  <si>
    <t>裕兴股份</t>
  </si>
  <si>
    <t>远方信息</t>
  </si>
  <si>
    <t>慈星股份</t>
  </si>
  <si>
    <t>中际旭创</t>
  </si>
  <si>
    <t>吉艾科技</t>
  </si>
  <si>
    <t>宜通世纪</t>
  </si>
  <si>
    <t>任子行</t>
  </si>
  <si>
    <t>邦讯技术</t>
  </si>
  <si>
    <t>天山生物</t>
  </si>
  <si>
    <t>戴维医疗</t>
  </si>
  <si>
    <t>掌趣科技</t>
  </si>
  <si>
    <t>晶盛机电</t>
  </si>
  <si>
    <t>珈伟股份</t>
  </si>
  <si>
    <t>博晖创新</t>
  </si>
  <si>
    <t>麦捷科技</t>
  </si>
  <si>
    <t>海达股份</t>
  </si>
  <si>
    <t>同大股份</t>
  </si>
  <si>
    <t>硕贝德</t>
  </si>
  <si>
    <t>华灿光电</t>
  </si>
  <si>
    <t>旋极信息</t>
  </si>
  <si>
    <t>德威新材</t>
  </si>
  <si>
    <t>凯利泰</t>
  </si>
  <si>
    <t>中颖电子</t>
  </si>
  <si>
    <t>宜安科技</t>
  </si>
  <si>
    <t>海伦钢琴</t>
  </si>
  <si>
    <t>华虹计通</t>
  </si>
  <si>
    <t>苏大维格</t>
  </si>
  <si>
    <t>天壕环境</t>
  </si>
  <si>
    <t>兆日科技</t>
  </si>
  <si>
    <t>津膜科技</t>
  </si>
  <si>
    <t>迪森股份</t>
  </si>
  <si>
    <t>新文化</t>
  </si>
  <si>
    <t>银邦股份</t>
  </si>
  <si>
    <t>开元股份</t>
  </si>
  <si>
    <t>润和软件</t>
  </si>
  <si>
    <t>科恒股份</t>
  </si>
  <si>
    <t>麦迪电气</t>
  </si>
  <si>
    <t>天银机电</t>
  </si>
  <si>
    <t>联创互联</t>
  </si>
  <si>
    <t>太空智造</t>
  </si>
  <si>
    <t>红宇新材</t>
  </si>
  <si>
    <t>南大光电</t>
  </si>
  <si>
    <t>泰格医药</t>
  </si>
  <si>
    <t>长亮科技</t>
  </si>
  <si>
    <t>金卡智能</t>
  </si>
  <si>
    <t>华鹏飞</t>
  </si>
  <si>
    <t>永贵电器</t>
  </si>
  <si>
    <t>北信源</t>
  </si>
  <si>
    <t>东土科技</t>
  </si>
  <si>
    <t>东华测试</t>
  </si>
  <si>
    <t>蒙草生态</t>
  </si>
  <si>
    <t>光一科技</t>
  </si>
  <si>
    <t>我武生物</t>
  </si>
  <si>
    <t>楚天科技</t>
  </si>
  <si>
    <t>全通教育</t>
  </si>
  <si>
    <t>炬华科技</t>
  </si>
  <si>
    <t>天翔环境</t>
  </si>
  <si>
    <t>博腾股份</t>
  </si>
  <si>
    <t>中文在线</t>
  </si>
  <si>
    <t>恒华科技</t>
  </si>
  <si>
    <t>创意信息</t>
  </si>
  <si>
    <t>东方网力</t>
  </si>
  <si>
    <t>汇金股份</t>
  </si>
  <si>
    <t>绿盟科技</t>
  </si>
  <si>
    <t>安控科技</t>
  </si>
  <si>
    <t>汇中股份</t>
  </si>
  <si>
    <t>扬杰科技</t>
  </si>
  <si>
    <t>恒通科技</t>
  </si>
  <si>
    <t>鹏翎股份</t>
  </si>
  <si>
    <t>易事特</t>
  </si>
  <si>
    <t>赢时胜</t>
  </si>
  <si>
    <t>鼎捷软件</t>
  </si>
  <si>
    <t>东方通</t>
  </si>
  <si>
    <t>安硕信息</t>
  </si>
  <si>
    <t>溢多利</t>
  </si>
  <si>
    <t>斯莱克</t>
  </si>
  <si>
    <t>光环新网</t>
  </si>
  <si>
    <t>三联虹普</t>
  </si>
  <si>
    <t>雪浪环境</t>
  </si>
  <si>
    <t>飞天诚信</t>
  </si>
  <si>
    <t>富邦股份</t>
  </si>
  <si>
    <t>国祯环保</t>
  </si>
  <si>
    <t>艾比森</t>
  </si>
  <si>
    <t>天华超净</t>
  </si>
  <si>
    <t>康跃科技</t>
  </si>
  <si>
    <t>腾信股份</t>
  </si>
  <si>
    <t>中来股份</t>
  </si>
  <si>
    <t>天孚通信</t>
  </si>
  <si>
    <t>菲利华</t>
  </si>
  <si>
    <t>迪瑞医疗</t>
  </si>
  <si>
    <t>天和防务</t>
  </si>
  <si>
    <t>飞凯材料</t>
  </si>
  <si>
    <t>京天利</t>
  </si>
  <si>
    <t>劲拓股份</t>
  </si>
  <si>
    <t>花园生物</t>
  </si>
  <si>
    <t>宝色股份</t>
  </si>
  <si>
    <t>地尔汉宇</t>
  </si>
  <si>
    <t>博济医药</t>
  </si>
  <si>
    <t>科隆股份</t>
  </si>
  <si>
    <t>九强生物</t>
  </si>
  <si>
    <t>凯发电气</t>
  </si>
  <si>
    <t>三环集团</t>
  </si>
  <si>
    <t>道氏技术</t>
  </si>
  <si>
    <t>正业科技</t>
  </si>
  <si>
    <t>金盾股份</t>
  </si>
  <si>
    <t>迦南科技</t>
  </si>
  <si>
    <t>快乐购</t>
  </si>
  <si>
    <t>中光防雷</t>
  </si>
  <si>
    <t>伊之密</t>
  </si>
  <si>
    <t>苏试试验</t>
  </si>
  <si>
    <t>南华仪器</t>
  </si>
  <si>
    <t>昆仑万维</t>
  </si>
  <si>
    <t>浩丰科技</t>
  </si>
  <si>
    <t>五洋停车</t>
  </si>
  <si>
    <t>力星股份</t>
  </si>
  <si>
    <t>博世科</t>
  </si>
  <si>
    <t>鲁亿通</t>
  </si>
  <si>
    <t>航新科技</t>
  </si>
  <si>
    <t>环能科技</t>
  </si>
  <si>
    <t>唐德影视</t>
  </si>
  <si>
    <t>红相股份</t>
  </si>
  <si>
    <t>四通新材</t>
  </si>
  <si>
    <t>强力新材</t>
  </si>
  <si>
    <t>诚益通</t>
  </si>
  <si>
    <t>暴风集团</t>
  </si>
  <si>
    <t>富临精工</t>
  </si>
  <si>
    <t>蓝思科技</t>
  </si>
  <si>
    <t>金石东方</t>
  </si>
  <si>
    <t>中泰股份</t>
  </si>
  <si>
    <t>广生堂</t>
  </si>
  <si>
    <t>清水源</t>
  </si>
  <si>
    <t>鹏辉能源</t>
  </si>
  <si>
    <t>美康生物</t>
  </si>
  <si>
    <t>运达科技</t>
  </si>
  <si>
    <t>鲍斯股份</t>
  </si>
  <si>
    <t>普丽盛</t>
  </si>
  <si>
    <t>金雷风电</t>
  </si>
  <si>
    <t>双杰电气</t>
  </si>
  <si>
    <t>康斯特</t>
  </si>
  <si>
    <t>乐凯新材</t>
  </si>
  <si>
    <t>全信股份</t>
  </si>
  <si>
    <t>浩云科技</t>
  </si>
  <si>
    <t>汉邦高科</t>
  </si>
  <si>
    <t>先导智能</t>
  </si>
  <si>
    <t>创业软件</t>
  </si>
  <si>
    <t>山河药辅</t>
  </si>
  <si>
    <t>三鑫医疗</t>
  </si>
  <si>
    <t>深信服</t>
  </si>
  <si>
    <t>康拓红外</t>
  </si>
  <si>
    <t>耐威科技</t>
  </si>
  <si>
    <t>赢合科技</t>
  </si>
  <si>
    <t>全志科技</t>
  </si>
  <si>
    <t>金科文化</t>
  </si>
  <si>
    <t>惠伦晶体</t>
  </si>
  <si>
    <t>田中精机</t>
  </si>
  <si>
    <t>华铭智能</t>
  </si>
  <si>
    <t>迈克生物</t>
  </si>
  <si>
    <t>星徽精密</t>
  </si>
  <si>
    <t>高伟达</t>
  </si>
  <si>
    <t>赛摩电气</t>
  </si>
  <si>
    <t>迅游科技</t>
  </si>
  <si>
    <t>四方精创</t>
  </si>
  <si>
    <t>信息发展</t>
  </si>
  <si>
    <t>日机密封</t>
  </si>
  <si>
    <t>厚普股份</t>
  </si>
  <si>
    <t>新元科技</t>
  </si>
  <si>
    <t>德尔股份</t>
  </si>
  <si>
    <t>景嘉微</t>
  </si>
  <si>
    <t>聚隆科技</t>
  </si>
  <si>
    <t>胜宏科技</t>
  </si>
  <si>
    <t>合纵科技</t>
  </si>
  <si>
    <t>杭州高新</t>
  </si>
  <si>
    <t>神思电子</t>
  </si>
  <si>
    <t>光力科技</t>
  </si>
  <si>
    <t>濮阳惠成</t>
  </si>
  <si>
    <t>万孚生物</t>
  </si>
  <si>
    <t>沃施股份</t>
  </si>
  <si>
    <t>蓝海华腾</t>
  </si>
  <si>
    <t>赛升药业</t>
  </si>
  <si>
    <t>东杰智能</t>
  </si>
  <si>
    <t>蓝晓科技</t>
  </si>
  <si>
    <t>恒锋工具</t>
  </si>
  <si>
    <t>中飞股份</t>
  </si>
  <si>
    <t>华自科技</t>
  </si>
  <si>
    <t>通合科技</t>
  </si>
  <si>
    <t>山鼎设计</t>
  </si>
  <si>
    <t>润欣科技</t>
  </si>
  <si>
    <t>盛天网络</t>
  </si>
  <si>
    <t>美尚生态</t>
  </si>
  <si>
    <t>中科创达</t>
  </si>
  <si>
    <t>富祥股份</t>
  </si>
  <si>
    <t>温氏股份</t>
  </si>
  <si>
    <t>高澜股份</t>
  </si>
  <si>
    <t>启迪设计</t>
  </si>
  <si>
    <t>海顺新材</t>
  </si>
  <si>
    <t>新易盛</t>
  </si>
  <si>
    <t>昊志机电</t>
  </si>
  <si>
    <t>天邑股份</t>
  </si>
  <si>
    <t>川金诺</t>
  </si>
  <si>
    <t>名家汇</t>
  </si>
  <si>
    <t>苏奥传感</t>
  </si>
  <si>
    <t>维宏股份</t>
  </si>
  <si>
    <t>新美星</t>
  </si>
  <si>
    <t>金冠电气</t>
  </si>
  <si>
    <t>雪榕生物</t>
  </si>
  <si>
    <t>中亚股份</t>
  </si>
  <si>
    <t>恒泰实达</t>
  </si>
  <si>
    <t>友讯达</t>
  </si>
  <si>
    <t>三德科技</t>
  </si>
  <si>
    <t>久之洋</t>
  </si>
  <si>
    <t>海波重科</t>
  </si>
  <si>
    <t>盛讯达</t>
  </si>
  <si>
    <t>新光药业</t>
  </si>
  <si>
    <t>科大国创</t>
  </si>
  <si>
    <t>爱司凯</t>
  </si>
  <si>
    <t>世名科技</t>
  </si>
  <si>
    <t>辰安科技</t>
  </si>
  <si>
    <t>博思软件</t>
  </si>
  <si>
    <t>中潜股份</t>
  </si>
  <si>
    <t>中国应急</t>
  </si>
  <si>
    <t>幸福蓝海</t>
  </si>
  <si>
    <t>健帆生物</t>
  </si>
  <si>
    <t>达志科技</t>
  </si>
  <si>
    <t>优博讯</t>
  </si>
  <si>
    <t>今天国际</t>
  </si>
  <si>
    <t>冰川网络</t>
  </si>
  <si>
    <t>陇神戎发</t>
  </si>
  <si>
    <t>达威股份</t>
  </si>
  <si>
    <t>农尚环境</t>
  </si>
  <si>
    <t>广信材料</t>
  </si>
  <si>
    <t>同益股份</t>
  </si>
  <si>
    <t>横河模具</t>
  </si>
  <si>
    <t>深冷股份</t>
  </si>
  <si>
    <t>先进数通</t>
  </si>
  <si>
    <t>新晨科技</t>
  </si>
  <si>
    <t>朗科智能</t>
  </si>
  <si>
    <t>联得装备</t>
  </si>
  <si>
    <t>雄帝科技</t>
  </si>
  <si>
    <t>川环科技</t>
  </si>
  <si>
    <t>博创科技</t>
  </si>
  <si>
    <t>优德精密</t>
  </si>
  <si>
    <t>和仁科技</t>
  </si>
  <si>
    <t>古鳌科技</t>
  </si>
  <si>
    <t>万集科技</t>
  </si>
  <si>
    <t>集智股份</t>
  </si>
  <si>
    <t>三超新材</t>
  </si>
  <si>
    <t>路通视信</t>
  </si>
  <si>
    <t>丝路视觉</t>
  </si>
  <si>
    <t>理工光科</t>
  </si>
  <si>
    <t>贝达药业</t>
  </si>
  <si>
    <t>佳发教育</t>
  </si>
  <si>
    <t>中富通</t>
  </si>
  <si>
    <t>汇金科技</t>
  </si>
  <si>
    <t>乐心医疗</t>
  </si>
  <si>
    <t>神宇股份</t>
  </si>
  <si>
    <t>科信技术</t>
  </si>
  <si>
    <t>激智科技</t>
  </si>
  <si>
    <t>精测电子</t>
  </si>
  <si>
    <t>星源材质</t>
  </si>
  <si>
    <t>天能重工</t>
  </si>
  <si>
    <t>太辰光</t>
  </si>
  <si>
    <t>平治信息</t>
  </si>
  <si>
    <t>安车检测</t>
  </si>
  <si>
    <t>兴齐眼药</t>
  </si>
  <si>
    <t>中旗股份</t>
  </si>
  <si>
    <t>容大感光</t>
  </si>
  <si>
    <t>开润股份</t>
  </si>
  <si>
    <t>会畅通讯</t>
  </si>
  <si>
    <t>数字认证</t>
  </si>
  <si>
    <t>贝斯特</t>
  </si>
  <si>
    <t>晨曦航空</t>
  </si>
  <si>
    <t>英飞特</t>
  </si>
  <si>
    <t>赛托生物</t>
  </si>
  <si>
    <t>海辰药业</t>
  </si>
  <si>
    <t>奥联电子</t>
  </si>
  <si>
    <t>美联新材</t>
  </si>
  <si>
    <t>天铁股份</t>
  </si>
  <si>
    <t>熙菱信息</t>
  </si>
  <si>
    <t>江龙船艇</t>
  </si>
  <si>
    <t>移为通信</t>
  </si>
  <si>
    <t>万里马</t>
  </si>
  <si>
    <t>华凯创意</t>
  </si>
  <si>
    <t>新雷能</t>
  </si>
  <si>
    <t>欧普康视</t>
  </si>
  <si>
    <t>利安隆</t>
  </si>
  <si>
    <t>吉大通信</t>
  </si>
  <si>
    <t>诚迈科技</t>
  </si>
  <si>
    <t>雄塑科技</t>
  </si>
  <si>
    <t>瑞特股份</t>
  </si>
  <si>
    <t>康泰生物</t>
  </si>
  <si>
    <t>飞荣达</t>
  </si>
  <si>
    <t>立昂技术</t>
  </si>
  <si>
    <t>长川科技</t>
  </si>
  <si>
    <t>恒锋信息</t>
  </si>
  <si>
    <t>金太阳</t>
  </si>
  <si>
    <t>拓斯达</t>
  </si>
  <si>
    <t>思特奇</t>
  </si>
  <si>
    <t>汇纳科技</t>
  </si>
  <si>
    <t>晨化股份</t>
  </si>
  <si>
    <t>美力科技</t>
  </si>
  <si>
    <t>宣亚国际</t>
  </si>
  <si>
    <t>富瀚微</t>
  </si>
  <si>
    <t>欣天科技</t>
  </si>
  <si>
    <t>尚品宅配</t>
  </si>
  <si>
    <t>安靠智电</t>
  </si>
  <si>
    <t>寒锐钴业</t>
  </si>
  <si>
    <t>金银河</t>
  </si>
  <si>
    <t>光库科技</t>
  </si>
  <si>
    <t>维业股份</t>
  </si>
  <si>
    <t>博士眼镜</t>
  </si>
  <si>
    <t>捷捷微电</t>
  </si>
  <si>
    <t>万兴科技</t>
  </si>
  <si>
    <t>三雄极光</t>
  </si>
  <si>
    <t>华瑞股份</t>
  </si>
  <si>
    <t>华测导航</t>
  </si>
  <si>
    <t>亿联网络</t>
  </si>
  <si>
    <t>新劲刚</t>
  </si>
  <si>
    <t>普利制药</t>
  </si>
  <si>
    <t>久吾高科</t>
  </si>
  <si>
    <t>光莆股份</t>
  </si>
  <si>
    <t>开立医疗</t>
  </si>
  <si>
    <t>彩讯股份</t>
  </si>
  <si>
    <t>达安股份</t>
  </si>
  <si>
    <t>同和药业</t>
  </si>
  <si>
    <t>扬帆新材</t>
  </si>
  <si>
    <t>广和通</t>
  </si>
  <si>
    <t>凯普生物</t>
  </si>
  <si>
    <t>德艺文创</t>
  </si>
  <si>
    <t>正丹股份</t>
  </si>
  <si>
    <t>透景生命</t>
  </si>
  <si>
    <t>万通智控</t>
  </si>
  <si>
    <t>南京聚隆</t>
  </si>
  <si>
    <t>正元智慧</t>
  </si>
  <si>
    <t>超频三</t>
  </si>
  <si>
    <t>星云股份</t>
  </si>
  <si>
    <t>杭州园林</t>
  </si>
  <si>
    <t>太龙照明</t>
  </si>
  <si>
    <t>金陵体育</t>
  </si>
  <si>
    <t>雷迪克</t>
  </si>
  <si>
    <t>正海生物</t>
  </si>
  <si>
    <t>世纪天鸿</t>
  </si>
  <si>
    <t>晶瑞股份</t>
  </si>
  <si>
    <t>民德电子</t>
  </si>
  <si>
    <t>弘信电子</t>
  </si>
  <si>
    <t>延江股份</t>
  </si>
  <si>
    <t>中孚信息</t>
  </si>
  <si>
    <t>江苏雷利</t>
  </si>
  <si>
    <t>圣邦股份</t>
  </si>
  <si>
    <t>科锐国际</t>
  </si>
  <si>
    <t>科蓝软件</t>
  </si>
  <si>
    <t>鹏鹞环保</t>
  </si>
  <si>
    <t>飞鹿股份</t>
  </si>
  <si>
    <t>江丰电子</t>
  </si>
  <si>
    <t>必创科技</t>
  </si>
  <si>
    <t>杰恩设计</t>
  </si>
  <si>
    <t>沪宁股份</t>
  </si>
  <si>
    <t>大烨智能</t>
  </si>
  <si>
    <t>富满电子</t>
  </si>
  <si>
    <t>国科微</t>
  </si>
  <si>
    <t>佩蒂股份</t>
  </si>
  <si>
    <t>建科院</t>
  </si>
  <si>
    <t>华大基因</t>
  </si>
  <si>
    <t>英科医疗</t>
  </si>
  <si>
    <t>中科信息</t>
  </si>
  <si>
    <t>电连技术</t>
  </si>
  <si>
    <t>隆盛科技</t>
  </si>
  <si>
    <t>英搏尔</t>
  </si>
  <si>
    <t>朗新科技</t>
  </si>
  <si>
    <t>海特生物</t>
  </si>
  <si>
    <t>中石科技</t>
  </si>
  <si>
    <t>艾德生物</t>
  </si>
  <si>
    <t>智动力</t>
  </si>
  <si>
    <t>赛意信息</t>
  </si>
  <si>
    <t>创业黑马</t>
  </si>
  <si>
    <t>澄天伟业</t>
  </si>
  <si>
    <t>双一科技</t>
  </si>
  <si>
    <t>联合光电</t>
  </si>
  <si>
    <t>中环环保</t>
  </si>
  <si>
    <t>盛弘股份</t>
  </si>
  <si>
    <t>兆丰股份</t>
  </si>
  <si>
    <t>爱乐达</t>
  </si>
  <si>
    <t>电工合金</t>
  </si>
  <si>
    <t>万马科技</t>
  </si>
  <si>
    <t>光威复材</t>
  </si>
  <si>
    <t>岱勒新材</t>
  </si>
  <si>
    <t>森霸传感</t>
  </si>
  <si>
    <t>天宇股份</t>
  </si>
  <si>
    <t>创源文化</t>
  </si>
  <si>
    <t>九典制药</t>
  </si>
  <si>
    <t>阿石创</t>
  </si>
  <si>
    <t>威唐工业</t>
  </si>
  <si>
    <t>聚灿光电</t>
  </si>
  <si>
    <t>精研科技</t>
  </si>
  <si>
    <t>万隆光电</t>
  </si>
  <si>
    <t>广哈通信</t>
  </si>
  <si>
    <t>永福股份</t>
  </si>
  <si>
    <t>英可瑞</t>
  </si>
  <si>
    <t>凯伦股份</t>
  </si>
  <si>
    <t>国立科技</t>
  </si>
  <si>
    <t>华信新材</t>
  </si>
  <si>
    <t>长盛轴承</t>
  </si>
  <si>
    <t>安达维尔</t>
  </si>
  <si>
    <t>海川智能</t>
  </si>
  <si>
    <t>怡达股份</t>
  </si>
  <si>
    <t>新余国科</t>
  </si>
  <si>
    <t>一品红</t>
  </si>
  <si>
    <t>药石科技</t>
  </si>
  <si>
    <t>宏达电子</t>
  </si>
  <si>
    <t>润禾材料</t>
  </si>
  <si>
    <t>乐歌股份</t>
  </si>
  <si>
    <t>科创信息</t>
  </si>
  <si>
    <t>科创新源</t>
  </si>
  <si>
    <t>设研院</t>
  </si>
  <si>
    <t>西菱动力</t>
  </si>
  <si>
    <t>光弘科技</t>
  </si>
  <si>
    <t>百华悦邦</t>
  </si>
  <si>
    <t>科顺股份</t>
  </si>
  <si>
    <t>奥飞数据</t>
  </si>
  <si>
    <t>明阳电路</t>
  </si>
  <si>
    <t>御家汇</t>
  </si>
  <si>
    <t>华宝股份</t>
  </si>
  <si>
    <t>越博动力</t>
  </si>
  <si>
    <t>天地数码</t>
  </si>
  <si>
    <t>欣锐科技</t>
  </si>
  <si>
    <t>汉嘉设计</t>
  </si>
  <si>
    <t>锐科激光</t>
  </si>
  <si>
    <t>宁德时代</t>
  </si>
  <si>
    <t>*ST钒钛</t>
  </si>
  <si>
    <t>*ST华泽</t>
  </si>
  <si>
    <t>*ST建峰</t>
  </si>
  <si>
    <t>*ST众和</t>
  </si>
  <si>
    <t>捷佳伟创</t>
  </si>
  <si>
    <t>浦发银行</t>
  </si>
  <si>
    <t>白云机场</t>
  </si>
  <si>
    <t>东风汽车</t>
  </si>
  <si>
    <t>中国国贸</t>
  </si>
  <si>
    <t>首创股份</t>
  </si>
  <si>
    <t>上海机场</t>
  </si>
  <si>
    <t>包钢股份</t>
  </si>
  <si>
    <t>华能国际</t>
  </si>
  <si>
    <t>皖通高速</t>
  </si>
  <si>
    <t>华夏银行</t>
  </si>
  <si>
    <t>民生银行</t>
  </si>
  <si>
    <t>日照港</t>
  </si>
  <si>
    <t>上港集团</t>
  </si>
  <si>
    <t>宝钢股份</t>
  </si>
  <si>
    <t>中原高速</t>
  </si>
  <si>
    <t>上海电力</t>
  </si>
  <si>
    <t>山东钢铁</t>
  </si>
  <si>
    <t>浙能电力</t>
  </si>
  <si>
    <t>华能水电</t>
  </si>
  <si>
    <t>中远海能</t>
  </si>
  <si>
    <t>华电国际</t>
  </si>
  <si>
    <t>中国石化</t>
  </si>
  <si>
    <t>南方航空</t>
  </si>
  <si>
    <t>中信证券</t>
  </si>
  <si>
    <t>三一重工</t>
  </si>
  <si>
    <t>福建高速</t>
  </si>
  <si>
    <t>楚天高速</t>
  </si>
  <si>
    <t>招商银行</t>
  </si>
  <si>
    <t>歌华有线</t>
  </si>
  <si>
    <t>中直股份</t>
  </si>
  <si>
    <t>四川路桥</t>
  </si>
  <si>
    <t>保利地产</t>
  </si>
  <si>
    <t>中国联通</t>
  </si>
  <si>
    <t>宁波联合</t>
  </si>
  <si>
    <t>浙江广厦</t>
  </si>
  <si>
    <t>九鼎投资</t>
  </si>
  <si>
    <t>黄山旅游</t>
  </si>
  <si>
    <t>万东医疗</t>
  </si>
  <si>
    <t>中国医药</t>
  </si>
  <si>
    <t>厦门象屿</t>
  </si>
  <si>
    <t>五矿发展</t>
  </si>
  <si>
    <t>古越龙山</t>
  </si>
  <si>
    <t>海信电器</t>
  </si>
  <si>
    <t>国投资本</t>
  </si>
  <si>
    <t>华润双鹤</t>
  </si>
  <si>
    <t>皖维高新</t>
  </si>
  <si>
    <t>南京高科</t>
  </si>
  <si>
    <t>宇通客车</t>
  </si>
  <si>
    <t>冠城大通</t>
  </si>
  <si>
    <t>葛洲坝</t>
  </si>
  <si>
    <t>银鸽投资</t>
  </si>
  <si>
    <t>浙江富润</t>
  </si>
  <si>
    <t>凤凰光学</t>
  </si>
  <si>
    <t>中船科技</t>
  </si>
  <si>
    <t>上海梅林</t>
  </si>
  <si>
    <t>*ST保千</t>
  </si>
  <si>
    <t>新疆天业</t>
  </si>
  <si>
    <t>康欣新材</t>
  </si>
  <si>
    <t>宋都股份</t>
  </si>
  <si>
    <t>澄星股份</t>
  </si>
  <si>
    <t>人福医药</t>
  </si>
  <si>
    <t>金花股份</t>
  </si>
  <si>
    <t>东风科技</t>
  </si>
  <si>
    <t>海泰发展</t>
  </si>
  <si>
    <t>博信股份</t>
  </si>
  <si>
    <t>中葡股份</t>
  </si>
  <si>
    <t>同仁堂</t>
  </si>
  <si>
    <t>东方金钰</t>
  </si>
  <si>
    <t>中视传媒</t>
  </si>
  <si>
    <t>特变电工</t>
  </si>
  <si>
    <t>同济堂</t>
  </si>
  <si>
    <t>ST明科</t>
  </si>
  <si>
    <t>易见股份</t>
  </si>
  <si>
    <t>大名城</t>
  </si>
  <si>
    <t>哈高科</t>
  </si>
  <si>
    <t>云天化</t>
  </si>
  <si>
    <t>开创国际</t>
  </si>
  <si>
    <t>广州发展</t>
  </si>
  <si>
    <t>林海股份</t>
  </si>
  <si>
    <t>同方股份</t>
  </si>
  <si>
    <t>明星电力</t>
  </si>
  <si>
    <t>青山纸业</t>
  </si>
  <si>
    <t>上汽集团</t>
  </si>
  <si>
    <t>永鼎股份</t>
  </si>
  <si>
    <t>重庆路桥</t>
  </si>
  <si>
    <t>美尔雅</t>
  </si>
  <si>
    <t>亚盛集团</t>
  </si>
  <si>
    <t>国金证券</t>
  </si>
  <si>
    <t>诺德股份</t>
  </si>
  <si>
    <t>北方稀土</t>
  </si>
  <si>
    <t>天成控股</t>
  </si>
  <si>
    <t>浙江东日</t>
  </si>
  <si>
    <t>东睦股份</t>
  </si>
  <si>
    <t>XD东方航</t>
  </si>
  <si>
    <t>三峡水利</t>
  </si>
  <si>
    <t>西宁特钢</t>
  </si>
  <si>
    <t>中国卫星</t>
  </si>
  <si>
    <t>长江投资</t>
  </si>
  <si>
    <t>浙江东方</t>
  </si>
  <si>
    <t>郑州煤电</t>
  </si>
  <si>
    <t>宏图高科</t>
  </si>
  <si>
    <t>兰花科创</t>
  </si>
  <si>
    <t>铁龙物流</t>
  </si>
  <si>
    <t>铁路</t>
  </si>
  <si>
    <t>杭钢股份</t>
  </si>
  <si>
    <t>金健米业</t>
  </si>
  <si>
    <t>弘业股份</t>
  </si>
  <si>
    <t>太极集团</t>
  </si>
  <si>
    <t>波导股份</t>
  </si>
  <si>
    <t>岷江水电</t>
  </si>
  <si>
    <t>重庆啤酒</t>
  </si>
  <si>
    <t>东湖高新</t>
  </si>
  <si>
    <t>乐凯胶片</t>
  </si>
  <si>
    <t>当代明诚</t>
  </si>
  <si>
    <t>浪莎股份</t>
  </si>
  <si>
    <t>中青旅</t>
  </si>
  <si>
    <t>西部资源</t>
  </si>
  <si>
    <t>兴发集团</t>
  </si>
  <si>
    <t>金发科技</t>
  </si>
  <si>
    <t>*ST新亿</t>
  </si>
  <si>
    <t>商赢环球</t>
  </si>
  <si>
    <t>长春一东</t>
  </si>
  <si>
    <t>ST坊展</t>
  </si>
  <si>
    <t>*ST船舶</t>
  </si>
  <si>
    <t>航天机电</t>
  </si>
  <si>
    <t>维科技术</t>
  </si>
  <si>
    <t>建发股份</t>
  </si>
  <si>
    <t>华创阳安</t>
  </si>
  <si>
    <t>华升股份</t>
  </si>
  <si>
    <t>永泰能源</t>
  </si>
  <si>
    <t>中体产业</t>
  </si>
  <si>
    <t>大龙地产</t>
  </si>
  <si>
    <t>巨化股份</t>
  </si>
  <si>
    <t>天坛生物</t>
  </si>
  <si>
    <t>香江控股</t>
  </si>
  <si>
    <t>中闽能源</t>
  </si>
  <si>
    <t>新日恒力</t>
  </si>
  <si>
    <t>福田汽车</t>
  </si>
  <si>
    <t>联美控股</t>
  </si>
  <si>
    <t>武汉控股</t>
  </si>
  <si>
    <t>太原重工</t>
  </si>
  <si>
    <t>上海建工</t>
  </si>
  <si>
    <t>上海贝岭</t>
  </si>
  <si>
    <t>黄河旋风</t>
  </si>
  <si>
    <t>卧龙地产</t>
  </si>
  <si>
    <t>美都能源</t>
  </si>
  <si>
    <t>中国巨石</t>
  </si>
  <si>
    <t>雅戈尔</t>
  </si>
  <si>
    <t>东安动力</t>
  </si>
  <si>
    <t>安通控股</t>
  </si>
  <si>
    <t>瑞茂通</t>
  </si>
  <si>
    <t>S佳通</t>
  </si>
  <si>
    <t>生益科技</t>
  </si>
  <si>
    <t>光电股份</t>
  </si>
  <si>
    <t>格力地产</t>
  </si>
  <si>
    <t>莲花健康</t>
  </si>
  <si>
    <t>国中水务</t>
  </si>
  <si>
    <t>兖州煤业</t>
  </si>
  <si>
    <t>吉林森工</t>
  </si>
  <si>
    <t>锦州港</t>
  </si>
  <si>
    <t>华资实业</t>
  </si>
  <si>
    <t>长城电工</t>
  </si>
  <si>
    <t>*ST创兴</t>
  </si>
  <si>
    <t>中牧股份</t>
  </si>
  <si>
    <t>复星医药</t>
  </si>
  <si>
    <t>XD伊力特</t>
  </si>
  <si>
    <t>*ST大唐</t>
  </si>
  <si>
    <t>金种子酒</t>
  </si>
  <si>
    <t>江苏吴中</t>
  </si>
  <si>
    <t>生物股份</t>
  </si>
  <si>
    <t>*ST哈空</t>
  </si>
  <si>
    <t>福日电子</t>
  </si>
  <si>
    <t>有研新材</t>
  </si>
  <si>
    <t>安彩高科</t>
  </si>
  <si>
    <t>新湖中宝</t>
  </si>
  <si>
    <t>*ST罗顿</t>
  </si>
  <si>
    <t>紫江企业</t>
  </si>
  <si>
    <t>西藏药业</t>
  </si>
  <si>
    <t>江泉实业</t>
  </si>
  <si>
    <t>亚星客车</t>
  </si>
  <si>
    <t>长春经开</t>
  </si>
  <si>
    <t>浙江医药</t>
  </si>
  <si>
    <t>中再资环</t>
  </si>
  <si>
    <t>全柴动力</t>
  </si>
  <si>
    <t>南山铝业</t>
  </si>
  <si>
    <t>江苏阳光</t>
  </si>
  <si>
    <t>海航控股</t>
  </si>
  <si>
    <t>太龙药业</t>
  </si>
  <si>
    <t>鲁商置业</t>
  </si>
  <si>
    <t>天津松江</t>
  </si>
  <si>
    <t>瀚叶股份</t>
  </si>
  <si>
    <t>圣济堂</t>
  </si>
  <si>
    <t>ST昌九</t>
  </si>
  <si>
    <t>城市传媒</t>
  </si>
  <si>
    <t>沧州大化</t>
  </si>
  <si>
    <t>凌钢股份</t>
  </si>
  <si>
    <t>金鹰股份</t>
  </si>
  <si>
    <t>圆通速递</t>
  </si>
  <si>
    <t>ST山水</t>
  </si>
  <si>
    <t>民丰特纸</t>
  </si>
  <si>
    <t>桂冠电力</t>
  </si>
  <si>
    <t>铜峰电子</t>
  </si>
  <si>
    <t>*ST椰岛</t>
  </si>
  <si>
    <t>云南城投</t>
  </si>
  <si>
    <t>华业资本</t>
  </si>
  <si>
    <t>时代万恒</t>
  </si>
  <si>
    <t>中昌数据</t>
  </si>
  <si>
    <t>青海华鼎</t>
  </si>
  <si>
    <t>万通地产</t>
  </si>
  <si>
    <t>*ST成城</t>
  </si>
  <si>
    <t>延长化建</t>
  </si>
  <si>
    <t>两面针</t>
  </si>
  <si>
    <t>南纺股份</t>
  </si>
  <si>
    <t>冠农股份</t>
  </si>
  <si>
    <t>中恒集团</t>
  </si>
  <si>
    <t>梦舟股份</t>
  </si>
  <si>
    <t>广汇能源</t>
  </si>
  <si>
    <t>大湖股份</t>
  </si>
  <si>
    <t>首旅酒店</t>
  </si>
  <si>
    <t>广晟有色</t>
  </si>
  <si>
    <t>凯乐科技</t>
  </si>
  <si>
    <t>阳光照明</t>
  </si>
  <si>
    <t>北方股份</t>
  </si>
  <si>
    <t>ST景谷</t>
  </si>
  <si>
    <t>北京城建</t>
  </si>
  <si>
    <t>海正药业</t>
  </si>
  <si>
    <t>国电南自</t>
  </si>
  <si>
    <t>赣粤高速</t>
  </si>
  <si>
    <t>外运发展</t>
  </si>
  <si>
    <t>航天信息</t>
  </si>
  <si>
    <t>开开实业</t>
  </si>
  <si>
    <t>嘉化能源</t>
  </si>
  <si>
    <t>ST昌鱼</t>
  </si>
  <si>
    <t>恒瑞医药</t>
  </si>
  <si>
    <t>亿利洁能</t>
  </si>
  <si>
    <t>东方创业</t>
  </si>
  <si>
    <t>重庆港九</t>
  </si>
  <si>
    <t>中央商场</t>
  </si>
  <si>
    <t>太化股份</t>
  </si>
  <si>
    <t>南钢股份</t>
  </si>
  <si>
    <t>钱江水利</t>
  </si>
  <si>
    <t>浦东建设</t>
  </si>
  <si>
    <t>羚锐制药</t>
  </si>
  <si>
    <t>江苏舜天</t>
  </si>
  <si>
    <t>大恒科技</t>
  </si>
  <si>
    <t>*ST信通</t>
  </si>
  <si>
    <t>华仪电气</t>
  </si>
  <si>
    <t>西水股份</t>
  </si>
  <si>
    <t>远达环保</t>
  </si>
  <si>
    <t>三峡新材</t>
  </si>
  <si>
    <t>鄂尔多斯</t>
  </si>
  <si>
    <t>广汇汽车</t>
  </si>
  <si>
    <t>安琪酵母</t>
  </si>
  <si>
    <t>安迪苏</t>
  </si>
  <si>
    <t>维维股份</t>
  </si>
  <si>
    <t>ST南化</t>
  </si>
  <si>
    <t>标准股份</t>
  </si>
  <si>
    <t>曙光股份</t>
  </si>
  <si>
    <t>恒顺醋业</t>
  </si>
  <si>
    <t>商业城</t>
  </si>
  <si>
    <t>酒钢宏兴</t>
  </si>
  <si>
    <t>华泰股份</t>
  </si>
  <si>
    <t>万华化学</t>
  </si>
  <si>
    <t>桂东电力</t>
  </si>
  <si>
    <t>荣华实业</t>
  </si>
  <si>
    <t>平高电气</t>
  </si>
  <si>
    <t>农发种业</t>
  </si>
  <si>
    <t>上海家化</t>
  </si>
  <si>
    <t>洪都航空</t>
  </si>
  <si>
    <t>营口港</t>
  </si>
  <si>
    <t>新力金融</t>
  </si>
  <si>
    <t>亚星化学</t>
  </si>
  <si>
    <t>振华重工</t>
  </si>
  <si>
    <t>*ST正源</t>
  </si>
  <si>
    <t>天房发展</t>
  </si>
  <si>
    <t>瀚蓝环境</t>
  </si>
  <si>
    <t>华发股份</t>
  </si>
  <si>
    <t>西藏天路</t>
  </si>
  <si>
    <t>大东方</t>
  </si>
  <si>
    <t>兰太实业</t>
  </si>
  <si>
    <t>中新药业</t>
  </si>
  <si>
    <t>天通股份</t>
  </si>
  <si>
    <t>宏达股份</t>
  </si>
  <si>
    <t>白云山</t>
  </si>
  <si>
    <t>长春燃气</t>
  </si>
  <si>
    <t>国机汽车</t>
  </si>
  <si>
    <t>澳柯玛</t>
  </si>
  <si>
    <t>美克家居</t>
  </si>
  <si>
    <t>西藏珠峰</t>
  </si>
  <si>
    <t>中油工程</t>
  </si>
  <si>
    <t>华夏幸福</t>
  </si>
  <si>
    <t>航天动力</t>
  </si>
  <si>
    <t>长江通信</t>
  </si>
  <si>
    <t>恒力股份</t>
  </si>
  <si>
    <t>阳泉煤业</t>
  </si>
  <si>
    <t>山东高速</t>
  </si>
  <si>
    <t>亚宝药业</t>
  </si>
  <si>
    <t>浙江龙盛</t>
  </si>
  <si>
    <t>旭光股份</t>
  </si>
  <si>
    <t>敦煌种业</t>
  </si>
  <si>
    <t>精伦电子</t>
  </si>
  <si>
    <t>恒丰纸业</t>
  </si>
  <si>
    <t>国旅联合</t>
  </si>
  <si>
    <t>新农开发</t>
  </si>
  <si>
    <t>华微电子</t>
  </si>
  <si>
    <t>华联综超</t>
  </si>
  <si>
    <t>江西铜业</t>
  </si>
  <si>
    <t>联创光电</t>
  </si>
  <si>
    <t>通葡股份</t>
  </si>
  <si>
    <t>宁波韵升</t>
  </si>
  <si>
    <t>红星发展</t>
  </si>
  <si>
    <t>五洲交通</t>
  </si>
  <si>
    <t>西南证券</t>
  </si>
  <si>
    <t>三房巷</t>
  </si>
  <si>
    <t>万向德农</t>
  </si>
  <si>
    <t>中航电子</t>
  </si>
  <si>
    <t>中文传媒</t>
  </si>
  <si>
    <t>华菱星马</t>
  </si>
  <si>
    <t>首开股份</t>
  </si>
  <si>
    <t>宁沪高速</t>
  </si>
  <si>
    <t>天科股份</t>
  </si>
  <si>
    <t>宝光股份</t>
  </si>
  <si>
    <t>健康元</t>
  </si>
  <si>
    <t>青海春天</t>
  </si>
  <si>
    <t>广东明珠</t>
  </si>
  <si>
    <t>金地集团</t>
  </si>
  <si>
    <t>山东金泰</t>
  </si>
  <si>
    <t>北巴传媒</t>
  </si>
  <si>
    <t>海越股份</t>
  </si>
  <si>
    <t>龙净环保</t>
  </si>
  <si>
    <t>江山股份</t>
  </si>
  <si>
    <t>五矿资本</t>
  </si>
  <si>
    <t>航发科技</t>
  </si>
  <si>
    <t>盛和资源</t>
  </si>
  <si>
    <t>粤泰股份</t>
  </si>
  <si>
    <t>盘江股份</t>
  </si>
  <si>
    <t>金山股份</t>
  </si>
  <si>
    <t>*ST安煤</t>
  </si>
  <si>
    <t>海澜之家</t>
  </si>
  <si>
    <t>*ST抚钢</t>
  </si>
  <si>
    <t>红豆股份</t>
  </si>
  <si>
    <t>大有能源</t>
  </si>
  <si>
    <t>动力源</t>
  </si>
  <si>
    <t>国电南瑞</t>
  </si>
  <si>
    <t>*ST安泰</t>
  </si>
  <si>
    <t>三友化工</t>
  </si>
  <si>
    <t>华胜天成</t>
  </si>
  <si>
    <t>小商品城</t>
  </si>
  <si>
    <t>湘电股份</t>
  </si>
  <si>
    <t>江淮汽车</t>
  </si>
  <si>
    <t>天润乳业</t>
  </si>
  <si>
    <t>现代制药</t>
  </si>
  <si>
    <t>ST仰帆</t>
  </si>
  <si>
    <t>昆药集团</t>
  </si>
  <si>
    <t>*ST柳化</t>
  </si>
  <si>
    <t>青松建化</t>
  </si>
  <si>
    <t>华鲁恒升</t>
  </si>
  <si>
    <t>中远海特</t>
  </si>
  <si>
    <t>三元股份</t>
  </si>
  <si>
    <t>冠豪高新</t>
  </si>
  <si>
    <t>北方导航</t>
  </si>
  <si>
    <t>片仔癀</t>
  </si>
  <si>
    <t>通威股份</t>
  </si>
  <si>
    <t>瑞贝卡</t>
  </si>
  <si>
    <t>国机通用</t>
  </si>
  <si>
    <t>金证股份</t>
  </si>
  <si>
    <t>华纺股份</t>
  </si>
  <si>
    <t>宁夏建材</t>
  </si>
  <si>
    <t>涪陵电力</t>
  </si>
  <si>
    <t>博通股份</t>
  </si>
  <si>
    <t>宝钛股份</t>
  </si>
  <si>
    <t>时代新材</t>
  </si>
  <si>
    <t>贵研铂业</t>
  </si>
  <si>
    <t>士兰微</t>
  </si>
  <si>
    <t>洪城水业</t>
  </si>
  <si>
    <t>九有股份</t>
  </si>
  <si>
    <t>空港股份</t>
  </si>
  <si>
    <t>蓝光发展</t>
  </si>
  <si>
    <t>好当家</t>
  </si>
  <si>
    <t>百利电气</t>
  </si>
  <si>
    <t>风神股份</t>
  </si>
  <si>
    <t>六国化工</t>
  </si>
  <si>
    <t>华光股份</t>
  </si>
  <si>
    <t>湘邮科技</t>
  </si>
  <si>
    <t>杭萧钢构</t>
  </si>
  <si>
    <t>科力远</t>
  </si>
  <si>
    <t>千金药业</t>
  </si>
  <si>
    <t>凌云股份</t>
  </si>
  <si>
    <t>双良节能</t>
  </si>
  <si>
    <t>中国动力</t>
  </si>
  <si>
    <t>福能股份</t>
  </si>
  <si>
    <t>信威集团</t>
  </si>
  <si>
    <t>扬农化工</t>
  </si>
  <si>
    <t>亨通光电</t>
  </si>
  <si>
    <t>天药股份</t>
  </si>
  <si>
    <t>中金黄金</t>
  </si>
  <si>
    <t>鹏欣资源</t>
  </si>
  <si>
    <t>龙元建设</t>
  </si>
  <si>
    <t>凤竹纺织</t>
  </si>
  <si>
    <t>晋西车轴</t>
  </si>
  <si>
    <t>精工钢构</t>
  </si>
  <si>
    <t>驰宏锌锗</t>
  </si>
  <si>
    <t>烽火通信</t>
  </si>
  <si>
    <t>科达洁能</t>
  </si>
  <si>
    <t>中化国际</t>
  </si>
  <si>
    <t>航天晨光</t>
  </si>
  <si>
    <t>安徽水利</t>
  </si>
  <si>
    <t>华丽家族</t>
  </si>
  <si>
    <t>西昌电力</t>
  </si>
  <si>
    <t>香梨股份</t>
  </si>
  <si>
    <t>方大特钢</t>
  </si>
  <si>
    <t>上海能源</t>
  </si>
  <si>
    <t>天富能源</t>
  </si>
  <si>
    <t>黑牡丹</t>
  </si>
  <si>
    <t>国药股份</t>
  </si>
  <si>
    <t>腾达建设</t>
  </si>
  <si>
    <t>联环药业</t>
  </si>
  <si>
    <t>海航基础</t>
  </si>
  <si>
    <t>方大炭素</t>
  </si>
  <si>
    <t>置信电气</t>
  </si>
  <si>
    <t>康美药业</t>
  </si>
  <si>
    <t>贵州茅台</t>
  </si>
  <si>
    <t>文一科技</t>
  </si>
  <si>
    <t>华海药业</t>
  </si>
  <si>
    <t>中天科技</t>
  </si>
  <si>
    <t>贵航股份</t>
  </si>
  <si>
    <t>长园集团</t>
  </si>
  <si>
    <t>菲达环保</t>
  </si>
  <si>
    <t>江南高纤</t>
  </si>
  <si>
    <t>中铁工业</t>
  </si>
  <si>
    <t>山东药玻</t>
  </si>
  <si>
    <t>交大昂立</t>
  </si>
  <si>
    <t>豫光金铅</t>
  </si>
  <si>
    <t>宏达矿业</t>
  </si>
  <si>
    <t>栖霞建设</t>
  </si>
  <si>
    <t>天士力</t>
  </si>
  <si>
    <t>中国软件</t>
  </si>
  <si>
    <t>亿晶光电</t>
  </si>
  <si>
    <t>国发股份</t>
  </si>
  <si>
    <t>*ST狮头</t>
  </si>
  <si>
    <t>新赛股份</t>
  </si>
  <si>
    <t>莫高股份</t>
  </si>
  <si>
    <t>卓郎智能</t>
  </si>
  <si>
    <t>山煤国际</t>
  </si>
  <si>
    <t>山东黄金</t>
  </si>
  <si>
    <t>深高速</t>
  </si>
  <si>
    <t>厦门钨业</t>
  </si>
  <si>
    <t>保变电气</t>
  </si>
  <si>
    <t>时代出版</t>
  </si>
  <si>
    <t>凯盛科技</t>
  </si>
  <si>
    <t>海航创新</t>
  </si>
  <si>
    <t>ST慧球</t>
  </si>
  <si>
    <t>康缘药业</t>
  </si>
  <si>
    <t>大西洋</t>
  </si>
  <si>
    <t>老白干酒</t>
  </si>
  <si>
    <t>金自天正</t>
  </si>
  <si>
    <t>江西长运</t>
  </si>
  <si>
    <t>国睿科技</t>
  </si>
  <si>
    <t>法拉电子</t>
  </si>
  <si>
    <t>迪马股份</t>
  </si>
  <si>
    <t>济川药业</t>
  </si>
  <si>
    <t>山鹰纸业</t>
  </si>
  <si>
    <t>中珠医疗</t>
  </si>
  <si>
    <t>安阳钢铁</t>
  </si>
  <si>
    <t>恒生电子</t>
  </si>
  <si>
    <t>信雅达</t>
  </si>
  <si>
    <t>康恩贝</t>
  </si>
  <si>
    <t>惠泉啤酒</t>
  </si>
  <si>
    <t>皖江物流</t>
  </si>
  <si>
    <t>祥源文化</t>
  </si>
  <si>
    <t>精达股份</t>
  </si>
  <si>
    <t>京能电力</t>
  </si>
  <si>
    <t>天华院</t>
  </si>
  <si>
    <t>卧龙电气</t>
  </si>
  <si>
    <t>八一钢铁</t>
  </si>
  <si>
    <t>天地科技</t>
  </si>
  <si>
    <t>海油工程</t>
  </si>
  <si>
    <t>长电科技</t>
  </si>
  <si>
    <t>海螺水泥</t>
  </si>
  <si>
    <t>金晶科技</t>
  </si>
  <si>
    <t>新华医疗</t>
  </si>
  <si>
    <t>用友网络</t>
  </si>
  <si>
    <t>广东榕泰</t>
  </si>
  <si>
    <t>泰豪科技</t>
  </si>
  <si>
    <t>龙溪股份</t>
  </si>
  <si>
    <t>大连圣亚</t>
  </si>
  <si>
    <t>益佰制药</t>
  </si>
  <si>
    <t>中孚实业</t>
  </si>
  <si>
    <t>新安股份</t>
  </si>
  <si>
    <t>光明乳业</t>
  </si>
  <si>
    <t>北大荒</t>
  </si>
  <si>
    <t>熊猫金控</t>
  </si>
  <si>
    <t>青岛啤酒</t>
  </si>
  <si>
    <t>方正科技</t>
  </si>
  <si>
    <t>云赛智联</t>
  </si>
  <si>
    <t>广汇物流</t>
  </si>
  <si>
    <t>市北高新</t>
  </si>
  <si>
    <t>汇通能源</t>
  </si>
  <si>
    <t>绿地控股</t>
  </si>
  <si>
    <t>ST沪科</t>
  </si>
  <si>
    <t>金杯汽车</t>
  </si>
  <si>
    <t>*ST毅达</t>
  </si>
  <si>
    <t>大众交通</t>
  </si>
  <si>
    <t>老凤祥</t>
  </si>
  <si>
    <t>神奇制药</t>
  </si>
  <si>
    <t>鹏起科技</t>
  </si>
  <si>
    <t>丰华股份</t>
  </si>
  <si>
    <t>金枫酒业</t>
  </si>
  <si>
    <t>国新能源</t>
  </si>
  <si>
    <t>氯碱化工</t>
  </si>
  <si>
    <t>海立股份</t>
  </si>
  <si>
    <t>天宸股份</t>
  </si>
  <si>
    <t>华鑫股份</t>
  </si>
  <si>
    <t>光大嘉宝</t>
  </si>
  <si>
    <t>华谊集团</t>
  </si>
  <si>
    <t>复旦复华</t>
  </si>
  <si>
    <t>申达股份</t>
  </si>
  <si>
    <t>新世界</t>
  </si>
  <si>
    <t>华建集团</t>
  </si>
  <si>
    <t>龙头股份</t>
  </si>
  <si>
    <t>浙数文化</t>
  </si>
  <si>
    <t>*ST富控</t>
  </si>
  <si>
    <t>大众公用</t>
  </si>
  <si>
    <t>三爱富</t>
  </si>
  <si>
    <t>东方明珠</t>
  </si>
  <si>
    <t>新黄浦</t>
  </si>
  <si>
    <t>浦东金桥</t>
  </si>
  <si>
    <t>号百控股</t>
  </si>
  <si>
    <t>万业企业</t>
  </si>
  <si>
    <t>申能股份</t>
  </si>
  <si>
    <t>爱建集团</t>
  </si>
  <si>
    <t>乐山电力</t>
  </si>
  <si>
    <t>中源协和</t>
  </si>
  <si>
    <t>同达创业</t>
  </si>
  <si>
    <t>外高桥</t>
  </si>
  <si>
    <t>城投控股</t>
  </si>
  <si>
    <t>锦江投资</t>
  </si>
  <si>
    <t>飞乐音响</t>
  </si>
  <si>
    <t>游久游戏</t>
  </si>
  <si>
    <t>申华控股</t>
  </si>
  <si>
    <t>ST中安</t>
  </si>
  <si>
    <t>豫园股份</t>
  </si>
  <si>
    <t>信达地产</t>
  </si>
  <si>
    <t>电子城</t>
  </si>
  <si>
    <t>福耀玻璃</t>
  </si>
  <si>
    <t>新南洋</t>
  </si>
  <si>
    <t>强生控股</t>
  </si>
  <si>
    <t>陆家嘴</t>
  </si>
  <si>
    <t>哈药股份</t>
  </si>
  <si>
    <t>天地源</t>
  </si>
  <si>
    <t>奥瑞德</t>
  </si>
  <si>
    <t>太极实业</t>
  </si>
  <si>
    <t>尖峰集团</t>
  </si>
  <si>
    <t>天目药业</t>
  </si>
  <si>
    <t>东阳光科</t>
  </si>
  <si>
    <t>川投能源</t>
  </si>
  <si>
    <t>中华企业</t>
  </si>
  <si>
    <t>交运股份</t>
  </si>
  <si>
    <t>航天通信</t>
  </si>
  <si>
    <t>四川金顶</t>
  </si>
  <si>
    <t>上海凤凰</t>
  </si>
  <si>
    <t>百川能源</t>
  </si>
  <si>
    <t>南京新百</t>
  </si>
  <si>
    <t>京投发展</t>
  </si>
  <si>
    <t>珠江实业</t>
  </si>
  <si>
    <t>中船防务</t>
  </si>
  <si>
    <t>金龙汽车</t>
  </si>
  <si>
    <t>刚泰控股</t>
  </si>
  <si>
    <t>上海石化</t>
  </si>
  <si>
    <t>上海三毛</t>
  </si>
  <si>
    <t>青岛海尔</t>
  </si>
  <si>
    <t>阳煤化工</t>
  </si>
  <si>
    <t>亚通股份</t>
  </si>
  <si>
    <t>东百集团</t>
  </si>
  <si>
    <t>大商股份</t>
  </si>
  <si>
    <t>绿庭投资</t>
  </si>
  <si>
    <t>ST岩石</t>
  </si>
  <si>
    <t>欧亚集团</t>
  </si>
  <si>
    <t>湖南天雁</t>
  </si>
  <si>
    <t>均胜电子</t>
  </si>
  <si>
    <t>*ST工新</t>
  </si>
  <si>
    <t>舍得酒业</t>
  </si>
  <si>
    <t>三安光电</t>
  </si>
  <si>
    <t>物产中大</t>
  </si>
  <si>
    <t>中航资本</t>
  </si>
  <si>
    <t>曲江文旅</t>
  </si>
  <si>
    <t>彩虹股份</t>
  </si>
  <si>
    <t>光明地产</t>
  </si>
  <si>
    <t>苏美达</t>
  </si>
  <si>
    <t>盛屯矿业</t>
  </si>
  <si>
    <t>南宁百货</t>
  </si>
  <si>
    <t>南京医药</t>
  </si>
  <si>
    <t>金瑞矿业</t>
  </si>
  <si>
    <t>文投控股</t>
  </si>
  <si>
    <t>凤凰股份</t>
  </si>
  <si>
    <t>天津港</t>
  </si>
  <si>
    <t>东软集团</t>
  </si>
  <si>
    <t>大连热电</t>
  </si>
  <si>
    <t>祁连山</t>
  </si>
  <si>
    <t>百花村</t>
  </si>
  <si>
    <t>金牛化工</t>
  </si>
  <si>
    <t>首商股份</t>
  </si>
  <si>
    <t>宁波富达</t>
  </si>
  <si>
    <t>ST云维</t>
  </si>
  <si>
    <t>华电能源</t>
  </si>
  <si>
    <t>鲁北化工</t>
  </si>
  <si>
    <t>佳都科技</t>
  </si>
  <si>
    <t>重庆百货</t>
  </si>
  <si>
    <t>中国高科</t>
  </si>
  <si>
    <t>湖南海利</t>
  </si>
  <si>
    <t>ST新梅</t>
  </si>
  <si>
    <t>SST前锋</t>
  </si>
  <si>
    <t>实达集团</t>
  </si>
  <si>
    <t>新华锦</t>
  </si>
  <si>
    <t>苏州高新</t>
  </si>
  <si>
    <t>中粮糖业</t>
  </si>
  <si>
    <t>兰州民百</t>
  </si>
  <si>
    <t>辽宁成大</t>
  </si>
  <si>
    <t>山西焦化</t>
  </si>
  <si>
    <t>华域汽车</t>
  </si>
  <si>
    <t>一汽富维</t>
  </si>
  <si>
    <t>华远地产</t>
  </si>
  <si>
    <t>华银电力</t>
  </si>
  <si>
    <t>闻泰科技</t>
  </si>
  <si>
    <t>江苏索普</t>
  </si>
  <si>
    <t>ST大控</t>
  </si>
  <si>
    <t>上实发展</t>
  </si>
  <si>
    <t>*ST藏旅</t>
  </si>
  <si>
    <t>江中药业</t>
  </si>
  <si>
    <t>海航科技</t>
  </si>
  <si>
    <t>东方银星</t>
  </si>
  <si>
    <t>锦江股份</t>
  </si>
  <si>
    <t>厦门国贸</t>
  </si>
  <si>
    <t>浪潮软件</t>
  </si>
  <si>
    <t>长江传媒</t>
  </si>
  <si>
    <t>红阳能源</t>
  </si>
  <si>
    <t>洲际油气</t>
  </si>
  <si>
    <t>中航沈飞</t>
  </si>
  <si>
    <t>安徽合力</t>
  </si>
  <si>
    <t>通策医疗</t>
  </si>
  <si>
    <t>中国海防</t>
  </si>
  <si>
    <t>中航重机</t>
  </si>
  <si>
    <t>园城黄金</t>
  </si>
  <si>
    <t>ST运盛</t>
  </si>
  <si>
    <t>宁波富邦</t>
  </si>
  <si>
    <t>祥龙电业</t>
  </si>
  <si>
    <t>综艺股份</t>
  </si>
  <si>
    <t>广誉远</t>
  </si>
  <si>
    <t>西藏城投</t>
  </si>
  <si>
    <t>汉商集团</t>
  </si>
  <si>
    <t>南京熊猫</t>
  </si>
  <si>
    <t>东方通信</t>
  </si>
  <si>
    <t>新潮能源</t>
  </si>
  <si>
    <t>*ST友好</t>
  </si>
  <si>
    <t>水井坊</t>
  </si>
  <si>
    <t>通宝能源</t>
  </si>
  <si>
    <t>辅仁药业</t>
  </si>
  <si>
    <t>新钢股份</t>
  </si>
  <si>
    <t>鲁信创投</t>
  </si>
  <si>
    <t>鲁银投资</t>
  </si>
  <si>
    <t>新华百货</t>
  </si>
  <si>
    <t>中储股份</t>
  </si>
  <si>
    <t>鲁抗医药</t>
  </si>
  <si>
    <t>轻纺城</t>
  </si>
  <si>
    <t>京能置业</t>
  </si>
  <si>
    <t>云煤能源</t>
  </si>
  <si>
    <t>宜宾纸业</t>
  </si>
  <si>
    <t>保税科技</t>
  </si>
  <si>
    <t>国电电力</t>
  </si>
  <si>
    <t>钱江生化</t>
  </si>
  <si>
    <t>浙大网新</t>
  </si>
  <si>
    <t>宁波海运</t>
  </si>
  <si>
    <t>天津磁卡</t>
  </si>
  <si>
    <t>华新水泥</t>
  </si>
  <si>
    <t>福建水泥</t>
  </si>
  <si>
    <t>新奥股份</t>
  </si>
  <si>
    <t>鹏博士</t>
  </si>
  <si>
    <t>悦达投资</t>
  </si>
  <si>
    <t>*ST天业</t>
  </si>
  <si>
    <t>马钢股份</t>
  </si>
  <si>
    <t>山西汾酒</t>
  </si>
  <si>
    <t>神马股份</t>
  </si>
  <si>
    <t>东方集团</t>
  </si>
  <si>
    <t>华北制药</t>
  </si>
  <si>
    <t>杭州解百</t>
  </si>
  <si>
    <t>厦工股份</t>
  </si>
  <si>
    <t>安信信托</t>
  </si>
  <si>
    <t>ST宏盛</t>
  </si>
  <si>
    <t>中路股份</t>
  </si>
  <si>
    <t>耀皮玻璃</t>
  </si>
  <si>
    <t>隧道股份</t>
  </si>
  <si>
    <t>津劝业</t>
  </si>
  <si>
    <t>上海物贸</t>
  </si>
  <si>
    <t>世茂股份</t>
  </si>
  <si>
    <t>益民集团</t>
  </si>
  <si>
    <t>新华传媒</t>
  </si>
  <si>
    <t>兰生股份</t>
  </si>
  <si>
    <t>百联股份</t>
  </si>
  <si>
    <t>茂业商业</t>
  </si>
  <si>
    <t>人民同泰</t>
  </si>
  <si>
    <t>香溢融通</t>
  </si>
  <si>
    <t>广电网络</t>
  </si>
  <si>
    <t>第一医药</t>
  </si>
  <si>
    <t>申通地铁</t>
  </si>
  <si>
    <t>上海机电</t>
  </si>
  <si>
    <t>界龙实业</t>
  </si>
  <si>
    <t>海通证券</t>
  </si>
  <si>
    <t>上海九百</t>
  </si>
  <si>
    <t>四川长虹</t>
  </si>
  <si>
    <t>上柴股份</t>
  </si>
  <si>
    <t>上工申贝</t>
  </si>
  <si>
    <t>丹化科技</t>
  </si>
  <si>
    <t>宝信软件</t>
  </si>
  <si>
    <t>同济科技</t>
  </si>
  <si>
    <t>万里股份</t>
  </si>
  <si>
    <t>上海临港</t>
  </si>
  <si>
    <t>华东电脑</t>
  </si>
  <si>
    <t>海欣股份</t>
  </si>
  <si>
    <t>龙建股份</t>
  </si>
  <si>
    <t>春兰股份</t>
  </si>
  <si>
    <t>航天长峰</t>
  </si>
  <si>
    <t>中天能源</t>
  </si>
  <si>
    <t>宁波中百</t>
  </si>
  <si>
    <t>银座股份</t>
  </si>
  <si>
    <t>王府井</t>
  </si>
  <si>
    <t>京城股份</t>
  </si>
  <si>
    <t>北京城乡</t>
  </si>
  <si>
    <t>中航高科</t>
  </si>
  <si>
    <t>内蒙华电</t>
  </si>
  <si>
    <t>哈投股份</t>
  </si>
  <si>
    <t>百大集团</t>
  </si>
  <si>
    <t>星湖科技</t>
  </si>
  <si>
    <t>通化东宝</t>
  </si>
  <si>
    <t>梅雁吉祥</t>
  </si>
  <si>
    <t>智慧能源</t>
  </si>
  <si>
    <t>*ST厦华</t>
  </si>
  <si>
    <t>*ST油服</t>
  </si>
  <si>
    <t>中炬高新</t>
  </si>
  <si>
    <t>梅花生物</t>
  </si>
  <si>
    <t>创业环保</t>
  </si>
  <si>
    <t>东方电气</t>
  </si>
  <si>
    <t>洛阳玻璃</t>
  </si>
  <si>
    <t>ST嘉陵</t>
  </si>
  <si>
    <t>航天电子</t>
  </si>
  <si>
    <t>博瑞传播</t>
  </si>
  <si>
    <t>亚泰集团</t>
  </si>
  <si>
    <t>广泽股份</t>
  </si>
  <si>
    <t>博闻科技</t>
  </si>
  <si>
    <t>杉杉股份</t>
  </si>
  <si>
    <t>宏发股份</t>
  </si>
  <si>
    <t>国投电力</t>
  </si>
  <si>
    <t>伊利股份</t>
  </si>
  <si>
    <t>新疆众和</t>
  </si>
  <si>
    <t>南京化纤</t>
  </si>
  <si>
    <t>中房股份</t>
  </si>
  <si>
    <t>秋林集团</t>
  </si>
  <si>
    <t>大晟文化</t>
  </si>
  <si>
    <t>航发动力</t>
  </si>
  <si>
    <t>广日股份</t>
  </si>
  <si>
    <t>张江高科</t>
  </si>
  <si>
    <t>*ST海投</t>
  </si>
  <si>
    <t>厦门空港</t>
  </si>
  <si>
    <t>国美通讯</t>
  </si>
  <si>
    <t>长江电力</t>
  </si>
  <si>
    <t>江苏租赁</t>
  </si>
  <si>
    <t>贵州燃气</t>
  </si>
  <si>
    <t>无锡银行</t>
  </si>
  <si>
    <t>华安证券</t>
  </si>
  <si>
    <t>重庆燃气</t>
  </si>
  <si>
    <t>江苏银行</t>
  </si>
  <si>
    <t>杭州银行</t>
  </si>
  <si>
    <t>湖南盐业</t>
  </si>
  <si>
    <t>爱柯迪</t>
  </si>
  <si>
    <t>广西广电</t>
  </si>
  <si>
    <t>重庆建工</t>
  </si>
  <si>
    <t>东方证券</t>
  </si>
  <si>
    <t>江苏有线</t>
  </si>
  <si>
    <t>渤海汽车</t>
  </si>
  <si>
    <t>株冶集团</t>
  </si>
  <si>
    <t>国投中鲁</t>
  </si>
  <si>
    <t>岳阳林纸</t>
  </si>
  <si>
    <t>福成股份</t>
  </si>
  <si>
    <t>博汇纸业</t>
  </si>
  <si>
    <t>内蒙一机</t>
  </si>
  <si>
    <t>郴电国际</t>
  </si>
  <si>
    <t>中材国际</t>
  </si>
  <si>
    <t>恒源煤电</t>
  </si>
  <si>
    <t>宝胜股份</t>
  </si>
  <si>
    <t>新五丰</t>
  </si>
  <si>
    <t>健民集团</t>
  </si>
  <si>
    <t>中国电影</t>
  </si>
  <si>
    <t>宜华生活</t>
  </si>
  <si>
    <t>广安爱众</t>
  </si>
  <si>
    <t>北矿科技</t>
  </si>
  <si>
    <t>汇鸿集团</t>
  </si>
  <si>
    <t>宁波热电</t>
  </si>
  <si>
    <t>惠而浦</t>
  </si>
  <si>
    <t>建设机械</t>
  </si>
  <si>
    <t>雷鸣科化</t>
  </si>
  <si>
    <t>科达股份</t>
  </si>
  <si>
    <t>航民股份</t>
  </si>
  <si>
    <t>赤峰黄金</t>
  </si>
  <si>
    <t>四创电子</t>
  </si>
  <si>
    <t>贵绳股份</t>
  </si>
  <si>
    <t>马应龙</t>
  </si>
  <si>
    <t>文山电力</t>
  </si>
  <si>
    <t>贵广网络</t>
  </si>
  <si>
    <t>开滦股份</t>
  </si>
  <si>
    <t>九州通</t>
  </si>
  <si>
    <t>招商证券</t>
  </si>
  <si>
    <t>唐山港</t>
  </si>
  <si>
    <t>大同煤业</t>
  </si>
  <si>
    <t>晋亿实业</t>
  </si>
  <si>
    <t>柳钢股份</t>
  </si>
  <si>
    <t>重庆钢铁</t>
  </si>
  <si>
    <t>大秦铁路</t>
  </si>
  <si>
    <t>金陵饭店</t>
  </si>
  <si>
    <t>连云港</t>
  </si>
  <si>
    <t>南京银行</t>
  </si>
  <si>
    <t>文峰股份</t>
  </si>
  <si>
    <t>宝泰隆</t>
  </si>
  <si>
    <t>隆基股份</t>
  </si>
  <si>
    <t>陕西黑猫</t>
  </si>
  <si>
    <t>节能风电</t>
  </si>
  <si>
    <t>宁波港</t>
  </si>
  <si>
    <t>山东出版</t>
  </si>
  <si>
    <t>华钰矿业</t>
  </si>
  <si>
    <t>春秋航空</t>
  </si>
  <si>
    <t>玉龙股份</t>
  </si>
  <si>
    <t>一拖股份</t>
  </si>
  <si>
    <t>赛轮金宇</t>
  </si>
  <si>
    <t>中信建投</t>
  </si>
  <si>
    <t>西部黄金</t>
  </si>
  <si>
    <t>国芳集团</t>
  </si>
  <si>
    <t>中国神华</t>
  </si>
  <si>
    <t>中南传媒</t>
  </si>
  <si>
    <t>太平洋</t>
  </si>
  <si>
    <t>恒立液压</t>
  </si>
  <si>
    <t>昊华能源</t>
  </si>
  <si>
    <t>中国一重</t>
  </si>
  <si>
    <t>四川成渝</t>
  </si>
  <si>
    <t>财通证券</t>
  </si>
  <si>
    <t>中国国航</t>
  </si>
  <si>
    <t>华鼎股份</t>
  </si>
  <si>
    <t>三江购物</t>
  </si>
  <si>
    <t>中国化学</t>
  </si>
  <si>
    <t>海南橡胶</t>
  </si>
  <si>
    <t>四方股份</t>
  </si>
  <si>
    <t>小康股份</t>
  </si>
  <si>
    <t>常熟银行</t>
  </si>
  <si>
    <t>博威合金</t>
  </si>
  <si>
    <t>工业富联</t>
  </si>
  <si>
    <t>深圳燃气</t>
  </si>
  <si>
    <t>新城控股</t>
  </si>
  <si>
    <t>重庆水务</t>
  </si>
  <si>
    <t>三角轮胎</t>
  </si>
  <si>
    <t>兴业银行</t>
  </si>
  <si>
    <t>西部矿业</t>
  </si>
  <si>
    <t>北京银行</t>
  </si>
  <si>
    <t>杭齿前进</t>
  </si>
  <si>
    <t>中国西电</t>
  </si>
  <si>
    <t>中国铁建</t>
  </si>
  <si>
    <t>龙江交通</t>
  </si>
  <si>
    <t>东兴证券</t>
  </si>
  <si>
    <t>江南水务</t>
  </si>
  <si>
    <t>上海环境</t>
  </si>
  <si>
    <t>东材科技</t>
  </si>
  <si>
    <t>国泰君安</t>
  </si>
  <si>
    <t>白银有色</t>
  </si>
  <si>
    <t>君正集团</t>
  </si>
  <si>
    <t>吉鑫科技</t>
  </si>
  <si>
    <t>林洋能源</t>
  </si>
  <si>
    <t>陕西煤业</t>
  </si>
  <si>
    <t>华电重工</t>
  </si>
  <si>
    <t>广州港</t>
  </si>
  <si>
    <t>上海银行</t>
  </si>
  <si>
    <t>环旭电子</t>
  </si>
  <si>
    <t>桐昆股份</t>
  </si>
  <si>
    <t>广汽集团</t>
  </si>
  <si>
    <t>庞大集团</t>
  </si>
  <si>
    <t>农业银行</t>
  </si>
  <si>
    <t>骆驼股份</t>
  </si>
  <si>
    <t>中国平安</t>
  </si>
  <si>
    <t>秦港股份</t>
  </si>
  <si>
    <t>交通银行</t>
  </si>
  <si>
    <t>绿色动力</t>
  </si>
  <si>
    <t>广深铁路</t>
  </si>
  <si>
    <t>新华保险</t>
  </si>
  <si>
    <t>百隆东方</t>
  </si>
  <si>
    <t>三六零</t>
  </si>
  <si>
    <t>利群股份</t>
  </si>
  <si>
    <t>绿城水务</t>
  </si>
  <si>
    <t>陕鼓动力</t>
  </si>
  <si>
    <t>中原证券</t>
  </si>
  <si>
    <t>兴业证券</t>
  </si>
  <si>
    <t>怡球资源</t>
  </si>
  <si>
    <t>中国中铁</t>
  </si>
  <si>
    <t>工商银行</t>
  </si>
  <si>
    <t>通用股份</t>
  </si>
  <si>
    <t>东风股份</t>
  </si>
  <si>
    <t>吉林高速</t>
  </si>
  <si>
    <t>大智慧</t>
  </si>
  <si>
    <t>东吴证券</t>
  </si>
  <si>
    <t>ST锐电</t>
  </si>
  <si>
    <t>九牧王</t>
  </si>
  <si>
    <t>三星医疗</t>
  </si>
  <si>
    <t>会稽山</t>
  </si>
  <si>
    <t>北辰实业</t>
  </si>
  <si>
    <t>上海电影</t>
  </si>
  <si>
    <t>XD鹿港文</t>
  </si>
  <si>
    <t>中国铝业</t>
  </si>
  <si>
    <t>中国太保</t>
  </si>
  <si>
    <t>上海医药</t>
  </si>
  <si>
    <t>中信重工</t>
  </si>
  <si>
    <t>中国核建</t>
  </si>
  <si>
    <t>广电电气</t>
  </si>
  <si>
    <t>中国中冶</t>
  </si>
  <si>
    <t>嘉泽新能</t>
  </si>
  <si>
    <t>中国人寿</t>
  </si>
  <si>
    <t>长城汽车</t>
  </si>
  <si>
    <t>旗滨集团</t>
  </si>
  <si>
    <t>平煤股份</t>
  </si>
  <si>
    <t>中国建筑</t>
  </si>
  <si>
    <t>中国电建</t>
  </si>
  <si>
    <t>明泰铝业</t>
  </si>
  <si>
    <t>滨化股份</t>
  </si>
  <si>
    <t>华泰证券</t>
  </si>
  <si>
    <t>拓普集团</t>
  </si>
  <si>
    <t>潞安环能</t>
  </si>
  <si>
    <t>风范股份</t>
  </si>
  <si>
    <t>郑煤机</t>
  </si>
  <si>
    <t>际华集团</t>
  </si>
  <si>
    <t>上海电气</t>
  </si>
  <si>
    <t>中国中车</t>
  </si>
  <si>
    <t>力帆股份</t>
  </si>
  <si>
    <t>光大证券</t>
  </si>
  <si>
    <t>宁波建工</t>
  </si>
  <si>
    <t>*ST蓝科</t>
  </si>
  <si>
    <t>星宇股份</t>
  </si>
  <si>
    <t>中国交建</t>
  </si>
  <si>
    <t>皖新传媒</t>
  </si>
  <si>
    <t>中海油服</t>
  </si>
  <si>
    <t>新华文轩</t>
  </si>
  <si>
    <t>光大银行</t>
  </si>
  <si>
    <t>美凯龙</t>
  </si>
  <si>
    <t>成都银行</t>
  </si>
  <si>
    <t>中国石油</t>
  </si>
  <si>
    <t>中国科传</t>
  </si>
  <si>
    <t>中远海发</t>
  </si>
  <si>
    <t>长飞光纤</t>
  </si>
  <si>
    <t>招商轮船</t>
  </si>
  <si>
    <t>正泰电器</t>
  </si>
  <si>
    <t>浙商证券</t>
  </si>
  <si>
    <t>大连港</t>
  </si>
  <si>
    <t>中国银河</t>
  </si>
  <si>
    <t>海天精工</t>
  </si>
  <si>
    <t>江河集团</t>
  </si>
  <si>
    <t>中国国旅</t>
  </si>
  <si>
    <t>亚星锚链</t>
  </si>
  <si>
    <t>中煤能源</t>
  </si>
  <si>
    <t>紫金矿业</t>
  </si>
  <si>
    <t>南方传媒</t>
  </si>
  <si>
    <t>方正证券</t>
  </si>
  <si>
    <t>京运通</t>
  </si>
  <si>
    <t>新集能源</t>
  </si>
  <si>
    <t>中远海控</t>
  </si>
  <si>
    <t>凤凰传媒</t>
  </si>
  <si>
    <t>吉视传媒</t>
  </si>
  <si>
    <t>永辉超市</t>
  </si>
  <si>
    <t>建设银行</t>
  </si>
  <si>
    <t>中国出版</t>
  </si>
  <si>
    <t>苏垦农发</t>
  </si>
  <si>
    <t>金钼股份</t>
  </si>
  <si>
    <t>中国汽研</t>
  </si>
  <si>
    <t>玲珑轮胎</t>
  </si>
  <si>
    <t>宝钢包装</t>
  </si>
  <si>
    <t>海南矿业</t>
  </si>
  <si>
    <t>中国核电</t>
  </si>
  <si>
    <t>中国银行</t>
  </si>
  <si>
    <t>中国重工</t>
  </si>
  <si>
    <t>南京证券</t>
  </si>
  <si>
    <t>大唐发电</t>
  </si>
  <si>
    <t>金隅集团</t>
  </si>
  <si>
    <t>丰林集团</t>
  </si>
  <si>
    <t>贵阳银行</t>
  </si>
  <si>
    <t>中信银行</t>
  </si>
  <si>
    <t>出版传媒</t>
  </si>
  <si>
    <t>人民网</t>
  </si>
  <si>
    <t>奥康国际</t>
  </si>
  <si>
    <t>宏昌电子</t>
  </si>
  <si>
    <t>龙宇燃油</t>
  </si>
  <si>
    <t>晶方科技</t>
  </si>
  <si>
    <t>联明股份</t>
  </si>
  <si>
    <t>花王股份</t>
  </si>
  <si>
    <t>喜临门</t>
  </si>
  <si>
    <t>北特科技</t>
  </si>
  <si>
    <t>万盛股份</t>
  </si>
  <si>
    <t>合锻智能</t>
  </si>
  <si>
    <t>创力集团</t>
  </si>
  <si>
    <t>亚普股份</t>
  </si>
  <si>
    <t>弘讯科技</t>
  </si>
  <si>
    <t>新宏泰</t>
  </si>
  <si>
    <t>中衡设计</t>
  </si>
  <si>
    <t>中设集团</t>
  </si>
  <si>
    <t>中科曙光</t>
  </si>
  <si>
    <t>爱普股份</t>
  </si>
  <si>
    <t>山东华鹏</t>
  </si>
  <si>
    <t>新通联</t>
  </si>
  <si>
    <t>威帝股份</t>
  </si>
  <si>
    <t>大豪科技</t>
  </si>
  <si>
    <t>石大胜华</t>
  </si>
  <si>
    <t>千禾味业</t>
  </si>
  <si>
    <t>赛福天</t>
  </si>
  <si>
    <t>天鹅股份</t>
  </si>
  <si>
    <t>全筑股份</t>
  </si>
  <si>
    <t>安德利</t>
  </si>
  <si>
    <t>德新交运</t>
  </si>
  <si>
    <t>三维股份</t>
  </si>
  <si>
    <t>常熟汽饰</t>
  </si>
  <si>
    <t>如通股份</t>
  </si>
  <si>
    <t>凯众股份</t>
  </si>
  <si>
    <t>华立股份</t>
  </si>
  <si>
    <t>泛微网络</t>
  </si>
  <si>
    <t>新坐标</t>
  </si>
  <si>
    <t>美思德</t>
  </si>
  <si>
    <t>华脉科技</t>
  </si>
  <si>
    <t>广州酒家</t>
  </si>
  <si>
    <t>福达合金</t>
  </si>
  <si>
    <t>科林电气</t>
  </si>
  <si>
    <t>台华新材</t>
  </si>
  <si>
    <t>德邦股份</t>
  </si>
  <si>
    <t>永吉股份</t>
  </si>
  <si>
    <t>倍加洁</t>
  </si>
  <si>
    <t>国检集团</t>
  </si>
  <si>
    <t>禾望电气</t>
  </si>
  <si>
    <t>音飞储存</t>
  </si>
  <si>
    <t>振华股份</t>
  </si>
  <si>
    <t>海汽集团</t>
  </si>
  <si>
    <t>乐惠国际</t>
  </si>
  <si>
    <t>和邦生物</t>
  </si>
  <si>
    <t>江化微</t>
  </si>
  <si>
    <t>圣达生物</t>
  </si>
  <si>
    <t>新疆火炬</t>
  </si>
  <si>
    <t>大丰实业</t>
  </si>
  <si>
    <t>剑桥科技</t>
  </si>
  <si>
    <t>天成自控</t>
  </si>
  <si>
    <t>先达股份</t>
  </si>
  <si>
    <t>宁波精达</t>
  </si>
  <si>
    <t>正裕工业</t>
  </si>
  <si>
    <t>宏盛股份</t>
  </si>
  <si>
    <t>新经典</t>
  </si>
  <si>
    <t>森特股份</t>
  </si>
  <si>
    <t>长白山</t>
  </si>
  <si>
    <t>川仪股份</t>
  </si>
  <si>
    <t>汇嘉时代</t>
  </si>
  <si>
    <t>横店影视</t>
  </si>
  <si>
    <t>芯能科技</t>
  </si>
  <si>
    <t>恒银金融</t>
  </si>
  <si>
    <t>润达医疗</t>
  </si>
  <si>
    <t>东方材料</t>
  </si>
  <si>
    <t>康尼机电</t>
  </si>
  <si>
    <t>金能科技</t>
  </si>
  <si>
    <t>红蜻蜓</t>
  </si>
  <si>
    <t>万林股份</t>
  </si>
  <si>
    <t>共进股份</t>
  </si>
  <si>
    <t>翠微股份</t>
  </si>
  <si>
    <t>中材节能</t>
  </si>
  <si>
    <t>昭衍新药</t>
  </si>
  <si>
    <t>华贸物流</t>
  </si>
  <si>
    <t>春风动力</t>
  </si>
  <si>
    <t>上海沪工</t>
  </si>
  <si>
    <t>碳元科技</t>
  </si>
  <si>
    <t>天目湖</t>
  </si>
  <si>
    <t>海量数据</t>
  </si>
  <si>
    <t>康惠制药</t>
  </si>
  <si>
    <t>养元饮品</t>
  </si>
  <si>
    <t>拉夏贝尔</t>
  </si>
  <si>
    <t>腾龙股份</t>
  </si>
  <si>
    <t>上海亚虹</t>
  </si>
  <si>
    <t>汇顶科技</t>
  </si>
  <si>
    <t>科华控股</t>
  </si>
  <si>
    <t>荣晟环保</t>
  </si>
  <si>
    <t>福达股份</t>
  </si>
  <si>
    <t>渤海轮渡</t>
  </si>
  <si>
    <t>莎普爱思</t>
  </si>
  <si>
    <t>兰石重装</t>
  </si>
  <si>
    <t>德创环保</t>
  </si>
  <si>
    <t>圣龙股份</t>
  </si>
  <si>
    <t>新泉股份</t>
  </si>
  <si>
    <t>金牌厨柜</t>
  </si>
  <si>
    <t>皇马科技</t>
  </si>
  <si>
    <t>建研院</t>
  </si>
  <si>
    <t>华正新材</t>
  </si>
  <si>
    <t>亚邦股份</t>
  </si>
  <si>
    <t>网达软件</t>
  </si>
  <si>
    <t>日播时尚</t>
  </si>
  <si>
    <t>保隆科技</t>
  </si>
  <si>
    <t>迎驾贡酒</t>
  </si>
  <si>
    <t>九华旅游</t>
  </si>
  <si>
    <t>上海洗霸</t>
  </si>
  <si>
    <t>快克股份</t>
  </si>
  <si>
    <t>江山欧派</t>
  </si>
  <si>
    <t>爱婴室</t>
  </si>
  <si>
    <t>日月股份</t>
  </si>
  <si>
    <t>济民制药</t>
  </si>
  <si>
    <t>恒通股份</t>
  </si>
  <si>
    <t>新凤鸣</t>
  </si>
  <si>
    <t>菲林格尔</t>
  </si>
  <si>
    <t>雪峰科技</t>
  </si>
  <si>
    <t>景旺电子</t>
  </si>
  <si>
    <t>奥翔药业</t>
  </si>
  <si>
    <t>格尔软件</t>
  </si>
  <si>
    <t>大参林</t>
  </si>
  <si>
    <t>诺邦股份</t>
  </si>
  <si>
    <t>浙江仙通</t>
  </si>
  <si>
    <t>电魂网络</t>
  </si>
  <si>
    <t>药明康德</t>
  </si>
  <si>
    <t>合盛硅业</t>
  </si>
  <si>
    <t>天龙股份</t>
  </si>
  <si>
    <t>松发股份</t>
  </si>
  <si>
    <t>海鸥股份</t>
  </si>
  <si>
    <t>银都股份</t>
  </si>
  <si>
    <t>大业股份</t>
  </si>
  <si>
    <t>赛腾股份</t>
  </si>
  <si>
    <t>日盈电子</t>
  </si>
  <si>
    <t>海天味业</t>
  </si>
  <si>
    <t>泰瑞机器</t>
  </si>
  <si>
    <t>杭叉集团</t>
  </si>
  <si>
    <t>井神股份</t>
  </si>
  <si>
    <t>华铁科技</t>
  </si>
  <si>
    <t>振德医疗</t>
  </si>
  <si>
    <t>得邦照明</t>
  </si>
  <si>
    <t>旭升股份</t>
  </si>
  <si>
    <t>华懋科技</t>
  </si>
  <si>
    <t>应流股份</t>
  </si>
  <si>
    <t>维力医疗</t>
  </si>
  <si>
    <t>金海环境</t>
  </si>
  <si>
    <t>梦百合</t>
  </si>
  <si>
    <t>福鞍股份</t>
  </si>
  <si>
    <t>诚邦股份</t>
  </si>
  <si>
    <t>派思股份</t>
  </si>
  <si>
    <t>湘油泵</t>
  </si>
  <si>
    <t>迪贝电气</t>
  </si>
  <si>
    <t>梅轮电梯</t>
  </si>
  <si>
    <t>超讯通信</t>
  </si>
  <si>
    <t>吴江银行</t>
  </si>
  <si>
    <t>我乐家居</t>
  </si>
  <si>
    <t>依顿电子</t>
  </si>
  <si>
    <t>上海雅仕</t>
  </si>
  <si>
    <t>上海天洋</t>
  </si>
  <si>
    <t>百达精工</t>
  </si>
  <si>
    <t>明星电缆</t>
  </si>
  <si>
    <t>迪生力</t>
  </si>
  <si>
    <t>宏辉果蔬</t>
  </si>
  <si>
    <t>杰克股份</t>
  </si>
  <si>
    <t>浙江鼎力</t>
  </si>
  <si>
    <t>四方冷链</t>
  </si>
  <si>
    <t>安井食品</t>
  </si>
  <si>
    <t>文灿股份</t>
  </si>
  <si>
    <t>莱克电气</t>
  </si>
  <si>
    <t>华菱精工</t>
  </si>
  <si>
    <t>设计总院</t>
  </si>
  <si>
    <t>华达科技</t>
  </si>
  <si>
    <t>东珠生态</t>
  </si>
  <si>
    <t>百傲化学</t>
  </si>
  <si>
    <t>傲农生物</t>
  </si>
  <si>
    <t>水星家纺</t>
  </si>
  <si>
    <t>日出东方</t>
  </si>
  <si>
    <t>辰欣药业</t>
  </si>
  <si>
    <t>柳药股份</t>
  </si>
  <si>
    <t>今世缘</t>
  </si>
  <si>
    <t>东方时尚</t>
  </si>
  <si>
    <t>亚士创能</t>
  </si>
  <si>
    <t>易德龙</t>
  </si>
  <si>
    <t>顶点软件</t>
  </si>
  <si>
    <t>惠达卫浴</t>
  </si>
  <si>
    <t>广东骏亚</t>
  </si>
  <si>
    <t>基蛋生物</t>
  </si>
  <si>
    <t>元成股份</t>
  </si>
  <si>
    <t>亚振家居</t>
  </si>
  <si>
    <t>新天然气</t>
  </si>
  <si>
    <t>金辰股份</t>
  </si>
  <si>
    <t>邦宝益智</t>
  </si>
  <si>
    <t>吉翔股份</t>
  </si>
  <si>
    <t>信捷电气</t>
  </si>
  <si>
    <t>鼎信通讯</t>
  </si>
  <si>
    <t>集友股份</t>
  </si>
  <si>
    <t>吉比特</t>
  </si>
  <si>
    <t>九洲药业</t>
  </si>
  <si>
    <t>勘设股份</t>
  </si>
  <si>
    <t>风语筑</t>
  </si>
  <si>
    <t>振静股份</t>
  </si>
  <si>
    <t>科沃斯</t>
  </si>
  <si>
    <t>展鹏科技</t>
  </si>
  <si>
    <t>恒为科技</t>
  </si>
  <si>
    <t>翔港科技</t>
  </si>
  <si>
    <t>祥和实业</t>
  </si>
  <si>
    <t>韦尔股份</t>
  </si>
  <si>
    <t>金石资源</t>
  </si>
  <si>
    <t>南都物业</t>
  </si>
  <si>
    <t>振江股份</t>
  </si>
  <si>
    <t>思维列控</t>
  </si>
  <si>
    <t>欧普照明</t>
  </si>
  <si>
    <t>淳中科技</t>
  </si>
  <si>
    <t>绝味食品</t>
  </si>
  <si>
    <t>维格娜丝</t>
  </si>
  <si>
    <t>立霸股份</t>
  </si>
  <si>
    <t>司太立</t>
  </si>
  <si>
    <t>众源新材</t>
  </si>
  <si>
    <t>多伦科技</t>
  </si>
  <si>
    <t>掌阅科技</t>
  </si>
  <si>
    <t>嘉诚国际</t>
  </si>
  <si>
    <t>惠发股份</t>
  </si>
  <si>
    <t>美诺华</t>
  </si>
  <si>
    <t>贵人鸟</t>
  </si>
  <si>
    <t>海兴电力</t>
  </si>
  <si>
    <t>起步股份</t>
  </si>
  <si>
    <t>健盛集团</t>
  </si>
  <si>
    <t>中通国脉</t>
  </si>
  <si>
    <t>普莱柯</t>
  </si>
  <si>
    <t>珍宝岛</t>
  </si>
  <si>
    <t>伟明环保</t>
  </si>
  <si>
    <t>长久物流</t>
  </si>
  <si>
    <t>汇金通</t>
  </si>
  <si>
    <t>三星新材</t>
  </si>
  <si>
    <t>荣泰健康</t>
  </si>
  <si>
    <t>艾艾精工</t>
  </si>
  <si>
    <t>苏利股份</t>
  </si>
  <si>
    <t>金麒麟</t>
  </si>
  <si>
    <t>地素时尚</t>
  </si>
  <si>
    <t>高能环境</t>
  </si>
  <si>
    <t>口子窖</t>
  </si>
  <si>
    <t>东尼电子</t>
  </si>
  <si>
    <t>伯特利</t>
  </si>
  <si>
    <t>引力传媒</t>
  </si>
  <si>
    <t>广信股份</t>
  </si>
  <si>
    <t>永艺股份</t>
  </si>
  <si>
    <t>再升科技</t>
  </si>
  <si>
    <t>纵横通信</t>
  </si>
  <si>
    <t>博天环境</t>
  </si>
  <si>
    <t>珀莱雅</t>
  </si>
  <si>
    <t>东方电缆</t>
  </si>
  <si>
    <t>京华激光</t>
  </si>
  <si>
    <t>天创时尚</t>
  </si>
  <si>
    <t>禾丰牧业</t>
  </si>
  <si>
    <t>诺力股份</t>
  </si>
  <si>
    <t>索通发展</t>
  </si>
  <si>
    <t>茶花股份</t>
  </si>
  <si>
    <t>韩建河山</t>
  </si>
  <si>
    <t>君禾股份</t>
  </si>
  <si>
    <t>杭电股份</t>
  </si>
  <si>
    <t>中曼石油</t>
  </si>
  <si>
    <t>科森科技</t>
  </si>
  <si>
    <t>清源股份</t>
  </si>
  <si>
    <t>拉芳家化</t>
  </si>
  <si>
    <t>徕木股份</t>
  </si>
  <si>
    <t>南威软件</t>
  </si>
  <si>
    <t>镇海股份</t>
  </si>
  <si>
    <t>艾迪精密</t>
  </si>
  <si>
    <t>海利尔</t>
  </si>
  <si>
    <t>畅联股份</t>
  </si>
  <si>
    <t>彤程新材</t>
  </si>
  <si>
    <t>朗博科技</t>
  </si>
  <si>
    <t>泰禾光电</t>
  </si>
  <si>
    <t>安图生物</t>
  </si>
  <si>
    <t>璞泰来</t>
  </si>
  <si>
    <t>苏州科达</t>
  </si>
  <si>
    <t>恒林股份</t>
  </si>
  <si>
    <t>三祥新材</t>
  </si>
  <si>
    <t>康隆达</t>
  </si>
  <si>
    <t>亿嘉和</t>
  </si>
  <si>
    <t>五洲新春</t>
  </si>
  <si>
    <t>天马科技</t>
  </si>
  <si>
    <t>灵康药业</t>
  </si>
  <si>
    <t>卫信康</t>
  </si>
  <si>
    <t>奇精机械</t>
  </si>
  <si>
    <t>火炬电子</t>
  </si>
  <si>
    <t>华体科技</t>
  </si>
  <si>
    <t>今创集团</t>
  </si>
  <si>
    <t>晶华新材</t>
  </si>
  <si>
    <t>晨丰科技</t>
  </si>
  <si>
    <t>龙马环卫</t>
  </si>
  <si>
    <t>石英股份</t>
  </si>
  <si>
    <t>皖天然气</t>
  </si>
  <si>
    <t>至纯科技</t>
  </si>
  <si>
    <t>江苏新能</t>
  </si>
  <si>
    <t>安记食品</t>
  </si>
  <si>
    <t>航天工程</t>
  </si>
  <si>
    <t>纽威股份</t>
  </si>
  <si>
    <t>德宏股份</t>
  </si>
  <si>
    <t>盛洋科技</t>
  </si>
  <si>
    <t>东方环宇</t>
  </si>
  <si>
    <t>健友股份</t>
  </si>
  <si>
    <t>家家悦</t>
  </si>
  <si>
    <t>中源家居</t>
  </si>
  <si>
    <t>香飘飘</t>
  </si>
  <si>
    <t>七一二</t>
  </si>
  <si>
    <t>密尔克卫</t>
  </si>
  <si>
    <t>塞力斯</t>
  </si>
  <si>
    <t>天域生态</t>
  </si>
  <si>
    <t>海利生物</t>
  </si>
  <si>
    <t>中广天择</t>
  </si>
  <si>
    <t>阿科力</t>
  </si>
  <si>
    <t>天安新材</t>
  </si>
  <si>
    <t>朗迪集团</t>
  </si>
  <si>
    <t>博迈科</t>
  </si>
  <si>
    <t>鸣志电器</t>
  </si>
  <si>
    <t>龙韵股份</t>
  </si>
  <si>
    <t>岱美股份</t>
  </si>
  <si>
    <t>仙鹤股份</t>
  </si>
  <si>
    <t>三棵树</t>
  </si>
  <si>
    <t>泰晶科技</t>
  </si>
  <si>
    <t>大元泵业</t>
  </si>
  <si>
    <t>秦安股份</t>
  </si>
  <si>
    <t>隆鑫通用</t>
  </si>
  <si>
    <t>中马传动</t>
  </si>
  <si>
    <t>常青股份</t>
  </si>
  <si>
    <t>沃格光电</t>
  </si>
  <si>
    <t>永安行</t>
  </si>
  <si>
    <t>来伊份</t>
  </si>
  <si>
    <t>乾景园林</t>
  </si>
  <si>
    <t>威龙股份</t>
  </si>
  <si>
    <t>新日股份</t>
  </si>
  <si>
    <t>宁波高发</t>
  </si>
  <si>
    <t>星光农机</t>
  </si>
  <si>
    <t>联泰环保</t>
  </si>
  <si>
    <t>康普顿</t>
  </si>
  <si>
    <t>华友钴业</t>
  </si>
  <si>
    <t>道森股份</t>
  </si>
  <si>
    <t>志邦股份</t>
  </si>
  <si>
    <t>瑞斯康达</t>
  </si>
  <si>
    <t>福斯特</t>
  </si>
  <si>
    <t>歌力思</t>
  </si>
  <si>
    <t>豪能股份</t>
  </si>
  <si>
    <t>诚意药业</t>
  </si>
  <si>
    <t>原尚股份</t>
  </si>
  <si>
    <t>顾家家居</t>
  </si>
  <si>
    <t>海峡环保</t>
  </si>
  <si>
    <t>曲美家居</t>
  </si>
  <si>
    <t>神力股份</t>
  </si>
  <si>
    <t>嘉澳环保</t>
  </si>
  <si>
    <t>百合花</t>
  </si>
  <si>
    <t>华扬联众</t>
  </si>
  <si>
    <t>坤彩科技</t>
  </si>
  <si>
    <t>柯利达</t>
  </si>
  <si>
    <t>洛凯股份</t>
  </si>
  <si>
    <t>欧派家居</t>
  </si>
  <si>
    <t>四通股份</t>
  </si>
  <si>
    <t>安正时尚</t>
  </si>
  <si>
    <t>正平股份</t>
  </si>
  <si>
    <t>好太太</t>
  </si>
  <si>
    <t>华荣股份</t>
  </si>
  <si>
    <t>东宏股份</t>
  </si>
  <si>
    <t>步长制药</t>
  </si>
  <si>
    <t>能科股份</t>
  </si>
  <si>
    <t>中公高科</t>
  </si>
  <si>
    <t>白云电器</t>
  </si>
  <si>
    <t>桃李面包</t>
  </si>
  <si>
    <t>飞科电器</t>
  </si>
  <si>
    <t>北部湾旅</t>
  </si>
  <si>
    <t>嘉友国际</t>
  </si>
  <si>
    <t>鼎胜新材</t>
  </si>
  <si>
    <t>太平鸟</t>
  </si>
  <si>
    <t>武进不锈</t>
  </si>
  <si>
    <t>永悦科技</t>
  </si>
  <si>
    <t>南卫股份</t>
  </si>
  <si>
    <t>数据港</t>
  </si>
  <si>
    <t>金域医学</t>
  </si>
  <si>
    <t>老百姓</t>
  </si>
  <si>
    <t>吉祥航空</t>
  </si>
  <si>
    <t>元祖股份</t>
  </si>
  <si>
    <t>城地股份</t>
  </si>
  <si>
    <t>新华网</t>
  </si>
  <si>
    <t>新澳股份</t>
  </si>
  <si>
    <t>春秋电子</t>
  </si>
  <si>
    <t>天永智能</t>
  </si>
  <si>
    <t>寿仙谷</t>
  </si>
  <si>
    <t>长城科技</t>
  </si>
  <si>
    <t>好莱客</t>
  </si>
  <si>
    <t>晨光文具</t>
  </si>
  <si>
    <t>莱绅通灵</t>
  </si>
  <si>
    <t>永创智能</t>
  </si>
  <si>
    <t>中持股份</t>
  </si>
  <si>
    <t>龙蟠科技</t>
  </si>
  <si>
    <t>牧高笛</t>
  </si>
  <si>
    <t>合诚股份</t>
  </si>
  <si>
    <t>佳力图</t>
  </si>
  <si>
    <t>苏博特</t>
  </si>
  <si>
    <t>合力科技</t>
  </si>
  <si>
    <t>金桥信息</t>
  </si>
  <si>
    <t>金徽酒</t>
  </si>
  <si>
    <t>世运电路</t>
  </si>
  <si>
    <t>金鸿顺</t>
  </si>
  <si>
    <t>铁流股份</t>
  </si>
  <si>
    <t>兴业股份</t>
  </si>
  <si>
    <t>亚翔集成</t>
  </si>
  <si>
    <t>睿能科技</t>
  </si>
  <si>
    <t>博敏电子</t>
  </si>
  <si>
    <t>丽岛新材</t>
  </si>
  <si>
    <t>三孚股份</t>
  </si>
  <si>
    <t>益丰药房</t>
  </si>
  <si>
    <t>大千生态</t>
  </si>
  <si>
    <t>哈森股份</t>
  </si>
  <si>
    <t>百利科技</t>
  </si>
  <si>
    <t>克来机电</t>
  </si>
  <si>
    <t>大理药业</t>
  </si>
  <si>
    <t>法兰泰克</t>
  </si>
  <si>
    <t>醋化股份</t>
  </si>
  <si>
    <t>银龙股份</t>
  </si>
  <si>
    <t>中农立华</t>
  </si>
  <si>
    <t>正川股份</t>
  </si>
  <si>
    <t>国泰集团</t>
  </si>
  <si>
    <t>深圳新星</t>
  </si>
  <si>
    <t>金诚信</t>
  </si>
  <si>
    <t>吉华集团</t>
  </si>
  <si>
    <t>恒润股份</t>
  </si>
  <si>
    <t>兆易创新</t>
  </si>
  <si>
    <t>康德莱</t>
  </si>
  <si>
    <t>中电电机</t>
  </si>
  <si>
    <t>艾华集团</t>
  </si>
  <si>
    <t>麦迪科技</t>
  </si>
  <si>
    <t>至正股份</t>
  </si>
  <si>
    <t>洛阳钼业</t>
  </si>
  <si>
    <t>中新科技</t>
  </si>
  <si>
    <t>继峰股份</t>
  </si>
  <si>
    <t>方盛制药</t>
  </si>
  <si>
    <t>读者传媒</t>
  </si>
  <si>
    <t>*ST海润</t>
  </si>
  <si>
    <t>*ST上普</t>
  </si>
  <si>
    <t>中铝国际</t>
  </si>
  <si>
    <t>长城军工</t>
  </si>
  <si>
    <t>汇得科技</t>
  </si>
  <si>
    <t>春光科技</t>
  </si>
  <si>
    <t>数据来源:通达信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</si>
</sst>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2" fillId="20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6" borderId="6" applyNumberFormat="0" applyFont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0" fontId="6" fillId="3" borderId="2" applyNumberFormat="0" applyAlignment="0" applyProtection="0">
      <alignment vertical="center"/>
    </xf>
    <xf numFmtId="0" fontId="15" fillId="25" borderId="7" applyNumberFormat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3540"/>
  <sheetViews>
    <sheetView tabSelected="1" workbookViewId="0">
      <selection activeCell="A1" sqref="A1"/>
    </sheetView>
  </sheetViews>
  <sheetFormatPr defaultColWidth="9" defaultRowHeight="13.5"/>
  <sheetData>
    <row r="1" spans="1:2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</row>
    <row r="2" spans="1:29">
      <c r="A2" t="str">
        <f>"000001"</f>
        <v>000001</v>
      </c>
      <c r="B2" t="s">
        <v>29</v>
      </c>
      <c r="C2">
        <v>-0.21</v>
      </c>
      <c r="D2">
        <v>9.4</v>
      </c>
      <c r="E2">
        <v>-0.02</v>
      </c>
      <c r="F2">
        <v>9.4</v>
      </c>
      <c r="G2">
        <v>9.41</v>
      </c>
      <c r="H2">
        <v>1425894</v>
      </c>
      <c r="I2">
        <v>12365</v>
      </c>
      <c r="J2">
        <v>0</v>
      </c>
      <c r="K2">
        <v>0.83</v>
      </c>
      <c r="L2">
        <v>9.39</v>
      </c>
      <c r="M2">
        <v>9.59</v>
      </c>
      <c r="N2">
        <v>9.33</v>
      </c>
      <c r="O2">
        <v>9.42</v>
      </c>
      <c r="P2">
        <v>6.12</v>
      </c>
      <c r="Q2">
        <v>1348746880</v>
      </c>
      <c r="R2">
        <v>1.46</v>
      </c>
      <c r="S2" t="s">
        <v>30</v>
      </c>
      <c r="T2" t="s">
        <v>31</v>
      </c>
      <c r="U2">
        <v>2.76</v>
      </c>
      <c r="V2">
        <v>9.46</v>
      </c>
      <c r="W2">
        <v>732630</v>
      </c>
      <c r="X2">
        <v>693264</v>
      </c>
      <c r="Y2">
        <v>1.06</v>
      </c>
      <c r="Z2">
        <v>9768</v>
      </c>
      <c r="AA2">
        <v>5483</v>
      </c>
      <c r="AB2" t="s">
        <v>32</v>
      </c>
      <c r="AC2">
        <v>171.7</v>
      </c>
    </row>
    <row r="3" spans="1:29">
      <c r="A3" t="str">
        <f>"000002"</f>
        <v>000002</v>
      </c>
      <c r="B3" t="s">
        <v>33</v>
      </c>
      <c r="C3">
        <v>2.65</v>
      </c>
      <c r="D3">
        <v>24.38</v>
      </c>
      <c r="E3">
        <v>0.63</v>
      </c>
      <c r="F3">
        <v>24.37</v>
      </c>
      <c r="G3">
        <v>24.38</v>
      </c>
      <c r="H3">
        <v>832814</v>
      </c>
      <c r="I3">
        <v>9736</v>
      </c>
      <c r="J3">
        <v>0.04</v>
      </c>
      <c r="K3">
        <v>0.86</v>
      </c>
      <c r="L3">
        <v>24.04</v>
      </c>
      <c r="M3">
        <v>25.09</v>
      </c>
      <c r="N3">
        <v>24.04</v>
      </c>
      <c r="O3">
        <v>23.75</v>
      </c>
      <c r="P3">
        <v>75.19</v>
      </c>
      <c r="Q3">
        <v>2055205760</v>
      </c>
      <c r="R3">
        <v>1.74</v>
      </c>
      <c r="S3" t="s">
        <v>34</v>
      </c>
      <c r="T3" t="s">
        <v>31</v>
      </c>
      <c r="U3">
        <v>4.42</v>
      </c>
      <c r="V3">
        <v>24.68</v>
      </c>
      <c r="W3">
        <v>425432</v>
      </c>
      <c r="X3">
        <v>407382</v>
      </c>
      <c r="Y3">
        <v>1.04</v>
      </c>
      <c r="Z3">
        <v>727</v>
      </c>
      <c r="AA3">
        <v>14812</v>
      </c>
      <c r="AB3" t="s">
        <v>32</v>
      </c>
      <c r="AC3">
        <v>97.15</v>
      </c>
    </row>
    <row r="4" spans="1:29">
      <c r="A4" t="str">
        <f>"000004"</f>
        <v>000004</v>
      </c>
      <c r="B4" t="s">
        <v>35</v>
      </c>
      <c r="C4">
        <v>1.8</v>
      </c>
      <c r="D4">
        <v>18.65</v>
      </c>
      <c r="E4">
        <v>0.33</v>
      </c>
      <c r="F4">
        <v>18.63</v>
      </c>
      <c r="G4">
        <v>18.65</v>
      </c>
      <c r="H4">
        <v>5310</v>
      </c>
      <c r="I4">
        <v>124</v>
      </c>
      <c r="J4">
        <v>0.27</v>
      </c>
      <c r="K4">
        <v>0.64</v>
      </c>
      <c r="L4">
        <v>18.36</v>
      </c>
      <c r="M4">
        <v>18.98</v>
      </c>
      <c r="N4">
        <v>18.05</v>
      </c>
      <c r="O4">
        <v>18.32</v>
      </c>
      <c r="P4">
        <v>190.02</v>
      </c>
      <c r="Q4">
        <v>9833785</v>
      </c>
      <c r="R4">
        <v>1.11</v>
      </c>
      <c r="S4" t="s">
        <v>36</v>
      </c>
      <c r="T4" t="s">
        <v>31</v>
      </c>
      <c r="U4">
        <v>5.08</v>
      </c>
      <c r="V4">
        <v>18.52</v>
      </c>
      <c r="W4">
        <v>2249</v>
      </c>
      <c r="X4">
        <v>3061</v>
      </c>
      <c r="Y4">
        <v>0.73</v>
      </c>
      <c r="Z4">
        <v>10</v>
      </c>
      <c r="AA4">
        <v>12</v>
      </c>
      <c r="AB4" t="s">
        <v>32</v>
      </c>
      <c r="AC4">
        <v>0.83</v>
      </c>
    </row>
    <row r="5" spans="1:29">
      <c r="A5" t="str">
        <f>"000005"</f>
        <v>000005</v>
      </c>
      <c r="B5" t="s">
        <v>37</v>
      </c>
      <c r="C5">
        <v>6.6</v>
      </c>
      <c r="D5">
        <v>3.23</v>
      </c>
      <c r="E5">
        <v>0.2</v>
      </c>
      <c r="F5">
        <v>3.23</v>
      </c>
      <c r="G5">
        <v>3.24</v>
      </c>
      <c r="H5">
        <v>433236</v>
      </c>
      <c r="I5">
        <v>2027</v>
      </c>
      <c r="J5">
        <v>-0.61</v>
      </c>
      <c r="K5">
        <v>4.55</v>
      </c>
      <c r="L5">
        <v>3.02</v>
      </c>
      <c r="M5">
        <v>3.33</v>
      </c>
      <c r="N5">
        <v>3.02</v>
      </c>
      <c r="O5">
        <v>3.03</v>
      </c>
      <c r="P5">
        <v>52.94</v>
      </c>
      <c r="Q5">
        <v>141401232</v>
      </c>
      <c r="R5">
        <v>3</v>
      </c>
      <c r="S5" t="s">
        <v>38</v>
      </c>
      <c r="T5" t="s">
        <v>31</v>
      </c>
      <c r="U5">
        <v>10.23</v>
      </c>
      <c r="V5">
        <v>3.26</v>
      </c>
      <c r="W5">
        <v>305492</v>
      </c>
      <c r="X5">
        <v>127744</v>
      </c>
      <c r="Y5">
        <v>2.39</v>
      </c>
      <c r="Z5">
        <v>4508</v>
      </c>
      <c r="AA5">
        <v>1983</v>
      </c>
      <c r="AB5" t="s">
        <v>32</v>
      </c>
      <c r="AC5">
        <v>9.51</v>
      </c>
    </row>
    <row r="6" spans="1:29">
      <c r="A6" t="str">
        <f>"000006"</f>
        <v>000006</v>
      </c>
      <c r="B6" t="s">
        <v>39</v>
      </c>
      <c r="C6">
        <v>3.57</v>
      </c>
      <c r="D6">
        <v>5.8</v>
      </c>
      <c r="E6">
        <v>0.2</v>
      </c>
      <c r="F6">
        <v>5.8</v>
      </c>
      <c r="G6">
        <v>5.81</v>
      </c>
      <c r="H6">
        <v>159570</v>
      </c>
      <c r="I6">
        <v>1065</v>
      </c>
      <c r="J6">
        <v>-0.33</v>
      </c>
      <c r="K6">
        <v>1.18</v>
      </c>
      <c r="L6">
        <v>5.61</v>
      </c>
      <c r="M6">
        <v>5.86</v>
      </c>
      <c r="N6">
        <v>5.59</v>
      </c>
      <c r="O6">
        <v>5.6</v>
      </c>
      <c r="P6">
        <v>6.84</v>
      </c>
      <c r="Q6">
        <v>91789432</v>
      </c>
      <c r="R6">
        <v>2.47</v>
      </c>
      <c r="S6" t="s">
        <v>40</v>
      </c>
      <c r="T6" t="s">
        <v>31</v>
      </c>
      <c r="U6">
        <v>4.82</v>
      </c>
      <c r="V6">
        <v>5.75</v>
      </c>
      <c r="W6">
        <v>63677</v>
      </c>
      <c r="X6">
        <v>95893</v>
      </c>
      <c r="Y6">
        <v>0.66</v>
      </c>
      <c r="Z6">
        <v>1308</v>
      </c>
      <c r="AA6">
        <v>492</v>
      </c>
      <c r="AB6" t="s">
        <v>32</v>
      </c>
      <c r="AC6">
        <v>13.48</v>
      </c>
    </row>
    <row r="7" spans="1:29">
      <c r="A7" t="str">
        <f>"000007"</f>
        <v>000007</v>
      </c>
      <c r="B7" t="s">
        <v>41</v>
      </c>
      <c r="C7">
        <v>-0.3</v>
      </c>
      <c r="D7">
        <v>13.38</v>
      </c>
      <c r="E7">
        <v>-0.04</v>
      </c>
      <c r="F7">
        <v>13.37</v>
      </c>
      <c r="G7">
        <v>13.38</v>
      </c>
      <c r="H7">
        <v>12767</v>
      </c>
      <c r="I7">
        <v>129</v>
      </c>
      <c r="J7">
        <v>0.07</v>
      </c>
      <c r="K7">
        <v>0.41</v>
      </c>
      <c r="L7">
        <v>13.26</v>
      </c>
      <c r="M7">
        <v>13.49</v>
      </c>
      <c r="N7">
        <v>13.26</v>
      </c>
      <c r="O7">
        <v>13.42</v>
      </c>
      <c r="P7" t="s">
        <v>32</v>
      </c>
      <c r="Q7">
        <v>17101874</v>
      </c>
      <c r="R7">
        <v>0.4</v>
      </c>
      <c r="S7" t="s">
        <v>42</v>
      </c>
      <c r="T7" t="s">
        <v>31</v>
      </c>
      <c r="U7">
        <v>1.71</v>
      </c>
      <c r="V7">
        <v>13.4</v>
      </c>
      <c r="W7">
        <v>4848</v>
      </c>
      <c r="X7">
        <v>7918</v>
      </c>
      <c r="Y7">
        <v>0.61</v>
      </c>
      <c r="Z7">
        <v>30</v>
      </c>
      <c r="AA7">
        <v>54</v>
      </c>
      <c r="AB7" t="s">
        <v>32</v>
      </c>
      <c r="AC7">
        <v>3.09</v>
      </c>
    </row>
    <row r="8" spans="1:29">
      <c r="A8" t="str">
        <f>"000008"</f>
        <v>000008</v>
      </c>
      <c r="B8" t="s">
        <v>43</v>
      </c>
      <c r="C8" t="s">
        <v>32</v>
      </c>
      <c r="D8">
        <v>4.96</v>
      </c>
      <c r="E8" t="s">
        <v>32</v>
      </c>
      <c r="F8" t="s">
        <v>32</v>
      </c>
      <c r="G8" t="s">
        <v>32</v>
      </c>
      <c r="H8">
        <v>0</v>
      </c>
      <c r="I8">
        <v>0</v>
      </c>
      <c r="J8" t="s">
        <v>32</v>
      </c>
      <c r="K8">
        <v>0</v>
      </c>
      <c r="L8" t="s">
        <v>32</v>
      </c>
      <c r="M8" t="s">
        <v>32</v>
      </c>
      <c r="N8" t="s">
        <v>32</v>
      </c>
      <c r="O8">
        <v>4.96</v>
      </c>
      <c r="P8">
        <v>332.07</v>
      </c>
      <c r="Q8">
        <v>0</v>
      </c>
      <c r="R8">
        <v>0</v>
      </c>
      <c r="S8" t="s">
        <v>44</v>
      </c>
      <c r="T8" t="s">
        <v>45</v>
      </c>
      <c r="U8">
        <v>0</v>
      </c>
      <c r="V8">
        <v>4.96</v>
      </c>
      <c r="W8">
        <v>0</v>
      </c>
      <c r="X8">
        <v>0</v>
      </c>
      <c r="Y8" t="s">
        <v>32</v>
      </c>
      <c r="Z8">
        <v>0</v>
      </c>
      <c r="AA8">
        <v>0</v>
      </c>
      <c r="AB8" t="s">
        <v>32</v>
      </c>
      <c r="AC8">
        <v>25.58</v>
      </c>
    </row>
    <row r="9" spans="1:29">
      <c r="A9" t="str">
        <f>"000009"</f>
        <v>000009</v>
      </c>
      <c r="B9" t="s">
        <v>46</v>
      </c>
      <c r="C9">
        <v>1.57</v>
      </c>
      <c r="D9">
        <v>5.16</v>
      </c>
      <c r="E9">
        <v>0.08</v>
      </c>
      <c r="F9">
        <v>5.16</v>
      </c>
      <c r="G9">
        <v>5.17</v>
      </c>
      <c r="H9">
        <v>153968</v>
      </c>
      <c r="I9">
        <v>1247</v>
      </c>
      <c r="J9">
        <v>0.19</v>
      </c>
      <c r="K9">
        <v>0.73</v>
      </c>
      <c r="L9">
        <v>5.06</v>
      </c>
      <c r="M9">
        <v>5.18</v>
      </c>
      <c r="N9">
        <v>5.06</v>
      </c>
      <c r="O9">
        <v>5.08</v>
      </c>
      <c r="P9">
        <v>78.69</v>
      </c>
      <c r="Q9">
        <v>79138168</v>
      </c>
      <c r="R9">
        <v>0.94</v>
      </c>
      <c r="S9" t="s">
        <v>47</v>
      </c>
      <c r="T9" t="s">
        <v>31</v>
      </c>
      <c r="U9">
        <v>2.36</v>
      </c>
      <c r="V9">
        <v>5.14</v>
      </c>
      <c r="W9">
        <v>64504</v>
      </c>
      <c r="X9">
        <v>89464</v>
      </c>
      <c r="Y9">
        <v>0.72</v>
      </c>
      <c r="Z9">
        <v>638</v>
      </c>
      <c r="AA9">
        <v>2898</v>
      </c>
      <c r="AB9" t="s">
        <v>32</v>
      </c>
      <c r="AC9">
        <v>21.2</v>
      </c>
    </row>
    <row r="10" spans="1:29">
      <c r="A10" t="str">
        <f>"000010"</f>
        <v>000010</v>
      </c>
      <c r="B10" t="s">
        <v>48</v>
      </c>
      <c r="C10">
        <v>0.22</v>
      </c>
      <c r="D10">
        <v>4.53</v>
      </c>
      <c r="E10">
        <v>0.01</v>
      </c>
      <c r="F10">
        <v>4.52</v>
      </c>
      <c r="G10">
        <v>4.53</v>
      </c>
      <c r="H10">
        <v>61179</v>
      </c>
      <c r="I10">
        <v>652</v>
      </c>
      <c r="J10">
        <v>0</v>
      </c>
      <c r="K10">
        <v>1.17</v>
      </c>
      <c r="L10">
        <v>4.5</v>
      </c>
      <c r="M10">
        <v>4.65</v>
      </c>
      <c r="N10">
        <v>4.46</v>
      </c>
      <c r="O10">
        <v>4.52</v>
      </c>
      <c r="P10" t="s">
        <v>32</v>
      </c>
      <c r="Q10">
        <v>27917716</v>
      </c>
      <c r="R10">
        <v>0.9</v>
      </c>
      <c r="S10" t="s">
        <v>49</v>
      </c>
      <c r="T10" t="s">
        <v>31</v>
      </c>
      <c r="U10">
        <v>4.2</v>
      </c>
      <c r="V10">
        <v>4.56</v>
      </c>
      <c r="W10">
        <v>32493</v>
      </c>
      <c r="X10">
        <v>28686</v>
      </c>
      <c r="Y10">
        <v>1.13</v>
      </c>
      <c r="Z10">
        <v>1556</v>
      </c>
      <c r="AA10">
        <v>191</v>
      </c>
      <c r="AB10" t="s">
        <v>32</v>
      </c>
      <c r="AC10">
        <v>5.22</v>
      </c>
    </row>
    <row r="11" spans="1:29">
      <c r="A11" t="str">
        <f>"000011"</f>
        <v>000011</v>
      </c>
      <c r="B11" t="s">
        <v>50</v>
      </c>
      <c r="C11">
        <v>1.56</v>
      </c>
      <c r="D11">
        <v>10.43</v>
      </c>
      <c r="E11">
        <v>0.16</v>
      </c>
      <c r="F11">
        <v>10.43</v>
      </c>
      <c r="G11">
        <v>10.44</v>
      </c>
      <c r="H11">
        <v>35249</v>
      </c>
      <c r="I11">
        <v>344</v>
      </c>
      <c r="J11">
        <v>-0.09</v>
      </c>
      <c r="K11">
        <v>2</v>
      </c>
      <c r="L11">
        <v>10.27</v>
      </c>
      <c r="M11">
        <v>10.55</v>
      </c>
      <c r="N11">
        <v>10.23</v>
      </c>
      <c r="O11">
        <v>10.27</v>
      </c>
      <c r="P11">
        <v>29.07</v>
      </c>
      <c r="Q11">
        <v>36846276</v>
      </c>
      <c r="R11">
        <v>2.04</v>
      </c>
      <c r="S11" t="s">
        <v>40</v>
      </c>
      <c r="T11" t="s">
        <v>31</v>
      </c>
      <c r="U11">
        <v>3.12</v>
      </c>
      <c r="V11">
        <v>10.45</v>
      </c>
      <c r="W11">
        <v>18307</v>
      </c>
      <c r="X11">
        <v>16942</v>
      </c>
      <c r="Y11">
        <v>1.08</v>
      </c>
      <c r="Z11">
        <v>37</v>
      </c>
      <c r="AA11">
        <v>60</v>
      </c>
      <c r="AB11" t="s">
        <v>32</v>
      </c>
      <c r="AC11">
        <v>1.76</v>
      </c>
    </row>
    <row r="12" spans="1:29">
      <c r="A12" t="str">
        <f>"000012"</f>
        <v>000012</v>
      </c>
      <c r="B12" t="s">
        <v>51</v>
      </c>
      <c r="C12">
        <v>3.43</v>
      </c>
      <c r="D12">
        <v>5.13</v>
      </c>
      <c r="E12">
        <v>0.17</v>
      </c>
      <c r="F12">
        <v>5.12</v>
      </c>
      <c r="G12">
        <v>5.13</v>
      </c>
      <c r="H12">
        <v>167865</v>
      </c>
      <c r="I12">
        <v>971</v>
      </c>
      <c r="J12">
        <v>0</v>
      </c>
      <c r="K12">
        <v>0.97</v>
      </c>
      <c r="L12">
        <v>5.07</v>
      </c>
      <c r="M12">
        <v>5.19</v>
      </c>
      <c r="N12">
        <v>5</v>
      </c>
      <c r="O12">
        <v>4.96</v>
      </c>
      <c r="P12">
        <v>22.99</v>
      </c>
      <c r="Q12">
        <v>85788936</v>
      </c>
      <c r="R12">
        <v>2.53</v>
      </c>
      <c r="S12" t="s">
        <v>52</v>
      </c>
      <c r="T12" t="s">
        <v>31</v>
      </c>
      <c r="U12">
        <v>3.83</v>
      </c>
      <c r="V12">
        <v>5.11</v>
      </c>
      <c r="W12">
        <v>79536</v>
      </c>
      <c r="X12">
        <v>88329</v>
      </c>
      <c r="Y12">
        <v>0.9</v>
      </c>
      <c r="Z12">
        <v>2918</v>
      </c>
      <c r="AA12">
        <v>1207</v>
      </c>
      <c r="AB12" t="s">
        <v>32</v>
      </c>
      <c r="AC12">
        <v>17.36</v>
      </c>
    </row>
    <row r="13" spans="1:29">
      <c r="A13" t="str">
        <f>"000014"</f>
        <v>000014</v>
      </c>
      <c r="B13" t="s">
        <v>53</v>
      </c>
      <c r="C13">
        <v>2.51</v>
      </c>
      <c r="D13">
        <v>13.05</v>
      </c>
      <c r="E13">
        <v>0.32</v>
      </c>
      <c r="F13">
        <v>13.04</v>
      </c>
      <c r="G13">
        <v>13.05</v>
      </c>
      <c r="H13">
        <v>133598</v>
      </c>
      <c r="I13">
        <v>2568</v>
      </c>
      <c r="J13">
        <v>0</v>
      </c>
      <c r="K13">
        <v>6.62</v>
      </c>
      <c r="L13">
        <v>12.76</v>
      </c>
      <c r="M13">
        <v>13.13</v>
      </c>
      <c r="N13">
        <v>12.65</v>
      </c>
      <c r="O13">
        <v>12.73</v>
      </c>
      <c r="P13">
        <v>209.45</v>
      </c>
      <c r="Q13">
        <v>173463760</v>
      </c>
      <c r="R13">
        <v>1.91</v>
      </c>
      <c r="S13" t="s">
        <v>34</v>
      </c>
      <c r="T13" t="s">
        <v>31</v>
      </c>
      <c r="U13">
        <v>3.77</v>
      </c>
      <c r="V13">
        <v>12.98</v>
      </c>
      <c r="W13">
        <v>63431</v>
      </c>
      <c r="X13">
        <v>70167</v>
      </c>
      <c r="Y13">
        <v>0.9</v>
      </c>
      <c r="Z13">
        <v>342</v>
      </c>
      <c r="AA13">
        <v>108</v>
      </c>
      <c r="AB13" t="s">
        <v>32</v>
      </c>
      <c r="AC13">
        <v>2.02</v>
      </c>
    </row>
    <row r="14" spans="1:29">
      <c r="A14" t="str">
        <f>"000016"</f>
        <v>000016</v>
      </c>
      <c r="B14" t="s">
        <v>54</v>
      </c>
      <c r="C14">
        <v>2.06</v>
      </c>
      <c r="D14">
        <v>4.95</v>
      </c>
      <c r="E14">
        <v>0.1</v>
      </c>
      <c r="F14">
        <v>4.94</v>
      </c>
      <c r="G14">
        <v>4.95</v>
      </c>
      <c r="H14">
        <v>99090</v>
      </c>
      <c r="I14">
        <v>2027</v>
      </c>
      <c r="J14">
        <v>0</v>
      </c>
      <c r="K14">
        <v>0.62</v>
      </c>
      <c r="L14">
        <v>4.82</v>
      </c>
      <c r="M14">
        <v>4.96</v>
      </c>
      <c r="N14">
        <v>4.8</v>
      </c>
      <c r="O14">
        <v>4.85</v>
      </c>
      <c r="P14">
        <v>53.44</v>
      </c>
      <c r="Q14">
        <v>48631000</v>
      </c>
      <c r="R14">
        <v>1.18</v>
      </c>
      <c r="S14" t="s">
        <v>55</v>
      </c>
      <c r="T14" t="s">
        <v>31</v>
      </c>
      <c r="U14">
        <v>3.3</v>
      </c>
      <c r="V14">
        <v>4.91</v>
      </c>
      <c r="W14">
        <v>43744</v>
      </c>
      <c r="X14">
        <v>55346</v>
      </c>
      <c r="Y14">
        <v>0.79</v>
      </c>
      <c r="Z14">
        <v>950</v>
      </c>
      <c r="AA14">
        <v>449</v>
      </c>
      <c r="AB14" t="s">
        <v>32</v>
      </c>
      <c r="AC14">
        <v>15.97</v>
      </c>
    </row>
    <row r="15" spans="1:29">
      <c r="A15" t="str">
        <f>"000017"</f>
        <v>000017</v>
      </c>
      <c r="B15" t="s">
        <v>56</v>
      </c>
      <c r="C15">
        <v>1.96</v>
      </c>
      <c r="D15">
        <v>3.64</v>
      </c>
      <c r="E15">
        <v>0.07</v>
      </c>
      <c r="F15">
        <v>3.64</v>
      </c>
      <c r="G15">
        <v>3.65</v>
      </c>
      <c r="H15">
        <v>97182</v>
      </c>
      <c r="I15">
        <v>768</v>
      </c>
      <c r="J15">
        <v>0</v>
      </c>
      <c r="K15">
        <v>3.21</v>
      </c>
      <c r="L15">
        <v>3.55</v>
      </c>
      <c r="M15">
        <v>3.67</v>
      </c>
      <c r="N15">
        <v>3.53</v>
      </c>
      <c r="O15">
        <v>3.57</v>
      </c>
      <c r="P15">
        <v>2163.55</v>
      </c>
      <c r="Q15">
        <v>35257232</v>
      </c>
      <c r="R15">
        <v>0.7</v>
      </c>
      <c r="S15" t="s">
        <v>57</v>
      </c>
      <c r="T15" t="s">
        <v>31</v>
      </c>
      <c r="U15">
        <v>3.92</v>
      </c>
      <c r="V15">
        <v>3.63</v>
      </c>
      <c r="W15">
        <v>42122</v>
      </c>
      <c r="X15">
        <v>55059</v>
      </c>
      <c r="Y15">
        <v>0.77</v>
      </c>
      <c r="Z15">
        <v>353</v>
      </c>
      <c r="AA15">
        <v>2317</v>
      </c>
      <c r="AB15" t="s">
        <v>32</v>
      </c>
      <c r="AC15">
        <v>3.03</v>
      </c>
    </row>
    <row r="16" spans="1:29">
      <c r="A16" t="str">
        <f>"000018"</f>
        <v>000018</v>
      </c>
      <c r="B16" t="s">
        <v>58</v>
      </c>
      <c r="C16">
        <v>6.02</v>
      </c>
      <c r="D16">
        <v>3.52</v>
      </c>
      <c r="E16">
        <v>0.2</v>
      </c>
      <c r="F16">
        <v>3.52</v>
      </c>
      <c r="G16">
        <v>3.53</v>
      </c>
      <c r="H16">
        <v>532539</v>
      </c>
      <c r="I16">
        <v>6437</v>
      </c>
      <c r="J16">
        <v>0</v>
      </c>
      <c r="K16">
        <v>7.07</v>
      </c>
      <c r="L16">
        <v>3.3</v>
      </c>
      <c r="M16">
        <v>3.62</v>
      </c>
      <c r="N16">
        <v>3.29</v>
      </c>
      <c r="O16">
        <v>3.32</v>
      </c>
      <c r="P16">
        <v>6.84</v>
      </c>
      <c r="Q16">
        <v>184352544</v>
      </c>
      <c r="R16">
        <v>2.43</v>
      </c>
      <c r="S16" t="s">
        <v>59</v>
      </c>
      <c r="T16" t="s">
        <v>31</v>
      </c>
      <c r="U16">
        <v>9.94</v>
      </c>
      <c r="V16">
        <v>3.46</v>
      </c>
      <c r="W16">
        <v>240718</v>
      </c>
      <c r="X16">
        <v>291820</v>
      </c>
      <c r="Y16">
        <v>0.82</v>
      </c>
      <c r="Z16">
        <v>1223</v>
      </c>
      <c r="AA16">
        <v>1862</v>
      </c>
      <c r="AB16" t="s">
        <v>32</v>
      </c>
      <c r="AC16">
        <v>7.53</v>
      </c>
    </row>
    <row r="17" spans="1:29">
      <c r="A17" t="str">
        <f>"000019"</f>
        <v>000019</v>
      </c>
      <c r="B17" t="s">
        <v>60</v>
      </c>
      <c r="C17">
        <v>1.42</v>
      </c>
      <c r="D17">
        <v>10.02</v>
      </c>
      <c r="E17">
        <v>0.14</v>
      </c>
      <c r="F17">
        <v>10.01</v>
      </c>
      <c r="G17">
        <v>10.02</v>
      </c>
      <c r="H17">
        <v>191330</v>
      </c>
      <c r="I17">
        <v>2602</v>
      </c>
      <c r="J17">
        <v>0</v>
      </c>
      <c r="K17">
        <v>4.6</v>
      </c>
      <c r="L17">
        <v>9.87</v>
      </c>
      <c r="M17">
        <v>10.25</v>
      </c>
      <c r="N17">
        <v>9.82</v>
      </c>
      <c r="O17">
        <v>9.88</v>
      </c>
      <c r="P17" t="s">
        <v>32</v>
      </c>
      <c r="Q17">
        <v>192170416</v>
      </c>
      <c r="R17">
        <v>1.33</v>
      </c>
      <c r="S17" t="s">
        <v>61</v>
      </c>
      <c r="T17" t="s">
        <v>31</v>
      </c>
      <c r="U17">
        <v>4.35</v>
      </c>
      <c r="V17">
        <v>10.04</v>
      </c>
      <c r="W17">
        <v>89147</v>
      </c>
      <c r="X17">
        <v>102182</v>
      </c>
      <c r="Y17">
        <v>0.87</v>
      </c>
      <c r="Z17">
        <v>1778</v>
      </c>
      <c r="AA17">
        <v>118</v>
      </c>
      <c r="AB17" t="s">
        <v>32</v>
      </c>
      <c r="AC17">
        <v>4.16</v>
      </c>
    </row>
    <row r="18" spans="1:29">
      <c r="A18" t="str">
        <f>"000020"</f>
        <v>000020</v>
      </c>
      <c r="B18" t="s">
        <v>62</v>
      </c>
      <c r="C18">
        <v>1.88</v>
      </c>
      <c r="D18">
        <v>13</v>
      </c>
      <c r="E18">
        <v>0.24</v>
      </c>
      <c r="F18">
        <v>12.98</v>
      </c>
      <c r="G18">
        <v>13</v>
      </c>
      <c r="H18">
        <v>18604</v>
      </c>
      <c r="I18">
        <v>639</v>
      </c>
      <c r="J18">
        <v>0</v>
      </c>
      <c r="K18">
        <v>1.03</v>
      </c>
      <c r="L18">
        <v>12.6</v>
      </c>
      <c r="M18">
        <v>13.17</v>
      </c>
      <c r="N18">
        <v>12.6</v>
      </c>
      <c r="O18">
        <v>12.76</v>
      </c>
      <c r="P18">
        <v>2995.68</v>
      </c>
      <c r="Q18">
        <v>24080808</v>
      </c>
      <c r="R18">
        <v>1.89</v>
      </c>
      <c r="S18" t="s">
        <v>63</v>
      </c>
      <c r="T18" t="s">
        <v>31</v>
      </c>
      <c r="U18">
        <v>4.47</v>
      </c>
      <c r="V18">
        <v>12.94</v>
      </c>
      <c r="W18">
        <v>8775</v>
      </c>
      <c r="X18">
        <v>9829</v>
      </c>
      <c r="Y18">
        <v>0.89</v>
      </c>
      <c r="Z18">
        <v>36</v>
      </c>
      <c r="AA18">
        <v>167</v>
      </c>
      <c r="AB18" t="s">
        <v>32</v>
      </c>
      <c r="AC18">
        <v>1.81</v>
      </c>
    </row>
    <row r="19" spans="1:29">
      <c r="A19" t="str">
        <f>"000021"</f>
        <v>000021</v>
      </c>
      <c r="B19" t="s">
        <v>64</v>
      </c>
      <c r="C19">
        <v>0.85</v>
      </c>
      <c r="D19">
        <v>7.08</v>
      </c>
      <c r="E19">
        <v>0.06</v>
      </c>
      <c r="F19">
        <v>7.08</v>
      </c>
      <c r="G19">
        <v>7.09</v>
      </c>
      <c r="H19">
        <v>125908</v>
      </c>
      <c r="I19">
        <v>1307</v>
      </c>
      <c r="J19">
        <v>0</v>
      </c>
      <c r="K19">
        <v>0.86</v>
      </c>
      <c r="L19">
        <v>7.13</v>
      </c>
      <c r="M19">
        <v>7.13</v>
      </c>
      <c r="N19">
        <v>7</v>
      </c>
      <c r="O19">
        <v>7.02</v>
      </c>
      <c r="P19">
        <v>30.48</v>
      </c>
      <c r="Q19">
        <v>89101600</v>
      </c>
      <c r="R19">
        <v>1.4</v>
      </c>
      <c r="S19" t="s">
        <v>65</v>
      </c>
      <c r="T19" t="s">
        <v>31</v>
      </c>
      <c r="U19">
        <v>1.85</v>
      </c>
      <c r="V19">
        <v>7.08</v>
      </c>
      <c r="W19">
        <v>66113</v>
      </c>
      <c r="X19">
        <v>59795</v>
      </c>
      <c r="Y19">
        <v>1.11</v>
      </c>
      <c r="Z19">
        <v>1167</v>
      </c>
      <c r="AA19">
        <v>1863</v>
      </c>
      <c r="AB19" t="s">
        <v>32</v>
      </c>
      <c r="AC19">
        <v>14.69</v>
      </c>
    </row>
    <row r="20" spans="1:29">
      <c r="A20" t="str">
        <f>"000022"</f>
        <v>000022</v>
      </c>
      <c r="B20" t="s">
        <v>66</v>
      </c>
      <c r="C20">
        <v>5.51</v>
      </c>
      <c r="D20">
        <v>18.57</v>
      </c>
      <c r="E20">
        <v>0.97</v>
      </c>
      <c r="F20">
        <v>18.56</v>
      </c>
      <c r="G20">
        <v>18.57</v>
      </c>
      <c r="H20">
        <v>60960</v>
      </c>
      <c r="I20">
        <v>852</v>
      </c>
      <c r="J20">
        <v>-0.26</v>
      </c>
      <c r="K20">
        <v>1.31</v>
      </c>
      <c r="L20">
        <v>17.5</v>
      </c>
      <c r="M20">
        <v>19.19</v>
      </c>
      <c r="N20">
        <v>17.43</v>
      </c>
      <c r="O20">
        <v>17.6</v>
      </c>
      <c r="P20">
        <v>20.41</v>
      </c>
      <c r="Q20">
        <v>111617968</v>
      </c>
      <c r="R20">
        <v>1.74</v>
      </c>
      <c r="S20" t="s">
        <v>67</v>
      </c>
      <c r="T20" t="s">
        <v>31</v>
      </c>
      <c r="U20">
        <v>10</v>
      </c>
      <c r="V20">
        <v>18.31</v>
      </c>
      <c r="W20">
        <v>25593</v>
      </c>
      <c r="X20">
        <v>35367</v>
      </c>
      <c r="Y20">
        <v>0.72</v>
      </c>
      <c r="Z20">
        <v>99</v>
      </c>
      <c r="AA20">
        <v>749</v>
      </c>
      <c r="AB20" t="s">
        <v>32</v>
      </c>
      <c r="AC20">
        <v>4.65</v>
      </c>
    </row>
    <row r="21" spans="1:29">
      <c r="A21" t="str">
        <f>"000023"</f>
        <v>000023</v>
      </c>
      <c r="B21" t="s">
        <v>68</v>
      </c>
      <c r="C21">
        <v>1.85</v>
      </c>
      <c r="D21">
        <v>13.23</v>
      </c>
      <c r="E21">
        <v>0.24</v>
      </c>
      <c r="F21">
        <v>13.22</v>
      </c>
      <c r="G21">
        <v>13.23</v>
      </c>
      <c r="H21">
        <v>26925</v>
      </c>
      <c r="I21">
        <v>407</v>
      </c>
      <c r="J21">
        <v>-0.14</v>
      </c>
      <c r="K21">
        <v>1.94</v>
      </c>
      <c r="L21">
        <v>12.9</v>
      </c>
      <c r="M21">
        <v>13.39</v>
      </c>
      <c r="N21">
        <v>12.9</v>
      </c>
      <c r="O21">
        <v>12.99</v>
      </c>
      <c r="P21" t="s">
        <v>32</v>
      </c>
      <c r="Q21">
        <v>35476224</v>
      </c>
      <c r="R21">
        <v>0.95</v>
      </c>
      <c r="S21" t="s">
        <v>69</v>
      </c>
      <c r="T21" t="s">
        <v>31</v>
      </c>
      <c r="U21">
        <v>3.77</v>
      </c>
      <c r="V21">
        <v>13.18</v>
      </c>
      <c r="W21">
        <v>10711</v>
      </c>
      <c r="X21">
        <v>16213</v>
      </c>
      <c r="Y21">
        <v>0.66</v>
      </c>
      <c r="Z21">
        <v>578</v>
      </c>
      <c r="AA21">
        <v>29</v>
      </c>
      <c r="AB21" t="s">
        <v>32</v>
      </c>
      <c r="AC21">
        <v>1.39</v>
      </c>
    </row>
    <row r="22" spans="1:29">
      <c r="A22" t="str">
        <f>"000025"</f>
        <v>000025</v>
      </c>
      <c r="B22" t="s">
        <v>70</v>
      </c>
      <c r="C22">
        <v>1.06</v>
      </c>
      <c r="D22">
        <v>32.42</v>
      </c>
      <c r="E22">
        <v>0.34</v>
      </c>
      <c r="F22">
        <v>32.42</v>
      </c>
      <c r="G22">
        <v>32.43</v>
      </c>
      <c r="H22">
        <v>27378</v>
      </c>
      <c r="I22">
        <v>572</v>
      </c>
      <c r="J22">
        <v>-0.17</v>
      </c>
      <c r="K22">
        <v>1.01</v>
      </c>
      <c r="L22">
        <v>32.07</v>
      </c>
      <c r="M22">
        <v>32.9</v>
      </c>
      <c r="N22">
        <v>31.81</v>
      </c>
      <c r="O22">
        <v>32.08</v>
      </c>
      <c r="P22">
        <v>149.64</v>
      </c>
      <c r="Q22">
        <v>88589624</v>
      </c>
      <c r="R22">
        <v>2.11</v>
      </c>
      <c r="S22" t="s">
        <v>71</v>
      </c>
      <c r="T22" t="s">
        <v>31</v>
      </c>
      <c r="U22">
        <v>3.4</v>
      </c>
      <c r="V22">
        <v>32.36</v>
      </c>
      <c r="W22">
        <v>12354</v>
      </c>
      <c r="X22">
        <v>15023</v>
      </c>
      <c r="Y22">
        <v>0.82</v>
      </c>
      <c r="Z22">
        <v>251</v>
      </c>
      <c r="AA22">
        <v>269</v>
      </c>
      <c r="AB22" t="s">
        <v>32</v>
      </c>
      <c r="AC22">
        <v>2.71</v>
      </c>
    </row>
    <row r="23" spans="1:29">
      <c r="A23" t="str">
        <f>"000026"</f>
        <v>000026</v>
      </c>
      <c r="B23" t="s">
        <v>72</v>
      </c>
      <c r="C23">
        <v>1.18</v>
      </c>
      <c r="D23">
        <v>8.57</v>
      </c>
      <c r="E23">
        <v>0.1</v>
      </c>
      <c r="F23">
        <v>8.56</v>
      </c>
      <c r="G23">
        <v>8.57</v>
      </c>
      <c r="H23">
        <v>29704</v>
      </c>
      <c r="I23">
        <v>66</v>
      </c>
      <c r="J23">
        <v>0.12</v>
      </c>
      <c r="K23">
        <v>0.83</v>
      </c>
      <c r="L23">
        <v>8.47</v>
      </c>
      <c r="M23">
        <v>8.6</v>
      </c>
      <c r="N23">
        <v>8.42</v>
      </c>
      <c r="O23">
        <v>8.47</v>
      </c>
      <c r="P23">
        <v>15.79</v>
      </c>
      <c r="Q23">
        <v>25359828</v>
      </c>
      <c r="R23">
        <v>2.43</v>
      </c>
      <c r="S23" t="s">
        <v>73</v>
      </c>
      <c r="T23" t="s">
        <v>31</v>
      </c>
      <c r="U23">
        <v>2.13</v>
      </c>
      <c r="V23">
        <v>8.54</v>
      </c>
      <c r="W23">
        <v>13924</v>
      </c>
      <c r="X23">
        <v>15780</v>
      </c>
      <c r="Y23">
        <v>0.88</v>
      </c>
      <c r="Z23">
        <v>43</v>
      </c>
      <c r="AA23">
        <v>268</v>
      </c>
      <c r="AB23" t="s">
        <v>32</v>
      </c>
      <c r="AC23">
        <v>3.57</v>
      </c>
    </row>
    <row r="24" spans="1:29">
      <c r="A24" t="str">
        <f>"000027"</f>
        <v>000027</v>
      </c>
      <c r="B24" t="s">
        <v>74</v>
      </c>
      <c r="C24">
        <v>3.01</v>
      </c>
      <c r="D24">
        <v>5.13</v>
      </c>
      <c r="E24">
        <v>0.15</v>
      </c>
      <c r="F24">
        <v>5.12</v>
      </c>
      <c r="G24">
        <v>5.13</v>
      </c>
      <c r="H24">
        <v>111411</v>
      </c>
      <c r="I24">
        <v>1641</v>
      </c>
      <c r="J24">
        <v>-0.18</v>
      </c>
      <c r="K24">
        <v>0.28</v>
      </c>
      <c r="L24">
        <v>4.99</v>
      </c>
      <c r="M24">
        <v>5.2</v>
      </c>
      <c r="N24">
        <v>4.99</v>
      </c>
      <c r="O24">
        <v>4.98</v>
      </c>
      <c r="P24">
        <v>83.66</v>
      </c>
      <c r="Q24">
        <v>56653636</v>
      </c>
      <c r="R24">
        <v>1.56</v>
      </c>
      <c r="S24" t="s">
        <v>75</v>
      </c>
      <c r="T24" t="s">
        <v>31</v>
      </c>
      <c r="U24">
        <v>4.22</v>
      </c>
      <c r="V24">
        <v>5.09</v>
      </c>
      <c r="W24">
        <v>33011</v>
      </c>
      <c r="X24">
        <v>78399</v>
      </c>
      <c r="Y24">
        <v>0.42</v>
      </c>
      <c r="Z24">
        <v>467</v>
      </c>
      <c r="AA24">
        <v>8</v>
      </c>
      <c r="AB24" t="s">
        <v>32</v>
      </c>
      <c r="AC24">
        <v>39.64</v>
      </c>
    </row>
    <row r="25" spans="1:29">
      <c r="A25" t="str">
        <f>"000028"</f>
        <v>000028</v>
      </c>
      <c r="B25" t="s">
        <v>76</v>
      </c>
      <c r="C25">
        <v>2.45</v>
      </c>
      <c r="D25">
        <v>46.45</v>
      </c>
      <c r="E25">
        <v>1.11</v>
      </c>
      <c r="F25">
        <v>46.39</v>
      </c>
      <c r="G25">
        <v>46.45</v>
      </c>
      <c r="H25">
        <v>18121</v>
      </c>
      <c r="I25">
        <v>201</v>
      </c>
      <c r="J25">
        <v>0.04</v>
      </c>
      <c r="K25">
        <v>0.59</v>
      </c>
      <c r="L25">
        <v>44.84</v>
      </c>
      <c r="M25">
        <v>46.47</v>
      </c>
      <c r="N25">
        <v>44.21</v>
      </c>
      <c r="O25">
        <v>45.34</v>
      </c>
      <c r="P25">
        <v>16.98</v>
      </c>
      <c r="Q25">
        <v>82786592</v>
      </c>
      <c r="R25">
        <v>1.16</v>
      </c>
      <c r="S25" t="s">
        <v>77</v>
      </c>
      <c r="T25" t="s">
        <v>31</v>
      </c>
      <c r="U25">
        <v>4.98</v>
      </c>
      <c r="V25">
        <v>45.68</v>
      </c>
      <c r="W25">
        <v>7493</v>
      </c>
      <c r="X25">
        <v>10628</v>
      </c>
      <c r="Y25">
        <v>0.71</v>
      </c>
      <c r="Z25">
        <v>10</v>
      </c>
      <c r="AA25">
        <v>97</v>
      </c>
      <c r="AB25" t="s">
        <v>32</v>
      </c>
      <c r="AC25">
        <v>3.08</v>
      </c>
    </row>
    <row r="26" spans="1:29">
      <c r="A26" t="str">
        <f>"000029"</f>
        <v>000029</v>
      </c>
      <c r="B26" t="s">
        <v>78</v>
      </c>
      <c r="C26" t="s">
        <v>32</v>
      </c>
      <c r="D26">
        <v>11.17</v>
      </c>
      <c r="E26" t="s">
        <v>32</v>
      </c>
      <c r="F26" t="s">
        <v>32</v>
      </c>
      <c r="G26" t="s">
        <v>32</v>
      </c>
      <c r="H26">
        <v>0</v>
      </c>
      <c r="I26">
        <v>0</v>
      </c>
      <c r="J26" t="s">
        <v>32</v>
      </c>
      <c r="K26">
        <v>0</v>
      </c>
      <c r="L26" t="s">
        <v>32</v>
      </c>
      <c r="M26" t="s">
        <v>32</v>
      </c>
      <c r="N26" t="s">
        <v>32</v>
      </c>
      <c r="O26">
        <v>11.17</v>
      </c>
      <c r="P26" t="s">
        <v>32</v>
      </c>
      <c r="Q26">
        <v>0</v>
      </c>
      <c r="R26">
        <v>0</v>
      </c>
      <c r="S26" t="s">
        <v>40</v>
      </c>
      <c r="T26" t="s">
        <v>31</v>
      </c>
      <c r="U26">
        <v>0</v>
      </c>
      <c r="V26">
        <v>11.17</v>
      </c>
      <c r="W26">
        <v>0</v>
      </c>
      <c r="X26">
        <v>0</v>
      </c>
      <c r="Y26" t="s">
        <v>32</v>
      </c>
      <c r="Z26">
        <v>0</v>
      </c>
      <c r="AA26">
        <v>0</v>
      </c>
      <c r="AB26" t="s">
        <v>32</v>
      </c>
      <c r="AC26">
        <v>8.92</v>
      </c>
    </row>
    <row r="27" spans="1:29">
      <c r="A27" t="str">
        <f>"000030"</f>
        <v>000030</v>
      </c>
      <c r="B27" t="s">
        <v>79</v>
      </c>
      <c r="C27">
        <v>0.66</v>
      </c>
      <c r="D27">
        <v>7.66</v>
      </c>
      <c r="E27">
        <v>0.05</v>
      </c>
      <c r="F27">
        <v>7.65</v>
      </c>
      <c r="G27">
        <v>7.66</v>
      </c>
      <c r="H27">
        <v>54348</v>
      </c>
      <c r="I27">
        <v>445</v>
      </c>
      <c r="J27">
        <v>0</v>
      </c>
      <c r="K27">
        <v>0.43</v>
      </c>
      <c r="L27">
        <v>7.6</v>
      </c>
      <c r="M27">
        <v>7.68</v>
      </c>
      <c r="N27">
        <v>7.54</v>
      </c>
      <c r="O27">
        <v>7.61</v>
      </c>
      <c r="P27">
        <v>10.8</v>
      </c>
      <c r="Q27">
        <v>41507932</v>
      </c>
      <c r="R27">
        <v>1.36</v>
      </c>
      <c r="S27" t="s">
        <v>80</v>
      </c>
      <c r="T27" t="s">
        <v>81</v>
      </c>
      <c r="U27">
        <v>1.84</v>
      </c>
      <c r="V27">
        <v>7.64</v>
      </c>
      <c r="W27">
        <v>21303</v>
      </c>
      <c r="X27">
        <v>33045</v>
      </c>
      <c r="Y27">
        <v>0.64</v>
      </c>
      <c r="Z27">
        <v>672</v>
      </c>
      <c r="AA27">
        <v>198</v>
      </c>
      <c r="AB27" t="s">
        <v>32</v>
      </c>
      <c r="AC27">
        <v>12.52</v>
      </c>
    </row>
    <row r="28" spans="1:29">
      <c r="A28" t="str">
        <f>"000031"</f>
        <v>000031</v>
      </c>
      <c r="B28" t="s">
        <v>82</v>
      </c>
      <c r="C28">
        <v>2.89</v>
      </c>
      <c r="D28">
        <v>6.05</v>
      </c>
      <c r="E28">
        <v>0.17</v>
      </c>
      <c r="F28">
        <v>6.04</v>
      </c>
      <c r="G28">
        <v>6.05</v>
      </c>
      <c r="H28">
        <v>132044</v>
      </c>
      <c r="I28">
        <v>722</v>
      </c>
      <c r="J28">
        <v>-0.32</v>
      </c>
      <c r="K28">
        <v>0.73</v>
      </c>
      <c r="L28">
        <v>5.93</v>
      </c>
      <c r="M28">
        <v>6.28</v>
      </c>
      <c r="N28">
        <v>5.91</v>
      </c>
      <c r="O28">
        <v>5.88</v>
      </c>
      <c r="P28">
        <v>10.65</v>
      </c>
      <c r="Q28">
        <v>80567400</v>
      </c>
      <c r="R28">
        <v>2.28</v>
      </c>
      <c r="S28" t="s">
        <v>34</v>
      </c>
      <c r="T28" t="s">
        <v>31</v>
      </c>
      <c r="U28">
        <v>6.29</v>
      </c>
      <c r="V28">
        <v>6.1</v>
      </c>
      <c r="W28">
        <v>61137</v>
      </c>
      <c r="X28">
        <v>70906</v>
      </c>
      <c r="Y28">
        <v>0.86</v>
      </c>
      <c r="Z28">
        <v>1082</v>
      </c>
      <c r="AA28">
        <v>25</v>
      </c>
      <c r="AB28" t="s">
        <v>32</v>
      </c>
      <c r="AC28">
        <v>18.14</v>
      </c>
    </row>
    <row r="29" spans="1:29">
      <c r="A29" t="str">
        <f>"000032"</f>
        <v>000032</v>
      </c>
      <c r="B29" t="s">
        <v>83</v>
      </c>
      <c r="C29">
        <v>0.76</v>
      </c>
      <c r="D29">
        <v>7.98</v>
      </c>
      <c r="E29">
        <v>0.06</v>
      </c>
      <c r="F29">
        <v>7.98</v>
      </c>
      <c r="G29">
        <v>7.99</v>
      </c>
      <c r="H29">
        <v>29813</v>
      </c>
      <c r="I29">
        <v>557</v>
      </c>
      <c r="J29">
        <v>-0.12</v>
      </c>
      <c r="K29">
        <v>1.07</v>
      </c>
      <c r="L29">
        <v>7.87</v>
      </c>
      <c r="M29">
        <v>8.02</v>
      </c>
      <c r="N29">
        <v>7.8</v>
      </c>
      <c r="O29">
        <v>7.92</v>
      </c>
      <c r="P29">
        <v>33.03</v>
      </c>
      <c r="Q29">
        <v>23655006</v>
      </c>
      <c r="R29">
        <v>1.34</v>
      </c>
      <c r="S29" t="s">
        <v>63</v>
      </c>
      <c r="T29" t="s">
        <v>31</v>
      </c>
      <c r="U29">
        <v>2.78</v>
      </c>
      <c r="V29">
        <v>7.93</v>
      </c>
      <c r="W29">
        <v>12929</v>
      </c>
      <c r="X29">
        <v>16884</v>
      </c>
      <c r="Y29">
        <v>0.77</v>
      </c>
      <c r="Z29">
        <v>244</v>
      </c>
      <c r="AA29">
        <v>43</v>
      </c>
      <c r="AB29" t="s">
        <v>32</v>
      </c>
      <c r="AC29">
        <v>2.79</v>
      </c>
    </row>
    <row r="30" spans="1:29">
      <c r="A30" t="str">
        <f>"000034"</f>
        <v>000034</v>
      </c>
      <c r="B30" t="s">
        <v>84</v>
      </c>
      <c r="C30">
        <v>0.44</v>
      </c>
      <c r="D30">
        <v>16.05</v>
      </c>
      <c r="E30">
        <v>0.07</v>
      </c>
      <c r="F30">
        <v>16.05</v>
      </c>
      <c r="G30">
        <v>16.06</v>
      </c>
      <c r="H30">
        <v>56911</v>
      </c>
      <c r="I30">
        <v>892</v>
      </c>
      <c r="J30">
        <v>-0.11</v>
      </c>
      <c r="K30">
        <v>1.59</v>
      </c>
      <c r="L30">
        <v>15.91</v>
      </c>
      <c r="M30">
        <v>16.34</v>
      </c>
      <c r="N30">
        <v>15.75</v>
      </c>
      <c r="O30">
        <v>15.98</v>
      </c>
      <c r="P30">
        <v>23.56</v>
      </c>
      <c r="Q30">
        <v>91206912</v>
      </c>
      <c r="R30">
        <v>0.77</v>
      </c>
      <c r="S30" t="s">
        <v>47</v>
      </c>
      <c r="T30" t="s">
        <v>31</v>
      </c>
      <c r="U30">
        <v>3.69</v>
      </c>
      <c r="V30">
        <v>16.03</v>
      </c>
      <c r="W30">
        <v>28098</v>
      </c>
      <c r="X30">
        <v>28813</v>
      </c>
      <c r="Y30">
        <v>0.98</v>
      </c>
      <c r="Z30">
        <v>57</v>
      </c>
      <c r="AA30">
        <v>1</v>
      </c>
      <c r="AB30" t="s">
        <v>32</v>
      </c>
      <c r="AC30">
        <v>3.58</v>
      </c>
    </row>
    <row r="31" spans="1:29">
      <c r="A31" t="str">
        <f>"000035"</f>
        <v>000035</v>
      </c>
      <c r="B31" t="s">
        <v>85</v>
      </c>
      <c r="C31">
        <v>1.53</v>
      </c>
      <c r="D31">
        <v>4.65</v>
      </c>
      <c r="E31">
        <v>0.07</v>
      </c>
      <c r="F31">
        <v>4.64</v>
      </c>
      <c r="G31">
        <v>4.65</v>
      </c>
      <c r="H31">
        <v>111495</v>
      </c>
      <c r="I31">
        <v>2651</v>
      </c>
      <c r="J31">
        <v>0</v>
      </c>
      <c r="K31">
        <v>0.95</v>
      </c>
      <c r="L31">
        <v>4.58</v>
      </c>
      <c r="M31">
        <v>4.69</v>
      </c>
      <c r="N31">
        <v>4.56</v>
      </c>
      <c r="O31">
        <v>4.58</v>
      </c>
      <c r="P31">
        <v>68.02</v>
      </c>
      <c r="Q31">
        <v>51706644</v>
      </c>
      <c r="R31">
        <v>0.76</v>
      </c>
      <c r="S31" t="s">
        <v>86</v>
      </c>
      <c r="T31" t="s">
        <v>87</v>
      </c>
      <c r="U31">
        <v>2.84</v>
      </c>
      <c r="V31">
        <v>4.64</v>
      </c>
      <c r="W31">
        <v>51562</v>
      </c>
      <c r="X31">
        <v>59932</v>
      </c>
      <c r="Y31">
        <v>0.86</v>
      </c>
      <c r="Z31">
        <v>1626</v>
      </c>
      <c r="AA31">
        <v>820</v>
      </c>
      <c r="AB31" t="s">
        <v>32</v>
      </c>
      <c r="AC31">
        <v>11.68</v>
      </c>
    </row>
    <row r="32" spans="1:29">
      <c r="A32" t="str">
        <f>"000036"</f>
        <v>000036</v>
      </c>
      <c r="B32" t="s">
        <v>88</v>
      </c>
      <c r="C32">
        <v>1.47</v>
      </c>
      <c r="D32">
        <v>6.2</v>
      </c>
      <c r="E32">
        <v>0.09</v>
      </c>
      <c r="F32">
        <v>6.19</v>
      </c>
      <c r="G32">
        <v>6.2</v>
      </c>
      <c r="H32">
        <v>90119</v>
      </c>
      <c r="I32">
        <v>2711</v>
      </c>
      <c r="J32">
        <v>0.32</v>
      </c>
      <c r="K32">
        <v>0.79</v>
      </c>
      <c r="L32">
        <v>6.11</v>
      </c>
      <c r="M32">
        <v>6.29</v>
      </c>
      <c r="N32">
        <v>6.06</v>
      </c>
      <c r="O32">
        <v>6.11</v>
      </c>
      <c r="P32">
        <v>16.8</v>
      </c>
      <c r="Q32">
        <v>55904268</v>
      </c>
      <c r="R32">
        <v>0.77</v>
      </c>
      <c r="S32" t="s">
        <v>34</v>
      </c>
      <c r="T32" t="s">
        <v>31</v>
      </c>
      <c r="U32">
        <v>3.76</v>
      </c>
      <c r="V32">
        <v>6.2</v>
      </c>
      <c r="W32">
        <v>47498</v>
      </c>
      <c r="X32">
        <v>42621</v>
      </c>
      <c r="Y32">
        <v>1.11</v>
      </c>
      <c r="Z32">
        <v>113</v>
      </c>
      <c r="AA32">
        <v>1271</v>
      </c>
      <c r="AB32" t="s">
        <v>32</v>
      </c>
      <c r="AC32">
        <v>11.36</v>
      </c>
    </row>
    <row r="33" spans="1:29">
      <c r="A33" t="str">
        <f>"000037"</f>
        <v>000037</v>
      </c>
      <c r="B33" t="s">
        <v>89</v>
      </c>
      <c r="C33">
        <v>1.88</v>
      </c>
      <c r="D33">
        <v>5.95</v>
      </c>
      <c r="E33">
        <v>0.11</v>
      </c>
      <c r="F33">
        <v>5.95</v>
      </c>
      <c r="G33">
        <v>5.96</v>
      </c>
      <c r="H33">
        <v>17247</v>
      </c>
      <c r="I33">
        <v>20</v>
      </c>
      <c r="J33">
        <v>-0.16</v>
      </c>
      <c r="K33">
        <v>0.51</v>
      </c>
      <c r="L33">
        <v>5.84</v>
      </c>
      <c r="M33">
        <v>5.96</v>
      </c>
      <c r="N33">
        <v>5.82</v>
      </c>
      <c r="O33">
        <v>5.84</v>
      </c>
      <c r="P33" t="s">
        <v>32</v>
      </c>
      <c r="Q33">
        <v>10216686</v>
      </c>
      <c r="R33">
        <v>2</v>
      </c>
      <c r="S33" t="s">
        <v>75</v>
      </c>
      <c r="T33" t="s">
        <v>31</v>
      </c>
      <c r="U33">
        <v>2.4</v>
      </c>
      <c r="V33">
        <v>5.92</v>
      </c>
      <c r="W33">
        <v>5679</v>
      </c>
      <c r="X33">
        <v>11568</v>
      </c>
      <c r="Y33">
        <v>0.49</v>
      </c>
      <c r="Z33">
        <v>103</v>
      </c>
      <c r="AA33">
        <v>634</v>
      </c>
      <c r="AB33" t="s">
        <v>32</v>
      </c>
      <c r="AC33">
        <v>3.39</v>
      </c>
    </row>
    <row r="34" spans="1:29">
      <c r="A34" t="str">
        <f>"000038"</f>
        <v>000038</v>
      </c>
      <c r="B34" t="s">
        <v>90</v>
      </c>
      <c r="C34" t="s">
        <v>32</v>
      </c>
      <c r="D34">
        <v>18.1</v>
      </c>
      <c r="E34" t="s">
        <v>32</v>
      </c>
      <c r="F34" t="s">
        <v>32</v>
      </c>
      <c r="G34" t="s">
        <v>32</v>
      </c>
      <c r="H34">
        <v>0</v>
      </c>
      <c r="I34">
        <v>0</v>
      </c>
      <c r="J34" t="s">
        <v>32</v>
      </c>
      <c r="K34">
        <v>0</v>
      </c>
      <c r="L34" t="s">
        <v>32</v>
      </c>
      <c r="M34" t="s">
        <v>32</v>
      </c>
      <c r="N34" t="s">
        <v>32</v>
      </c>
      <c r="O34">
        <v>18.1</v>
      </c>
      <c r="P34">
        <v>45.51</v>
      </c>
      <c r="Q34">
        <v>0</v>
      </c>
      <c r="R34">
        <v>0</v>
      </c>
      <c r="S34" t="s">
        <v>91</v>
      </c>
      <c r="T34" t="s">
        <v>31</v>
      </c>
      <c r="U34">
        <v>0</v>
      </c>
      <c r="V34">
        <v>18.1</v>
      </c>
      <c r="W34">
        <v>0</v>
      </c>
      <c r="X34">
        <v>0</v>
      </c>
      <c r="Y34" t="s">
        <v>32</v>
      </c>
      <c r="Z34">
        <v>0</v>
      </c>
      <c r="AA34">
        <v>0</v>
      </c>
      <c r="AB34" t="s">
        <v>32</v>
      </c>
      <c r="AC34">
        <v>1.8</v>
      </c>
    </row>
    <row r="35" spans="1:29">
      <c r="A35" t="str">
        <f>"000039"</f>
        <v>000039</v>
      </c>
      <c r="B35" t="s">
        <v>92</v>
      </c>
      <c r="C35">
        <v>4.08</v>
      </c>
      <c r="D35">
        <v>13.01</v>
      </c>
      <c r="E35">
        <v>0.51</v>
      </c>
      <c r="F35">
        <v>13</v>
      </c>
      <c r="G35">
        <v>13.01</v>
      </c>
      <c r="H35">
        <v>133964</v>
      </c>
      <c r="I35">
        <v>1812</v>
      </c>
      <c r="J35">
        <v>0.08</v>
      </c>
      <c r="K35">
        <v>1.06</v>
      </c>
      <c r="L35">
        <v>12.56</v>
      </c>
      <c r="M35">
        <v>13.05</v>
      </c>
      <c r="N35">
        <v>12.4</v>
      </c>
      <c r="O35">
        <v>12.5</v>
      </c>
      <c r="P35">
        <v>21.75</v>
      </c>
      <c r="Q35">
        <v>172213904</v>
      </c>
      <c r="R35">
        <v>1.68</v>
      </c>
      <c r="S35" t="s">
        <v>93</v>
      </c>
      <c r="T35" t="s">
        <v>31</v>
      </c>
      <c r="U35">
        <v>5.2</v>
      </c>
      <c r="V35">
        <v>12.86</v>
      </c>
      <c r="W35">
        <v>57063</v>
      </c>
      <c r="X35">
        <v>76900</v>
      </c>
      <c r="Y35">
        <v>0.74</v>
      </c>
      <c r="Z35">
        <v>404</v>
      </c>
      <c r="AA35">
        <v>411</v>
      </c>
      <c r="AB35" t="s">
        <v>32</v>
      </c>
      <c r="AC35">
        <v>12.68</v>
      </c>
    </row>
    <row r="36" spans="1:29">
      <c r="A36" t="str">
        <f>"000040"</f>
        <v>000040</v>
      </c>
      <c r="B36" t="s">
        <v>94</v>
      </c>
      <c r="C36">
        <v>3.89</v>
      </c>
      <c r="D36">
        <v>10.42</v>
      </c>
      <c r="E36">
        <v>0.39</v>
      </c>
      <c r="F36">
        <v>10.42</v>
      </c>
      <c r="G36">
        <v>10.43</v>
      </c>
      <c r="H36">
        <v>193273</v>
      </c>
      <c r="I36">
        <v>3068</v>
      </c>
      <c r="J36">
        <v>0</v>
      </c>
      <c r="K36">
        <v>1.82</v>
      </c>
      <c r="L36">
        <v>10.1</v>
      </c>
      <c r="M36">
        <v>10.77</v>
      </c>
      <c r="N36">
        <v>9.87</v>
      </c>
      <c r="O36">
        <v>10.03</v>
      </c>
      <c r="P36">
        <v>3.21</v>
      </c>
      <c r="Q36">
        <v>196704048</v>
      </c>
      <c r="R36">
        <v>1.45</v>
      </c>
      <c r="S36" t="s">
        <v>95</v>
      </c>
      <c r="T36" t="s">
        <v>31</v>
      </c>
      <c r="U36">
        <v>8.97</v>
      </c>
      <c r="V36">
        <v>10.18</v>
      </c>
      <c r="W36">
        <v>93975</v>
      </c>
      <c r="X36">
        <v>99298</v>
      </c>
      <c r="Y36">
        <v>0.95</v>
      </c>
      <c r="Z36">
        <v>3872</v>
      </c>
      <c r="AA36">
        <v>408</v>
      </c>
      <c r="AB36" t="s">
        <v>32</v>
      </c>
      <c r="AC36">
        <v>10.6</v>
      </c>
    </row>
    <row r="37" spans="1:29">
      <c r="A37" t="str">
        <f>"000042"</f>
        <v>000042</v>
      </c>
      <c r="B37" t="s">
        <v>96</v>
      </c>
      <c r="C37">
        <v>-0.32</v>
      </c>
      <c r="D37">
        <v>15.8</v>
      </c>
      <c r="E37">
        <v>-0.05</v>
      </c>
      <c r="F37">
        <v>15.79</v>
      </c>
      <c r="G37">
        <v>15.8</v>
      </c>
      <c r="H37">
        <v>8280</v>
      </c>
      <c r="I37">
        <v>147</v>
      </c>
      <c r="J37">
        <v>-0.05</v>
      </c>
      <c r="K37">
        <v>0.17</v>
      </c>
      <c r="L37">
        <v>15.88</v>
      </c>
      <c r="M37">
        <v>16.17</v>
      </c>
      <c r="N37">
        <v>15.73</v>
      </c>
      <c r="O37">
        <v>15.85</v>
      </c>
      <c r="P37">
        <v>9.86</v>
      </c>
      <c r="Q37">
        <v>13191507</v>
      </c>
      <c r="R37">
        <v>1.28</v>
      </c>
      <c r="S37" t="s">
        <v>34</v>
      </c>
      <c r="T37" t="s">
        <v>31</v>
      </c>
      <c r="U37">
        <v>2.78</v>
      </c>
      <c r="V37">
        <v>15.93</v>
      </c>
      <c r="W37">
        <v>5626</v>
      </c>
      <c r="X37">
        <v>2653</v>
      </c>
      <c r="Y37">
        <v>2.12</v>
      </c>
      <c r="Z37">
        <v>8</v>
      </c>
      <c r="AA37">
        <v>28</v>
      </c>
      <c r="AB37" t="s">
        <v>32</v>
      </c>
      <c r="AC37">
        <v>4.88</v>
      </c>
    </row>
    <row r="38" spans="1:29">
      <c r="A38" t="str">
        <f>"000043"</f>
        <v>000043</v>
      </c>
      <c r="B38" t="s">
        <v>97</v>
      </c>
      <c r="C38">
        <v>1.09</v>
      </c>
      <c r="D38">
        <v>7.43</v>
      </c>
      <c r="E38">
        <v>0.08</v>
      </c>
      <c r="F38">
        <v>7.42</v>
      </c>
      <c r="G38">
        <v>7.43</v>
      </c>
      <c r="H38">
        <v>23570</v>
      </c>
      <c r="I38">
        <v>138</v>
      </c>
      <c r="J38">
        <v>0.27</v>
      </c>
      <c r="K38">
        <v>0.35</v>
      </c>
      <c r="L38">
        <v>7.31</v>
      </c>
      <c r="M38">
        <v>7.45</v>
      </c>
      <c r="N38">
        <v>7.31</v>
      </c>
      <c r="O38">
        <v>7.35</v>
      </c>
      <c r="P38">
        <v>18.33</v>
      </c>
      <c r="Q38">
        <v>17448350</v>
      </c>
      <c r="R38">
        <v>1.23</v>
      </c>
      <c r="S38" t="s">
        <v>38</v>
      </c>
      <c r="T38" t="s">
        <v>31</v>
      </c>
      <c r="U38">
        <v>1.9</v>
      </c>
      <c r="V38">
        <v>7.4</v>
      </c>
      <c r="W38">
        <v>11871</v>
      </c>
      <c r="X38">
        <v>11699</v>
      </c>
      <c r="Y38">
        <v>1.01</v>
      </c>
      <c r="Z38">
        <v>538</v>
      </c>
      <c r="AA38">
        <v>670</v>
      </c>
      <c r="AB38" t="s">
        <v>32</v>
      </c>
      <c r="AC38">
        <v>6.67</v>
      </c>
    </row>
    <row r="39" spans="1:29">
      <c r="A39" t="str">
        <f>"000045"</f>
        <v>000045</v>
      </c>
      <c r="B39" t="s">
        <v>98</v>
      </c>
      <c r="C39">
        <v>1.57</v>
      </c>
      <c r="D39">
        <v>7.1</v>
      </c>
      <c r="E39">
        <v>0.11</v>
      </c>
      <c r="F39">
        <v>7.09</v>
      </c>
      <c r="G39">
        <v>7.1</v>
      </c>
      <c r="H39">
        <v>38668</v>
      </c>
      <c r="I39">
        <v>118</v>
      </c>
      <c r="J39">
        <v>0.14</v>
      </c>
      <c r="K39">
        <v>0.85</v>
      </c>
      <c r="L39">
        <v>6.97</v>
      </c>
      <c r="M39">
        <v>7.19</v>
      </c>
      <c r="N39">
        <v>6.95</v>
      </c>
      <c r="O39">
        <v>6.99</v>
      </c>
      <c r="P39">
        <v>161.58</v>
      </c>
      <c r="Q39">
        <v>27376588</v>
      </c>
      <c r="R39">
        <v>1.6</v>
      </c>
      <c r="S39" t="s">
        <v>99</v>
      </c>
      <c r="T39" t="s">
        <v>31</v>
      </c>
      <c r="U39">
        <v>3.43</v>
      </c>
      <c r="V39">
        <v>7.08</v>
      </c>
      <c r="W39">
        <v>17998</v>
      </c>
      <c r="X39">
        <v>20670</v>
      </c>
      <c r="Y39">
        <v>0.87</v>
      </c>
      <c r="Z39">
        <v>252</v>
      </c>
      <c r="AA39">
        <v>650</v>
      </c>
      <c r="AB39" t="s">
        <v>32</v>
      </c>
      <c r="AC39">
        <v>4.57</v>
      </c>
    </row>
    <row r="40" spans="1:29">
      <c r="A40" t="str">
        <f>"000046"</f>
        <v>000046</v>
      </c>
      <c r="B40" t="s">
        <v>100</v>
      </c>
      <c r="C40">
        <v>-1.03</v>
      </c>
      <c r="D40">
        <v>6.75</v>
      </c>
      <c r="E40">
        <v>-0.07</v>
      </c>
      <c r="F40">
        <v>6.74</v>
      </c>
      <c r="G40">
        <v>6.75</v>
      </c>
      <c r="H40">
        <v>264091</v>
      </c>
      <c r="I40">
        <v>10803</v>
      </c>
      <c r="J40">
        <v>0.6</v>
      </c>
      <c r="K40">
        <v>0.52</v>
      </c>
      <c r="L40">
        <v>6.73</v>
      </c>
      <c r="M40">
        <v>6.86</v>
      </c>
      <c r="N40">
        <v>6.56</v>
      </c>
      <c r="O40">
        <v>6.82</v>
      </c>
      <c r="P40">
        <v>5.77</v>
      </c>
      <c r="Q40">
        <v>177662816</v>
      </c>
      <c r="R40">
        <v>1.23</v>
      </c>
      <c r="S40" t="s">
        <v>34</v>
      </c>
      <c r="T40" t="s">
        <v>45</v>
      </c>
      <c r="U40">
        <v>4.4</v>
      </c>
      <c r="V40">
        <v>6.73</v>
      </c>
      <c r="W40">
        <v>144709</v>
      </c>
      <c r="X40">
        <v>119381</v>
      </c>
      <c r="Y40">
        <v>1.21</v>
      </c>
      <c r="Z40">
        <v>101</v>
      </c>
      <c r="AA40">
        <v>917</v>
      </c>
      <c r="AB40" t="s">
        <v>32</v>
      </c>
      <c r="AC40">
        <v>50.95</v>
      </c>
    </row>
    <row r="41" spans="1:29">
      <c r="A41" t="str">
        <f>"000048"</f>
        <v>000048</v>
      </c>
      <c r="B41" t="s">
        <v>101</v>
      </c>
      <c r="C41">
        <v>1.45</v>
      </c>
      <c r="D41">
        <v>18.17</v>
      </c>
      <c r="E41">
        <v>0.26</v>
      </c>
      <c r="F41">
        <v>18.17</v>
      </c>
      <c r="G41">
        <v>18.19</v>
      </c>
      <c r="H41">
        <v>2577</v>
      </c>
      <c r="I41">
        <v>11</v>
      </c>
      <c r="J41">
        <v>-0.1</v>
      </c>
      <c r="K41">
        <v>0.07</v>
      </c>
      <c r="L41">
        <v>17.99</v>
      </c>
      <c r="M41">
        <v>18.45</v>
      </c>
      <c r="N41">
        <v>17.99</v>
      </c>
      <c r="O41">
        <v>17.91</v>
      </c>
      <c r="P41" t="s">
        <v>32</v>
      </c>
      <c r="Q41">
        <v>4705351</v>
      </c>
      <c r="R41">
        <v>1.19</v>
      </c>
      <c r="S41" t="s">
        <v>102</v>
      </c>
      <c r="T41" t="s">
        <v>31</v>
      </c>
      <c r="U41">
        <v>2.57</v>
      </c>
      <c r="V41">
        <v>18.26</v>
      </c>
      <c r="W41">
        <v>1054</v>
      </c>
      <c r="X41">
        <v>1522</v>
      </c>
      <c r="Y41">
        <v>0.69</v>
      </c>
      <c r="Z41">
        <v>26</v>
      </c>
      <c r="AA41">
        <v>84</v>
      </c>
      <c r="AB41" t="s">
        <v>32</v>
      </c>
      <c r="AC41">
        <v>3.85</v>
      </c>
    </row>
    <row r="42" spans="1:29">
      <c r="A42" t="str">
        <f>"000049"</f>
        <v>000049</v>
      </c>
      <c r="B42" t="s">
        <v>103</v>
      </c>
      <c r="C42">
        <v>0.72</v>
      </c>
      <c r="D42">
        <v>29.54</v>
      </c>
      <c r="E42">
        <v>0.21</v>
      </c>
      <c r="F42">
        <v>29.54</v>
      </c>
      <c r="G42">
        <v>29.55</v>
      </c>
      <c r="H42">
        <v>31896</v>
      </c>
      <c r="I42">
        <v>461</v>
      </c>
      <c r="J42">
        <v>0.2</v>
      </c>
      <c r="K42">
        <v>1.55</v>
      </c>
      <c r="L42">
        <v>29.18</v>
      </c>
      <c r="M42">
        <v>29.65</v>
      </c>
      <c r="N42">
        <v>29.04</v>
      </c>
      <c r="O42">
        <v>29.33</v>
      </c>
      <c r="P42">
        <v>19.93</v>
      </c>
      <c r="Q42">
        <v>93816400</v>
      </c>
      <c r="R42">
        <v>0.81</v>
      </c>
      <c r="S42" t="s">
        <v>104</v>
      </c>
      <c r="T42" t="s">
        <v>31</v>
      </c>
      <c r="U42">
        <v>2.08</v>
      </c>
      <c r="V42">
        <v>29.41</v>
      </c>
      <c r="W42">
        <v>16261</v>
      </c>
      <c r="X42">
        <v>15634</v>
      </c>
      <c r="Y42">
        <v>1.04</v>
      </c>
      <c r="Z42">
        <v>394</v>
      </c>
      <c r="AA42">
        <v>36</v>
      </c>
      <c r="AB42" t="s">
        <v>32</v>
      </c>
      <c r="AC42">
        <v>2.05</v>
      </c>
    </row>
    <row r="43" spans="1:29">
      <c r="A43" t="str">
        <f>"000050"</f>
        <v>000050</v>
      </c>
      <c r="B43" t="s">
        <v>105</v>
      </c>
      <c r="C43">
        <v>1.44</v>
      </c>
      <c r="D43">
        <v>14.84</v>
      </c>
      <c r="E43">
        <v>0.21</v>
      </c>
      <c r="F43">
        <v>14.83</v>
      </c>
      <c r="G43">
        <v>14.84</v>
      </c>
      <c r="H43">
        <v>279017</v>
      </c>
      <c r="I43">
        <v>4359</v>
      </c>
      <c r="J43">
        <v>0.2</v>
      </c>
      <c r="K43">
        <v>1.99</v>
      </c>
      <c r="L43">
        <v>14.63</v>
      </c>
      <c r="M43">
        <v>15.08</v>
      </c>
      <c r="N43">
        <v>14.49</v>
      </c>
      <c r="O43">
        <v>14.63</v>
      </c>
      <c r="P43">
        <v>19.6</v>
      </c>
      <c r="Q43">
        <v>413634240</v>
      </c>
      <c r="R43">
        <v>1.99</v>
      </c>
      <c r="S43" t="s">
        <v>63</v>
      </c>
      <c r="T43" t="s">
        <v>31</v>
      </c>
      <c r="U43">
        <v>4.03</v>
      </c>
      <c r="V43">
        <v>14.82</v>
      </c>
      <c r="W43">
        <v>150101</v>
      </c>
      <c r="X43">
        <v>128916</v>
      </c>
      <c r="Y43">
        <v>1.16</v>
      </c>
      <c r="Z43">
        <v>208</v>
      </c>
      <c r="AA43">
        <v>200</v>
      </c>
      <c r="AB43" t="s">
        <v>32</v>
      </c>
      <c r="AC43">
        <v>14.01</v>
      </c>
    </row>
    <row r="44" spans="1:29">
      <c r="A44" t="str">
        <f>"000055"</f>
        <v>000055</v>
      </c>
      <c r="B44" t="s">
        <v>106</v>
      </c>
      <c r="C44">
        <v>2.58</v>
      </c>
      <c r="D44">
        <v>5.16</v>
      </c>
      <c r="E44">
        <v>0.13</v>
      </c>
      <c r="F44">
        <v>5.16</v>
      </c>
      <c r="G44">
        <v>5.17</v>
      </c>
      <c r="H44">
        <v>91342</v>
      </c>
      <c r="I44">
        <v>1668</v>
      </c>
      <c r="J44">
        <v>0</v>
      </c>
      <c r="K44">
        <v>1.35</v>
      </c>
      <c r="L44">
        <v>5.04</v>
      </c>
      <c r="M44">
        <v>5.19</v>
      </c>
      <c r="N44">
        <v>5.01</v>
      </c>
      <c r="O44">
        <v>5.03</v>
      </c>
      <c r="P44">
        <v>15.52</v>
      </c>
      <c r="Q44">
        <v>46927112</v>
      </c>
      <c r="R44">
        <v>2.05</v>
      </c>
      <c r="S44" t="s">
        <v>69</v>
      </c>
      <c r="T44" t="s">
        <v>31</v>
      </c>
      <c r="U44">
        <v>3.58</v>
      </c>
      <c r="V44">
        <v>5.14</v>
      </c>
      <c r="W44">
        <v>39811</v>
      </c>
      <c r="X44">
        <v>51530</v>
      </c>
      <c r="Y44">
        <v>0.77</v>
      </c>
      <c r="Z44">
        <v>276</v>
      </c>
      <c r="AA44">
        <v>2108</v>
      </c>
      <c r="AB44" t="s">
        <v>32</v>
      </c>
      <c r="AC44">
        <v>6.78</v>
      </c>
    </row>
    <row r="45" spans="1:29">
      <c r="A45" t="str">
        <f>"000056"</f>
        <v>000056</v>
      </c>
      <c r="B45" t="s">
        <v>107</v>
      </c>
      <c r="C45">
        <v>0.19</v>
      </c>
      <c r="D45">
        <v>10.3</v>
      </c>
      <c r="E45">
        <v>0.02</v>
      </c>
      <c r="F45">
        <v>10.29</v>
      </c>
      <c r="G45">
        <v>10.3</v>
      </c>
      <c r="H45">
        <v>5652</v>
      </c>
      <c r="I45">
        <v>127</v>
      </c>
      <c r="J45">
        <v>0.1</v>
      </c>
      <c r="K45">
        <v>0.2</v>
      </c>
      <c r="L45">
        <v>10.2</v>
      </c>
      <c r="M45">
        <v>10.35</v>
      </c>
      <c r="N45">
        <v>10.2</v>
      </c>
      <c r="O45">
        <v>10.28</v>
      </c>
      <c r="P45">
        <v>56.81</v>
      </c>
      <c r="Q45">
        <v>5816010</v>
      </c>
      <c r="R45">
        <v>0.84</v>
      </c>
      <c r="S45" t="s">
        <v>38</v>
      </c>
      <c r="T45" t="s">
        <v>31</v>
      </c>
      <c r="U45">
        <v>1.46</v>
      </c>
      <c r="V45">
        <v>10.29</v>
      </c>
      <c r="W45">
        <v>1363</v>
      </c>
      <c r="X45">
        <v>4289</v>
      </c>
      <c r="Y45">
        <v>0.32</v>
      </c>
      <c r="Z45">
        <v>11</v>
      </c>
      <c r="AA45">
        <v>51</v>
      </c>
      <c r="AB45" t="s">
        <v>32</v>
      </c>
      <c r="AC45">
        <v>2.86</v>
      </c>
    </row>
    <row r="46" spans="1:29">
      <c r="A46" t="str">
        <f>"000058"</f>
        <v>000058</v>
      </c>
      <c r="B46" t="s">
        <v>108</v>
      </c>
      <c r="C46">
        <v>2.15</v>
      </c>
      <c r="D46">
        <v>5.22</v>
      </c>
      <c r="E46">
        <v>0.11</v>
      </c>
      <c r="F46">
        <v>5.22</v>
      </c>
      <c r="G46">
        <v>5.23</v>
      </c>
      <c r="H46">
        <v>59045</v>
      </c>
      <c r="I46">
        <v>582</v>
      </c>
      <c r="J46">
        <v>-0.18</v>
      </c>
      <c r="K46">
        <v>1.1</v>
      </c>
      <c r="L46">
        <v>5.05</v>
      </c>
      <c r="M46">
        <v>5.3</v>
      </c>
      <c r="N46">
        <v>5.05</v>
      </c>
      <c r="O46">
        <v>5.11</v>
      </c>
      <c r="P46">
        <v>25.75</v>
      </c>
      <c r="Q46">
        <v>30621848</v>
      </c>
      <c r="R46">
        <v>2.12</v>
      </c>
      <c r="S46" t="s">
        <v>63</v>
      </c>
      <c r="T46" t="s">
        <v>31</v>
      </c>
      <c r="U46">
        <v>4.89</v>
      </c>
      <c r="V46">
        <v>5.19</v>
      </c>
      <c r="W46">
        <v>25746</v>
      </c>
      <c r="X46">
        <v>33299</v>
      </c>
      <c r="Y46">
        <v>0.77</v>
      </c>
      <c r="Z46">
        <v>655</v>
      </c>
      <c r="AA46">
        <v>915</v>
      </c>
      <c r="AB46" t="s">
        <v>32</v>
      </c>
      <c r="AC46">
        <v>5.38</v>
      </c>
    </row>
    <row r="47" spans="1:29">
      <c r="A47" t="str">
        <f>"000059"</f>
        <v>000059</v>
      </c>
      <c r="B47" t="s">
        <v>109</v>
      </c>
      <c r="C47">
        <v>2.12</v>
      </c>
      <c r="D47">
        <v>7.23</v>
      </c>
      <c r="E47">
        <v>0.15</v>
      </c>
      <c r="F47">
        <v>7.23</v>
      </c>
      <c r="G47">
        <v>7.24</v>
      </c>
      <c r="H47">
        <v>163149</v>
      </c>
      <c r="I47">
        <v>1887</v>
      </c>
      <c r="J47">
        <v>0</v>
      </c>
      <c r="K47">
        <v>1.02</v>
      </c>
      <c r="L47">
        <v>7.07</v>
      </c>
      <c r="M47">
        <v>7.26</v>
      </c>
      <c r="N47">
        <v>7.04</v>
      </c>
      <c r="O47">
        <v>7.08</v>
      </c>
      <c r="P47">
        <v>9.31</v>
      </c>
      <c r="Q47">
        <v>117432472</v>
      </c>
      <c r="R47">
        <v>1.23</v>
      </c>
      <c r="S47" t="s">
        <v>110</v>
      </c>
      <c r="T47" t="s">
        <v>111</v>
      </c>
      <c r="U47">
        <v>3.11</v>
      </c>
      <c r="V47">
        <v>7.2</v>
      </c>
      <c r="W47">
        <v>75255</v>
      </c>
      <c r="X47">
        <v>87894</v>
      </c>
      <c r="Y47">
        <v>0.86</v>
      </c>
      <c r="Z47">
        <v>507</v>
      </c>
      <c r="AA47">
        <v>898</v>
      </c>
      <c r="AB47" t="s">
        <v>32</v>
      </c>
      <c r="AC47">
        <v>15.99</v>
      </c>
    </row>
    <row r="48" spans="1:29">
      <c r="A48" t="str">
        <f>"000060"</f>
        <v>000060</v>
      </c>
      <c r="B48" t="s">
        <v>112</v>
      </c>
      <c r="C48">
        <v>5.38</v>
      </c>
      <c r="D48">
        <v>4.9</v>
      </c>
      <c r="E48">
        <v>0.25</v>
      </c>
      <c r="F48">
        <v>4.89</v>
      </c>
      <c r="G48">
        <v>4.9</v>
      </c>
      <c r="H48">
        <v>752879</v>
      </c>
      <c r="I48">
        <v>3668</v>
      </c>
      <c r="J48">
        <v>0</v>
      </c>
      <c r="K48">
        <v>2.11</v>
      </c>
      <c r="L48">
        <v>4.66</v>
      </c>
      <c r="M48">
        <v>4.95</v>
      </c>
      <c r="N48">
        <v>4.62</v>
      </c>
      <c r="O48">
        <v>4.65</v>
      </c>
      <c r="P48">
        <v>14.08</v>
      </c>
      <c r="Q48">
        <v>363445248</v>
      </c>
      <c r="R48">
        <v>3.08</v>
      </c>
      <c r="S48" t="s">
        <v>113</v>
      </c>
      <c r="T48" t="s">
        <v>31</v>
      </c>
      <c r="U48">
        <v>7.1</v>
      </c>
      <c r="V48">
        <v>4.83</v>
      </c>
      <c r="W48">
        <v>340349</v>
      </c>
      <c r="X48">
        <v>412529</v>
      </c>
      <c r="Y48">
        <v>0.83</v>
      </c>
      <c r="Z48">
        <v>5405</v>
      </c>
      <c r="AA48">
        <v>4159</v>
      </c>
      <c r="AB48" t="s">
        <v>32</v>
      </c>
      <c r="AC48">
        <v>35.68</v>
      </c>
    </row>
    <row r="49" spans="1:29">
      <c r="A49" t="str">
        <f>"000061"</f>
        <v>000061</v>
      </c>
      <c r="B49" t="s">
        <v>114</v>
      </c>
      <c r="C49">
        <v>2.11</v>
      </c>
      <c r="D49">
        <v>5.32</v>
      </c>
      <c r="E49">
        <v>0.11</v>
      </c>
      <c r="F49">
        <v>5.32</v>
      </c>
      <c r="G49">
        <v>5.33</v>
      </c>
      <c r="H49">
        <v>42678</v>
      </c>
      <c r="I49">
        <v>268</v>
      </c>
      <c r="J49">
        <v>0</v>
      </c>
      <c r="K49">
        <v>0.25</v>
      </c>
      <c r="L49">
        <v>5.22</v>
      </c>
      <c r="M49">
        <v>5.33</v>
      </c>
      <c r="N49">
        <v>5.18</v>
      </c>
      <c r="O49">
        <v>5.21</v>
      </c>
      <c r="P49">
        <v>734.66</v>
      </c>
      <c r="Q49">
        <v>22555292</v>
      </c>
      <c r="R49">
        <v>1.33</v>
      </c>
      <c r="S49" t="s">
        <v>115</v>
      </c>
      <c r="T49" t="s">
        <v>31</v>
      </c>
      <c r="U49">
        <v>2.88</v>
      </c>
      <c r="V49">
        <v>5.28</v>
      </c>
      <c r="W49">
        <v>13441</v>
      </c>
      <c r="X49">
        <v>29237</v>
      </c>
      <c r="Y49">
        <v>0.46</v>
      </c>
      <c r="Z49">
        <v>151</v>
      </c>
      <c r="AA49">
        <v>1807</v>
      </c>
      <c r="AB49" t="s">
        <v>32</v>
      </c>
      <c r="AC49">
        <v>16.95</v>
      </c>
    </row>
    <row r="50" spans="1:29">
      <c r="A50" t="str">
        <f>"000062"</f>
        <v>000062</v>
      </c>
      <c r="B50" t="s">
        <v>116</v>
      </c>
      <c r="C50">
        <v>0.81</v>
      </c>
      <c r="D50">
        <v>21.1</v>
      </c>
      <c r="E50">
        <v>0.17</v>
      </c>
      <c r="F50">
        <v>21.1</v>
      </c>
      <c r="G50">
        <v>21.11</v>
      </c>
      <c r="H50">
        <v>37514</v>
      </c>
      <c r="I50">
        <v>673</v>
      </c>
      <c r="J50">
        <v>0.67</v>
      </c>
      <c r="K50">
        <v>0.56</v>
      </c>
      <c r="L50">
        <v>20.8</v>
      </c>
      <c r="M50">
        <v>21.22</v>
      </c>
      <c r="N50">
        <v>20.75</v>
      </c>
      <c r="O50">
        <v>20.93</v>
      </c>
      <c r="P50">
        <v>28.16</v>
      </c>
      <c r="Q50">
        <v>78861800</v>
      </c>
      <c r="R50">
        <v>0.98</v>
      </c>
      <c r="S50" t="s">
        <v>117</v>
      </c>
      <c r="T50" t="s">
        <v>31</v>
      </c>
      <c r="U50">
        <v>2.25</v>
      </c>
      <c r="V50">
        <v>21.02</v>
      </c>
      <c r="W50">
        <v>18537</v>
      </c>
      <c r="X50">
        <v>18976</v>
      </c>
      <c r="Y50">
        <v>0.98</v>
      </c>
      <c r="Z50">
        <v>304</v>
      </c>
      <c r="AA50">
        <v>11</v>
      </c>
      <c r="AB50" t="s">
        <v>32</v>
      </c>
      <c r="AC50">
        <v>6.67</v>
      </c>
    </row>
    <row r="51" spans="1:29">
      <c r="A51" t="str">
        <f>"000063"</f>
        <v>000063</v>
      </c>
      <c r="B51" t="s">
        <v>118</v>
      </c>
      <c r="C51">
        <v>0.36</v>
      </c>
      <c r="D51">
        <v>16.68</v>
      </c>
      <c r="E51">
        <v>0.06</v>
      </c>
      <c r="F51">
        <v>16.68</v>
      </c>
      <c r="G51">
        <v>16.69</v>
      </c>
      <c r="H51">
        <v>1712972</v>
      </c>
      <c r="I51">
        <v>30741</v>
      </c>
      <c r="J51">
        <v>-0.17</v>
      </c>
      <c r="K51">
        <v>4.99</v>
      </c>
      <c r="L51">
        <v>16.63</v>
      </c>
      <c r="M51">
        <v>16.78</v>
      </c>
      <c r="N51">
        <v>16.4</v>
      </c>
      <c r="O51">
        <v>16.62</v>
      </c>
      <c r="P51">
        <v>10.36</v>
      </c>
      <c r="Q51">
        <v>2839728128</v>
      </c>
      <c r="R51">
        <v>0.66</v>
      </c>
      <c r="S51" t="s">
        <v>119</v>
      </c>
      <c r="T51" t="s">
        <v>31</v>
      </c>
      <c r="U51">
        <v>2.29</v>
      </c>
      <c r="V51">
        <v>16.58</v>
      </c>
      <c r="W51">
        <v>897087</v>
      </c>
      <c r="X51">
        <v>815884</v>
      </c>
      <c r="Y51">
        <v>1.1</v>
      </c>
      <c r="Z51">
        <v>12048</v>
      </c>
      <c r="AA51">
        <v>2352</v>
      </c>
      <c r="AB51" t="s">
        <v>32</v>
      </c>
      <c r="AC51">
        <v>34.34</v>
      </c>
    </row>
    <row r="52" spans="1:29">
      <c r="A52" t="str">
        <f>"000065"</f>
        <v>000065</v>
      </c>
      <c r="B52" t="s">
        <v>120</v>
      </c>
      <c r="C52">
        <v>7.03</v>
      </c>
      <c r="D52">
        <v>8.98</v>
      </c>
      <c r="E52">
        <v>0.59</v>
      </c>
      <c r="F52">
        <v>8.93</v>
      </c>
      <c r="G52">
        <v>8.98</v>
      </c>
      <c r="H52">
        <v>156081</v>
      </c>
      <c r="I52">
        <v>9526</v>
      </c>
      <c r="J52">
        <v>2.16</v>
      </c>
      <c r="K52">
        <v>2.48</v>
      </c>
      <c r="L52">
        <v>8.45</v>
      </c>
      <c r="M52">
        <v>8.98</v>
      </c>
      <c r="N52">
        <v>8.39</v>
      </c>
      <c r="O52">
        <v>8.39</v>
      </c>
      <c r="P52">
        <v>24.64</v>
      </c>
      <c r="Q52">
        <v>136691424</v>
      </c>
      <c r="R52">
        <v>1.59</v>
      </c>
      <c r="S52" t="s">
        <v>49</v>
      </c>
      <c r="T52" t="s">
        <v>45</v>
      </c>
      <c r="U52">
        <v>7.03</v>
      </c>
      <c r="V52">
        <v>8.76</v>
      </c>
      <c r="W52">
        <v>64779</v>
      </c>
      <c r="X52">
        <v>91301</v>
      </c>
      <c r="Y52">
        <v>0.71</v>
      </c>
      <c r="Z52">
        <v>3</v>
      </c>
      <c r="AA52">
        <v>523</v>
      </c>
      <c r="AB52" t="s">
        <v>32</v>
      </c>
      <c r="AC52">
        <v>6.29</v>
      </c>
    </row>
    <row r="53" spans="1:29">
      <c r="A53" t="str">
        <f>"000066"</f>
        <v>000066</v>
      </c>
      <c r="B53" t="s">
        <v>121</v>
      </c>
      <c r="C53">
        <v>0</v>
      </c>
      <c r="D53">
        <v>7.57</v>
      </c>
      <c r="E53">
        <v>0</v>
      </c>
      <c r="F53">
        <v>7.57</v>
      </c>
      <c r="G53">
        <v>7.58</v>
      </c>
      <c r="H53">
        <v>583192</v>
      </c>
      <c r="I53">
        <v>4162</v>
      </c>
      <c r="J53">
        <v>-0.12</v>
      </c>
      <c r="K53">
        <v>2.34</v>
      </c>
      <c r="L53">
        <v>7.54</v>
      </c>
      <c r="M53">
        <v>7.78</v>
      </c>
      <c r="N53">
        <v>7.5</v>
      </c>
      <c r="O53">
        <v>7.57</v>
      </c>
      <c r="P53">
        <v>36.78</v>
      </c>
      <c r="Q53">
        <v>445968768</v>
      </c>
      <c r="R53">
        <v>0.98</v>
      </c>
      <c r="S53" t="s">
        <v>65</v>
      </c>
      <c r="T53" t="s">
        <v>31</v>
      </c>
      <c r="U53">
        <v>3.7</v>
      </c>
      <c r="V53">
        <v>7.65</v>
      </c>
      <c r="W53">
        <v>292045</v>
      </c>
      <c r="X53">
        <v>291146</v>
      </c>
      <c r="Y53">
        <v>1</v>
      </c>
      <c r="Z53">
        <v>3942</v>
      </c>
      <c r="AA53">
        <v>1232</v>
      </c>
      <c r="AB53" t="s">
        <v>32</v>
      </c>
      <c r="AC53">
        <v>24.91</v>
      </c>
    </row>
    <row r="54" spans="1:29">
      <c r="A54" t="str">
        <f>"000068"</f>
        <v>000068</v>
      </c>
      <c r="B54" t="s">
        <v>122</v>
      </c>
      <c r="C54">
        <v>3.28</v>
      </c>
      <c r="D54">
        <v>3.15</v>
      </c>
      <c r="E54">
        <v>0.1</v>
      </c>
      <c r="F54">
        <v>3.14</v>
      </c>
      <c r="G54">
        <v>3.15</v>
      </c>
      <c r="H54">
        <v>66937</v>
      </c>
      <c r="I54">
        <v>296</v>
      </c>
      <c r="J54">
        <v>0.32</v>
      </c>
      <c r="K54">
        <v>0.66</v>
      </c>
      <c r="L54">
        <v>3</v>
      </c>
      <c r="M54">
        <v>3.24</v>
      </c>
      <c r="N54">
        <v>3</v>
      </c>
      <c r="O54">
        <v>3.05</v>
      </c>
      <c r="P54" t="s">
        <v>32</v>
      </c>
      <c r="Q54">
        <v>20962666</v>
      </c>
      <c r="R54">
        <v>1.69</v>
      </c>
      <c r="S54" t="s">
        <v>63</v>
      </c>
      <c r="T54" t="s">
        <v>31</v>
      </c>
      <c r="U54">
        <v>7.87</v>
      </c>
      <c r="V54">
        <v>3.13</v>
      </c>
      <c r="W54">
        <v>28563</v>
      </c>
      <c r="X54">
        <v>38373</v>
      </c>
      <c r="Y54">
        <v>0.74</v>
      </c>
      <c r="Z54">
        <v>2285</v>
      </c>
      <c r="AA54">
        <v>1698</v>
      </c>
      <c r="AB54" t="s">
        <v>32</v>
      </c>
      <c r="AC54">
        <v>10.07</v>
      </c>
    </row>
    <row r="55" spans="1:29">
      <c r="A55" t="str">
        <f>"000069"</f>
        <v>000069</v>
      </c>
      <c r="B55" t="s">
        <v>123</v>
      </c>
      <c r="C55">
        <v>2.9</v>
      </c>
      <c r="D55">
        <v>6.75</v>
      </c>
      <c r="E55">
        <v>0.19</v>
      </c>
      <c r="F55">
        <v>6.74</v>
      </c>
      <c r="G55">
        <v>6.75</v>
      </c>
      <c r="H55">
        <v>363870</v>
      </c>
      <c r="I55">
        <v>1439</v>
      </c>
      <c r="J55">
        <v>-0.29</v>
      </c>
      <c r="K55">
        <v>0.59</v>
      </c>
      <c r="L55">
        <v>6.59</v>
      </c>
      <c r="M55">
        <v>6.83</v>
      </c>
      <c r="N55">
        <v>6.58</v>
      </c>
      <c r="O55">
        <v>6.56</v>
      </c>
      <c r="P55">
        <v>12.35</v>
      </c>
      <c r="Q55">
        <v>246078048</v>
      </c>
      <c r="R55">
        <v>2.2</v>
      </c>
      <c r="S55" t="s">
        <v>124</v>
      </c>
      <c r="T55" t="s">
        <v>31</v>
      </c>
      <c r="U55">
        <v>3.81</v>
      </c>
      <c r="V55">
        <v>6.76</v>
      </c>
      <c r="W55">
        <v>149095</v>
      </c>
      <c r="X55">
        <v>214775</v>
      </c>
      <c r="Y55">
        <v>0.69</v>
      </c>
      <c r="Z55">
        <v>1318</v>
      </c>
      <c r="AA55">
        <v>766</v>
      </c>
      <c r="AB55" t="s">
        <v>32</v>
      </c>
      <c r="AC55">
        <v>61.47</v>
      </c>
    </row>
    <row r="56" spans="1:29">
      <c r="A56" t="str">
        <f>"000070"</f>
        <v>000070</v>
      </c>
      <c r="B56" t="s">
        <v>125</v>
      </c>
      <c r="C56">
        <v>-0.74</v>
      </c>
      <c r="D56">
        <v>8.05</v>
      </c>
      <c r="E56">
        <v>-0.06</v>
      </c>
      <c r="F56">
        <v>8.05</v>
      </c>
      <c r="G56">
        <v>8.06</v>
      </c>
      <c r="H56">
        <v>66517</v>
      </c>
      <c r="I56">
        <v>661</v>
      </c>
      <c r="J56">
        <v>-0.11</v>
      </c>
      <c r="K56">
        <v>1.23</v>
      </c>
      <c r="L56">
        <v>8.04</v>
      </c>
      <c r="M56">
        <v>8.14</v>
      </c>
      <c r="N56">
        <v>7.97</v>
      </c>
      <c r="O56">
        <v>8.11</v>
      </c>
      <c r="P56">
        <v>24.86</v>
      </c>
      <c r="Q56">
        <v>53620404</v>
      </c>
      <c r="R56">
        <v>0.81</v>
      </c>
      <c r="S56" t="s">
        <v>119</v>
      </c>
      <c r="T56" t="s">
        <v>31</v>
      </c>
      <c r="U56">
        <v>2.1</v>
      </c>
      <c r="V56">
        <v>8.06</v>
      </c>
      <c r="W56">
        <v>39155</v>
      </c>
      <c r="X56">
        <v>27362</v>
      </c>
      <c r="Y56">
        <v>1.43</v>
      </c>
      <c r="Z56">
        <v>1599</v>
      </c>
      <c r="AA56">
        <v>590</v>
      </c>
      <c r="AB56" t="s">
        <v>32</v>
      </c>
      <c r="AC56">
        <v>5.42</v>
      </c>
    </row>
    <row r="57" spans="1:29">
      <c r="A57" t="str">
        <f>"000078"</f>
        <v>000078</v>
      </c>
      <c r="B57" t="s">
        <v>126</v>
      </c>
      <c r="C57">
        <v>1.16</v>
      </c>
      <c r="D57">
        <v>4.36</v>
      </c>
      <c r="E57">
        <v>0.05</v>
      </c>
      <c r="F57">
        <v>4.36</v>
      </c>
      <c r="G57">
        <v>4.37</v>
      </c>
      <c r="H57">
        <v>150372</v>
      </c>
      <c r="I57">
        <v>776</v>
      </c>
      <c r="J57">
        <v>0</v>
      </c>
      <c r="K57">
        <v>0.81</v>
      </c>
      <c r="L57">
        <v>4.28</v>
      </c>
      <c r="M57">
        <v>4.38</v>
      </c>
      <c r="N57">
        <v>4.26</v>
      </c>
      <c r="O57">
        <v>4.31</v>
      </c>
      <c r="P57">
        <v>18.9</v>
      </c>
      <c r="Q57">
        <v>65257656</v>
      </c>
      <c r="R57">
        <v>1.54</v>
      </c>
      <c r="S57" t="s">
        <v>36</v>
      </c>
      <c r="T57" t="s">
        <v>31</v>
      </c>
      <c r="U57">
        <v>2.78</v>
      </c>
      <c r="V57">
        <v>4.34</v>
      </c>
      <c r="W57">
        <v>69055</v>
      </c>
      <c r="X57">
        <v>81317</v>
      </c>
      <c r="Y57">
        <v>0.85</v>
      </c>
      <c r="Z57">
        <v>23</v>
      </c>
      <c r="AA57">
        <v>4562</v>
      </c>
      <c r="AB57" t="s">
        <v>32</v>
      </c>
      <c r="AC57">
        <v>18.57</v>
      </c>
    </row>
    <row r="58" spans="1:29">
      <c r="A58" t="str">
        <f>"000088"</f>
        <v>000088</v>
      </c>
      <c r="B58" t="s">
        <v>127</v>
      </c>
      <c r="C58">
        <v>2.96</v>
      </c>
      <c r="D58">
        <v>5.92</v>
      </c>
      <c r="E58">
        <v>0.17</v>
      </c>
      <c r="F58">
        <v>5.92</v>
      </c>
      <c r="G58">
        <v>5.93</v>
      </c>
      <c r="H58">
        <v>99439</v>
      </c>
      <c r="I58">
        <v>4122</v>
      </c>
      <c r="J58">
        <v>0.17</v>
      </c>
      <c r="K58">
        <v>0.51</v>
      </c>
      <c r="L58">
        <v>5.72</v>
      </c>
      <c r="M58">
        <v>5.96</v>
      </c>
      <c r="N58">
        <v>5.71</v>
      </c>
      <c r="O58">
        <v>5.75</v>
      </c>
      <c r="P58">
        <v>50.76</v>
      </c>
      <c r="Q58">
        <v>58234160</v>
      </c>
      <c r="R58">
        <v>2.05</v>
      </c>
      <c r="S58" t="s">
        <v>67</v>
      </c>
      <c r="T58" t="s">
        <v>31</v>
      </c>
      <c r="U58">
        <v>4.35</v>
      </c>
      <c r="V58">
        <v>5.86</v>
      </c>
      <c r="W58">
        <v>38982</v>
      </c>
      <c r="X58">
        <v>60456</v>
      </c>
      <c r="Y58">
        <v>0.64</v>
      </c>
      <c r="Z58">
        <v>1265</v>
      </c>
      <c r="AA58">
        <v>802</v>
      </c>
      <c r="AB58" t="s">
        <v>32</v>
      </c>
      <c r="AC58">
        <v>19.42</v>
      </c>
    </row>
    <row r="59" spans="1:29">
      <c r="A59" t="str">
        <f>"000089"</f>
        <v>000089</v>
      </c>
      <c r="B59" t="s">
        <v>128</v>
      </c>
      <c r="C59">
        <v>1.45</v>
      </c>
      <c r="D59">
        <v>8.38</v>
      </c>
      <c r="E59">
        <v>0.12</v>
      </c>
      <c r="F59">
        <v>8.37</v>
      </c>
      <c r="G59">
        <v>8.38</v>
      </c>
      <c r="H59">
        <v>146355</v>
      </c>
      <c r="I59">
        <v>1912</v>
      </c>
      <c r="J59">
        <v>0.24</v>
      </c>
      <c r="K59">
        <v>0.71</v>
      </c>
      <c r="L59">
        <v>8.37</v>
      </c>
      <c r="M59">
        <v>8.42</v>
      </c>
      <c r="N59">
        <v>8.26</v>
      </c>
      <c r="O59">
        <v>8.26</v>
      </c>
      <c r="P59">
        <v>27.26</v>
      </c>
      <c r="Q59">
        <v>122144736</v>
      </c>
      <c r="R59">
        <v>0.99</v>
      </c>
      <c r="S59" t="s">
        <v>129</v>
      </c>
      <c r="T59" t="s">
        <v>31</v>
      </c>
      <c r="U59">
        <v>1.94</v>
      </c>
      <c r="V59">
        <v>8.35</v>
      </c>
      <c r="W59">
        <v>67324</v>
      </c>
      <c r="X59">
        <v>79031</v>
      </c>
      <c r="Y59">
        <v>0.85</v>
      </c>
      <c r="Z59">
        <v>2363</v>
      </c>
      <c r="AA59">
        <v>1293</v>
      </c>
      <c r="AB59" t="s">
        <v>32</v>
      </c>
      <c r="AC59">
        <v>20.51</v>
      </c>
    </row>
    <row r="60" spans="1:29">
      <c r="A60" t="str">
        <f>"000090"</f>
        <v>000090</v>
      </c>
      <c r="B60" t="s">
        <v>130</v>
      </c>
      <c r="C60">
        <v>10.07</v>
      </c>
      <c r="D60">
        <v>6.34</v>
      </c>
      <c r="E60">
        <v>0.58</v>
      </c>
      <c r="F60">
        <v>6.34</v>
      </c>
      <c r="G60" t="s">
        <v>32</v>
      </c>
      <c r="H60">
        <v>201484</v>
      </c>
      <c r="I60">
        <v>740</v>
      </c>
      <c r="J60">
        <v>0</v>
      </c>
      <c r="K60">
        <v>2.17</v>
      </c>
      <c r="L60">
        <v>5.77</v>
      </c>
      <c r="M60">
        <v>6.34</v>
      </c>
      <c r="N60">
        <v>5.77</v>
      </c>
      <c r="O60">
        <v>5.76</v>
      </c>
      <c r="P60">
        <v>41.96</v>
      </c>
      <c r="Q60">
        <v>124027488</v>
      </c>
      <c r="R60">
        <v>6.61</v>
      </c>
      <c r="S60" t="s">
        <v>49</v>
      </c>
      <c r="T60" t="s">
        <v>31</v>
      </c>
      <c r="U60">
        <v>9.9</v>
      </c>
      <c r="V60">
        <v>6.16</v>
      </c>
      <c r="W60">
        <v>71279</v>
      </c>
      <c r="X60">
        <v>130205</v>
      </c>
      <c r="Y60">
        <v>0.55</v>
      </c>
      <c r="Z60">
        <v>37326</v>
      </c>
      <c r="AA60">
        <v>0</v>
      </c>
      <c r="AB60" t="s">
        <v>32</v>
      </c>
      <c r="AC60">
        <v>9.28</v>
      </c>
    </row>
    <row r="61" spans="1:29">
      <c r="A61" t="str">
        <f>"000096"</f>
        <v>000096</v>
      </c>
      <c r="B61" t="s">
        <v>131</v>
      </c>
      <c r="C61">
        <v>0.19</v>
      </c>
      <c r="D61">
        <v>10.83</v>
      </c>
      <c r="E61">
        <v>0.02</v>
      </c>
      <c r="F61">
        <v>10.83</v>
      </c>
      <c r="G61">
        <v>10.85</v>
      </c>
      <c r="H61">
        <v>9974</v>
      </c>
      <c r="I61">
        <v>408</v>
      </c>
      <c r="J61">
        <v>0</v>
      </c>
      <c r="K61">
        <v>0.2</v>
      </c>
      <c r="L61">
        <v>10.81</v>
      </c>
      <c r="M61">
        <v>10.91</v>
      </c>
      <c r="N61">
        <v>10.7</v>
      </c>
      <c r="O61">
        <v>10.81</v>
      </c>
      <c r="P61">
        <v>101.86</v>
      </c>
      <c r="Q61">
        <v>10782533</v>
      </c>
      <c r="R61">
        <v>1.89</v>
      </c>
      <c r="S61" t="s">
        <v>132</v>
      </c>
      <c r="T61" t="s">
        <v>31</v>
      </c>
      <c r="U61">
        <v>1.94</v>
      </c>
      <c r="V61">
        <v>10.81</v>
      </c>
      <c r="W61">
        <v>6244</v>
      </c>
      <c r="X61">
        <v>3730</v>
      </c>
      <c r="Y61">
        <v>1.67</v>
      </c>
      <c r="Z61">
        <v>71</v>
      </c>
      <c r="AA61">
        <v>119</v>
      </c>
      <c r="AB61" t="s">
        <v>32</v>
      </c>
      <c r="AC61">
        <v>5.11</v>
      </c>
    </row>
    <row r="62" spans="1:29">
      <c r="A62" t="str">
        <f>"000099"</f>
        <v>000099</v>
      </c>
      <c r="B62" t="s">
        <v>133</v>
      </c>
      <c r="C62">
        <v>2.62</v>
      </c>
      <c r="D62">
        <v>6.65</v>
      </c>
      <c r="E62">
        <v>0.17</v>
      </c>
      <c r="F62">
        <v>6.64</v>
      </c>
      <c r="G62">
        <v>6.65</v>
      </c>
      <c r="H62">
        <v>71258</v>
      </c>
      <c r="I62">
        <v>297</v>
      </c>
      <c r="J62">
        <v>0.15</v>
      </c>
      <c r="K62">
        <v>1.18</v>
      </c>
      <c r="L62">
        <v>6.44</v>
      </c>
      <c r="M62">
        <v>6.71</v>
      </c>
      <c r="N62">
        <v>6.42</v>
      </c>
      <c r="O62">
        <v>6.48</v>
      </c>
      <c r="P62">
        <v>69.04</v>
      </c>
      <c r="Q62">
        <v>46848248</v>
      </c>
      <c r="R62">
        <v>2.22</v>
      </c>
      <c r="S62" t="s">
        <v>134</v>
      </c>
      <c r="T62" t="s">
        <v>31</v>
      </c>
      <c r="U62">
        <v>4.48</v>
      </c>
      <c r="V62">
        <v>6.57</v>
      </c>
      <c r="W62">
        <v>34364</v>
      </c>
      <c r="X62">
        <v>36893</v>
      </c>
      <c r="Y62">
        <v>0.93</v>
      </c>
      <c r="Z62">
        <v>425</v>
      </c>
      <c r="AA62">
        <v>850</v>
      </c>
      <c r="AB62" t="s">
        <v>32</v>
      </c>
      <c r="AC62">
        <v>6.06</v>
      </c>
    </row>
    <row r="63" spans="1:29">
      <c r="A63" t="str">
        <f>"000100"</f>
        <v>000100</v>
      </c>
      <c r="B63" t="s">
        <v>135</v>
      </c>
      <c r="C63">
        <v>3.34</v>
      </c>
      <c r="D63">
        <v>3.09</v>
      </c>
      <c r="E63">
        <v>0.1</v>
      </c>
      <c r="F63">
        <v>3.08</v>
      </c>
      <c r="G63">
        <v>3.09</v>
      </c>
      <c r="H63">
        <v>1514213</v>
      </c>
      <c r="I63">
        <v>11693</v>
      </c>
      <c r="J63">
        <v>0.65</v>
      </c>
      <c r="K63">
        <v>1.29</v>
      </c>
      <c r="L63">
        <v>2.98</v>
      </c>
      <c r="M63">
        <v>3.15</v>
      </c>
      <c r="N63">
        <v>2.95</v>
      </c>
      <c r="O63">
        <v>2.99</v>
      </c>
      <c r="P63">
        <v>14.32</v>
      </c>
      <c r="Q63">
        <v>463450144</v>
      </c>
      <c r="R63">
        <v>2.03</v>
      </c>
      <c r="S63" t="s">
        <v>55</v>
      </c>
      <c r="T63" t="s">
        <v>136</v>
      </c>
      <c r="U63">
        <v>6.69</v>
      </c>
      <c r="V63">
        <v>3.06</v>
      </c>
      <c r="W63">
        <v>682547</v>
      </c>
      <c r="X63">
        <v>831665</v>
      </c>
      <c r="Y63">
        <v>0.82</v>
      </c>
      <c r="Z63">
        <v>2923</v>
      </c>
      <c r="AA63">
        <v>15744</v>
      </c>
      <c r="AB63" t="s">
        <v>32</v>
      </c>
      <c r="AC63">
        <v>117.28</v>
      </c>
    </row>
    <row r="64" spans="1:29">
      <c r="A64" t="str">
        <f>"000150"</f>
        <v>000150</v>
      </c>
      <c r="B64" t="s">
        <v>137</v>
      </c>
      <c r="C64">
        <v>0.97</v>
      </c>
      <c r="D64">
        <v>18.66</v>
      </c>
      <c r="E64">
        <v>0.18</v>
      </c>
      <c r="F64">
        <v>18.65</v>
      </c>
      <c r="G64">
        <v>18.66</v>
      </c>
      <c r="H64">
        <v>6183</v>
      </c>
      <c r="I64">
        <v>143</v>
      </c>
      <c r="J64">
        <v>0.54</v>
      </c>
      <c r="K64">
        <v>0.12</v>
      </c>
      <c r="L64">
        <v>18.48</v>
      </c>
      <c r="M64">
        <v>18.69</v>
      </c>
      <c r="N64">
        <v>18.22</v>
      </c>
      <c r="O64">
        <v>18.48</v>
      </c>
      <c r="P64">
        <v>29.06</v>
      </c>
      <c r="Q64">
        <v>11442771</v>
      </c>
      <c r="R64">
        <v>2.34</v>
      </c>
      <c r="S64" t="s">
        <v>138</v>
      </c>
      <c r="T64" t="s">
        <v>136</v>
      </c>
      <c r="U64">
        <v>2.54</v>
      </c>
      <c r="V64">
        <v>18.51</v>
      </c>
      <c r="W64">
        <v>2634</v>
      </c>
      <c r="X64">
        <v>3549</v>
      </c>
      <c r="Y64">
        <v>0.74</v>
      </c>
      <c r="Z64">
        <v>18</v>
      </c>
      <c r="AA64">
        <v>79</v>
      </c>
      <c r="AB64" t="s">
        <v>32</v>
      </c>
      <c r="AC64">
        <v>5.26</v>
      </c>
    </row>
    <row r="65" spans="1:29">
      <c r="A65" t="str">
        <f>"000151"</f>
        <v>000151</v>
      </c>
      <c r="B65" t="s">
        <v>139</v>
      </c>
      <c r="C65">
        <v>2.12</v>
      </c>
      <c r="D65">
        <v>12.53</v>
      </c>
      <c r="E65">
        <v>0.26</v>
      </c>
      <c r="F65">
        <v>12.53</v>
      </c>
      <c r="G65">
        <v>12.54</v>
      </c>
      <c r="H65">
        <v>157052</v>
      </c>
      <c r="I65">
        <v>2919</v>
      </c>
      <c r="J65">
        <v>-0.15</v>
      </c>
      <c r="K65">
        <v>5.89</v>
      </c>
      <c r="L65">
        <v>12.24</v>
      </c>
      <c r="M65">
        <v>12.6</v>
      </c>
      <c r="N65">
        <v>12.13</v>
      </c>
      <c r="O65">
        <v>12.27</v>
      </c>
      <c r="P65">
        <v>75.83</v>
      </c>
      <c r="Q65">
        <v>194878768</v>
      </c>
      <c r="R65">
        <v>1.67</v>
      </c>
      <c r="S65" t="s">
        <v>140</v>
      </c>
      <c r="T65" t="s">
        <v>45</v>
      </c>
      <c r="U65">
        <v>3.83</v>
      </c>
      <c r="V65">
        <v>12.41</v>
      </c>
      <c r="W65">
        <v>74717</v>
      </c>
      <c r="X65">
        <v>82334</v>
      </c>
      <c r="Y65">
        <v>0.91</v>
      </c>
      <c r="Z65">
        <v>614</v>
      </c>
      <c r="AA65">
        <v>671</v>
      </c>
      <c r="AB65" t="s">
        <v>32</v>
      </c>
      <c r="AC65">
        <v>2.67</v>
      </c>
    </row>
    <row r="66" spans="1:29">
      <c r="A66" t="str">
        <f>"000153"</f>
        <v>000153</v>
      </c>
      <c r="B66" t="s">
        <v>141</v>
      </c>
      <c r="C66">
        <v>1.2</v>
      </c>
      <c r="D66">
        <v>6.75</v>
      </c>
      <c r="E66">
        <v>0.08</v>
      </c>
      <c r="F66">
        <v>6.74</v>
      </c>
      <c r="G66">
        <v>6.75</v>
      </c>
      <c r="H66">
        <v>28521</v>
      </c>
      <c r="I66">
        <v>806</v>
      </c>
      <c r="J66">
        <v>-0.29</v>
      </c>
      <c r="K66">
        <v>0.91</v>
      </c>
      <c r="L66">
        <v>6.67</v>
      </c>
      <c r="M66">
        <v>6.79</v>
      </c>
      <c r="N66">
        <v>6.61</v>
      </c>
      <c r="O66">
        <v>6.67</v>
      </c>
      <c r="P66">
        <v>46.77</v>
      </c>
      <c r="Q66">
        <v>19128146</v>
      </c>
      <c r="R66">
        <v>0.44</v>
      </c>
      <c r="S66" t="s">
        <v>142</v>
      </c>
      <c r="T66" t="s">
        <v>143</v>
      </c>
      <c r="U66">
        <v>2.7</v>
      </c>
      <c r="V66">
        <v>6.71</v>
      </c>
      <c r="W66">
        <v>14745</v>
      </c>
      <c r="X66">
        <v>13776</v>
      </c>
      <c r="Y66">
        <v>1.07</v>
      </c>
      <c r="Z66">
        <v>141</v>
      </c>
      <c r="AA66">
        <v>188</v>
      </c>
      <c r="AB66" t="s">
        <v>32</v>
      </c>
      <c r="AC66">
        <v>3.12</v>
      </c>
    </row>
    <row r="67" spans="1:29">
      <c r="A67" t="str">
        <f>"000155"</f>
        <v>000155</v>
      </c>
      <c r="B67" t="s">
        <v>144</v>
      </c>
      <c r="C67">
        <v>2.44</v>
      </c>
      <c r="D67">
        <v>5.04</v>
      </c>
      <c r="E67">
        <v>0.12</v>
      </c>
      <c r="F67">
        <v>5.03</v>
      </c>
      <c r="G67">
        <v>5.04</v>
      </c>
      <c r="H67">
        <v>151171</v>
      </c>
      <c r="I67">
        <v>1646</v>
      </c>
      <c r="J67">
        <v>0</v>
      </c>
      <c r="K67">
        <v>1.61</v>
      </c>
      <c r="L67">
        <v>4.92</v>
      </c>
      <c r="M67">
        <v>5.12</v>
      </c>
      <c r="N67">
        <v>4.92</v>
      </c>
      <c r="O67">
        <v>4.92</v>
      </c>
      <c r="P67">
        <v>22.58</v>
      </c>
      <c r="Q67">
        <v>76234416</v>
      </c>
      <c r="R67">
        <v>1.78</v>
      </c>
      <c r="S67" t="s">
        <v>145</v>
      </c>
      <c r="T67" t="s">
        <v>146</v>
      </c>
      <c r="U67">
        <v>4.07</v>
      </c>
      <c r="V67">
        <v>5.04</v>
      </c>
      <c r="W67">
        <v>69378</v>
      </c>
      <c r="X67">
        <v>81793</v>
      </c>
      <c r="Y67">
        <v>0.85</v>
      </c>
      <c r="Z67">
        <v>919</v>
      </c>
      <c r="AA67">
        <v>444</v>
      </c>
      <c r="AB67" t="s">
        <v>32</v>
      </c>
      <c r="AC67">
        <v>9.37</v>
      </c>
    </row>
    <row r="68" spans="1:29">
      <c r="A68" t="str">
        <f>"000156"</f>
        <v>000156</v>
      </c>
      <c r="B68" t="s">
        <v>147</v>
      </c>
      <c r="C68">
        <v>1.96</v>
      </c>
      <c r="D68">
        <v>9.38</v>
      </c>
      <c r="E68">
        <v>0.18</v>
      </c>
      <c r="F68">
        <v>9.37</v>
      </c>
      <c r="G68">
        <v>9.38</v>
      </c>
      <c r="H68">
        <v>63318</v>
      </c>
      <c r="I68">
        <v>784</v>
      </c>
      <c r="J68">
        <v>0</v>
      </c>
      <c r="K68">
        <v>0.49</v>
      </c>
      <c r="L68">
        <v>9.22</v>
      </c>
      <c r="M68">
        <v>9.39</v>
      </c>
      <c r="N68">
        <v>9.17</v>
      </c>
      <c r="O68">
        <v>9.2</v>
      </c>
      <c r="P68">
        <v>21.64</v>
      </c>
      <c r="Q68">
        <v>59032012</v>
      </c>
      <c r="R68">
        <v>0.92</v>
      </c>
      <c r="S68" t="s">
        <v>148</v>
      </c>
      <c r="T68" t="s">
        <v>149</v>
      </c>
      <c r="U68">
        <v>2.39</v>
      </c>
      <c r="V68">
        <v>9.32</v>
      </c>
      <c r="W68">
        <v>21934</v>
      </c>
      <c r="X68">
        <v>41384</v>
      </c>
      <c r="Y68">
        <v>0.53</v>
      </c>
      <c r="Z68">
        <v>796</v>
      </c>
      <c r="AA68">
        <v>69</v>
      </c>
      <c r="AB68" t="s">
        <v>32</v>
      </c>
      <c r="AC68">
        <v>12.8</v>
      </c>
    </row>
    <row r="69" spans="1:29">
      <c r="A69" t="str">
        <f>"000157"</f>
        <v>000157</v>
      </c>
      <c r="B69" t="s">
        <v>150</v>
      </c>
      <c r="C69">
        <v>1.97</v>
      </c>
      <c r="D69">
        <v>4.15</v>
      </c>
      <c r="E69">
        <v>0.08</v>
      </c>
      <c r="F69">
        <v>4.15</v>
      </c>
      <c r="G69">
        <v>4.16</v>
      </c>
      <c r="H69">
        <v>597295</v>
      </c>
      <c r="I69">
        <v>1902</v>
      </c>
      <c r="J69">
        <v>-0.23</v>
      </c>
      <c r="K69">
        <v>0.96</v>
      </c>
      <c r="L69">
        <v>4.07</v>
      </c>
      <c r="M69">
        <v>4.22</v>
      </c>
      <c r="N69">
        <v>4.06</v>
      </c>
      <c r="O69">
        <v>4.07</v>
      </c>
      <c r="P69">
        <v>21.46</v>
      </c>
      <c r="Q69">
        <v>248330208</v>
      </c>
      <c r="R69">
        <v>3.99</v>
      </c>
      <c r="S69" t="s">
        <v>151</v>
      </c>
      <c r="T69" t="s">
        <v>152</v>
      </c>
      <c r="U69">
        <v>3.93</v>
      </c>
      <c r="V69">
        <v>4.16</v>
      </c>
      <c r="W69">
        <v>251468</v>
      </c>
      <c r="X69">
        <v>345827</v>
      </c>
      <c r="Y69">
        <v>0.73</v>
      </c>
      <c r="Z69">
        <v>742</v>
      </c>
      <c r="AA69">
        <v>5816</v>
      </c>
      <c r="AB69" t="s">
        <v>32</v>
      </c>
      <c r="AC69">
        <v>62.25</v>
      </c>
    </row>
    <row r="70" spans="1:29">
      <c r="A70" t="str">
        <f>"000158"</f>
        <v>000158</v>
      </c>
      <c r="B70" t="s">
        <v>153</v>
      </c>
      <c r="C70">
        <v>1.64</v>
      </c>
      <c r="D70">
        <v>6.19</v>
      </c>
      <c r="E70">
        <v>0.1</v>
      </c>
      <c r="F70">
        <v>6.18</v>
      </c>
      <c r="G70">
        <v>6.19</v>
      </c>
      <c r="H70">
        <v>72758</v>
      </c>
      <c r="I70">
        <v>1000</v>
      </c>
      <c r="J70">
        <v>0</v>
      </c>
      <c r="K70">
        <v>0.49</v>
      </c>
      <c r="L70">
        <v>6.12</v>
      </c>
      <c r="M70">
        <v>6.24</v>
      </c>
      <c r="N70">
        <v>6.06</v>
      </c>
      <c r="O70">
        <v>6.09</v>
      </c>
      <c r="P70" t="s">
        <v>32</v>
      </c>
      <c r="Q70">
        <v>44962752</v>
      </c>
      <c r="R70">
        <v>1.37</v>
      </c>
      <c r="S70" t="s">
        <v>99</v>
      </c>
      <c r="T70" t="s">
        <v>154</v>
      </c>
      <c r="U70">
        <v>2.96</v>
      </c>
      <c r="V70">
        <v>6.18</v>
      </c>
      <c r="W70">
        <v>32618</v>
      </c>
      <c r="X70">
        <v>40140</v>
      </c>
      <c r="Y70">
        <v>0.81</v>
      </c>
      <c r="Z70">
        <v>784</v>
      </c>
      <c r="AA70">
        <v>128</v>
      </c>
      <c r="AB70" t="s">
        <v>32</v>
      </c>
      <c r="AC70">
        <v>14.79</v>
      </c>
    </row>
    <row r="71" spans="1:29">
      <c r="A71" t="str">
        <f>"000159"</f>
        <v>000159</v>
      </c>
      <c r="B71" t="s">
        <v>155</v>
      </c>
      <c r="C71">
        <v>2.2</v>
      </c>
      <c r="D71">
        <v>3.71</v>
      </c>
      <c r="E71">
        <v>0.08</v>
      </c>
      <c r="F71">
        <v>3.71</v>
      </c>
      <c r="G71">
        <v>3.72</v>
      </c>
      <c r="H71">
        <v>35381</v>
      </c>
      <c r="I71">
        <v>173</v>
      </c>
      <c r="J71">
        <v>-0.26</v>
      </c>
      <c r="K71">
        <v>0.74</v>
      </c>
      <c r="L71">
        <v>3.64</v>
      </c>
      <c r="M71">
        <v>3.73</v>
      </c>
      <c r="N71">
        <v>3.63</v>
      </c>
      <c r="O71">
        <v>3.63</v>
      </c>
      <c r="P71" t="s">
        <v>32</v>
      </c>
      <c r="Q71">
        <v>13048614</v>
      </c>
      <c r="R71">
        <v>1.87</v>
      </c>
      <c r="S71" t="s">
        <v>132</v>
      </c>
      <c r="T71" t="s">
        <v>156</v>
      </c>
      <c r="U71">
        <v>2.75</v>
      </c>
      <c r="V71">
        <v>3.69</v>
      </c>
      <c r="W71">
        <v>13425</v>
      </c>
      <c r="X71">
        <v>21956</v>
      </c>
      <c r="Y71">
        <v>0.61</v>
      </c>
      <c r="Z71">
        <v>163</v>
      </c>
      <c r="AA71">
        <v>135</v>
      </c>
      <c r="AB71" t="s">
        <v>32</v>
      </c>
      <c r="AC71">
        <v>4.81</v>
      </c>
    </row>
    <row r="72" spans="1:29">
      <c r="A72" t="str">
        <f>"000166"</f>
        <v>000166</v>
      </c>
      <c r="B72" t="s">
        <v>157</v>
      </c>
      <c r="C72">
        <v>1.58</v>
      </c>
      <c r="D72">
        <v>4.51</v>
      </c>
      <c r="E72">
        <v>0.07</v>
      </c>
      <c r="F72">
        <v>4.5</v>
      </c>
      <c r="G72">
        <v>4.51</v>
      </c>
      <c r="H72">
        <v>296375</v>
      </c>
      <c r="I72">
        <v>2610</v>
      </c>
      <c r="J72">
        <v>0</v>
      </c>
      <c r="K72">
        <v>0.15</v>
      </c>
      <c r="L72">
        <v>4.43</v>
      </c>
      <c r="M72">
        <v>4.55</v>
      </c>
      <c r="N72">
        <v>4.42</v>
      </c>
      <c r="O72">
        <v>4.44</v>
      </c>
      <c r="P72">
        <v>25.59</v>
      </c>
      <c r="Q72">
        <v>133326584</v>
      </c>
      <c r="R72">
        <v>2.12</v>
      </c>
      <c r="S72" t="s">
        <v>158</v>
      </c>
      <c r="T72" t="s">
        <v>156</v>
      </c>
      <c r="U72">
        <v>2.93</v>
      </c>
      <c r="V72">
        <v>4.5</v>
      </c>
      <c r="W72">
        <v>137147</v>
      </c>
      <c r="X72">
        <v>159228</v>
      </c>
      <c r="Y72">
        <v>0.86</v>
      </c>
      <c r="Z72">
        <v>6393</v>
      </c>
      <c r="AA72">
        <v>6480</v>
      </c>
      <c r="AB72" t="s">
        <v>32</v>
      </c>
      <c r="AC72">
        <v>200.28</v>
      </c>
    </row>
    <row r="73" spans="1:29">
      <c r="A73" t="str">
        <f>"000301"</f>
        <v>000301</v>
      </c>
      <c r="B73" t="s">
        <v>159</v>
      </c>
      <c r="C73">
        <v>2.34</v>
      </c>
      <c r="D73">
        <v>6.13</v>
      </c>
      <c r="E73">
        <v>0.14</v>
      </c>
      <c r="F73">
        <v>6.13</v>
      </c>
      <c r="G73">
        <v>6.14</v>
      </c>
      <c r="H73">
        <v>119338</v>
      </c>
      <c r="I73">
        <v>343</v>
      </c>
      <c r="J73">
        <v>0.16</v>
      </c>
      <c r="K73">
        <v>0.98</v>
      </c>
      <c r="L73">
        <v>6</v>
      </c>
      <c r="M73">
        <v>6.18</v>
      </c>
      <c r="N73">
        <v>6</v>
      </c>
      <c r="O73">
        <v>5.99</v>
      </c>
      <c r="P73">
        <v>56.37</v>
      </c>
      <c r="Q73">
        <v>72895008</v>
      </c>
      <c r="R73">
        <v>2.01</v>
      </c>
      <c r="S73" t="s">
        <v>47</v>
      </c>
      <c r="T73" t="s">
        <v>87</v>
      </c>
      <c r="U73">
        <v>3.01</v>
      </c>
      <c r="V73">
        <v>6.11</v>
      </c>
      <c r="W73">
        <v>53036</v>
      </c>
      <c r="X73">
        <v>66301</v>
      </c>
      <c r="Y73">
        <v>0.8</v>
      </c>
      <c r="Z73">
        <v>1490</v>
      </c>
      <c r="AA73">
        <v>887</v>
      </c>
      <c r="AB73" t="s">
        <v>32</v>
      </c>
      <c r="AC73">
        <v>12.18</v>
      </c>
    </row>
    <row r="74" spans="1:29">
      <c r="A74" t="str">
        <f>"000333"</f>
        <v>000333</v>
      </c>
      <c r="B74" t="s">
        <v>160</v>
      </c>
      <c r="C74">
        <v>3.86</v>
      </c>
      <c r="D74">
        <v>48.38</v>
      </c>
      <c r="E74">
        <v>1.8</v>
      </c>
      <c r="F74">
        <v>48.37</v>
      </c>
      <c r="G74">
        <v>48.38</v>
      </c>
      <c r="H74">
        <v>719361</v>
      </c>
      <c r="I74">
        <v>11057</v>
      </c>
      <c r="J74">
        <v>0.08</v>
      </c>
      <c r="K74">
        <v>1.11</v>
      </c>
      <c r="L74">
        <v>47</v>
      </c>
      <c r="M74">
        <v>48.56</v>
      </c>
      <c r="N74">
        <v>47</v>
      </c>
      <c r="O74">
        <v>46.58</v>
      </c>
      <c r="P74">
        <v>15.24</v>
      </c>
      <c r="Q74">
        <v>3452914176</v>
      </c>
      <c r="R74">
        <v>1.94</v>
      </c>
      <c r="S74" t="s">
        <v>55</v>
      </c>
      <c r="T74" t="s">
        <v>136</v>
      </c>
      <c r="U74">
        <v>3.35</v>
      </c>
      <c r="V74">
        <v>48</v>
      </c>
      <c r="W74">
        <v>351818</v>
      </c>
      <c r="X74">
        <v>367542</v>
      </c>
      <c r="Y74">
        <v>0.96</v>
      </c>
      <c r="Z74">
        <v>1137</v>
      </c>
      <c r="AA74">
        <v>24104</v>
      </c>
      <c r="AB74" t="s">
        <v>32</v>
      </c>
      <c r="AC74">
        <v>64.76</v>
      </c>
    </row>
    <row r="75" spans="1:29">
      <c r="A75" t="str">
        <f>"000338"</f>
        <v>000338</v>
      </c>
      <c r="B75" t="s">
        <v>161</v>
      </c>
      <c r="C75">
        <v>3.4</v>
      </c>
      <c r="D75">
        <v>8.82</v>
      </c>
      <c r="E75">
        <v>0.29</v>
      </c>
      <c r="F75">
        <v>8.81</v>
      </c>
      <c r="G75">
        <v>8.82</v>
      </c>
      <c r="H75">
        <v>1602785</v>
      </c>
      <c r="I75">
        <v>12944</v>
      </c>
      <c r="J75">
        <v>-0.1</v>
      </c>
      <c r="K75">
        <v>3.71</v>
      </c>
      <c r="L75">
        <v>8.5</v>
      </c>
      <c r="M75">
        <v>9</v>
      </c>
      <c r="N75">
        <v>8.5</v>
      </c>
      <c r="O75">
        <v>8.53</v>
      </c>
      <c r="P75">
        <v>9.19</v>
      </c>
      <c r="Q75">
        <v>1420343552</v>
      </c>
      <c r="R75">
        <v>3.72</v>
      </c>
      <c r="S75" t="s">
        <v>80</v>
      </c>
      <c r="T75" t="s">
        <v>162</v>
      </c>
      <c r="U75">
        <v>5.86</v>
      </c>
      <c r="V75">
        <v>8.86</v>
      </c>
      <c r="W75">
        <v>720144</v>
      </c>
      <c r="X75">
        <v>882641</v>
      </c>
      <c r="Y75">
        <v>0.82</v>
      </c>
      <c r="Z75">
        <v>2312</v>
      </c>
      <c r="AA75">
        <v>16496</v>
      </c>
      <c r="AB75" t="s">
        <v>32</v>
      </c>
      <c r="AC75">
        <v>43.15</v>
      </c>
    </row>
    <row r="76" spans="1:29">
      <c r="A76" t="str">
        <f>"000400"</f>
        <v>000400</v>
      </c>
      <c r="B76" t="s">
        <v>163</v>
      </c>
      <c r="C76">
        <v>2.89</v>
      </c>
      <c r="D76">
        <v>8.2</v>
      </c>
      <c r="E76">
        <v>0.23</v>
      </c>
      <c r="F76">
        <v>8.19</v>
      </c>
      <c r="G76">
        <v>8.2</v>
      </c>
      <c r="H76">
        <v>80417</v>
      </c>
      <c r="I76">
        <v>600</v>
      </c>
      <c r="J76">
        <v>0</v>
      </c>
      <c r="K76">
        <v>0.8</v>
      </c>
      <c r="L76">
        <v>7.97</v>
      </c>
      <c r="M76">
        <v>8.32</v>
      </c>
      <c r="N76">
        <v>7.94</v>
      </c>
      <c r="O76">
        <v>7.97</v>
      </c>
      <c r="P76">
        <v>74.66</v>
      </c>
      <c r="Q76">
        <v>65752104</v>
      </c>
      <c r="R76">
        <v>1.87</v>
      </c>
      <c r="S76" t="s">
        <v>104</v>
      </c>
      <c r="T76" t="s">
        <v>164</v>
      </c>
      <c r="U76">
        <v>4.77</v>
      </c>
      <c r="V76">
        <v>8.18</v>
      </c>
      <c r="W76">
        <v>39040</v>
      </c>
      <c r="X76">
        <v>41376</v>
      </c>
      <c r="Y76">
        <v>0.94</v>
      </c>
      <c r="Z76">
        <v>192</v>
      </c>
      <c r="AA76">
        <v>43</v>
      </c>
      <c r="AB76" t="s">
        <v>32</v>
      </c>
      <c r="AC76">
        <v>10.08</v>
      </c>
    </row>
    <row r="77" spans="1:29">
      <c r="A77" t="str">
        <f>"000401"</f>
        <v>000401</v>
      </c>
      <c r="B77" t="s">
        <v>165</v>
      </c>
      <c r="C77">
        <v>9.98</v>
      </c>
      <c r="D77">
        <v>11.13</v>
      </c>
      <c r="E77">
        <v>1.01</v>
      </c>
      <c r="F77">
        <v>11.13</v>
      </c>
      <c r="G77" t="s">
        <v>32</v>
      </c>
      <c r="H77">
        <v>756178</v>
      </c>
      <c r="I77">
        <v>633</v>
      </c>
      <c r="J77">
        <v>0</v>
      </c>
      <c r="K77">
        <v>5.61</v>
      </c>
      <c r="L77">
        <v>10.5</v>
      </c>
      <c r="M77">
        <v>11.13</v>
      </c>
      <c r="N77">
        <v>10.5</v>
      </c>
      <c r="O77">
        <v>10.12</v>
      </c>
      <c r="P77" t="s">
        <v>32</v>
      </c>
      <c r="Q77">
        <v>831949120</v>
      </c>
      <c r="R77">
        <v>4.03</v>
      </c>
      <c r="S77" t="s">
        <v>166</v>
      </c>
      <c r="T77" t="s">
        <v>154</v>
      </c>
      <c r="U77">
        <v>6.23</v>
      </c>
      <c r="V77">
        <v>11</v>
      </c>
      <c r="W77">
        <v>403956</v>
      </c>
      <c r="X77">
        <v>352222</v>
      </c>
      <c r="Y77">
        <v>1.15</v>
      </c>
      <c r="Z77">
        <v>30791</v>
      </c>
      <c r="AA77">
        <v>0</v>
      </c>
      <c r="AB77" t="s">
        <v>32</v>
      </c>
      <c r="AC77">
        <v>13.47</v>
      </c>
    </row>
    <row r="78" spans="1:29">
      <c r="A78" t="str">
        <f>"000402"</f>
        <v>000402</v>
      </c>
      <c r="B78" t="s">
        <v>167</v>
      </c>
      <c r="C78">
        <v>2.17</v>
      </c>
      <c r="D78">
        <v>7.52</v>
      </c>
      <c r="E78">
        <v>0.16</v>
      </c>
      <c r="F78">
        <v>7.52</v>
      </c>
      <c r="G78">
        <v>7.53</v>
      </c>
      <c r="H78">
        <v>144030</v>
      </c>
      <c r="I78">
        <v>341</v>
      </c>
      <c r="J78">
        <v>-0.26</v>
      </c>
      <c r="K78">
        <v>0.48</v>
      </c>
      <c r="L78">
        <v>7.37</v>
      </c>
      <c r="M78">
        <v>7.6</v>
      </c>
      <c r="N78">
        <v>7.35</v>
      </c>
      <c r="O78">
        <v>7.36</v>
      </c>
      <c r="P78">
        <v>10.26</v>
      </c>
      <c r="Q78">
        <v>108167992</v>
      </c>
      <c r="R78">
        <v>2.03</v>
      </c>
      <c r="S78" t="s">
        <v>34</v>
      </c>
      <c r="T78" t="s">
        <v>45</v>
      </c>
      <c r="U78">
        <v>3.4</v>
      </c>
      <c r="V78">
        <v>7.51</v>
      </c>
      <c r="W78">
        <v>71149</v>
      </c>
      <c r="X78">
        <v>72881</v>
      </c>
      <c r="Y78">
        <v>0.98</v>
      </c>
      <c r="Z78">
        <v>551</v>
      </c>
      <c r="AA78">
        <v>103</v>
      </c>
      <c r="AB78" t="s">
        <v>32</v>
      </c>
      <c r="AC78">
        <v>29.88</v>
      </c>
    </row>
    <row r="79" spans="1:29">
      <c r="A79" t="str">
        <f>"000403"</f>
        <v>000403</v>
      </c>
      <c r="B79" t="s">
        <v>168</v>
      </c>
      <c r="C79">
        <v>0.13</v>
      </c>
      <c r="D79">
        <v>29.74</v>
      </c>
      <c r="E79">
        <v>0.04</v>
      </c>
      <c r="F79">
        <v>29.74</v>
      </c>
      <c r="G79">
        <v>29.75</v>
      </c>
      <c r="H79">
        <v>3883</v>
      </c>
      <c r="I79">
        <v>49</v>
      </c>
      <c r="J79">
        <v>-0.19</v>
      </c>
      <c r="K79">
        <v>0.15</v>
      </c>
      <c r="L79">
        <v>29.89</v>
      </c>
      <c r="M79">
        <v>30.15</v>
      </c>
      <c r="N79">
        <v>29.52</v>
      </c>
      <c r="O79">
        <v>29.7</v>
      </c>
      <c r="P79">
        <v>71.78</v>
      </c>
      <c r="Q79">
        <v>11574798</v>
      </c>
      <c r="R79">
        <v>1.62</v>
      </c>
      <c r="S79" t="s">
        <v>36</v>
      </c>
      <c r="T79" t="s">
        <v>169</v>
      </c>
      <c r="U79">
        <v>2.12</v>
      </c>
      <c r="V79">
        <v>29.81</v>
      </c>
      <c r="W79">
        <v>1543</v>
      </c>
      <c r="X79">
        <v>2340</v>
      </c>
      <c r="Y79">
        <v>0.66</v>
      </c>
      <c r="Z79">
        <v>2</v>
      </c>
      <c r="AA79">
        <v>15</v>
      </c>
      <c r="AB79" t="s">
        <v>32</v>
      </c>
      <c r="AC79">
        <v>2.65</v>
      </c>
    </row>
    <row r="80" spans="1:29">
      <c r="A80" t="str">
        <f>"000404"</f>
        <v>000404</v>
      </c>
      <c r="B80" t="s">
        <v>170</v>
      </c>
      <c r="C80">
        <v>1.14</v>
      </c>
      <c r="D80">
        <v>4.42</v>
      </c>
      <c r="E80">
        <v>0.05</v>
      </c>
      <c r="F80">
        <v>4.42</v>
      </c>
      <c r="G80">
        <v>4.43</v>
      </c>
      <c r="H80">
        <v>55332</v>
      </c>
      <c r="I80">
        <v>395</v>
      </c>
      <c r="J80">
        <v>0</v>
      </c>
      <c r="K80">
        <v>0.8</v>
      </c>
      <c r="L80">
        <v>4.36</v>
      </c>
      <c r="M80">
        <v>4.44</v>
      </c>
      <c r="N80">
        <v>4.35</v>
      </c>
      <c r="O80">
        <v>4.37</v>
      </c>
      <c r="P80">
        <v>58.98</v>
      </c>
      <c r="Q80">
        <v>24431676</v>
      </c>
      <c r="R80">
        <v>2.13</v>
      </c>
      <c r="S80" t="s">
        <v>171</v>
      </c>
      <c r="T80" t="s">
        <v>172</v>
      </c>
      <c r="U80">
        <v>2.06</v>
      </c>
      <c r="V80">
        <v>4.42</v>
      </c>
      <c r="W80">
        <v>28517</v>
      </c>
      <c r="X80">
        <v>26814</v>
      </c>
      <c r="Y80">
        <v>1.06</v>
      </c>
      <c r="Z80">
        <v>429</v>
      </c>
      <c r="AA80">
        <v>853</v>
      </c>
      <c r="AB80" t="s">
        <v>32</v>
      </c>
      <c r="AC80">
        <v>6.93</v>
      </c>
    </row>
    <row r="81" spans="1:29">
      <c r="A81" t="str">
        <f>"000407"</f>
        <v>000407</v>
      </c>
      <c r="B81" t="s">
        <v>173</v>
      </c>
      <c r="C81">
        <v>2.45</v>
      </c>
      <c r="D81">
        <v>4.18</v>
      </c>
      <c r="E81">
        <v>0.1</v>
      </c>
      <c r="F81">
        <v>4.18</v>
      </c>
      <c r="G81">
        <v>4.19</v>
      </c>
      <c r="H81">
        <v>114112</v>
      </c>
      <c r="I81">
        <v>783</v>
      </c>
      <c r="J81">
        <v>-0.23</v>
      </c>
      <c r="K81">
        <v>1.55</v>
      </c>
      <c r="L81">
        <v>4.08</v>
      </c>
      <c r="M81">
        <v>4.24</v>
      </c>
      <c r="N81">
        <v>4.08</v>
      </c>
      <c r="O81">
        <v>4.08</v>
      </c>
      <c r="P81">
        <v>27.9</v>
      </c>
      <c r="Q81">
        <v>47555528</v>
      </c>
      <c r="R81">
        <v>1.15</v>
      </c>
      <c r="S81" t="s">
        <v>174</v>
      </c>
      <c r="T81" t="s">
        <v>162</v>
      </c>
      <c r="U81">
        <v>3.92</v>
      </c>
      <c r="V81">
        <v>4.17</v>
      </c>
      <c r="W81">
        <v>50650</v>
      </c>
      <c r="X81">
        <v>63462</v>
      </c>
      <c r="Y81">
        <v>0.8</v>
      </c>
      <c r="Z81">
        <v>781</v>
      </c>
      <c r="AA81">
        <v>1801</v>
      </c>
      <c r="AB81" t="s">
        <v>32</v>
      </c>
      <c r="AC81">
        <v>7.38</v>
      </c>
    </row>
    <row r="82" spans="1:29">
      <c r="A82" t="str">
        <f>"000408"</f>
        <v>000408</v>
      </c>
      <c r="B82" t="s">
        <v>175</v>
      </c>
      <c r="C82" t="s">
        <v>32</v>
      </c>
      <c r="D82">
        <v>14.55</v>
      </c>
      <c r="E82" t="s">
        <v>32</v>
      </c>
      <c r="F82" t="s">
        <v>32</v>
      </c>
      <c r="G82" t="s">
        <v>32</v>
      </c>
      <c r="H82">
        <v>0</v>
      </c>
      <c r="I82">
        <v>0</v>
      </c>
      <c r="J82" t="s">
        <v>32</v>
      </c>
      <c r="K82">
        <v>0</v>
      </c>
      <c r="L82" t="s">
        <v>32</v>
      </c>
      <c r="M82" t="s">
        <v>32</v>
      </c>
      <c r="N82" t="s">
        <v>32</v>
      </c>
      <c r="O82">
        <v>14.55</v>
      </c>
      <c r="P82">
        <v>86.27</v>
      </c>
      <c r="Q82">
        <v>0</v>
      </c>
      <c r="R82">
        <v>0</v>
      </c>
      <c r="S82" t="s">
        <v>145</v>
      </c>
      <c r="T82" t="s">
        <v>176</v>
      </c>
      <c r="U82">
        <v>0</v>
      </c>
      <c r="V82">
        <v>14.55</v>
      </c>
      <c r="W82">
        <v>0</v>
      </c>
      <c r="X82">
        <v>0</v>
      </c>
      <c r="Y82" t="s">
        <v>32</v>
      </c>
      <c r="Z82">
        <v>0</v>
      </c>
      <c r="AA82">
        <v>0</v>
      </c>
      <c r="AB82" t="s">
        <v>32</v>
      </c>
      <c r="AC82">
        <v>4.47</v>
      </c>
    </row>
    <row r="83" spans="1:29">
      <c r="A83" t="str">
        <f>"000409"</f>
        <v>000409</v>
      </c>
      <c r="B83" t="s">
        <v>177</v>
      </c>
      <c r="C83">
        <v>2.61</v>
      </c>
      <c r="D83">
        <v>3.15</v>
      </c>
      <c r="E83">
        <v>0.08</v>
      </c>
      <c r="F83">
        <v>3.14</v>
      </c>
      <c r="G83">
        <v>3.15</v>
      </c>
      <c r="H83">
        <v>49058</v>
      </c>
      <c r="I83">
        <v>114</v>
      </c>
      <c r="J83">
        <v>0.32</v>
      </c>
      <c r="K83">
        <v>1.24</v>
      </c>
      <c r="L83">
        <v>3.08</v>
      </c>
      <c r="M83">
        <v>3.17</v>
      </c>
      <c r="N83">
        <v>3.05</v>
      </c>
      <c r="O83">
        <v>3.07</v>
      </c>
      <c r="P83" t="s">
        <v>32</v>
      </c>
      <c r="Q83">
        <v>15251194</v>
      </c>
      <c r="R83">
        <v>0.9</v>
      </c>
      <c r="S83" t="s">
        <v>47</v>
      </c>
      <c r="T83" t="s">
        <v>162</v>
      </c>
      <c r="U83">
        <v>3.91</v>
      </c>
      <c r="V83">
        <v>3.11</v>
      </c>
      <c r="W83">
        <v>18420</v>
      </c>
      <c r="X83">
        <v>30638</v>
      </c>
      <c r="Y83">
        <v>0.6</v>
      </c>
      <c r="Z83">
        <v>2768</v>
      </c>
      <c r="AA83">
        <v>52</v>
      </c>
      <c r="AB83" t="s">
        <v>32</v>
      </c>
      <c r="AC83">
        <v>3.96</v>
      </c>
    </row>
    <row r="84" spans="1:29">
      <c r="A84" t="str">
        <f>"000410"</f>
        <v>000410</v>
      </c>
      <c r="B84" t="s">
        <v>178</v>
      </c>
      <c r="C84">
        <v>1.21</v>
      </c>
      <c r="D84">
        <v>8.35</v>
      </c>
      <c r="E84">
        <v>0.1</v>
      </c>
      <c r="F84">
        <v>8.35</v>
      </c>
      <c r="G84">
        <v>8.36</v>
      </c>
      <c r="H84">
        <v>101717</v>
      </c>
      <c r="I84">
        <v>1347</v>
      </c>
      <c r="J84">
        <v>0.12</v>
      </c>
      <c r="K84">
        <v>1.37</v>
      </c>
      <c r="L84">
        <v>8.17</v>
      </c>
      <c r="M84">
        <v>8.4</v>
      </c>
      <c r="N84">
        <v>8.13</v>
      </c>
      <c r="O84">
        <v>8.25</v>
      </c>
      <c r="P84">
        <v>124.94</v>
      </c>
      <c r="Q84">
        <v>84579224</v>
      </c>
      <c r="R84">
        <v>1.1</v>
      </c>
      <c r="S84" t="s">
        <v>179</v>
      </c>
      <c r="T84" t="s">
        <v>111</v>
      </c>
      <c r="U84">
        <v>3.27</v>
      </c>
      <c r="V84">
        <v>8.32</v>
      </c>
      <c r="W84">
        <v>53039</v>
      </c>
      <c r="X84">
        <v>48678</v>
      </c>
      <c r="Y84">
        <v>1.09</v>
      </c>
      <c r="Z84">
        <v>46</v>
      </c>
      <c r="AA84">
        <v>1088</v>
      </c>
      <c r="AB84" t="s">
        <v>32</v>
      </c>
      <c r="AC84">
        <v>7.4</v>
      </c>
    </row>
    <row r="85" spans="1:29">
      <c r="A85" t="str">
        <f>"000411"</f>
        <v>000411</v>
      </c>
      <c r="B85" t="s">
        <v>180</v>
      </c>
      <c r="C85">
        <v>4.01</v>
      </c>
      <c r="D85">
        <v>14.28</v>
      </c>
      <c r="E85">
        <v>0.55</v>
      </c>
      <c r="F85">
        <v>14.28</v>
      </c>
      <c r="G85">
        <v>14.29</v>
      </c>
      <c r="H85">
        <v>66636</v>
      </c>
      <c r="I85">
        <v>716</v>
      </c>
      <c r="J85">
        <v>0</v>
      </c>
      <c r="K85">
        <v>3.21</v>
      </c>
      <c r="L85">
        <v>13.43</v>
      </c>
      <c r="M85">
        <v>14.48</v>
      </c>
      <c r="N85">
        <v>13.42</v>
      </c>
      <c r="O85">
        <v>13.73</v>
      </c>
      <c r="P85">
        <v>32.09</v>
      </c>
      <c r="Q85">
        <v>93012240</v>
      </c>
      <c r="R85">
        <v>0.7</v>
      </c>
      <c r="S85" t="s">
        <v>77</v>
      </c>
      <c r="T85" t="s">
        <v>149</v>
      </c>
      <c r="U85">
        <v>7.72</v>
      </c>
      <c r="V85">
        <v>13.96</v>
      </c>
      <c r="W85">
        <v>32828</v>
      </c>
      <c r="X85">
        <v>33807</v>
      </c>
      <c r="Y85">
        <v>0.97</v>
      </c>
      <c r="Z85">
        <v>574</v>
      </c>
      <c r="AA85">
        <v>340</v>
      </c>
      <c r="AB85" t="s">
        <v>32</v>
      </c>
      <c r="AC85">
        <v>2.07</v>
      </c>
    </row>
    <row r="86" spans="1:29">
      <c r="A86" t="str">
        <f>"000413"</f>
        <v>000413</v>
      </c>
      <c r="B86" t="s">
        <v>181</v>
      </c>
      <c r="C86">
        <v>1.78</v>
      </c>
      <c r="D86">
        <v>6.28</v>
      </c>
      <c r="E86">
        <v>0.11</v>
      </c>
      <c r="F86">
        <v>6.28</v>
      </c>
      <c r="G86">
        <v>6.29</v>
      </c>
      <c r="H86">
        <v>725171</v>
      </c>
      <c r="I86">
        <v>5320</v>
      </c>
      <c r="J86">
        <v>0</v>
      </c>
      <c r="K86">
        <v>1.77</v>
      </c>
      <c r="L86">
        <v>6.16</v>
      </c>
      <c r="M86">
        <v>6.32</v>
      </c>
      <c r="N86">
        <v>6.15</v>
      </c>
      <c r="O86">
        <v>6.17</v>
      </c>
      <c r="P86">
        <v>21.2</v>
      </c>
      <c r="Q86">
        <v>454350272</v>
      </c>
      <c r="R86">
        <v>1.13</v>
      </c>
      <c r="S86" t="s">
        <v>63</v>
      </c>
      <c r="T86" t="s">
        <v>154</v>
      </c>
      <c r="U86">
        <v>2.76</v>
      </c>
      <c r="V86">
        <v>6.27</v>
      </c>
      <c r="W86">
        <v>338744</v>
      </c>
      <c r="X86">
        <v>386426</v>
      </c>
      <c r="Y86">
        <v>0.88</v>
      </c>
      <c r="Z86">
        <v>4124</v>
      </c>
      <c r="AA86">
        <v>5475</v>
      </c>
      <c r="AB86" t="s">
        <v>32</v>
      </c>
      <c r="AC86">
        <v>40.95</v>
      </c>
    </row>
    <row r="87" spans="1:29">
      <c r="A87" t="str">
        <f>"000415"</f>
        <v>000415</v>
      </c>
      <c r="B87" t="s">
        <v>182</v>
      </c>
      <c r="C87">
        <v>1.65</v>
      </c>
      <c r="D87">
        <v>4.3</v>
      </c>
      <c r="E87">
        <v>0.07</v>
      </c>
      <c r="F87">
        <v>4.29</v>
      </c>
      <c r="G87">
        <v>4.3</v>
      </c>
      <c r="H87">
        <v>447237</v>
      </c>
      <c r="I87">
        <v>2819</v>
      </c>
      <c r="J87">
        <v>0.23</v>
      </c>
      <c r="K87">
        <v>1.26</v>
      </c>
      <c r="L87">
        <v>4.24</v>
      </c>
      <c r="M87">
        <v>4.34</v>
      </c>
      <c r="N87">
        <v>4.24</v>
      </c>
      <c r="O87">
        <v>4.23</v>
      </c>
      <c r="P87">
        <v>12.26</v>
      </c>
      <c r="Q87">
        <v>191995552</v>
      </c>
      <c r="R87">
        <v>0.62</v>
      </c>
      <c r="S87" t="s">
        <v>183</v>
      </c>
      <c r="T87" t="s">
        <v>156</v>
      </c>
      <c r="U87">
        <v>2.36</v>
      </c>
      <c r="V87">
        <v>4.29</v>
      </c>
      <c r="W87">
        <v>224181</v>
      </c>
      <c r="X87">
        <v>223056</v>
      </c>
      <c r="Y87">
        <v>1.01</v>
      </c>
      <c r="Z87">
        <v>2781</v>
      </c>
      <c r="AA87">
        <v>6570</v>
      </c>
      <c r="AB87" t="s">
        <v>32</v>
      </c>
      <c r="AC87">
        <v>35.48</v>
      </c>
    </row>
    <row r="88" spans="1:29">
      <c r="A88" t="str">
        <f>"000416"</f>
        <v>000416</v>
      </c>
      <c r="B88" t="s">
        <v>184</v>
      </c>
      <c r="C88">
        <v>-2.19</v>
      </c>
      <c r="D88">
        <v>5.36</v>
      </c>
      <c r="E88">
        <v>-0.12</v>
      </c>
      <c r="F88">
        <v>5.36</v>
      </c>
      <c r="G88">
        <v>5.37</v>
      </c>
      <c r="H88">
        <v>166413</v>
      </c>
      <c r="I88">
        <v>2209</v>
      </c>
      <c r="J88">
        <v>-0.18</v>
      </c>
      <c r="K88">
        <v>3.13</v>
      </c>
      <c r="L88">
        <v>5.3</v>
      </c>
      <c r="M88">
        <v>5.46</v>
      </c>
      <c r="N88">
        <v>5.25</v>
      </c>
      <c r="O88">
        <v>5.48</v>
      </c>
      <c r="P88">
        <v>215.63</v>
      </c>
      <c r="Q88">
        <v>88950280</v>
      </c>
      <c r="R88">
        <v>1.08</v>
      </c>
      <c r="S88" t="s">
        <v>183</v>
      </c>
      <c r="T88" t="s">
        <v>162</v>
      </c>
      <c r="U88">
        <v>3.83</v>
      </c>
      <c r="V88">
        <v>5.35</v>
      </c>
      <c r="W88">
        <v>101881</v>
      </c>
      <c r="X88">
        <v>64532</v>
      </c>
      <c r="Y88">
        <v>1.58</v>
      </c>
      <c r="Z88">
        <v>1261</v>
      </c>
      <c r="AA88">
        <v>1499</v>
      </c>
      <c r="AB88" t="s">
        <v>32</v>
      </c>
      <c r="AC88">
        <v>5.32</v>
      </c>
    </row>
    <row r="89" spans="1:29">
      <c r="A89" t="str">
        <f>"000417"</f>
        <v>000417</v>
      </c>
      <c r="B89" t="s">
        <v>185</v>
      </c>
      <c r="C89">
        <v>2.1</v>
      </c>
      <c r="D89">
        <v>5.83</v>
      </c>
      <c r="E89">
        <v>0.12</v>
      </c>
      <c r="F89">
        <v>5.82</v>
      </c>
      <c r="G89">
        <v>5.83</v>
      </c>
      <c r="H89">
        <v>78149</v>
      </c>
      <c r="I89">
        <v>658</v>
      </c>
      <c r="J89">
        <v>0.34</v>
      </c>
      <c r="K89">
        <v>1</v>
      </c>
      <c r="L89">
        <v>5.71</v>
      </c>
      <c r="M89">
        <v>5.86</v>
      </c>
      <c r="N89">
        <v>5.68</v>
      </c>
      <c r="O89">
        <v>5.71</v>
      </c>
      <c r="P89">
        <v>10.02</v>
      </c>
      <c r="Q89">
        <v>45259760</v>
      </c>
      <c r="R89">
        <v>2.65</v>
      </c>
      <c r="S89" t="s">
        <v>186</v>
      </c>
      <c r="T89" t="s">
        <v>143</v>
      </c>
      <c r="U89">
        <v>3.15</v>
      </c>
      <c r="V89">
        <v>5.79</v>
      </c>
      <c r="W89">
        <v>36287</v>
      </c>
      <c r="X89">
        <v>41862</v>
      </c>
      <c r="Y89">
        <v>0.87</v>
      </c>
      <c r="Z89">
        <v>560</v>
      </c>
      <c r="AA89">
        <v>1210</v>
      </c>
      <c r="AB89" t="s">
        <v>32</v>
      </c>
      <c r="AC89">
        <v>7.79</v>
      </c>
    </row>
    <row r="90" spans="1:29">
      <c r="A90" t="str">
        <f>"000418"</f>
        <v>000418</v>
      </c>
      <c r="B90" t="s">
        <v>187</v>
      </c>
      <c r="C90">
        <v>3.26</v>
      </c>
      <c r="D90">
        <v>60.25</v>
      </c>
      <c r="E90">
        <v>1.9</v>
      </c>
      <c r="F90">
        <v>60.21</v>
      </c>
      <c r="G90">
        <v>60.25</v>
      </c>
      <c r="H90">
        <v>26447</v>
      </c>
      <c r="I90">
        <v>297</v>
      </c>
      <c r="J90">
        <v>0.13</v>
      </c>
      <c r="K90">
        <v>0.6</v>
      </c>
      <c r="L90">
        <v>58.4</v>
      </c>
      <c r="M90">
        <v>60.45</v>
      </c>
      <c r="N90">
        <v>58.39</v>
      </c>
      <c r="O90">
        <v>58.35</v>
      </c>
      <c r="P90">
        <v>18.64</v>
      </c>
      <c r="Q90">
        <v>158341408</v>
      </c>
      <c r="R90">
        <v>1.38</v>
      </c>
      <c r="S90" t="s">
        <v>55</v>
      </c>
      <c r="T90" t="s">
        <v>87</v>
      </c>
      <c r="U90">
        <v>3.53</v>
      </c>
      <c r="V90">
        <v>59.87</v>
      </c>
      <c r="W90">
        <v>11821</v>
      </c>
      <c r="X90">
        <v>14626</v>
      </c>
      <c r="Y90">
        <v>0.81</v>
      </c>
      <c r="Z90">
        <v>2</v>
      </c>
      <c r="AA90">
        <v>123</v>
      </c>
      <c r="AB90" t="s">
        <v>32</v>
      </c>
      <c r="AC90">
        <v>4.39</v>
      </c>
    </row>
    <row r="91" spans="1:29">
      <c r="A91" t="str">
        <f>"000419"</f>
        <v>000419</v>
      </c>
      <c r="B91" t="s">
        <v>188</v>
      </c>
      <c r="C91">
        <v>1.61</v>
      </c>
      <c r="D91">
        <v>5.04</v>
      </c>
      <c r="E91">
        <v>0.08</v>
      </c>
      <c r="F91">
        <v>5.03</v>
      </c>
      <c r="G91">
        <v>5.04</v>
      </c>
      <c r="H91">
        <v>29156</v>
      </c>
      <c r="I91">
        <v>57</v>
      </c>
      <c r="J91">
        <v>0.4</v>
      </c>
      <c r="K91">
        <v>0.54</v>
      </c>
      <c r="L91">
        <v>4.97</v>
      </c>
      <c r="M91">
        <v>5.04</v>
      </c>
      <c r="N91">
        <v>4.95</v>
      </c>
      <c r="O91">
        <v>4.96</v>
      </c>
      <c r="P91">
        <v>16.28</v>
      </c>
      <c r="Q91">
        <v>14604197</v>
      </c>
      <c r="R91">
        <v>1.45</v>
      </c>
      <c r="S91" t="s">
        <v>186</v>
      </c>
      <c r="T91" t="s">
        <v>152</v>
      </c>
      <c r="U91">
        <v>1.81</v>
      </c>
      <c r="V91">
        <v>5.01</v>
      </c>
      <c r="W91">
        <v>12887</v>
      </c>
      <c r="X91">
        <v>16268</v>
      </c>
      <c r="Y91">
        <v>0.79</v>
      </c>
      <c r="Z91">
        <v>58</v>
      </c>
      <c r="AA91">
        <v>1458</v>
      </c>
      <c r="AB91" t="s">
        <v>32</v>
      </c>
      <c r="AC91">
        <v>5.43</v>
      </c>
    </row>
    <row r="92" spans="1:29">
      <c r="A92" t="str">
        <f>"000420"</f>
        <v>000420</v>
      </c>
      <c r="B92" t="s">
        <v>189</v>
      </c>
      <c r="C92">
        <v>1.69</v>
      </c>
      <c r="D92">
        <v>2.4</v>
      </c>
      <c r="E92">
        <v>0.04</v>
      </c>
      <c r="F92">
        <v>2.39</v>
      </c>
      <c r="G92">
        <v>2.4</v>
      </c>
      <c r="H92">
        <v>102885</v>
      </c>
      <c r="I92">
        <v>1722</v>
      </c>
      <c r="J92">
        <v>0</v>
      </c>
      <c r="K92">
        <v>0.62</v>
      </c>
      <c r="L92">
        <v>2.36</v>
      </c>
      <c r="M92">
        <v>2.4</v>
      </c>
      <c r="N92">
        <v>2.35</v>
      </c>
      <c r="O92">
        <v>2.36</v>
      </c>
      <c r="P92">
        <v>113.9</v>
      </c>
      <c r="Q92">
        <v>24558016</v>
      </c>
      <c r="R92">
        <v>1.51</v>
      </c>
      <c r="S92" t="s">
        <v>190</v>
      </c>
      <c r="T92" t="s">
        <v>81</v>
      </c>
      <c r="U92">
        <v>2.12</v>
      </c>
      <c r="V92">
        <v>2.39</v>
      </c>
      <c r="W92">
        <v>39479</v>
      </c>
      <c r="X92">
        <v>63406</v>
      </c>
      <c r="Y92">
        <v>0.62</v>
      </c>
      <c r="Z92">
        <v>5704</v>
      </c>
      <c r="AA92">
        <v>3289</v>
      </c>
      <c r="AB92" t="s">
        <v>32</v>
      </c>
      <c r="AC92">
        <v>16.63</v>
      </c>
    </row>
    <row r="93" spans="1:29">
      <c r="A93" t="str">
        <f>"000421"</f>
        <v>000421</v>
      </c>
      <c r="B93" t="s">
        <v>191</v>
      </c>
      <c r="C93">
        <v>1.47</v>
      </c>
      <c r="D93">
        <v>4.82</v>
      </c>
      <c r="E93">
        <v>0.07</v>
      </c>
      <c r="F93">
        <v>4.82</v>
      </c>
      <c r="G93">
        <v>4.83</v>
      </c>
      <c r="H93">
        <v>43863</v>
      </c>
      <c r="I93">
        <v>648</v>
      </c>
      <c r="J93">
        <v>-0.2</v>
      </c>
      <c r="K93">
        <v>0.77</v>
      </c>
      <c r="L93">
        <v>4.75</v>
      </c>
      <c r="M93">
        <v>4.84</v>
      </c>
      <c r="N93">
        <v>4.73</v>
      </c>
      <c r="O93">
        <v>4.75</v>
      </c>
      <c r="P93">
        <v>11.8</v>
      </c>
      <c r="Q93">
        <v>21030730</v>
      </c>
      <c r="R93">
        <v>2.13</v>
      </c>
      <c r="S93" t="s">
        <v>174</v>
      </c>
      <c r="T93" t="s">
        <v>87</v>
      </c>
      <c r="U93">
        <v>2.32</v>
      </c>
      <c r="V93">
        <v>4.79</v>
      </c>
      <c r="W93">
        <v>19003</v>
      </c>
      <c r="X93">
        <v>24860</v>
      </c>
      <c r="Y93">
        <v>0.76</v>
      </c>
      <c r="Z93">
        <v>263</v>
      </c>
      <c r="AA93">
        <v>202</v>
      </c>
      <c r="AB93" t="s">
        <v>32</v>
      </c>
      <c r="AC93">
        <v>5.73</v>
      </c>
    </row>
    <row r="94" spans="1:29">
      <c r="A94" t="str">
        <f>"000422"</f>
        <v>000422</v>
      </c>
      <c r="B94" t="s">
        <v>192</v>
      </c>
      <c r="C94">
        <v>1.24</v>
      </c>
      <c r="D94">
        <v>2.44</v>
      </c>
      <c r="E94">
        <v>0.03</v>
      </c>
      <c r="F94">
        <v>2.44</v>
      </c>
      <c r="G94">
        <v>2.45</v>
      </c>
      <c r="H94">
        <v>125363</v>
      </c>
      <c r="I94">
        <v>2872</v>
      </c>
      <c r="J94">
        <v>0</v>
      </c>
      <c r="K94">
        <v>1.4</v>
      </c>
      <c r="L94">
        <v>2.41</v>
      </c>
      <c r="M94">
        <v>2.47</v>
      </c>
      <c r="N94">
        <v>2.39</v>
      </c>
      <c r="O94">
        <v>2.41</v>
      </c>
      <c r="P94" t="s">
        <v>32</v>
      </c>
      <c r="Q94">
        <v>30412440</v>
      </c>
      <c r="R94">
        <v>0.53</v>
      </c>
      <c r="S94" t="s">
        <v>145</v>
      </c>
      <c r="T94" t="s">
        <v>193</v>
      </c>
      <c r="U94">
        <v>3.32</v>
      </c>
      <c r="V94">
        <v>2.43</v>
      </c>
      <c r="W94">
        <v>69026</v>
      </c>
      <c r="X94">
        <v>56336</v>
      </c>
      <c r="Y94">
        <v>1.23</v>
      </c>
      <c r="Z94">
        <v>578</v>
      </c>
      <c r="AA94">
        <v>3953</v>
      </c>
      <c r="AB94" t="s">
        <v>32</v>
      </c>
      <c r="AC94">
        <v>8.98</v>
      </c>
    </row>
    <row r="95" spans="1:29">
      <c r="A95" t="str">
        <f>"000423"</f>
        <v>000423</v>
      </c>
      <c r="B95" t="s">
        <v>194</v>
      </c>
      <c r="C95">
        <v>1.44</v>
      </c>
      <c r="D95">
        <v>53.6</v>
      </c>
      <c r="E95">
        <v>0.76</v>
      </c>
      <c r="F95">
        <v>53.59</v>
      </c>
      <c r="G95">
        <v>53.6</v>
      </c>
      <c r="H95">
        <v>39724</v>
      </c>
      <c r="I95">
        <v>342</v>
      </c>
      <c r="J95">
        <v>0.04</v>
      </c>
      <c r="K95">
        <v>0.61</v>
      </c>
      <c r="L95">
        <v>52.6</v>
      </c>
      <c r="M95">
        <v>53.66</v>
      </c>
      <c r="N95">
        <v>52.28</v>
      </c>
      <c r="O95">
        <v>52.84</v>
      </c>
      <c r="P95">
        <v>14.38</v>
      </c>
      <c r="Q95">
        <v>211337600</v>
      </c>
      <c r="R95">
        <v>1.69</v>
      </c>
      <c r="S95" t="s">
        <v>195</v>
      </c>
      <c r="T95" t="s">
        <v>162</v>
      </c>
      <c r="U95">
        <v>2.61</v>
      </c>
      <c r="V95">
        <v>53.2</v>
      </c>
      <c r="W95">
        <v>19726</v>
      </c>
      <c r="X95">
        <v>19998</v>
      </c>
      <c r="Y95">
        <v>0.99</v>
      </c>
      <c r="Z95">
        <v>18</v>
      </c>
      <c r="AA95">
        <v>430</v>
      </c>
      <c r="AB95" t="s">
        <v>32</v>
      </c>
      <c r="AC95">
        <v>6.54</v>
      </c>
    </row>
    <row r="96" spans="1:29">
      <c r="A96" t="str">
        <f>"000425"</f>
        <v>000425</v>
      </c>
      <c r="B96" t="s">
        <v>196</v>
      </c>
      <c r="C96">
        <v>2.46</v>
      </c>
      <c r="D96">
        <v>4.16</v>
      </c>
      <c r="E96">
        <v>0.1</v>
      </c>
      <c r="F96">
        <v>4.16</v>
      </c>
      <c r="G96">
        <v>4.17</v>
      </c>
      <c r="H96">
        <v>1262520</v>
      </c>
      <c r="I96">
        <v>7362</v>
      </c>
      <c r="J96">
        <v>0.24</v>
      </c>
      <c r="K96">
        <v>1.81</v>
      </c>
      <c r="L96">
        <v>4.07</v>
      </c>
      <c r="M96">
        <v>4.23</v>
      </c>
      <c r="N96">
        <v>4.07</v>
      </c>
      <c r="O96">
        <v>4.06</v>
      </c>
      <c r="P96">
        <v>14.03</v>
      </c>
      <c r="Q96">
        <v>526396128</v>
      </c>
      <c r="R96">
        <v>2.86</v>
      </c>
      <c r="S96" t="s">
        <v>151</v>
      </c>
      <c r="T96" t="s">
        <v>87</v>
      </c>
      <c r="U96">
        <v>3.94</v>
      </c>
      <c r="V96">
        <v>4.17</v>
      </c>
      <c r="W96">
        <v>621907</v>
      </c>
      <c r="X96">
        <v>640613</v>
      </c>
      <c r="Y96">
        <v>0.97</v>
      </c>
      <c r="Z96">
        <v>4380</v>
      </c>
      <c r="AA96">
        <v>6908</v>
      </c>
      <c r="AB96" t="s">
        <v>32</v>
      </c>
      <c r="AC96">
        <v>69.94</v>
      </c>
    </row>
    <row r="97" spans="1:29">
      <c r="A97" t="str">
        <f>"000426"</f>
        <v>000426</v>
      </c>
      <c r="B97" t="s">
        <v>197</v>
      </c>
      <c r="C97" t="s">
        <v>32</v>
      </c>
      <c r="D97">
        <v>7.21</v>
      </c>
      <c r="E97" t="s">
        <v>32</v>
      </c>
      <c r="F97" t="s">
        <v>32</v>
      </c>
      <c r="G97" t="s">
        <v>32</v>
      </c>
      <c r="H97">
        <v>0</v>
      </c>
      <c r="I97">
        <v>0</v>
      </c>
      <c r="J97" t="s">
        <v>32</v>
      </c>
      <c r="K97">
        <v>0</v>
      </c>
      <c r="L97" t="s">
        <v>32</v>
      </c>
      <c r="M97" t="s">
        <v>32</v>
      </c>
      <c r="N97" t="s">
        <v>32</v>
      </c>
      <c r="O97">
        <v>7.21</v>
      </c>
      <c r="P97">
        <v>28.51</v>
      </c>
      <c r="Q97">
        <v>0</v>
      </c>
      <c r="R97">
        <v>0</v>
      </c>
      <c r="S97" t="s">
        <v>113</v>
      </c>
      <c r="T97" t="s">
        <v>198</v>
      </c>
      <c r="U97">
        <v>0</v>
      </c>
      <c r="V97">
        <v>7.21</v>
      </c>
      <c r="W97">
        <v>0</v>
      </c>
      <c r="X97">
        <v>0</v>
      </c>
      <c r="Y97" t="s">
        <v>32</v>
      </c>
      <c r="Z97">
        <v>0</v>
      </c>
      <c r="AA97">
        <v>0</v>
      </c>
      <c r="AB97" t="s">
        <v>32</v>
      </c>
      <c r="AC97">
        <v>13.3</v>
      </c>
    </row>
    <row r="98" spans="1:29">
      <c r="A98" t="str">
        <f>"000428"</f>
        <v>000428</v>
      </c>
      <c r="B98" t="s">
        <v>199</v>
      </c>
      <c r="C98">
        <v>1.41</v>
      </c>
      <c r="D98">
        <v>2.88</v>
      </c>
      <c r="E98">
        <v>0.04</v>
      </c>
      <c r="F98">
        <v>2.88</v>
      </c>
      <c r="G98">
        <v>2.89</v>
      </c>
      <c r="H98">
        <v>27815</v>
      </c>
      <c r="I98">
        <v>845</v>
      </c>
      <c r="J98">
        <v>-0.34</v>
      </c>
      <c r="K98">
        <v>0.39</v>
      </c>
      <c r="L98">
        <v>2.84</v>
      </c>
      <c r="M98">
        <v>2.9</v>
      </c>
      <c r="N98">
        <v>2.82</v>
      </c>
      <c r="O98">
        <v>2.84</v>
      </c>
      <c r="P98" t="s">
        <v>32</v>
      </c>
      <c r="Q98">
        <v>7992892</v>
      </c>
      <c r="R98">
        <v>1.36</v>
      </c>
      <c r="S98" t="s">
        <v>42</v>
      </c>
      <c r="T98" t="s">
        <v>152</v>
      </c>
      <c r="U98">
        <v>2.82</v>
      </c>
      <c r="V98">
        <v>2.87</v>
      </c>
      <c r="W98">
        <v>10706</v>
      </c>
      <c r="X98">
        <v>17108</v>
      </c>
      <c r="Y98">
        <v>0.63</v>
      </c>
      <c r="Z98">
        <v>573</v>
      </c>
      <c r="AA98">
        <v>627</v>
      </c>
      <c r="AB98" t="s">
        <v>32</v>
      </c>
      <c r="AC98">
        <v>7.19</v>
      </c>
    </row>
    <row r="99" spans="1:29">
      <c r="A99" t="str">
        <f>"000429"</f>
        <v>000429</v>
      </c>
      <c r="B99" t="s">
        <v>200</v>
      </c>
      <c r="C99">
        <v>-0.4</v>
      </c>
      <c r="D99">
        <v>7.4</v>
      </c>
      <c r="E99">
        <v>-0.03</v>
      </c>
      <c r="F99">
        <v>7.4</v>
      </c>
      <c r="G99">
        <v>7.46</v>
      </c>
      <c r="H99">
        <v>50963</v>
      </c>
      <c r="I99">
        <v>2000</v>
      </c>
      <c r="J99">
        <v>-0.39</v>
      </c>
      <c r="K99">
        <v>1.09</v>
      </c>
      <c r="L99">
        <v>7.41</v>
      </c>
      <c r="M99">
        <v>7.58</v>
      </c>
      <c r="N99">
        <v>7.4</v>
      </c>
      <c r="O99">
        <v>7.43</v>
      </c>
      <c r="P99">
        <v>11.32</v>
      </c>
      <c r="Q99">
        <v>38222804</v>
      </c>
      <c r="R99">
        <v>1.44</v>
      </c>
      <c r="S99" t="s">
        <v>201</v>
      </c>
      <c r="T99" t="s">
        <v>136</v>
      </c>
      <c r="U99">
        <v>2.42</v>
      </c>
      <c r="V99">
        <v>7.5</v>
      </c>
      <c r="W99">
        <v>19224</v>
      </c>
      <c r="X99">
        <v>31738</v>
      </c>
      <c r="Y99">
        <v>0.61</v>
      </c>
      <c r="Z99">
        <v>1829</v>
      </c>
      <c r="AA99">
        <v>8</v>
      </c>
      <c r="AB99" t="s">
        <v>32</v>
      </c>
      <c r="AC99">
        <v>4.69</v>
      </c>
    </row>
    <row r="100" spans="1:29">
      <c r="A100" t="str">
        <f>"000430"</f>
        <v>000430</v>
      </c>
      <c r="B100" t="s">
        <v>202</v>
      </c>
      <c r="C100">
        <v>0.3</v>
      </c>
      <c r="D100">
        <v>6.79</v>
      </c>
      <c r="E100">
        <v>0.02</v>
      </c>
      <c r="F100">
        <v>6.78</v>
      </c>
      <c r="G100">
        <v>6.79</v>
      </c>
      <c r="H100">
        <v>14935</v>
      </c>
      <c r="I100">
        <v>180</v>
      </c>
      <c r="J100">
        <v>0.15</v>
      </c>
      <c r="K100">
        <v>0.45</v>
      </c>
      <c r="L100">
        <v>6.74</v>
      </c>
      <c r="M100">
        <v>6.8</v>
      </c>
      <c r="N100">
        <v>6.67</v>
      </c>
      <c r="O100">
        <v>6.77</v>
      </c>
      <c r="P100" t="s">
        <v>32</v>
      </c>
      <c r="Q100">
        <v>10074916</v>
      </c>
      <c r="R100">
        <v>1.78</v>
      </c>
      <c r="S100" t="s">
        <v>124</v>
      </c>
      <c r="T100" t="s">
        <v>152</v>
      </c>
      <c r="U100">
        <v>1.92</v>
      </c>
      <c r="V100">
        <v>6.75</v>
      </c>
      <c r="W100">
        <v>8248</v>
      </c>
      <c r="X100">
        <v>6687</v>
      </c>
      <c r="Y100">
        <v>1.23</v>
      </c>
      <c r="Z100">
        <v>649</v>
      </c>
      <c r="AA100">
        <v>641</v>
      </c>
      <c r="AB100" t="s">
        <v>32</v>
      </c>
      <c r="AC100">
        <v>3.32</v>
      </c>
    </row>
    <row r="101" spans="1:29">
      <c r="A101" t="str">
        <f>"000488"</f>
        <v>000488</v>
      </c>
      <c r="B101" t="s">
        <v>203</v>
      </c>
      <c r="C101">
        <v>5.06</v>
      </c>
      <c r="D101">
        <v>12.88</v>
      </c>
      <c r="E101">
        <v>0.62</v>
      </c>
      <c r="F101">
        <v>12.88</v>
      </c>
      <c r="G101">
        <v>12.89</v>
      </c>
      <c r="H101">
        <v>371847</v>
      </c>
      <c r="I101">
        <v>2793</v>
      </c>
      <c r="J101">
        <v>0</v>
      </c>
      <c r="K101">
        <v>3.36</v>
      </c>
      <c r="L101">
        <v>12.28</v>
      </c>
      <c r="M101">
        <v>12.9</v>
      </c>
      <c r="N101">
        <v>12.27</v>
      </c>
      <c r="O101">
        <v>12.26</v>
      </c>
      <c r="P101">
        <v>7.97</v>
      </c>
      <c r="Q101">
        <v>471757696</v>
      </c>
      <c r="R101">
        <v>2.59</v>
      </c>
      <c r="S101" t="s">
        <v>204</v>
      </c>
      <c r="T101" t="s">
        <v>162</v>
      </c>
      <c r="U101">
        <v>5.14</v>
      </c>
      <c r="V101">
        <v>12.69</v>
      </c>
      <c r="W101">
        <v>168700</v>
      </c>
      <c r="X101">
        <v>203146</v>
      </c>
      <c r="Y101">
        <v>0.83</v>
      </c>
      <c r="Z101">
        <v>1666</v>
      </c>
      <c r="AA101">
        <v>809</v>
      </c>
      <c r="AB101" t="s">
        <v>32</v>
      </c>
      <c r="AC101">
        <v>11.05</v>
      </c>
    </row>
    <row r="102" spans="1:29">
      <c r="A102" t="str">
        <f>"000498"</f>
        <v>000498</v>
      </c>
      <c r="B102" t="s">
        <v>205</v>
      </c>
      <c r="C102">
        <v>10.07</v>
      </c>
      <c r="D102">
        <v>4.48</v>
      </c>
      <c r="E102">
        <v>0.41</v>
      </c>
      <c r="F102">
        <v>4.48</v>
      </c>
      <c r="G102" t="s">
        <v>32</v>
      </c>
      <c r="H102">
        <v>87943</v>
      </c>
      <c r="I102">
        <v>173</v>
      </c>
      <c r="J102">
        <v>0</v>
      </c>
      <c r="K102">
        <v>2</v>
      </c>
      <c r="L102">
        <v>4.28</v>
      </c>
      <c r="M102">
        <v>4.48</v>
      </c>
      <c r="N102">
        <v>4.28</v>
      </c>
      <c r="O102">
        <v>4.07</v>
      </c>
      <c r="P102">
        <v>38.89</v>
      </c>
      <c r="Q102">
        <v>39097052</v>
      </c>
      <c r="R102">
        <v>1.2</v>
      </c>
      <c r="S102" t="s">
        <v>49</v>
      </c>
      <c r="T102" t="s">
        <v>162</v>
      </c>
      <c r="U102">
        <v>4.91</v>
      </c>
      <c r="V102">
        <v>4.45</v>
      </c>
      <c r="W102">
        <v>58304</v>
      </c>
      <c r="X102">
        <v>29639</v>
      </c>
      <c r="Y102">
        <v>1.97</v>
      </c>
      <c r="Z102">
        <v>41683</v>
      </c>
      <c r="AA102">
        <v>0</v>
      </c>
      <c r="AB102" t="s">
        <v>32</v>
      </c>
      <c r="AC102">
        <v>4.41</v>
      </c>
    </row>
    <row r="103" spans="1:29">
      <c r="A103" t="str">
        <f>"000501"</f>
        <v>000501</v>
      </c>
      <c r="B103" t="s">
        <v>206</v>
      </c>
      <c r="C103">
        <v>1.98</v>
      </c>
      <c r="D103">
        <v>11.85</v>
      </c>
      <c r="E103">
        <v>0.23</v>
      </c>
      <c r="F103">
        <v>11.84</v>
      </c>
      <c r="G103">
        <v>11.85</v>
      </c>
      <c r="H103">
        <v>48250</v>
      </c>
      <c r="I103">
        <v>188</v>
      </c>
      <c r="J103">
        <v>-0.24</v>
      </c>
      <c r="K103">
        <v>0.71</v>
      </c>
      <c r="L103">
        <v>11.61</v>
      </c>
      <c r="M103">
        <v>11.95</v>
      </c>
      <c r="N103">
        <v>11.58</v>
      </c>
      <c r="O103">
        <v>11.62</v>
      </c>
      <c r="P103">
        <v>8</v>
      </c>
      <c r="Q103">
        <v>56943396</v>
      </c>
      <c r="R103">
        <v>1.47</v>
      </c>
      <c r="S103" t="s">
        <v>186</v>
      </c>
      <c r="T103" t="s">
        <v>193</v>
      </c>
      <c r="U103">
        <v>3.18</v>
      </c>
      <c r="V103">
        <v>11.8</v>
      </c>
      <c r="W103">
        <v>19132</v>
      </c>
      <c r="X103">
        <v>29118</v>
      </c>
      <c r="Y103">
        <v>0.66</v>
      </c>
      <c r="Z103">
        <v>110</v>
      </c>
      <c r="AA103">
        <v>20</v>
      </c>
      <c r="AB103" t="s">
        <v>32</v>
      </c>
      <c r="AC103">
        <v>6.78</v>
      </c>
    </row>
    <row r="104" spans="1:29">
      <c r="A104" t="str">
        <f>"000502"</f>
        <v>000502</v>
      </c>
      <c r="B104" t="s">
        <v>207</v>
      </c>
      <c r="C104">
        <v>2.08</v>
      </c>
      <c r="D104">
        <v>6.86</v>
      </c>
      <c r="E104">
        <v>0.14</v>
      </c>
      <c r="F104">
        <v>6.86</v>
      </c>
      <c r="G104">
        <v>6.87</v>
      </c>
      <c r="H104">
        <v>10191</v>
      </c>
      <c r="I104">
        <v>666</v>
      </c>
      <c r="J104">
        <v>0.15</v>
      </c>
      <c r="K104">
        <v>0.56</v>
      </c>
      <c r="L104">
        <v>6.76</v>
      </c>
      <c r="M104">
        <v>6.94</v>
      </c>
      <c r="N104">
        <v>6.76</v>
      </c>
      <c r="O104">
        <v>6.72</v>
      </c>
      <c r="P104" t="s">
        <v>32</v>
      </c>
      <c r="Q104">
        <v>6960365</v>
      </c>
      <c r="R104">
        <v>1.06</v>
      </c>
      <c r="S104" t="s">
        <v>138</v>
      </c>
      <c r="T104" t="s">
        <v>136</v>
      </c>
      <c r="U104">
        <v>2.68</v>
      </c>
      <c r="V104">
        <v>6.83</v>
      </c>
      <c r="W104">
        <v>4272</v>
      </c>
      <c r="X104">
        <v>5918</v>
      </c>
      <c r="Y104">
        <v>0.72</v>
      </c>
      <c r="Z104">
        <v>218</v>
      </c>
      <c r="AA104">
        <v>116</v>
      </c>
      <c r="AB104" t="s">
        <v>32</v>
      </c>
      <c r="AC104">
        <v>1.83</v>
      </c>
    </row>
    <row r="105" spans="1:29">
      <c r="A105" t="str">
        <f>"000503"</f>
        <v>000503</v>
      </c>
      <c r="B105" t="s">
        <v>208</v>
      </c>
      <c r="C105">
        <v>2.12</v>
      </c>
      <c r="D105">
        <v>30.4</v>
      </c>
      <c r="E105">
        <v>0.63</v>
      </c>
      <c r="F105">
        <v>30.36</v>
      </c>
      <c r="G105">
        <v>30.4</v>
      </c>
      <c r="H105">
        <v>80316</v>
      </c>
      <c r="I105">
        <v>1287</v>
      </c>
      <c r="J105">
        <v>0.26</v>
      </c>
      <c r="K105">
        <v>0.89</v>
      </c>
      <c r="L105">
        <v>29.62</v>
      </c>
      <c r="M105">
        <v>30.8</v>
      </c>
      <c r="N105">
        <v>29.49</v>
      </c>
      <c r="O105">
        <v>29.77</v>
      </c>
      <c r="P105" t="s">
        <v>32</v>
      </c>
      <c r="Q105">
        <v>242905904</v>
      </c>
      <c r="R105">
        <v>1.12</v>
      </c>
      <c r="S105" t="s">
        <v>138</v>
      </c>
      <c r="T105" t="s">
        <v>209</v>
      </c>
      <c r="U105">
        <v>4.4</v>
      </c>
      <c r="V105">
        <v>30.24</v>
      </c>
      <c r="W105">
        <v>37227</v>
      </c>
      <c r="X105">
        <v>43089</v>
      </c>
      <c r="Y105">
        <v>0.86</v>
      </c>
      <c r="Z105">
        <v>19</v>
      </c>
      <c r="AA105">
        <v>237</v>
      </c>
      <c r="AB105" t="s">
        <v>32</v>
      </c>
      <c r="AC105">
        <v>8.99</v>
      </c>
    </row>
    <row r="106" spans="1:29">
      <c r="A106" t="str">
        <f>"000504"</f>
        <v>000504</v>
      </c>
      <c r="B106" t="s">
        <v>210</v>
      </c>
      <c r="C106">
        <v>-1.08</v>
      </c>
      <c r="D106">
        <v>21.07</v>
      </c>
      <c r="E106">
        <v>-0.23</v>
      </c>
      <c r="F106">
        <v>21.06</v>
      </c>
      <c r="G106">
        <v>21.07</v>
      </c>
      <c r="H106">
        <v>17150</v>
      </c>
      <c r="I106">
        <v>537</v>
      </c>
      <c r="J106">
        <v>-0.42</v>
      </c>
      <c r="K106">
        <v>0.55</v>
      </c>
      <c r="L106">
        <v>21.28</v>
      </c>
      <c r="M106">
        <v>21.53</v>
      </c>
      <c r="N106">
        <v>20.92</v>
      </c>
      <c r="O106">
        <v>21.3</v>
      </c>
      <c r="P106" t="s">
        <v>32</v>
      </c>
      <c r="Q106">
        <v>36493368</v>
      </c>
      <c r="R106">
        <v>2.04</v>
      </c>
      <c r="S106" t="s">
        <v>211</v>
      </c>
      <c r="T106" t="s">
        <v>152</v>
      </c>
      <c r="U106">
        <v>2.86</v>
      </c>
      <c r="V106">
        <v>21.28</v>
      </c>
      <c r="W106">
        <v>8543</v>
      </c>
      <c r="X106">
        <v>8607</v>
      </c>
      <c r="Y106">
        <v>0.99</v>
      </c>
      <c r="Z106">
        <v>5</v>
      </c>
      <c r="AA106">
        <v>59</v>
      </c>
      <c r="AB106" t="s">
        <v>32</v>
      </c>
      <c r="AC106">
        <v>3.11</v>
      </c>
    </row>
    <row r="107" spans="1:29">
      <c r="A107" t="str">
        <f>"000505"</f>
        <v>000505</v>
      </c>
      <c r="B107" t="s">
        <v>212</v>
      </c>
      <c r="C107">
        <v>0.16</v>
      </c>
      <c r="D107">
        <v>6.45</v>
      </c>
      <c r="E107">
        <v>0.01</v>
      </c>
      <c r="F107">
        <v>6.45</v>
      </c>
      <c r="G107">
        <v>6.46</v>
      </c>
      <c r="H107">
        <v>65571</v>
      </c>
      <c r="I107">
        <v>799</v>
      </c>
      <c r="J107">
        <v>0.16</v>
      </c>
      <c r="K107">
        <v>1.82</v>
      </c>
      <c r="L107">
        <v>6.32</v>
      </c>
      <c r="M107">
        <v>6.5</v>
      </c>
      <c r="N107">
        <v>6.27</v>
      </c>
      <c r="O107">
        <v>6.44</v>
      </c>
      <c r="P107">
        <v>35.62</v>
      </c>
      <c r="Q107">
        <v>41831376</v>
      </c>
      <c r="R107">
        <v>1.45</v>
      </c>
      <c r="S107" t="s">
        <v>213</v>
      </c>
      <c r="T107" t="s">
        <v>209</v>
      </c>
      <c r="U107">
        <v>3.57</v>
      </c>
      <c r="V107">
        <v>6.38</v>
      </c>
      <c r="W107">
        <v>37472</v>
      </c>
      <c r="X107">
        <v>28098</v>
      </c>
      <c r="Y107">
        <v>1.33</v>
      </c>
      <c r="Z107">
        <v>1331</v>
      </c>
      <c r="AA107">
        <v>737</v>
      </c>
      <c r="AB107" t="s">
        <v>32</v>
      </c>
      <c r="AC107">
        <v>3.6</v>
      </c>
    </row>
    <row r="108" spans="1:29">
      <c r="A108" t="str">
        <f>"000506"</f>
        <v>000506</v>
      </c>
      <c r="B108" t="s">
        <v>214</v>
      </c>
      <c r="C108">
        <v>3.42</v>
      </c>
      <c r="D108">
        <v>3.02</v>
      </c>
      <c r="E108">
        <v>0.1</v>
      </c>
      <c r="F108">
        <v>3.01</v>
      </c>
      <c r="G108">
        <v>3.02</v>
      </c>
      <c r="H108">
        <v>361165</v>
      </c>
      <c r="I108">
        <v>5376</v>
      </c>
      <c r="J108">
        <v>0</v>
      </c>
      <c r="K108">
        <v>3.89</v>
      </c>
      <c r="L108">
        <v>2.91</v>
      </c>
      <c r="M108">
        <v>3.13</v>
      </c>
      <c r="N108">
        <v>2.88</v>
      </c>
      <c r="O108">
        <v>2.92</v>
      </c>
      <c r="P108" t="s">
        <v>32</v>
      </c>
      <c r="Q108">
        <v>108381904</v>
      </c>
      <c r="R108">
        <v>1.81</v>
      </c>
      <c r="S108" t="s">
        <v>40</v>
      </c>
      <c r="T108" t="s">
        <v>162</v>
      </c>
      <c r="U108">
        <v>8.56</v>
      </c>
      <c r="V108">
        <v>3</v>
      </c>
      <c r="W108">
        <v>178034</v>
      </c>
      <c r="X108">
        <v>183131</v>
      </c>
      <c r="Y108">
        <v>0.97</v>
      </c>
      <c r="Z108">
        <v>2607</v>
      </c>
      <c r="AA108">
        <v>3543</v>
      </c>
      <c r="AB108" t="s">
        <v>32</v>
      </c>
      <c r="AC108">
        <v>9.29</v>
      </c>
    </row>
    <row r="109" spans="1:29">
      <c r="A109" t="str">
        <f>"000507"</f>
        <v>000507</v>
      </c>
      <c r="B109" t="s">
        <v>215</v>
      </c>
      <c r="C109">
        <v>2.4</v>
      </c>
      <c r="D109">
        <v>8.54</v>
      </c>
      <c r="E109">
        <v>0.2</v>
      </c>
      <c r="F109">
        <v>8.53</v>
      </c>
      <c r="G109">
        <v>8.54</v>
      </c>
      <c r="H109">
        <v>260416</v>
      </c>
      <c r="I109">
        <v>2946</v>
      </c>
      <c r="J109">
        <v>0</v>
      </c>
      <c r="K109">
        <v>3.37</v>
      </c>
      <c r="L109">
        <v>8.3</v>
      </c>
      <c r="M109">
        <v>8.65</v>
      </c>
      <c r="N109">
        <v>8.26</v>
      </c>
      <c r="O109">
        <v>8.34</v>
      </c>
      <c r="P109">
        <v>80.98</v>
      </c>
      <c r="Q109">
        <v>220942912</v>
      </c>
      <c r="R109">
        <v>2.02</v>
      </c>
      <c r="S109" t="s">
        <v>67</v>
      </c>
      <c r="T109" t="s">
        <v>136</v>
      </c>
      <c r="U109">
        <v>4.68</v>
      </c>
      <c r="V109">
        <v>8.48</v>
      </c>
      <c r="W109">
        <v>121221</v>
      </c>
      <c r="X109">
        <v>139194</v>
      </c>
      <c r="Y109">
        <v>0.87</v>
      </c>
      <c r="Z109">
        <v>1059</v>
      </c>
      <c r="AA109">
        <v>706</v>
      </c>
      <c r="AB109" t="s">
        <v>32</v>
      </c>
      <c r="AC109">
        <v>7.72</v>
      </c>
    </row>
    <row r="110" spans="1:29">
      <c r="A110" t="str">
        <f>"000509"</f>
        <v>000509</v>
      </c>
      <c r="B110" t="s">
        <v>216</v>
      </c>
      <c r="C110">
        <v>2.49</v>
      </c>
      <c r="D110">
        <v>2.47</v>
      </c>
      <c r="E110">
        <v>0.06</v>
      </c>
      <c r="F110">
        <v>2.47</v>
      </c>
      <c r="G110">
        <v>2.48</v>
      </c>
      <c r="H110">
        <v>168951</v>
      </c>
      <c r="I110">
        <v>4979</v>
      </c>
      <c r="J110">
        <v>0.41</v>
      </c>
      <c r="K110">
        <v>2.05</v>
      </c>
      <c r="L110">
        <v>2.41</v>
      </c>
      <c r="M110">
        <v>2.51</v>
      </c>
      <c r="N110">
        <v>2.4</v>
      </c>
      <c r="O110">
        <v>2.41</v>
      </c>
      <c r="P110" t="s">
        <v>32</v>
      </c>
      <c r="Q110">
        <v>41301804</v>
      </c>
      <c r="R110">
        <v>1.37</v>
      </c>
      <c r="S110" t="s">
        <v>69</v>
      </c>
      <c r="T110" t="s">
        <v>146</v>
      </c>
      <c r="U110">
        <v>4.56</v>
      </c>
      <c r="V110">
        <v>2.44</v>
      </c>
      <c r="W110">
        <v>73551</v>
      </c>
      <c r="X110">
        <v>95399</v>
      </c>
      <c r="Y110">
        <v>0.77</v>
      </c>
      <c r="Z110">
        <v>367</v>
      </c>
      <c r="AA110">
        <v>3099</v>
      </c>
      <c r="AB110" t="s">
        <v>32</v>
      </c>
      <c r="AC110">
        <v>8.25</v>
      </c>
    </row>
    <row r="111" spans="1:29">
      <c r="A111" t="str">
        <f>"000510"</f>
        <v>000510</v>
      </c>
      <c r="B111" t="s">
        <v>217</v>
      </c>
      <c r="C111">
        <v>0.38</v>
      </c>
      <c r="D111">
        <v>5.27</v>
      </c>
      <c r="E111">
        <v>0.02</v>
      </c>
      <c r="F111">
        <v>5.27</v>
      </c>
      <c r="G111">
        <v>5.28</v>
      </c>
      <c r="H111">
        <v>105521</v>
      </c>
      <c r="I111">
        <v>1175</v>
      </c>
      <c r="J111">
        <v>0</v>
      </c>
      <c r="K111">
        <v>1.92</v>
      </c>
      <c r="L111">
        <v>5.24</v>
      </c>
      <c r="M111">
        <v>5.34</v>
      </c>
      <c r="N111">
        <v>5.2</v>
      </c>
      <c r="O111">
        <v>5.25</v>
      </c>
      <c r="P111">
        <v>35.66</v>
      </c>
      <c r="Q111">
        <v>55729772</v>
      </c>
      <c r="R111">
        <v>0.8</v>
      </c>
      <c r="S111" t="s">
        <v>218</v>
      </c>
      <c r="T111" t="s">
        <v>146</v>
      </c>
      <c r="U111">
        <v>2.67</v>
      </c>
      <c r="V111">
        <v>5.28</v>
      </c>
      <c r="W111">
        <v>54998</v>
      </c>
      <c r="X111">
        <v>50523</v>
      </c>
      <c r="Y111">
        <v>1.09</v>
      </c>
      <c r="Z111">
        <v>1932</v>
      </c>
      <c r="AA111">
        <v>623</v>
      </c>
      <c r="AB111" t="s">
        <v>32</v>
      </c>
      <c r="AC111">
        <v>5.49</v>
      </c>
    </row>
    <row r="112" spans="1:29">
      <c r="A112" t="str">
        <f>"000513"</f>
        <v>000513</v>
      </c>
      <c r="B112" t="s">
        <v>219</v>
      </c>
      <c r="C112">
        <v>-0.41</v>
      </c>
      <c r="D112">
        <v>46.11</v>
      </c>
      <c r="E112">
        <v>-0.19</v>
      </c>
      <c r="F112">
        <v>46.11</v>
      </c>
      <c r="G112">
        <v>46.12</v>
      </c>
      <c r="H112">
        <v>80938</v>
      </c>
      <c r="I112">
        <v>300</v>
      </c>
      <c r="J112">
        <v>0</v>
      </c>
      <c r="K112">
        <v>1.76</v>
      </c>
      <c r="L112">
        <v>46</v>
      </c>
      <c r="M112">
        <v>46.76</v>
      </c>
      <c r="N112">
        <v>45.41</v>
      </c>
      <c r="O112">
        <v>46.3</v>
      </c>
      <c r="P112">
        <v>23.86</v>
      </c>
      <c r="Q112">
        <v>373168832</v>
      </c>
      <c r="R112">
        <v>1.62</v>
      </c>
      <c r="S112" t="s">
        <v>195</v>
      </c>
      <c r="T112" t="s">
        <v>136</v>
      </c>
      <c r="U112">
        <v>2.92</v>
      </c>
      <c r="V112">
        <v>46.11</v>
      </c>
      <c r="W112">
        <v>47581</v>
      </c>
      <c r="X112">
        <v>33356</v>
      </c>
      <c r="Y112">
        <v>1.43</v>
      </c>
      <c r="Z112">
        <v>205</v>
      </c>
      <c r="AA112">
        <v>125</v>
      </c>
      <c r="AB112" t="s">
        <v>32</v>
      </c>
      <c r="AC112">
        <v>4.59</v>
      </c>
    </row>
    <row r="113" spans="1:29">
      <c r="A113" t="str">
        <f>"000514"</f>
        <v>000514</v>
      </c>
      <c r="B113" t="s">
        <v>220</v>
      </c>
      <c r="C113">
        <v>3.73</v>
      </c>
      <c r="D113">
        <v>4.45</v>
      </c>
      <c r="E113">
        <v>0.16</v>
      </c>
      <c r="F113">
        <v>4.44</v>
      </c>
      <c r="G113">
        <v>4.45</v>
      </c>
      <c r="H113">
        <v>76305</v>
      </c>
      <c r="I113">
        <v>726</v>
      </c>
      <c r="J113">
        <v>0</v>
      </c>
      <c r="K113">
        <v>0.9</v>
      </c>
      <c r="L113">
        <v>4.27</v>
      </c>
      <c r="M113">
        <v>4.49</v>
      </c>
      <c r="N113">
        <v>4.27</v>
      </c>
      <c r="O113">
        <v>4.29</v>
      </c>
      <c r="P113">
        <v>199.23</v>
      </c>
      <c r="Q113">
        <v>33797592</v>
      </c>
      <c r="R113">
        <v>1.87</v>
      </c>
      <c r="S113" t="s">
        <v>40</v>
      </c>
      <c r="T113" t="s">
        <v>221</v>
      </c>
      <c r="U113">
        <v>5.13</v>
      </c>
      <c r="V113">
        <v>4.43</v>
      </c>
      <c r="W113">
        <v>34043</v>
      </c>
      <c r="X113">
        <v>42261</v>
      </c>
      <c r="Y113">
        <v>0.81</v>
      </c>
      <c r="Z113">
        <v>1004</v>
      </c>
      <c r="AA113">
        <v>13775</v>
      </c>
      <c r="AB113" t="s">
        <v>32</v>
      </c>
      <c r="AC113">
        <v>8.44</v>
      </c>
    </row>
    <row r="114" spans="1:29">
      <c r="A114" t="str">
        <f>"000516"</f>
        <v>000516</v>
      </c>
      <c r="B114" t="s">
        <v>222</v>
      </c>
      <c r="C114">
        <v>1.97</v>
      </c>
      <c r="D114">
        <v>5.18</v>
      </c>
      <c r="E114">
        <v>0.1</v>
      </c>
      <c r="F114">
        <v>5.18</v>
      </c>
      <c r="G114">
        <v>5.19</v>
      </c>
      <c r="H114">
        <v>161525</v>
      </c>
      <c r="I114">
        <v>1595</v>
      </c>
      <c r="J114">
        <v>0</v>
      </c>
      <c r="K114">
        <v>0.84</v>
      </c>
      <c r="L114">
        <v>5.08</v>
      </c>
      <c r="M114">
        <v>5.23</v>
      </c>
      <c r="N114">
        <v>5.05</v>
      </c>
      <c r="O114">
        <v>5.08</v>
      </c>
      <c r="P114">
        <v>37.31</v>
      </c>
      <c r="Q114">
        <v>83079944</v>
      </c>
      <c r="R114">
        <v>1.21</v>
      </c>
      <c r="S114" t="s">
        <v>186</v>
      </c>
      <c r="T114" t="s">
        <v>223</v>
      </c>
      <c r="U114">
        <v>3.54</v>
      </c>
      <c r="V114">
        <v>5.14</v>
      </c>
      <c r="W114">
        <v>72810</v>
      </c>
      <c r="X114">
        <v>88715</v>
      </c>
      <c r="Y114">
        <v>0.82</v>
      </c>
      <c r="Z114">
        <v>956</v>
      </c>
      <c r="AA114">
        <v>3252</v>
      </c>
      <c r="AB114" t="s">
        <v>32</v>
      </c>
      <c r="AC114">
        <v>19.33</v>
      </c>
    </row>
    <row r="115" spans="1:29">
      <c r="A115" t="str">
        <f>"000517"</f>
        <v>000517</v>
      </c>
      <c r="B115" t="s">
        <v>224</v>
      </c>
      <c r="C115">
        <v>2.03</v>
      </c>
      <c r="D115">
        <v>3.02</v>
      </c>
      <c r="E115">
        <v>0.06</v>
      </c>
      <c r="F115">
        <v>3.02</v>
      </c>
      <c r="G115">
        <v>3.03</v>
      </c>
      <c r="H115">
        <v>181612</v>
      </c>
      <c r="I115">
        <v>2333</v>
      </c>
      <c r="J115">
        <v>0</v>
      </c>
      <c r="K115">
        <v>0.6</v>
      </c>
      <c r="L115">
        <v>2.96</v>
      </c>
      <c r="M115">
        <v>3.05</v>
      </c>
      <c r="N115">
        <v>2.96</v>
      </c>
      <c r="O115">
        <v>2.96</v>
      </c>
      <c r="P115" t="s">
        <v>32</v>
      </c>
      <c r="Q115">
        <v>54830796</v>
      </c>
      <c r="R115">
        <v>1.95</v>
      </c>
      <c r="S115" t="s">
        <v>40</v>
      </c>
      <c r="T115" t="s">
        <v>149</v>
      </c>
      <c r="U115">
        <v>3.04</v>
      </c>
      <c r="V115">
        <v>3.02</v>
      </c>
      <c r="W115">
        <v>79492</v>
      </c>
      <c r="X115">
        <v>102119</v>
      </c>
      <c r="Y115">
        <v>0.78</v>
      </c>
      <c r="Z115">
        <v>2759</v>
      </c>
      <c r="AA115">
        <v>4746</v>
      </c>
      <c r="AB115" t="s">
        <v>32</v>
      </c>
      <c r="AC115">
        <v>30.36</v>
      </c>
    </row>
    <row r="116" spans="1:29">
      <c r="A116" t="str">
        <f>"000518"</f>
        <v>000518</v>
      </c>
      <c r="B116" t="s">
        <v>225</v>
      </c>
      <c r="C116">
        <v>1.99</v>
      </c>
      <c r="D116">
        <v>4.11</v>
      </c>
      <c r="E116">
        <v>0.08</v>
      </c>
      <c r="F116">
        <v>4.1</v>
      </c>
      <c r="G116">
        <v>4.11</v>
      </c>
      <c r="H116">
        <v>42664</v>
      </c>
      <c r="I116">
        <v>421</v>
      </c>
      <c r="J116">
        <v>0.24</v>
      </c>
      <c r="K116">
        <v>0.41</v>
      </c>
      <c r="L116">
        <v>4.01</v>
      </c>
      <c r="M116">
        <v>4.13</v>
      </c>
      <c r="N116">
        <v>3.95</v>
      </c>
      <c r="O116">
        <v>4.03</v>
      </c>
      <c r="P116">
        <v>296.71</v>
      </c>
      <c r="Q116">
        <v>17352230</v>
      </c>
      <c r="R116">
        <v>1.13</v>
      </c>
      <c r="S116" t="s">
        <v>36</v>
      </c>
      <c r="T116" t="s">
        <v>87</v>
      </c>
      <c r="U116">
        <v>4.47</v>
      </c>
      <c r="V116">
        <v>4.07</v>
      </c>
      <c r="W116">
        <v>17673</v>
      </c>
      <c r="X116">
        <v>24991</v>
      </c>
      <c r="Y116">
        <v>0.71</v>
      </c>
      <c r="Z116">
        <v>387</v>
      </c>
      <c r="AA116">
        <v>4018</v>
      </c>
      <c r="AB116" t="s">
        <v>32</v>
      </c>
      <c r="AC116">
        <v>10.3</v>
      </c>
    </row>
    <row r="117" spans="1:29">
      <c r="A117" t="str">
        <f>"000519"</f>
        <v>000519</v>
      </c>
      <c r="B117" t="s">
        <v>226</v>
      </c>
      <c r="C117">
        <v>0</v>
      </c>
      <c r="D117">
        <v>8.9</v>
      </c>
      <c r="E117">
        <v>0</v>
      </c>
      <c r="F117">
        <v>8.89</v>
      </c>
      <c r="G117">
        <v>8.9</v>
      </c>
      <c r="H117">
        <v>274287</v>
      </c>
      <c r="I117">
        <v>4238</v>
      </c>
      <c r="J117">
        <v>0</v>
      </c>
      <c r="K117">
        <v>3.73</v>
      </c>
      <c r="L117">
        <v>8.8</v>
      </c>
      <c r="M117">
        <v>9.13</v>
      </c>
      <c r="N117">
        <v>8.69</v>
      </c>
      <c r="O117">
        <v>8.9</v>
      </c>
      <c r="P117">
        <v>36.86</v>
      </c>
      <c r="Q117">
        <v>243620912</v>
      </c>
      <c r="R117">
        <v>1.02</v>
      </c>
      <c r="S117" t="s">
        <v>227</v>
      </c>
      <c r="T117" t="s">
        <v>152</v>
      </c>
      <c r="U117">
        <v>4.94</v>
      </c>
      <c r="V117">
        <v>8.88</v>
      </c>
      <c r="W117">
        <v>139523</v>
      </c>
      <c r="X117">
        <v>134764</v>
      </c>
      <c r="Y117">
        <v>1.04</v>
      </c>
      <c r="Z117">
        <v>4753</v>
      </c>
      <c r="AA117">
        <v>174</v>
      </c>
      <c r="AB117" t="s">
        <v>32</v>
      </c>
      <c r="AC117">
        <v>7.35</v>
      </c>
    </row>
    <row r="118" spans="1:29">
      <c r="A118" t="str">
        <f>"000520"</f>
        <v>000520</v>
      </c>
      <c r="B118" t="s">
        <v>228</v>
      </c>
      <c r="C118">
        <v>1.66</v>
      </c>
      <c r="D118">
        <v>3.07</v>
      </c>
      <c r="E118">
        <v>0.05</v>
      </c>
      <c r="F118">
        <v>3.07</v>
      </c>
      <c r="G118">
        <v>3.08</v>
      </c>
      <c r="H118">
        <v>86742</v>
      </c>
      <c r="I118">
        <v>590</v>
      </c>
      <c r="J118">
        <v>-0.31</v>
      </c>
      <c r="K118">
        <v>0.86</v>
      </c>
      <c r="L118">
        <v>3.01</v>
      </c>
      <c r="M118">
        <v>3.11</v>
      </c>
      <c r="N118">
        <v>2.99</v>
      </c>
      <c r="O118">
        <v>3.02</v>
      </c>
      <c r="P118">
        <v>54.09</v>
      </c>
      <c r="Q118">
        <v>26463328</v>
      </c>
      <c r="R118">
        <v>2.49</v>
      </c>
      <c r="S118" t="s">
        <v>229</v>
      </c>
      <c r="T118" t="s">
        <v>193</v>
      </c>
      <c r="U118">
        <v>3.97</v>
      </c>
      <c r="V118">
        <v>3.05</v>
      </c>
      <c r="W118">
        <v>31908</v>
      </c>
      <c r="X118">
        <v>54833</v>
      </c>
      <c r="Y118">
        <v>0.58</v>
      </c>
      <c r="Z118">
        <v>3966</v>
      </c>
      <c r="AA118">
        <v>1586</v>
      </c>
      <c r="AB118" t="s">
        <v>32</v>
      </c>
      <c r="AC118">
        <v>10.12</v>
      </c>
    </row>
    <row r="119" spans="1:29">
      <c r="A119" t="str">
        <f>"000521"</f>
        <v>000521</v>
      </c>
      <c r="B119" t="s">
        <v>230</v>
      </c>
      <c r="C119">
        <v>2.42</v>
      </c>
      <c r="D119">
        <v>3.81</v>
      </c>
      <c r="E119">
        <v>0.09</v>
      </c>
      <c r="F119">
        <v>3.81</v>
      </c>
      <c r="G119">
        <v>3.82</v>
      </c>
      <c r="H119">
        <v>87579</v>
      </c>
      <c r="I119">
        <v>611</v>
      </c>
      <c r="J119">
        <v>-0.25</v>
      </c>
      <c r="K119">
        <v>1.09</v>
      </c>
      <c r="L119">
        <v>3.72</v>
      </c>
      <c r="M119">
        <v>3.82</v>
      </c>
      <c r="N119">
        <v>3.7</v>
      </c>
      <c r="O119">
        <v>3.72</v>
      </c>
      <c r="P119">
        <v>17.68</v>
      </c>
      <c r="Q119">
        <v>33075938</v>
      </c>
      <c r="R119">
        <v>2.59</v>
      </c>
      <c r="S119" t="s">
        <v>55</v>
      </c>
      <c r="T119" t="s">
        <v>143</v>
      </c>
      <c r="U119">
        <v>3.23</v>
      </c>
      <c r="V119">
        <v>3.78</v>
      </c>
      <c r="W119">
        <v>45933</v>
      </c>
      <c r="X119">
        <v>41645</v>
      </c>
      <c r="Y119">
        <v>1.1</v>
      </c>
      <c r="Z119">
        <v>583</v>
      </c>
      <c r="AA119">
        <v>1899</v>
      </c>
      <c r="AB119" t="s">
        <v>32</v>
      </c>
      <c r="AC119">
        <v>8.02</v>
      </c>
    </row>
    <row r="120" spans="1:29">
      <c r="A120" t="str">
        <f>"000523"</f>
        <v>000523</v>
      </c>
      <c r="B120" t="s">
        <v>231</v>
      </c>
      <c r="C120">
        <v>1.72</v>
      </c>
      <c r="D120">
        <v>5.93</v>
      </c>
      <c r="E120">
        <v>0.1</v>
      </c>
      <c r="F120">
        <v>5.92</v>
      </c>
      <c r="G120">
        <v>5.93</v>
      </c>
      <c r="H120">
        <v>63707</v>
      </c>
      <c r="I120">
        <v>1240</v>
      </c>
      <c r="J120">
        <v>0.17</v>
      </c>
      <c r="K120">
        <v>1.43</v>
      </c>
      <c r="L120">
        <v>5.82</v>
      </c>
      <c r="M120">
        <v>5.96</v>
      </c>
      <c r="N120">
        <v>5.81</v>
      </c>
      <c r="O120">
        <v>5.83</v>
      </c>
      <c r="P120">
        <v>83.05</v>
      </c>
      <c r="Q120">
        <v>37696760</v>
      </c>
      <c r="R120">
        <v>1.35</v>
      </c>
      <c r="S120" t="s">
        <v>232</v>
      </c>
      <c r="T120" t="s">
        <v>136</v>
      </c>
      <c r="U120">
        <v>2.57</v>
      </c>
      <c r="V120">
        <v>5.92</v>
      </c>
      <c r="W120">
        <v>27406</v>
      </c>
      <c r="X120">
        <v>36301</v>
      </c>
      <c r="Y120">
        <v>0.75</v>
      </c>
      <c r="Z120">
        <v>366</v>
      </c>
      <c r="AA120">
        <v>501</v>
      </c>
      <c r="AB120" t="s">
        <v>32</v>
      </c>
      <c r="AC120">
        <v>4.46</v>
      </c>
    </row>
    <row r="121" spans="1:29">
      <c r="A121" t="str">
        <f>"000524"</f>
        <v>000524</v>
      </c>
      <c r="B121" t="s">
        <v>233</v>
      </c>
      <c r="C121">
        <v>2.55</v>
      </c>
      <c r="D121">
        <v>8.46</v>
      </c>
      <c r="E121">
        <v>0.21</v>
      </c>
      <c r="F121">
        <v>8.45</v>
      </c>
      <c r="G121">
        <v>8.46</v>
      </c>
      <c r="H121">
        <v>12619</v>
      </c>
      <c r="I121">
        <v>260</v>
      </c>
      <c r="J121">
        <v>0</v>
      </c>
      <c r="K121">
        <v>0.46</v>
      </c>
      <c r="L121">
        <v>8.25</v>
      </c>
      <c r="M121">
        <v>8.47</v>
      </c>
      <c r="N121">
        <v>8.19</v>
      </c>
      <c r="O121">
        <v>8.25</v>
      </c>
      <c r="P121">
        <v>37.15</v>
      </c>
      <c r="Q121">
        <v>10583049</v>
      </c>
      <c r="R121">
        <v>2.19</v>
      </c>
      <c r="S121" t="s">
        <v>42</v>
      </c>
      <c r="T121" t="s">
        <v>136</v>
      </c>
      <c r="U121">
        <v>3.39</v>
      </c>
      <c r="V121">
        <v>8.39</v>
      </c>
      <c r="W121">
        <v>4950</v>
      </c>
      <c r="X121">
        <v>7668</v>
      </c>
      <c r="Y121">
        <v>0.65</v>
      </c>
      <c r="Z121">
        <v>285</v>
      </c>
      <c r="AA121">
        <v>127</v>
      </c>
      <c r="AB121" t="s">
        <v>32</v>
      </c>
      <c r="AC121">
        <v>2.72</v>
      </c>
    </row>
    <row r="122" spans="1:29">
      <c r="A122" t="str">
        <f>"000525"</f>
        <v>000525</v>
      </c>
      <c r="B122" t="s">
        <v>234</v>
      </c>
      <c r="C122">
        <v>0.88</v>
      </c>
      <c r="D122">
        <v>17.15</v>
      </c>
      <c r="E122">
        <v>0.15</v>
      </c>
      <c r="F122">
        <v>17.15</v>
      </c>
      <c r="G122">
        <v>17.16</v>
      </c>
      <c r="H122">
        <v>31712</v>
      </c>
      <c r="I122">
        <v>262</v>
      </c>
      <c r="J122">
        <v>0</v>
      </c>
      <c r="K122">
        <v>0.63</v>
      </c>
      <c r="L122">
        <v>17.02</v>
      </c>
      <c r="M122">
        <v>17.2</v>
      </c>
      <c r="N122">
        <v>16.95</v>
      </c>
      <c r="O122">
        <v>17</v>
      </c>
      <c r="P122">
        <v>12.07</v>
      </c>
      <c r="Q122">
        <v>54222016</v>
      </c>
      <c r="R122">
        <v>1.69</v>
      </c>
      <c r="S122" t="s">
        <v>145</v>
      </c>
      <c r="T122" t="s">
        <v>87</v>
      </c>
      <c r="U122">
        <v>1.47</v>
      </c>
      <c r="V122">
        <v>17.1</v>
      </c>
      <c r="W122">
        <v>12934</v>
      </c>
      <c r="X122">
        <v>18777</v>
      </c>
      <c r="Y122">
        <v>0.69</v>
      </c>
      <c r="Z122">
        <v>230</v>
      </c>
      <c r="AA122">
        <v>528</v>
      </c>
      <c r="AB122" t="s">
        <v>32</v>
      </c>
      <c r="AC122">
        <v>5.07</v>
      </c>
    </row>
    <row r="123" spans="1:29">
      <c r="A123" t="str">
        <f>"000526"</f>
        <v>000526</v>
      </c>
      <c r="B123" t="s">
        <v>235</v>
      </c>
      <c r="C123" t="s">
        <v>32</v>
      </c>
      <c r="D123">
        <v>28.18</v>
      </c>
      <c r="E123" t="s">
        <v>32</v>
      </c>
      <c r="F123" t="s">
        <v>32</v>
      </c>
      <c r="G123" t="s">
        <v>32</v>
      </c>
      <c r="H123">
        <v>0</v>
      </c>
      <c r="I123">
        <v>0</v>
      </c>
      <c r="J123" t="s">
        <v>32</v>
      </c>
      <c r="K123">
        <v>0</v>
      </c>
      <c r="L123" t="s">
        <v>32</v>
      </c>
      <c r="M123" t="s">
        <v>32</v>
      </c>
      <c r="N123" t="s">
        <v>32</v>
      </c>
      <c r="O123">
        <v>28.18</v>
      </c>
      <c r="P123">
        <v>225.37</v>
      </c>
      <c r="Q123">
        <v>0</v>
      </c>
      <c r="R123">
        <v>0</v>
      </c>
      <c r="S123" t="s">
        <v>57</v>
      </c>
      <c r="T123" t="s">
        <v>236</v>
      </c>
      <c r="U123">
        <v>0</v>
      </c>
      <c r="V123">
        <v>28.18</v>
      </c>
      <c r="W123">
        <v>0</v>
      </c>
      <c r="X123">
        <v>0</v>
      </c>
      <c r="Y123" t="s">
        <v>32</v>
      </c>
      <c r="Z123">
        <v>0</v>
      </c>
      <c r="AA123">
        <v>0</v>
      </c>
      <c r="AB123" t="s">
        <v>32</v>
      </c>
      <c r="AC123">
        <v>0.96</v>
      </c>
    </row>
    <row r="124" spans="1:29">
      <c r="A124" t="str">
        <f>"000528"</f>
        <v>000528</v>
      </c>
      <c r="B124" t="s">
        <v>237</v>
      </c>
      <c r="C124">
        <v>1.21</v>
      </c>
      <c r="D124">
        <v>10.86</v>
      </c>
      <c r="E124">
        <v>0.13</v>
      </c>
      <c r="F124">
        <v>10.86</v>
      </c>
      <c r="G124">
        <v>10.87</v>
      </c>
      <c r="H124">
        <v>886276</v>
      </c>
      <c r="I124">
        <v>8054</v>
      </c>
      <c r="J124">
        <v>0.37</v>
      </c>
      <c r="K124">
        <v>7.88</v>
      </c>
      <c r="L124">
        <v>10.91</v>
      </c>
      <c r="M124">
        <v>11.32</v>
      </c>
      <c r="N124">
        <v>10.77</v>
      </c>
      <c r="O124">
        <v>10.73</v>
      </c>
      <c r="P124">
        <v>10.55</v>
      </c>
      <c r="Q124">
        <v>978032448</v>
      </c>
      <c r="R124">
        <v>2.35</v>
      </c>
      <c r="S124" t="s">
        <v>151</v>
      </c>
      <c r="T124" t="s">
        <v>238</v>
      </c>
      <c r="U124">
        <v>5.13</v>
      </c>
      <c r="V124">
        <v>11.04</v>
      </c>
      <c r="W124">
        <v>454202</v>
      </c>
      <c r="X124">
        <v>432073</v>
      </c>
      <c r="Y124">
        <v>1.05</v>
      </c>
      <c r="Z124">
        <v>1476</v>
      </c>
      <c r="AA124">
        <v>563</v>
      </c>
      <c r="AB124" t="s">
        <v>32</v>
      </c>
      <c r="AC124">
        <v>11.25</v>
      </c>
    </row>
    <row r="125" spans="1:29">
      <c r="A125" t="str">
        <f>"000529"</f>
        <v>000529</v>
      </c>
      <c r="B125" t="s">
        <v>239</v>
      </c>
      <c r="C125">
        <v>1.28</v>
      </c>
      <c r="D125">
        <v>5.53</v>
      </c>
      <c r="E125">
        <v>0.07</v>
      </c>
      <c r="F125">
        <v>5.52</v>
      </c>
      <c r="G125">
        <v>5.53</v>
      </c>
      <c r="H125">
        <v>20144</v>
      </c>
      <c r="I125">
        <v>183</v>
      </c>
      <c r="J125">
        <v>0</v>
      </c>
      <c r="K125">
        <v>0.35</v>
      </c>
      <c r="L125">
        <v>5.43</v>
      </c>
      <c r="M125">
        <v>5.55</v>
      </c>
      <c r="N125">
        <v>5.41</v>
      </c>
      <c r="O125">
        <v>5.46</v>
      </c>
      <c r="P125">
        <v>31.49</v>
      </c>
      <c r="Q125">
        <v>11081240</v>
      </c>
      <c r="R125">
        <v>1.18</v>
      </c>
      <c r="S125" t="s">
        <v>213</v>
      </c>
      <c r="T125" t="s">
        <v>136</v>
      </c>
      <c r="U125">
        <v>2.56</v>
      </c>
      <c r="V125">
        <v>5.5</v>
      </c>
      <c r="W125">
        <v>11364</v>
      </c>
      <c r="X125">
        <v>8779</v>
      </c>
      <c r="Y125">
        <v>1.29</v>
      </c>
      <c r="Z125">
        <v>144</v>
      </c>
      <c r="AA125">
        <v>86</v>
      </c>
      <c r="AB125" t="s">
        <v>32</v>
      </c>
      <c r="AC125">
        <v>5.7</v>
      </c>
    </row>
    <row r="126" spans="1:29">
      <c r="A126" t="str">
        <f>"000530"</f>
        <v>000530</v>
      </c>
      <c r="B126" t="s">
        <v>240</v>
      </c>
      <c r="C126">
        <v>1.05</v>
      </c>
      <c r="D126">
        <v>3.85</v>
      </c>
      <c r="E126">
        <v>0.04</v>
      </c>
      <c r="F126">
        <v>3.85</v>
      </c>
      <c r="G126">
        <v>3.86</v>
      </c>
      <c r="H126">
        <v>132393</v>
      </c>
      <c r="I126">
        <v>434</v>
      </c>
      <c r="J126">
        <v>0</v>
      </c>
      <c r="K126">
        <v>2.21</v>
      </c>
      <c r="L126">
        <v>3.81</v>
      </c>
      <c r="M126">
        <v>3.9</v>
      </c>
      <c r="N126">
        <v>3.77</v>
      </c>
      <c r="O126">
        <v>3.81</v>
      </c>
      <c r="P126">
        <v>32.17</v>
      </c>
      <c r="Q126">
        <v>50892356</v>
      </c>
      <c r="R126">
        <v>1.37</v>
      </c>
      <c r="S126" t="s">
        <v>241</v>
      </c>
      <c r="T126" t="s">
        <v>111</v>
      </c>
      <c r="U126">
        <v>3.41</v>
      </c>
      <c r="V126">
        <v>3.84</v>
      </c>
      <c r="W126">
        <v>66965</v>
      </c>
      <c r="X126">
        <v>65428</v>
      </c>
      <c r="Y126">
        <v>1.02</v>
      </c>
      <c r="Z126">
        <v>520</v>
      </c>
      <c r="AA126">
        <v>1485</v>
      </c>
      <c r="AB126" t="s">
        <v>32</v>
      </c>
      <c r="AC126">
        <v>5.99</v>
      </c>
    </row>
    <row r="127" spans="1:29">
      <c r="A127" t="str">
        <f>"000531"</f>
        <v>000531</v>
      </c>
      <c r="B127" t="s">
        <v>242</v>
      </c>
      <c r="C127">
        <v>4.37</v>
      </c>
      <c r="D127">
        <v>5.26</v>
      </c>
      <c r="E127">
        <v>0.22</v>
      </c>
      <c r="F127">
        <v>5.25</v>
      </c>
      <c r="G127">
        <v>5.26</v>
      </c>
      <c r="H127">
        <v>53846</v>
      </c>
      <c r="I127">
        <v>518</v>
      </c>
      <c r="J127">
        <v>0</v>
      </c>
      <c r="K127">
        <v>0.79</v>
      </c>
      <c r="L127">
        <v>5.04</v>
      </c>
      <c r="M127">
        <v>5.42</v>
      </c>
      <c r="N127">
        <v>5</v>
      </c>
      <c r="O127">
        <v>5.04</v>
      </c>
      <c r="P127">
        <v>117.68</v>
      </c>
      <c r="Q127">
        <v>28128336</v>
      </c>
      <c r="R127">
        <v>4.15</v>
      </c>
      <c r="S127" t="s">
        <v>75</v>
      </c>
      <c r="T127" t="s">
        <v>136</v>
      </c>
      <c r="U127">
        <v>8.33</v>
      </c>
      <c r="V127">
        <v>5.22</v>
      </c>
      <c r="W127">
        <v>23078</v>
      </c>
      <c r="X127">
        <v>30767</v>
      </c>
      <c r="Y127">
        <v>0.75</v>
      </c>
      <c r="Z127">
        <v>845</v>
      </c>
      <c r="AA127">
        <v>381</v>
      </c>
      <c r="AB127" t="s">
        <v>32</v>
      </c>
      <c r="AC127">
        <v>6.85</v>
      </c>
    </row>
    <row r="128" spans="1:29">
      <c r="A128" t="str">
        <f>"000532"</f>
        <v>000532</v>
      </c>
      <c r="B128" t="s">
        <v>243</v>
      </c>
      <c r="C128">
        <v>0.59</v>
      </c>
      <c r="D128">
        <v>10.16</v>
      </c>
      <c r="E128">
        <v>0.06</v>
      </c>
      <c r="F128">
        <v>10.16</v>
      </c>
      <c r="G128">
        <v>10.17</v>
      </c>
      <c r="H128">
        <v>55311</v>
      </c>
      <c r="I128">
        <v>939</v>
      </c>
      <c r="J128">
        <v>0</v>
      </c>
      <c r="K128">
        <v>1.61</v>
      </c>
      <c r="L128">
        <v>10.14</v>
      </c>
      <c r="M128">
        <v>10.3</v>
      </c>
      <c r="N128">
        <v>10</v>
      </c>
      <c r="O128">
        <v>10.1</v>
      </c>
      <c r="P128">
        <v>205.66</v>
      </c>
      <c r="Q128">
        <v>56203748</v>
      </c>
      <c r="R128">
        <v>1.02</v>
      </c>
      <c r="S128" t="s">
        <v>63</v>
      </c>
      <c r="T128" t="s">
        <v>136</v>
      </c>
      <c r="U128">
        <v>2.97</v>
      </c>
      <c r="V128">
        <v>10.16</v>
      </c>
      <c r="W128">
        <v>28970</v>
      </c>
      <c r="X128">
        <v>26340</v>
      </c>
      <c r="Y128">
        <v>1.1</v>
      </c>
      <c r="Z128">
        <v>573</v>
      </c>
      <c r="AA128">
        <v>96</v>
      </c>
      <c r="AB128" t="s">
        <v>32</v>
      </c>
      <c r="AC128">
        <v>3.43</v>
      </c>
    </row>
    <row r="129" spans="1:29">
      <c r="A129" t="str">
        <f>"000533"</f>
        <v>000533</v>
      </c>
      <c r="B129" t="s">
        <v>244</v>
      </c>
      <c r="C129">
        <v>4.79</v>
      </c>
      <c r="D129">
        <v>3.72</v>
      </c>
      <c r="E129">
        <v>0.17</v>
      </c>
      <c r="F129">
        <v>3.71</v>
      </c>
      <c r="G129">
        <v>3.72</v>
      </c>
      <c r="H129">
        <v>189613</v>
      </c>
      <c r="I129">
        <v>4965</v>
      </c>
      <c r="J129">
        <v>0.81</v>
      </c>
      <c r="K129">
        <v>2.77</v>
      </c>
      <c r="L129">
        <v>3.54</v>
      </c>
      <c r="M129">
        <v>3.75</v>
      </c>
      <c r="N129">
        <v>3.54</v>
      </c>
      <c r="O129">
        <v>3.55</v>
      </c>
      <c r="P129">
        <v>77.24</v>
      </c>
      <c r="Q129">
        <v>69364904</v>
      </c>
      <c r="R129">
        <v>2.42</v>
      </c>
      <c r="S129" t="s">
        <v>55</v>
      </c>
      <c r="T129" t="s">
        <v>136</v>
      </c>
      <c r="U129">
        <v>5.92</v>
      </c>
      <c r="V129">
        <v>3.66</v>
      </c>
      <c r="W129">
        <v>69483</v>
      </c>
      <c r="X129">
        <v>120130</v>
      </c>
      <c r="Y129">
        <v>0.58</v>
      </c>
      <c r="Z129">
        <v>1715</v>
      </c>
      <c r="AA129">
        <v>425</v>
      </c>
      <c r="AB129" t="s">
        <v>32</v>
      </c>
      <c r="AC129">
        <v>6.85</v>
      </c>
    </row>
    <row r="130" spans="1:29">
      <c r="A130" t="str">
        <f>"000534"</f>
        <v>000534</v>
      </c>
      <c r="B130" t="s">
        <v>245</v>
      </c>
      <c r="C130">
        <v>0</v>
      </c>
      <c r="D130">
        <v>11.63</v>
      </c>
      <c r="E130">
        <v>0</v>
      </c>
      <c r="F130">
        <v>11.63</v>
      </c>
      <c r="G130">
        <v>11.65</v>
      </c>
      <c r="H130">
        <v>12687</v>
      </c>
      <c r="I130">
        <v>168</v>
      </c>
      <c r="J130">
        <v>-0.16</v>
      </c>
      <c r="K130">
        <v>0.26</v>
      </c>
      <c r="L130">
        <v>11.67</v>
      </c>
      <c r="M130">
        <v>11.75</v>
      </c>
      <c r="N130">
        <v>11.63</v>
      </c>
      <c r="O130">
        <v>11.63</v>
      </c>
      <c r="P130">
        <v>172.84</v>
      </c>
      <c r="Q130">
        <v>14825668</v>
      </c>
      <c r="R130">
        <v>1.06</v>
      </c>
      <c r="S130" t="s">
        <v>40</v>
      </c>
      <c r="T130" t="s">
        <v>136</v>
      </c>
      <c r="U130">
        <v>1.03</v>
      </c>
      <c r="V130">
        <v>11.69</v>
      </c>
      <c r="W130">
        <v>2440</v>
      </c>
      <c r="X130">
        <v>10247</v>
      </c>
      <c r="Y130">
        <v>0.24</v>
      </c>
      <c r="Z130">
        <v>190</v>
      </c>
      <c r="AA130">
        <v>432</v>
      </c>
      <c r="AB130" t="s">
        <v>32</v>
      </c>
      <c r="AC130">
        <v>4.91</v>
      </c>
    </row>
    <row r="131" spans="1:29">
      <c r="A131" t="str">
        <f>"000536"</f>
        <v>000536</v>
      </c>
      <c r="B131" t="s">
        <v>246</v>
      </c>
      <c r="C131">
        <v>3.73</v>
      </c>
      <c r="D131">
        <v>2.78</v>
      </c>
      <c r="E131">
        <v>0.1</v>
      </c>
      <c r="F131">
        <v>2.77</v>
      </c>
      <c r="G131">
        <v>2.78</v>
      </c>
      <c r="H131">
        <v>174271</v>
      </c>
      <c r="I131">
        <v>1827</v>
      </c>
      <c r="J131">
        <v>0.72</v>
      </c>
      <c r="K131">
        <v>0.87</v>
      </c>
      <c r="L131">
        <v>2.68</v>
      </c>
      <c r="M131">
        <v>2.8</v>
      </c>
      <c r="N131">
        <v>2.67</v>
      </c>
      <c r="O131">
        <v>2.68</v>
      </c>
      <c r="P131" t="s">
        <v>32</v>
      </c>
      <c r="Q131">
        <v>47843512</v>
      </c>
      <c r="R131">
        <v>1.79</v>
      </c>
      <c r="S131" t="s">
        <v>63</v>
      </c>
      <c r="T131" t="s">
        <v>236</v>
      </c>
      <c r="U131">
        <v>4.85</v>
      </c>
      <c r="V131">
        <v>2.75</v>
      </c>
      <c r="W131">
        <v>67456</v>
      </c>
      <c r="X131">
        <v>106814</v>
      </c>
      <c r="Y131">
        <v>0.63</v>
      </c>
      <c r="Z131">
        <v>362</v>
      </c>
      <c r="AA131">
        <v>410</v>
      </c>
      <c r="AB131" t="s">
        <v>32</v>
      </c>
      <c r="AC131">
        <v>20.03</v>
      </c>
    </row>
    <row r="132" spans="1:29">
      <c r="A132" t="str">
        <f>"000537"</f>
        <v>000537</v>
      </c>
      <c r="B132" t="s">
        <v>247</v>
      </c>
      <c r="C132">
        <v>4.89</v>
      </c>
      <c r="D132">
        <v>10.29</v>
      </c>
      <c r="E132">
        <v>0.48</v>
      </c>
      <c r="F132">
        <v>10.29</v>
      </c>
      <c r="G132">
        <v>10.3</v>
      </c>
      <c r="H132">
        <v>120401</v>
      </c>
      <c r="I132">
        <v>3921</v>
      </c>
      <c r="J132">
        <v>0.68</v>
      </c>
      <c r="K132">
        <v>2.97</v>
      </c>
      <c r="L132">
        <v>9.84</v>
      </c>
      <c r="M132">
        <v>10.29</v>
      </c>
      <c r="N132">
        <v>9.82</v>
      </c>
      <c r="O132">
        <v>9.81</v>
      </c>
      <c r="P132">
        <v>5.13</v>
      </c>
      <c r="Q132">
        <v>121551792</v>
      </c>
      <c r="R132">
        <v>1.69</v>
      </c>
      <c r="S132" t="s">
        <v>40</v>
      </c>
      <c r="T132" t="s">
        <v>248</v>
      </c>
      <c r="U132">
        <v>4.79</v>
      </c>
      <c r="V132">
        <v>10.1</v>
      </c>
      <c r="W132">
        <v>54561</v>
      </c>
      <c r="X132">
        <v>65840</v>
      </c>
      <c r="Y132">
        <v>0.83</v>
      </c>
      <c r="Z132">
        <v>1083</v>
      </c>
      <c r="AA132">
        <v>808</v>
      </c>
      <c r="AB132" t="s">
        <v>32</v>
      </c>
      <c r="AC132">
        <v>4.06</v>
      </c>
    </row>
    <row r="133" spans="1:29">
      <c r="A133" t="str">
        <f>"000538"</f>
        <v>000538</v>
      </c>
      <c r="B133" t="s">
        <v>249</v>
      </c>
      <c r="C133">
        <v>0.9</v>
      </c>
      <c r="D133">
        <v>101.4</v>
      </c>
      <c r="E133">
        <v>0.9</v>
      </c>
      <c r="F133">
        <v>101.39</v>
      </c>
      <c r="G133">
        <v>101.4</v>
      </c>
      <c r="H133">
        <v>46927</v>
      </c>
      <c r="I133">
        <v>321</v>
      </c>
      <c r="J133">
        <v>0.1</v>
      </c>
      <c r="K133">
        <v>0.45</v>
      </c>
      <c r="L133">
        <v>100</v>
      </c>
      <c r="M133">
        <v>102.3</v>
      </c>
      <c r="N133">
        <v>99.4</v>
      </c>
      <c r="O133">
        <v>100.5</v>
      </c>
      <c r="P133">
        <v>32.74</v>
      </c>
      <c r="Q133">
        <v>475146528</v>
      </c>
      <c r="R133">
        <v>1.72</v>
      </c>
      <c r="S133" t="s">
        <v>195</v>
      </c>
      <c r="T133" t="s">
        <v>250</v>
      </c>
      <c r="U133">
        <v>2.89</v>
      </c>
      <c r="V133">
        <v>101.25</v>
      </c>
      <c r="W133">
        <v>25471</v>
      </c>
      <c r="X133">
        <v>21456</v>
      </c>
      <c r="Y133">
        <v>1.19</v>
      </c>
      <c r="Z133">
        <v>50</v>
      </c>
      <c r="AA133">
        <v>711</v>
      </c>
      <c r="AB133" t="s">
        <v>32</v>
      </c>
      <c r="AC133">
        <v>10.41</v>
      </c>
    </row>
    <row r="134" spans="1:29">
      <c r="A134" t="str">
        <f>"000539"</f>
        <v>000539</v>
      </c>
      <c r="B134" t="s">
        <v>251</v>
      </c>
      <c r="C134">
        <v>0.66</v>
      </c>
      <c r="D134">
        <v>4.57</v>
      </c>
      <c r="E134">
        <v>0.03</v>
      </c>
      <c r="F134">
        <v>4.56</v>
      </c>
      <c r="G134">
        <v>4.57</v>
      </c>
      <c r="H134">
        <v>34659</v>
      </c>
      <c r="I134">
        <v>506</v>
      </c>
      <c r="J134">
        <v>0</v>
      </c>
      <c r="K134">
        <v>0.14</v>
      </c>
      <c r="L134">
        <v>4.52</v>
      </c>
      <c r="M134">
        <v>4.6</v>
      </c>
      <c r="N134">
        <v>4.51</v>
      </c>
      <c r="O134">
        <v>4.54</v>
      </c>
      <c r="P134">
        <v>1043.97</v>
      </c>
      <c r="Q134">
        <v>15827437</v>
      </c>
      <c r="R134">
        <v>0.85</v>
      </c>
      <c r="S134" t="s">
        <v>75</v>
      </c>
      <c r="T134" t="s">
        <v>136</v>
      </c>
      <c r="U134">
        <v>1.98</v>
      </c>
      <c r="V134">
        <v>4.57</v>
      </c>
      <c r="W134">
        <v>16392</v>
      </c>
      <c r="X134">
        <v>18266</v>
      </c>
      <c r="Y134">
        <v>0.9</v>
      </c>
      <c r="Z134">
        <v>577</v>
      </c>
      <c r="AA134">
        <v>4</v>
      </c>
      <c r="AB134" t="s">
        <v>32</v>
      </c>
      <c r="AC134">
        <v>25.54</v>
      </c>
    </row>
    <row r="135" spans="1:29">
      <c r="A135" t="str">
        <f>"000540"</f>
        <v>000540</v>
      </c>
      <c r="B135" t="s">
        <v>252</v>
      </c>
      <c r="C135" t="s">
        <v>32</v>
      </c>
      <c r="D135">
        <v>4.87</v>
      </c>
      <c r="E135" t="s">
        <v>32</v>
      </c>
      <c r="F135" t="s">
        <v>32</v>
      </c>
      <c r="G135" t="s">
        <v>32</v>
      </c>
      <c r="H135">
        <v>0</v>
      </c>
      <c r="I135">
        <v>0</v>
      </c>
      <c r="J135" t="s">
        <v>32</v>
      </c>
      <c r="K135">
        <v>0</v>
      </c>
      <c r="L135" t="s">
        <v>32</v>
      </c>
      <c r="M135" t="s">
        <v>32</v>
      </c>
      <c r="N135" t="s">
        <v>32</v>
      </c>
      <c r="O135">
        <v>4.87</v>
      </c>
      <c r="P135">
        <v>12.26</v>
      </c>
      <c r="Q135">
        <v>0</v>
      </c>
      <c r="R135">
        <v>0</v>
      </c>
      <c r="S135" t="s">
        <v>183</v>
      </c>
      <c r="T135" t="s">
        <v>253</v>
      </c>
      <c r="U135">
        <v>0</v>
      </c>
      <c r="V135">
        <v>4.87</v>
      </c>
      <c r="W135">
        <v>0</v>
      </c>
      <c r="X135">
        <v>0</v>
      </c>
      <c r="Y135" t="s">
        <v>32</v>
      </c>
      <c r="Z135">
        <v>0</v>
      </c>
      <c r="AA135">
        <v>0</v>
      </c>
      <c r="AB135" t="s">
        <v>32</v>
      </c>
      <c r="AC135">
        <v>65.06</v>
      </c>
    </row>
    <row r="136" spans="1:29">
      <c r="A136" t="str">
        <f>"000541"</f>
        <v>000541</v>
      </c>
      <c r="B136" t="s">
        <v>254</v>
      </c>
      <c r="C136">
        <v>2.01</v>
      </c>
      <c r="D136">
        <v>6.1</v>
      </c>
      <c r="E136">
        <v>0.12</v>
      </c>
      <c r="F136">
        <v>6.09</v>
      </c>
      <c r="G136">
        <v>6.1</v>
      </c>
      <c r="H136">
        <v>55471</v>
      </c>
      <c r="I136">
        <v>795</v>
      </c>
      <c r="J136">
        <v>0</v>
      </c>
      <c r="K136">
        <v>0.52</v>
      </c>
      <c r="L136">
        <v>5.95</v>
      </c>
      <c r="M136">
        <v>6.1</v>
      </c>
      <c r="N136">
        <v>5.95</v>
      </c>
      <c r="O136">
        <v>5.98</v>
      </c>
      <c r="P136">
        <v>22.1</v>
      </c>
      <c r="Q136">
        <v>33566700</v>
      </c>
      <c r="R136">
        <v>2.49</v>
      </c>
      <c r="S136" t="s">
        <v>55</v>
      </c>
      <c r="T136" t="s">
        <v>136</v>
      </c>
      <c r="U136">
        <v>2.51</v>
      </c>
      <c r="V136">
        <v>6.05</v>
      </c>
      <c r="W136">
        <v>22596</v>
      </c>
      <c r="X136">
        <v>32874</v>
      </c>
      <c r="Y136">
        <v>0.69</v>
      </c>
      <c r="Z136">
        <v>869</v>
      </c>
      <c r="AA136">
        <v>2594</v>
      </c>
      <c r="AB136" t="s">
        <v>32</v>
      </c>
      <c r="AC136">
        <v>10.72</v>
      </c>
    </row>
    <row r="137" spans="1:29">
      <c r="A137" t="str">
        <f>"000543"</f>
        <v>000543</v>
      </c>
      <c r="B137" t="s">
        <v>255</v>
      </c>
      <c r="C137">
        <v>0</v>
      </c>
      <c r="D137">
        <v>4.92</v>
      </c>
      <c r="E137">
        <v>0</v>
      </c>
      <c r="F137">
        <v>4.92</v>
      </c>
      <c r="G137">
        <v>4.93</v>
      </c>
      <c r="H137">
        <v>141963</v>
      </c>
      <c r="I137">
        <v>387</v>
      </c>
      <c r="J137">
        <v>0.41</v>
      </c>
      <c r="K137">
        <v>0.79</v>
      </c>
      <c r="L137">
        <v>4.92</v>
      </c>
      <c r="M137">
        <v>4.96</v>
      </c>
      <c r="N137">
        <v>4.86</v>
      </c>
      <c r="O137">
        <v>4.92</v>
      </c>
      <c r="P137">
        <v>25.68</v>
      </c>
      <c r="Q137">
        <v>69642312</v>
      </c>
      <c r="R137">
        <v>1.17</v>
      </c>
      <c r="S137" t="s">
        <v>75</v>
      </c>
      <c r="T137" t="s">
        <v>143</v>
      </c>
      <c r="U137">
        <v>2.03</v>
      </c>
      <c r="V137">
        <v>4.91</v>
      </c>
      <c r="W137">
        <v>79921</v>
      </c>
      <c r="X137">
        <v>62041</v>
      </c>
      <c r="Y137">
        <v>1.29</v>
      </c>
      <c r="Z137">
        <v>319</v>
      </c>
      <c r="AA137">
        <v>18</v>
      </c>
      <c r="AB137" t="s">
        <v>32</v>
      </c>
      <c r="AC137">
        <v>17.9</v>
      </c>
    </row>
    <row r="138" spans="1:29">
      <c r="A138" t="str">
        <f>"000544"</f>
        <v>000544</v>
      </c>
      <c r="B138" t="s">
        <v>256</v>
      </c>
      <c r="C138">
        <v>2.67</v>
      </c>
      <c r="D138">
        <v>7.3</v>
      </c>
      <c r="E138">
        <v>0.19</v>
      </c>
      <c r="F138">
        <v>7.3</v>
      </c>
      <c r="G138">
        <v>7.31</v>
      </c>
      <c r="H138">
        <v>52467</v>
      </c>
      <c r="I138">
        <v>1214</v>
      </c>
      <c r="J138">
        <v>-0.13</v>
      </c>
      <c r="K138">
        <v>1.01</v>
      </c>
      <c r="L138">
        <v>7.06</v>
      </c>
      <c r="M138">
        <v>7.35</v>
      </c>
      <c r="N138">
        <v>7.06</v>
      </c>
      <c r="O138">
        <v>7.11</v>
      </c>
      <c r="P138">
        <v>33.9</v>
      </c>
      <c r="Q138">
        <v>37750468</v>
      </c>
      <c r="R138">
        <v>1.21</v>
      </c>
      <c r="S138" t="s">
        <v>86</v>
      </c>
      <c r="T138" t="s">
        <v>164</v>
      </c>
      <c r="U138">
        <v>4.08</v>
      </c>
      <c r="V138">
        <v>7.2</v>
      </c>
      <c r="W138">
        <v>23815</v>
      </c>
      <c r="X138">
        <v>28652</v>
      </c>
      <c r="Y138">
        <v>0.83</v>
      </c>
      <c r="Z138">
        <v>315</v>
      </c>
      <c r="AA138">
        <v>342</v>
      </c>
      <c r="AB138" t="s">
        <v>32</v>
      </c>
      <c r="AC138">
        <v>5.22</v>
      </c>
    </row>
    <row r="139" spans="1:29">
      <c r="A139" t="str">
        <f>"000545"</f>
        <v>000545</v>
      </c>
      <c r="B139" t="s">
        <v>257</v>
      </c>
      <c r="C139" t="s">
        <v>32</v>
      </c>
      <c r="D139">
        <v>3.76</v>
      </c>
      <c r="E139" t="s">
        <v>32</v>
      </c>
      <c r="F139" t="s">
        <v>32</v>
      </c>
      <c r="G139" t="s">
        <v>32</v>
      </c>
      <c r="H139">
        <v>0</v>
      </c>
      <c r="I139">
        <v>0</v>
      </c>
      <c r="J139" t="s">
        <v>32</v>
      </c>
      <c r="K139">
        <v>0</v>
      </c>
      <c r="L139" t="s">
        <v>32</v>
      </c>
      <c r="M139" t="s">
        <v>32</v>
      </c>
      <c r="N139" t="s">
        <v>32</v>
      </c>
      <c r="O139">
        <v>3.76</v>
      </c>
      <c r="P139">
        <v>28.52</v>
      </c>
      <c r="Q139">
        <v>0</v>
      </c>
      <c r="R139">
        <v>0</v>
      </c>
      <c r="S139" t="s">
        <v>218</v>
      </c>
      <c r="T139" t="s">
        <v>81</v>
      </c>
      <c r="U139">
        <v>0</v>
      </c>
      <c r="V139">
        <v>3.76</v>
      </c>
      <c r="W139">
        <v>0</v>
      </c>
      <c r="X139">
        <v>0</v>
      </c>
      <c r="Y139" t="s">
        <v>32</v>
      </c>
      <c r="Z139">
        <v>0</v>
      </c>
      <c r="AA139">
        <v>0</v>
      </c>
      <c r="AB139" t="s">
        <v>32</v>
      </c>
      <c r="AC139">
        <v>9.59</v>
      </c>
    </row>
    <row r="140" spans="1:29">
      <c r="A140" t="str">
        <f>"000546"</f>
        <v>000546</v>
      </c>
      <c r="B140" t="s">
        <v>258</v>
      </c>
      <c r="C140">
        <v>1.36</v>
      </c>
      <c r="D140">
        <v>14.2</v>
      </c>
      <c r="E140">
        <v>0.19</v>
      </c>
      <c r="F140">
        <v>14.19</v>
      </c>
      <c r="G140">
        <v>14.2</v>
      </c>
      <c r="H140">
        <v>45606</v>
      </c>
      <c r="I140">
        <v>1049</v>
      </c>
      <c r="J140">
        <v>0.42</v>
      </c>
      <c r="K140">
        <v>0.8</v>
      </c>
      <c r="L140">
        <v>14.01</v>
      </c>
      <c r="M140">
        <v>14.26</v>
      </c>
      <c r="N140">
        <v>13.84</v>
      </c>
      <c r="O140">
        <v>14.01</v>
      </c>
      <c r="P140">
        <v>438.93</v>
      </c>
      <c r="Q140">
        <v>64559356</v>
      </c>
      <c r="R140">
        <v>1.73</v>
      </c>
      <c r="S140" t="s">
        <v>166</v>
      </c>
      <c r="T140" t="s">
        <v>81</v>
      </c>
      <c r="U140">
        <v>3</v>
      </c>
      <c r="V140">
        <v>14.16</v>
      </c>
      <c r="W140">
        <v>22815</v>
      </c>
      <c r="X140">
        <v>22790</v>
      </c>
      <c r="Y140">
        <v>1</v>
      </c>
      <c r="Z140">
        <v>639</v>
      </c>
      <c r="AA140">
        <v>213</v>
      </c>
      <c r="AB140" t="s">
        <v>32</v>
      </c>
      <c r="AC140">
        <v>5.73</v>
      </c>
    </row>
    <row r="141" spans="1:29">
      <c r="A141" t="str">
        <f>"000547"</f>
        <v>000547</v>
      </c>
      <c r="B141" t="s">
        <v>259</v>
      </c>
      <c r="C141">
        <v>2.65</v>
      </c>
      <c r="D141">
        <v>8.14</v>
      </c>
      <c r="E141">
        <v>0.21</v>
      </c>
      <c r="F141">
        <v>8.14</v>
      </c>
      <c r="G141">
        <v>8.15</v>
      </c>
      <c r="H141">
        <v>170835</v>
      </c>
      <c r="I141">
        <v>1472</v>
      </c>
      <c r="J141">
        <v>0</v>
      </c>
      <c r="K141">
        <v>1.77</v>
      </c>
      <c r="L141">
        <v>7.9</v>
      </c>
      <c r="M141">
        <v>8.2</v>
      </c>
      <c r="N141">
        <v>7.88</v>
      </c>
      <c r="O141">
        <v>7.93</v>
      </c>
      <c r="P141">
        <v>36.46</v>
      </c>
      <c r="Q141">
        <v>138082688</v>
      </c>
      <c r="R141">
        <v>1.5</v>
      </c>
      <c r="S141" t="s">
        <v>119</v>
      </c>
      <c r="T141" t="s">
        <v>236</v>
      </c>
      <c r="U141">
        <v>4.04</v>
      </c>
      <c r="V141">
        <v>8.08</v>
      </c>
      <c r="W141">
        <v>67960</v>
      </c>
      <c r="X141">
        <v>102874</v>
      </c>
      <c r="Y141">
        <v>0.66</v>
      </c>
      <c r="Z141">
        <v>131</v>
      </c>
      <c r="AA141">
        <v>1573</v>
      </c>
      <c r="AB141" t="s">
        <v>32</v>
      </c>
      <c r="AC141">
        <v>9.66</v>
      </c>
    </row>
    <row r="142" spans="1:29">
      <c r="A142" t="str">
        <f>"000548"</f>
        <v>000548</v>
      </c>
      <c r="B142" t="s">
        <v>260</v>
      </c>
      <c r="C142">
        <v>2.59</v>
      </c>
      <c r="D142">
        <v>4.36</v>
      </c>
      <c r="E142">
        <v>0.11</v>
      </c>
      <c r="F142">
        <v>4.36</v>
      </c>
      <c r="G142">
        <v>4.37</v>
      </c>
      <c r="H142">
        <v>60550</v>
      </c>
      <c r="I142">
        <v>324</v>
      </c>
      <c r="J142">
        <v>-0.22</v>
      </c>
      <c r="K142">
        <v>1.21</v>
      </c>
      <c r="L142">
        <v>4.26</v>
      </c>
      <c r="M142">
        <v>4.38</v>
      </c>
      <c r="N142">
        <v>4.23</v>
      </c>
      <c r="O142">
        <v>4.25</v>
      </c>
      <c r="P142">
        <v>173.95</v>
      </c>
      <c r="Q142">
        <v>26210248</v>
      </c>
      <c r="R142">
        <v>1.58</v>
      </c>
      <c r="S142" t="s">
        <v>201</v>
      </c>
      <c r="T142" t="s">
        <v>152</v>
      </c>
      <c r="U142">
        <v>3.53</v>
      </c>
      <c r="V142">
        <v>4.33</v>
      </c>
      <c r="W142">
        <v>28289</v>
      </c>
      <c r="X142">
        <v>32261</v>
      </c>
      <c r="Y142">
        <v>0.88</v>
      </c>
      <c r="Z142">
        <v>1112</v>
      </c>
      <c r="AA142">
        <v>707</v>
      </c>
      <c r="AB142" t="s">
        <v>32</v>
      </c>
      <c r="AC142">
        <v>4.99</v>
      </c>
    </row>
    <row r="143" spans="1:29">
      <c r="A143" t="str">
        <f>"000550"</f>
        <v>000550</v>
      </c>
      <c r="B143" t="s">
        <v>261</v>
      </c>
      <c r="C143">
        <v>0.33</v>
      </c>
      <c r="D143">
        <v>12.02</v>
      </c>
      <c r="E143">
        <v>0.04</v>
      </c>
      <c r="F143">
        <v>12.02</v>
      </c>
      <c r="G143">
        <v>12.03</v>
      </c>
      <c r="H143">
        <v>20195</v>
      </c>
      <c r="I143">
        <v>371</v>
      </c>
      <c r="J143">
        <v>0.17</v>
      </c>
      <c r="K143">
        <v>0.39</v>
      </c>
      <c r="L143">
        <v>11.98</v>
      </c>
      <c r="M143">
        <v>12.2</v>
      </c>
      <c r="N143">
        <v>11.81</v>
      </c>
      <c r="O143">
        <v>11.98</v>
      </c>
      <c r="P143">
        <v>16.89</v>
      </c>
      <c r="Q143">
        <v>24145664</v>
      </c>
      <c r="R143">
        <v>2.16</v>
      </c>
      <c r="S143" t="s">
        <v>262</v>
      </c>
      <c r="T143" t="s">
        <v>172</v>
      </c>
      <c r="U143">
        <v>3.26</v>
      </c>
      <c r="V143">
        <v>11.96</v>
      </c>
      <c r="W143">
        <v>9642</v>
      </c>
      <c r="X143">
        <v>10552</v>
      </c>
      <c r="Y143">
        <v>0.91</v>
      </c>
      <c r="Z143">
        <v>82</v>
      </c>
      <c r="AA143">
        <v>193</v>
      </c>
      <c r="AB143" t="s">
        <v>32</v>
      </c>
      <c r="AC143">
        <v>5.18</v>
      </c>
    </row>
    <row r="144" spans="1:29">
      <c r="A144" t="str">
        <f>"000551"</f>
        <v>000551</v>
      </c>
      <c r="B144" t="s">
        <v>263</v>
      </c>
      <c r="C144">
        <v>1.8</v>
      </c>
      <c r="D144">
        <v>6.22</v>
      </c>
      <c r="E144">
        <v>0.11</v>
      </c>
      <c r="F144">
        <v>6.22</v>
      </c>
      <c r="G144">
        <v>6.23</v>
      </c>
      <c r="H144">
        <v>27669</v>
      </c>
      <c r="I144">
        <v>384</v>
      </c>
      <c r="J144">
        <v>-0.31</v>
      </c>
      <c r="K144">
        <v>0.69</v>
      </c>
      <c r="L144">
        <v>6.11</v>
      </c>
      <c r="M144">
        <v>6.3</v>
      </c>
      <c r="N144">
        <v>6.1</v>
      </c>
      <c r="O144">
        <v>6.11</v>
      </c>
      <c r="P144">
        <v>32.96</v>
      </c>
      <c r="Q144">
        <v>17141200</v>
      </c>
      <c r="R144">
        <v>1.12</v>
      </c>
      <c r="S144" t="s">
        <v>171</v>
      </c>
      <c r="T144" t="s">
        <v>87</v>
      </c>
      <c r="U144">
        <v>3.27</v>
      </c>
      <c r="V144">
        <v>6.2</v>
      </c>
      <c r="W144">
        <v>13216</v>
      </c>
      <c r="X144">
        <v>14452</v>
      </c>
      <c r="Y144">
        <v>0.91</v>
      </c>
      <c r="Z144">
        <v>157</v>
      </c>
      <c r="AA144">
        <v>86</v>
      </c>
      <c r="AB144" t="s">
        <v>32</v>
      </c>
      <c r="AC144">
        <v>4</v>
      </c>
    </row>
    <row r="145" spans="1:29">
      <c r="A145" t="str">
        <f>"000552"</f>
        <v>000552</v>
      </c>
      <c r="B145" t="s">
        <v>264</v>
      </c>
      <c r="C145">
        <v>1.84</v>
      </c>
      <c r="D145">
        <v>3.32</v>
      </c>
      <c r="E145">
        <v>0.06</v>
      </c>
      <c r="F145">
        <v>3.31</v>
      </c>
      <c r="G145">
        <v>3.32</v>
      </c>
      <c r="H145">
        <v>138947</v>
      </c>
      <c r="I145">
        <v>408</v>
      </c>
      <c r="J145">
        <v>0</v>
      </c>
      <c r="K145">
        <v>0.89</v>
      </c>
      <c r="L145">
        <v>3.24</v>
      </c>
      <c r="M145">
        <v>3.33</v>
      </c>
      <c r="N145">
        <v>3.24</v>
      </c>
      <c r="O145">
        <v>3.26</v>
      </c>
      <c r="P145">
        <v>10.19</v>
      </c>
      <c r="Q145">
        <v>45895968</v>
      </c>
      <c r="R145">
        <v>2.46</v>
      </c>
      <c r="S145" t="s">
        <v>265</v>
      </c>
      <c r="T145" t="s">
        <v>266</v>
      </c>
      <c r="U145">
        <v>2.76</v>
      </c>
      <c r="V145">
        <v>3.3</v>
      </c>
      <c r="W145">
        <v>71420</v>
      </c>
      <c r="X145">
        <v>67526</v>
      </c>
      <c r="Y145">
        <v>1.06</v>
      </c>
      <c r="Z145">
        <v>1640</v>
      </c>
      <c r="AA145">
        <v>5301</v>
      </c>
      <c r="AB145" t="s">
        <v>32</v>
      </c>
      <c r="AC145">
        <v>15.57</v>
      </c>
    </row>
    <row r="146" spans="1:29">
      <c r="A146" t="str">
        <f>"000553"</f>
        <v>000553</v>
      </c>
      <c r="B146" t="s">
        <v>267</v>
      </c>
      <c r="C146">
        <v>0.89</v>
      </c>
      <c r="D146">
        <v>15.8</v>
      </c>
      <c r="E146">
        <v>0.14</v>
      </c>
      <c r="F146">
        <v>15.79</v>
      </c>
      <c r="G146">
        <v>15.8</v>
      </c>
      <c r="H146">
        <v>59782</v>
      </c>
      <c r="I146">
        <v>1292</v>
      </c>
      <c r="J146">
        <v>0.32</v>
      </c>
      <c r="K146">
        <v>1.64</v>
      </c>
      <c r="L146">
        <v>15.66</v>
      </c>
      <c r="M146">
        <v>15.91</v>
      </c>
      <c r="N146">
        <v>15.43</v>
      </c>
      <c r="O146">
        <v>15.66</v>
      </c>
      <c r="P146">
        <v>4.76</v>
      </c>
      <c r="Q146">
        <v>93961536</v>
      </c>
      <c r="R146">
        <v>1.43</v>
      </c>
      <c r="S146" t="s">
        <v>145</v>
      </c>
      <c r="T146" t="s">
        <v>193</v>
      </c>
      <c r="U146">
        <v>3.07</v>
      </c>
      <c r="V146">
        <v>15.72</v>
      </c>
      <c r="W146">
        <v>30977</v>
      </c>
      <c r="X146">
        <v>28805</v>
      </c>
      <c r="Y146">
        <v>1.08</v>
      </c>
      <c r="Z146">
        <v>11</v>
      </c>
      <c r="AA146">
        <v>426</v>
      </c>
      <c r="AB146" t="s">
        <v>32</v>
      </c>
      <c r="AC146">
        <v>3.64</v>
      </c>
    </row>
    <row r="147" spans="1:29">
      <c r="A147" t="str">
        <f>"000554"</f>
        <v>000554</v>
      </c>
      <c r="B147" t="s">
        <v>268</v>
      </c>
      <c r="C147">
        <v>2.09</v>
      </c>
      <c r="D147">
        <v>5.86</v>
      </c>
      <c r="E147">
        <v>0.12</v>
      </c>
      <c r="F147">
        <v>5.85</v>
      </c>
      <c r="G147">
        <v>5.86</v>
      </c>
      <c r="H147">
        <v>67488</v>
      </c>
      <c r="I147">
        <v>757</v>
      </c>
      <c r="J147">
        <v>0.17</v>
      </c>
      <c r="K147">
        <v>1.86</v>
      </c>
      <c r="L147">
        <v>5.74</v>
      </c>
      <c r="M147">
        <v>5.9</v>
      </c>
      <c r="N147">
        <v>5.7</v>
      </c>
      <c r="O147">
        <v>5.74</v>
      </c>
      <c r="P147">
        <v>3349.32</v>
      </c>
      <c r="Q147">
        <v>39277852</v>
      </c>
      <c r="R147">
        <v>2.02</v>
      </c>
      <c r="S147" t="s">
        <v>132</v>
      </c>
      <c r="T147" t="s">
        <v>162</v>
      </c>
      <c r="U147">
        <v>3.48</v>
      </c>
      <c r="V147">
        <v>5.82</v>
      </c>
      <c r="W147">
        <v>33491</v>
      </c>
      <c r="X147">
        <v>33997</v>
      </c>
      <c r="Y147">
        <v>0.99</v>
      </c>
      <c r="Z147">
        <v>878</v>
      </c>
      <c r="AA147">
        <v>256</v>
      </c>
      <c r="AB147" t="s">
        <v>32</v>
      </c>
      <c r="AC147">
        <v>3.63</v>
      </c>
    </row>
    <row r="148" spans="1:29">
      <c r="A148" t="str">
        <f>"000555"</f>
        <v>000555</v>
      </c>
      <c r="B148" t="s">
        <v>269</v>
      </c>
      <c r="C148">
        <v>-0.76</v>
      </c>
      <c r="D148">
        <v>13.11</v>
      </c>
      <c r="E148">
        <v>-0.1</v>
      </c>
      <c r="F148">
        <v>13.11</v>
      </c>
      <c r="G148">
        <v>13.12</v>
      </c>
      <c r="H148">
        <v>181076</v>
      </c>
      <c r="I148">
        <v>3044</v>
      </c>
      <c r="J148">
        <v>0.15</v>
      </c>
      <c r="K148">
        <v>1.92</v>
      </c>
      <c r="L148">
        <v>13.21</v>
      </c>
      <c r="M148">
        <v>13.25</v>
      </c>
      <c r="N148">
        <v>12.92</v>
      </c>
      <c r="O148">
        <v>13.21</v>
      </c>
      <c r="P148">
        <v>107.05</v>
      </c>
      <c r="Q148">
        <v>236674960</v>
      </c>
      <c r="R148">
        <v>0.87</v>
      </c>
      <c r="S148" t="s">
        <v>270</v>
      </c>
      <c r="T148" t="s">
        <v>31</v>
      </c>
      <c r="U148">
        <v>2.5</v>
      </c>
      <c r="V148">
        <v>13.07</v>
      </c>
      <c r="W148">
        <v>96402</v>
      </c>
      <c r="X148">
        <v>84674</v>
      </c>
      <c r="Y148">
        <v>1.14</v>
      </c>
      <c r="Z148">
        <v>2768</v>
      </c>
      <c r="AA148">
        <v>597</v>
      </c>
      <c r="AB148" t="s">
        <v>32</v>
      </c>
      <c r="AC148">
        <v>9.41</v>
      </c>
    </row>
    <row r="149" spans="1:29">
      <c r="A149" t="str">
        <f>"000557"</f>
        <v>000557</v>
      </c>
      <c r="B149" t="s">
        <v>271</v>
      </c>
      <c r="C149">
        <v>3.95</v>
      </c>
      <c r="D149">
        <v>3.42</v>
      </c>
      <c r="E149">
        <v>0.13</v>
      </c>
      <c r="F149">
        <v>3.42</v>
      </c>
      <c r="G149">
        <v>3.43</v>
      </c>
      <c r="H149">
        <v>115681</v>
      </c>
      <c r="I149">
        <v>908</v>
      </c>
      <c r="J149">
        <v>-0.28</v>
      </c>
      <c r="K149">
        <v>1.98</v>
      </c>
      <c r="L149">
        <v>3.28</v>
      </c>
      <c r="M149">
        <v>3.6</v>
      </c>
      <c r="N149">
        <v>3.27</v>
      </c>
      <c r="O149">
        <v>3.29</v>
      </c>
      <c r="P149">
        <v>57.85</v>
      </c>
      <c r="Q149">
        <v>39539028</v>
      </c>
      <c r="R149">
        <v>3.3</v>
      </c>
      <c r="S149" t="s">
        <v>272</v>
      </c>
      <c r="T149" t="s">
        <v>273</v>
      </c>
      <c r="U149">
        <v>10.03</v>
      </c>
      <c r="V149">
        <v>3.42</v>
      </c>
      <c r="W149">
        <v>47210</v>
      </c>
      <c r="X149">
        <v>68470</v>
      </c>
      <c r="Y149">
        <v>0.69</v>
      </c>
      <c r="Z149">
        <v>241</v>
      </c>
      <c r="AA149">
        <v>586</v>
      </c>
      <c r="AB149" t="s">
        <v>32</v>
      </c>
      <c r="AC149">
        <v>5.85</v>
      </c>
    </row>
    <row r="150" spans="1:29">
      <c r="A150" t="str">
        <f>"000558"</f>
        <v>000558</v>
      </c>
      <c r="B150" t="s">
        <v>274</v>
      </c>
      <c r="C150">
        <v>2.31</v>
      </c>
      <c r="D150">
        <v>3.55</v>
      </c>
      <c r="E150">
        <v>0.08</v>
      </c>
      <c r="F150">
        <v>3.54</v>
      </c>
      <c r="G150">
        <v>3.55</v>
      </c>
      <c r="H150">
        <v>154942</v>
      </c>
      <c r="I150">
        <v>1613</v>
      </c>
      <c r="J150">
        <v>0.28</v>
      </c>
      <c r="K150">
        <v>1.2</v>
      </c>
      <c r="L150">
        <v>3.47</v>
      </c>
      <c r="M150">
        <v>3.58</v>
      </c>
      <c r="N150">
        <v>3.45</v>
      </c>
      <c r="O150">
        <v>3.47</v>
      </c>
      <c r="P150">
        <v>108.89</v>
      </c>
      <c r="Q150">
        <v>54656716</v>
      </c>
      <c r="R150">
        <v>1.21</v>
      </c>
      <c r="S150" t="s">
        <v>57</v>
      </c>
      <c r="T150" t="s">
        <v>149</v>
      </c>
      <c r="U150">
        <v>3.75</v>
      </c>
      <c r="V150">
        <v>3.53</v>
      </c>
      <c r="W150">
        <v>62633</v>
      </c>
      <c r="X150">
        <v>92309</v>
      </c>
      <c r="Y150">
        <v>0.68</v>
      </c>
      <c r="Z150">
        <v>3911</v>
      </c>
      <c r="AA150">
        <v>5735</v>
      </c>
      <c r="AB150" t="s">
        <v>32</v>
      </c>
      <c r="AC150">
        <v>12.88</v>
      </c>
    </row>
    <row r="151" spans="1:29">
      <c r="A151" t="str">
        <f>"000559"</f>
        <v>000559</v>
      </c>
      <c r="B151" t="s">
        <v>275</v>
      </c>
      <c r="C151">
        <v>2.52</v>
      </c>
      <c r="D151">
        <v>6.91</v>
      </c>
      <c r="E151">
        <v>0.17</v>
      </c>
      <c r="F151">
        <v>6.9</v>
      </c>
      <c r="G151">
        <v>6.91</v>
      </c>
      <c r="H151">
        <v>111995</v>
      </c>
      <c r="I151">
        <v>1746</v>
      </c>
      <c r="J151">
        <v>0.29</v>
      </c>
      <c r="K151">
        <v>0.41</v>
      </c>
      <c r="L151">
        <v>6.74</v>
      </c>
      <c r="M151">
        <v>6.93</v>
      </c>
      <c r="N151">
        <v>6.71</v>
      </c>
      <c r="O151">
        <v>6.74</v>
      </c>
      <c r="P151">
        <v>19.24</v>
      </c>
      <c r="Q151">
        <v>76590944</v>
      </c>
      <c r="R151">
        <v>1.73</v>
      </c>
      <c r="S151" t="s">
        <v>80</v>
      </c>
      <c r="T151" t="s">
        <v>149</v>
      </c>
      <c r="U151">
        <v>3.26</v>
      </c>
      <c r="V151">
        <v>6.84</v>
      </c>
      <c r="W151">
        <v>47288</v>
      </c>
      <c r="X151">
        <v>64707</v>
      </c>
      <c r="Y151">
        <v>0.73</v>
      </c>
      <c r="Z151">
        <v>1142</v>
      </c>
      <c r="AA151">
        <v>920</v>
      </c>
      <c r="AB151" t="s">
        <v>32</v>
      </c>
      <c r="AC151">
        <v>27.53</v>
      </c>
    </row>
    <row r="152" spans="1:29">
      <c r="A152" t="str">
        <f>"000560"</f>
        <v>000560</v>
      </c>
      <c r="B152" t="s">
        <v>276</v>
      </c>
      <c r="C152">
        <v>0.85</v>
      </c>
      <c r="D152">
        <v>5.9</v>
      </c>
      <c r="E152">
        <v>0.05</v>
      </c>
      <c r="F152">
        <v>5.9</v>
      </c>
      <c r="G152">
        <v>5.91</v>
      </c>
      <c r="H152">
        <v>56639</v>
      </c>
      <c r="I152">
        <v>377</v>
      </c>
      <c r="J152">
        <v>0</v>
      </c>
      <c r="K152">
        <v>0.5</v>
      </c>
      <c r="L152">
        <v>5.87</v>
      </c>
      <c r="M152">
        <v>5.96</v>
      </c>
      <c r="N152">
        <v>5.82</v>
      </c>
      <c r="O152">
        <v>5.85</v>
      </c>
      <c r="P152">
        <v>23.82</v>
      </c>
      <c r="Q152">
        <v>33468402</v>
      </c>
      <c r="R152">
        <v>1.15</v>
      </c>
      <c r="S152" t="s">
        <v>38</v>
      </c>
      <c r="T152" t="s">
        <v>250</v>
      </c>
      <c r="U152">
        <v>2.39</v>
      </c>
      <c r="V152">
        <v>5.91</v>
      </c>
      <c r="W152">
        <v>30672</v>
      </c>
      <c r="X152">
        <v>25966</v>
      </c>
      <c r="Y152">
        <v>1.18</v>
      </c>
      <c r="Z152">
        <v>861</v>
      </c>
      <c r="AA152">
        <v>647</v>
      </c>
      <c r="AB152" t="s">
        <v>32</v>
      </c>
      <c r="AC152">
        <v>11.3</v>
      </c>
    </row>
    <row r="153" spans="1:29">
      <c r="A153" t="str">
        <f>"000561"</f>
        <v>000561</v>
      </c>
      <c r="B153" t="s">
        <v>277</v>
      </c>
      <c r="C153">
        <v>0.97</v>
      </c>
      <c r="D153">
        <v>6.25</v>
      </c>
      <c r="E153">
        <v>0.06</v>
      </c>
      <c r="F153">
        <v>6.24</v>
      </c>
      <c r="G153">
        <v>6.25</v>
      </c>
      <c r="H153">
        <v>35570</v>
      </c>
      <c r="I153">
        <v>366</v>
      </c>
      <c r="J153">
        <v>0</v>
      </c>
      <c r="K153">
        <v>0.6</v>
      </c>
      <c r="L153">
        <v>6.19</v>
      </c>
      <c r="M153">
        <v>6.28</v>
      </c>
      <c r="N153">
        <v>6.13</v>
      </c>
      <c r="O153">
        <v>6.19</v>
      </c>
      <c r="P153" t="s">
        <v>32</v>
      </c>
      <c r="Q153">
        <v>22141628</v>
      </c>
      <c r="R153">
        <v>1.15</v>
      </c>
      <c r="S153" t="s">
        <v>119</v>
      </c>
      <c r="T153" t="s">
        <v>223</v>
      </c>
      <c r="U153">
        <v>2.42</v>
      </c>
      <c r="V153">
        <v>6.22</v>
      </c>
      <c r="W153">
        <v>16278</v>
      </c>
      <c r="X153">
        <v>19292</v>
      </c>
      <c r="Y153">
        <v>0.84</v>
      </c>
      <c r="Z153">
        <v>423</v>
      </c>
      <c r="AA153">
        <v>56</v>
      </c>
      <c r="AB153" t="s">
        <v>32</v>
      </c>
      <c r="AC153">
        <v>5.94</v>
      </c>
    </row>
    <row r="154" spans="1:29">
      <c r="A154" t="str">
        <f>"000563"</f>
        <v>000563</v>
      </c>
      <c r="B154" t="s">
        <v>278</v>
      </c>
      <c r="C154" t="s">
        <v>32</v>
      </c>
      <c r="D154">
        <v>3.04</v>
      </c>
      <c r="E154" t="s">
        <v>32</v>
      </c>
      <c r="F154" t="s">
        <v>32</v>
      </c>
      <c r="G154" t="s">
        <v>32</v>
      </c>
      <c r="H154">
        <v>0</v>
      </c>
      <c r="I154">
        <v>0</v>
      </c>
      <c r="J154" t="s">
        <v>32</v>
      </c>
      <c r="K154">
        <v>0</v>
      </c>
      <c r="L154" t="s">
        <v>32</v>
      </c>
      <c r="M154" t="s">
        <v>32</v>
      </c>
      <c r="N154" t="s">
        <v>32</v>
      </c>
      <c r="O154">
        <v>3.04</v>
      </c>
      <c r="P154">
        <v>19.2</v>
      </c>
      <c r="Q154">
        <v>0</v>
      </c>
      <c r="R154">
        <v>0</v>
      </c>
      <c r="S154" t="s">
        <v>183</v>
      </c>
      <c r="T154" t="s">
        <v>223</v>
      </c>
      <c r="U154">
        <v>0</v>
      </c>
      <c r="V154">
        <v>3.04</v>
      </c>
      <c r="W154">
        <v>0</v>
      </c>
      <c r="X154">
        <v>0</v>
      </c>
      <c r="Y154" t="s">
        <v>32</v>
      </c>
      <c r="Z154">
        <v>0</v>
      </c>
      <c r="AA154">
        <v>0</v>
      </c>
      <c r="AB154" t="s">
        <v>32</v>
      </c>
      <c r="AC154">
        <v>28.62</v>
      </c>
    </row>
    <row r="155" spans="1:29">
      <c r="A155" t="str">
        <f>"000564"</f>
        <v>000564</v>
      </c>
      <c r="B155" t="s">
        <v>279</v>
      </c>
      <c r="C155">
        <v>-1.91</v>
      </c>
      <c r="D155">
        <v>4.63</v>
      </c>
      <c r="E155">
        <v>-0.09</v>
      </c>
      <c r="F155">
        <v>4.62</v>
      </c>
      <c r="G155">
        <v>4.63</v>
      </c>
      <c r="H155">
        <v>540276</v>
      </c>
      <c r="I155">
        <v>23312</v>
      </c>
      <c r="J155">
        <v>0.22</v>
      </c>
      <c r="K155">
        <v>2.86</v>
      </c>
      <c r="L155">
        <v>4.72</v>
      </c>
      <c r="M155">
        <v>4.89</v>
      </c>
      <c r="N155">
        <v>4.58</v>
      </c>
      <c r="O155">
        <v>4.72</v>
      </c>
      <c r="P155">
        <v>37.21</v>
      </c>
      <c r="Q155">
        <v>255586704</v>
      </c>
      <c r="R155">
        <v>1.63</v>
      </c>
      <c r="S155" t="s">
        <v>186</v>
      </c>
      <c r="T155" t="s">
        <v>223</v>
      </c>
      <c r="U155">
        <v>6.57</v>
      </c>
      <c r="V155">
        <v>4.73</v>
      </c>
      <c r="W155">
        <v>282787</v>
      </c>
      <c r="X155">
        <v>257488</v>
      </c>
      <c r="Y155">
        <v>1.1</v>
      </c>
      <c r="Z155">
        <v>1028</v>
      </c>
      <c r="AA155">
        <v>170</v>
      </c>
      <c r="AB155" t="s">
        <v>32</v>
      </c>
      <c r="AC155">
        <v>18.88</v>
      </c>
    </row>
    <row r="156" spans="1:29">
      <c r="A156" t="str">
        <f>"000565"</f>
        <v>000565</v>
      </c>
      <c r="B156" t="s">
        <v>280</v>
      </c>
      <c r="C156">
        <v>3.47</v>
      </c>
      <c r="D156">
        <v>5.36</v>
      </c>
      <c r="E156">
        <v>0.18</v>
      </c>
      <c r="F156">
        <v>5.36</v>
      </c>
      <c r="G156">
        <v>5.37</v>
      </c>
      <c r="H156">
        <v>101659</v>
      </c>
      <c r="I156">
        <v>1515</v>
      </c>
      <c r="J156">
        <v>-0.18</v>
      </c>
      <c r="K156">
        <v>2.34</v>
      </c>
      <c r="L156">
        <v>5.22</v>
      </c>
      <c r="M156">
        <v>5.4</v>
      </c>
      <c r="N156">
        <v>5.09</v>
      </c>
      <c r="O156">
        <v>5.18</v>
      </c>
      <c r="P156">
        <v>52.46</v>
      </c>
      <c r="Q156">
        <v>53094424</v>
      </c>
      <c r="R156">
        <v>0.65</v>
      </c>
      <c r="S156" t="s">
        <v>281</v>
      </c>
      <c r="T156" t="s">
        <v>221</v>
      </c>
      <c r="U156">
        <v>5.98</v>
      </c>
      <c r="V156">
        <v>5.22</v>
      </c>
      <c r="W156">
        <v>51108</v>
      </c>
      <c r="X156">
        <v>50550</v>
      </c>
      <c r="Y156">
        <v>1.01</v>
      </c>
      <c r="Z156">
        <v>1060</v>
      </c>
      <c r="AA156">
        <v>104</v>
      </c>
      <c r="AB156" t="s">
        <v>32</v>
      </c>
      <c r="AC156">
        <v>4.34</v>
      </c>
    </row>
    <row r="157" spans="1:29">
      <c r="A157" t="str">
        <f>"000566"</f>
        <v>000566</v>
      </c>
      <c r="B157" t="s">
        <v>282</v>
      </c>
      <c r="C157">
        <v>-1.68</v>
      </c>
      <c r="D157">
        <v>8.8</v>
      </c>
      <c r="E157">
        <v>-0.15</v>
      </c>
      <c r="F157">
        <v>8.8</v>
      </c>
      <c r="G157">
        <v>8.81</v>
      </c>
      <c r="H157">
        <v>285317</v>
      </c>
      <c r="I157">
        <v>3704</v>
      </c>
      <c r="J157">
        <v>-0.33</v>
      </c>
      <c r="K157">
        <v>2.59</v>
      </c>
      <c r="L157">
        <v>9.05</v>
      </c>
      <c r="M157">
        <v>9.18</v>
      </c>
      <c r="N157">
        <v>8.73</v>
      </c>
      <c r="O157">
        <v>8.95</v>
      </c>
      <c r="P157">
        <v>40.62</v>
      </c>
      <c r="Q157">
        <v>253501696</v>
      </c>
      <c r="R157">
        <v>2.27</v>
      </c>
      <c r="S157" t="s">
        <v>142</v>
      </c>
      <c r="T157" t="s">
        <v>209</v>
      </c>
      <c r="U157">
        <v>5.03</v>
      </c>
      <c r="V157">
        <v>8.88</v>
      </c>
      <c r="W157">
        <v>141454</v>
      </c>
      <c r="X157">
        <v>143862</v>
      </c>
      <c r="Y157">
        <v>0.98</v>
      </c>
      <c r="Z157">
        <v>48</v>
      </c>
      <c r="AA157">
        <v>270</v>
      </c>
      <c r="AB157" t="s">
        <v>32</v>
      </c>
      <c r="AC157">
        <v>11.03</v>
      </c>
    </row>
    <row r="158" spans="1:29">
      <c r="A158" t="str">
        <f>"000567"</f>
        <v>000567</v>
      </c>
      <c r="B158" t="s">
        <v>283</v>
      </c>
      <c r="C158">
        <v>0.66</v>
      </c>
      <c r="D158">
        <v>15.18</v>
      </c>
      <c r="E158">
        <v>0.1</v>
      </c>
      <c r="F158">
        <v>15.18</v>
      </c>
      <c r="G158">
        <v>15.19</v>
      </c>
      <c r="H158">
        <v>61547</v>
      </c>
      <c r="I158">
        <v>935</v>
      </c>
      <c r="J158">
        <v>0</v>
      </c>
      <c r="K158">
        <v>4.09</v>
      </c>
      <c r="L158">
        <v>15.03</v>
      </c>
      <c r="M158">
        <v>15.38</v>
      </c>
      <c r="N158">
        <v>14.85</v>
      </c>
      <c r="O158">
        <v>15.08</v>
      </c>
      <c r="P158">
        <v>73.23</v>
      </c>
      <c r="Q158">
        <v>93175152</v>
      </c>
      <c r="R158">
        <v>0.95</v>
      </c>
      <c r="S158" t="s">
        <v>183</v>
      </c>
      <c r="T158" t="s">
        <v>209</v>
      </c>
      <c r="U158">
        <v>3.51</v>
      </c>
      <c r="V158">
        <v>15.14</v>
      </c>
      <c r="W158">
        <v>28394</v>
      </c>
      <c r="X158">
        <v>33153</v>
      </c>
      <c r="Y158">
        <v>0.86</v>
      </c>
      <c r="Z158">
        <v>224</v>
      </c>
      <c r="AA158">
        <v>277</v>
      </c>
      <c r="AB158" t="s">
        <v>32</v>
      </c>
      <c r="AC158">
        <v>1.5</v>
      </c>
    </row>
    <row r="159" spans="1:29">
      <c r="A159" t="str">
        <f>"000568"</f>
        <v>000568</v>
      </c>
      <c r="B159" t="s">
        <v>284</v>
      </c>
      <c r="C159">
        <v>4.04</v>
      </c>
      <c r="D159">
        <v>57.46</v>
      </c>
      <c r="E159">
        <v>2.23</v>
      </c>
      <c r="F159">
        <v>57.45</v>
      </c>
      <c r="G159">
        <v>57.46</v>
      </c>
      <c r="H159">
        <v>129016</v>
      </c>
      <c r="I159">
        <v>2278</v>
      </c>
      <c r="J159">
        <v>0.23</v>
      </c>
      <c r="K159">
        <v>0.92</v>
      </c>
      <c r="L159">
        <v>55.45</v>
      </c>
      <c r="M159">
        <v>57.59</v>
      </c>
      <c r="N159">
        <v>55.01</v>
      </c>
      <c r="O159">
        <v>55.23</v>
      </c>
      <c r="P159">
        <v>17.37</v>
      </c>
      <c r="Q159">
        <v>732930048</v>
      </c>
      <c r="R159">
        <v>1.59</v>
      </c>
      <c r="S159" t="s">
        <v>285</v>
      </c>
      <c r="T159" t="s">
        <v>146</v>
      </c>
      <c r="U159">
        <v>4.67</v>
      </c>
      <c r="V159">
        <v>56.81</v>
      </c>
      <c r="W159">
        <v>55905</v>
      </c>
      <c r="X159">
        <v>73110</v>
      </c>
      <c r="Y159">
        <v>0.76</v>
      </c>
      <c r="Z159">
        <v>435</v>
      </c>
      <c r="AA159">
        <v>924</v>
      </c>
      <c r="AB159" t="s">
        <v>32</v>
      </c>
      <c r="AC159">
        <v>14.02</v>
      </c>
    </row>
    <row r="160" spans="1:29">
      <c r="A160" t="str">
        <f>"000570"</f>
        <v>000570</v>
      </c>
      <c r="B160" t="s">
        <v>286</v>
      </c>
      <c r="C160">
        <v>1.91</v>
      </c>
      <c r="D160">
        <v>4.27</v>
      </c>
      <c r="E160">
        <v>0.08</v>
      </c>
      <c r="F160">
        <v>4.26</v>
      </c>
      <c r="G160">
        <v>4.27</v>
      </c>
      <c r="H160">
        <v>26135</v>
      </c>
      <c r="I160">
        <v>316</v>
      </c>
      <c r="J160">
        <v>0</v>
      </c>
      <c r="K160">
        <v>0.64</v>
      </c>
      <c r="L160">
        <v>4.16</v>
      </c>
      <c r="M160">
        <v>4.28</v>
      </c>
      <c r="N160">
        <v>4.16</v>
      </c>
      <c r="O160">
        <v>4.19</v>
      </c>
      <c r="P160">
        <v>52.83</v>
      </c>
      <c r="Q160">
        <v>11097469</v>
      </c>
      <c r="R160">
        <v>2.14</v>
      </c>
      <c r="S160" t="s">
        <v>241</v>
      </c>
      <c r="T160" t="s">
        <v>87</v>
      </c>
      <c r="U160">
        <v>2.86</v>
      </c>
      <c r="V160">
        <v>4.25</v>
      </c>
      <c r="W160">
        <v>12513</v>
      </c>
      <c r="X160">
        <v>13622</v>
      </c>
      <c r="Y160">
        <v>0.92</v>
      </c>
      <c r="Z160">
        <v>608</v>
      </c>
      <c r="AA160">
        <v>520</v>
      </c>
      <c r="AB160" t="s">
        <v>32</v>
      </c>
      <c r="AC160">
        <v>4.11</v>
      </c>
    </row>
    <row r="161" spans="1:29">
      <c r="A161" t="str">
        <f>"000571"</f>
        <v>000571</v>
      </c>
      <c r="B161" t="s">
        <v>287</v>
      </c>
      <c r="C161">
        <v>1.81</v>
      </c>
      <c r="D161">
        <v>3.94</v>
      </c>
      <c r="E161">
        <v>0.07</v>
      </c>
      <c r="F161">
        <v>3.93</v>
      </c>
      <c r="G161">
        <v>3.94</v>
      </c>
      <c r="H161">
        <v>98389</v>
      </c>
      <c r="I161">
        <v>785</v>
      </c>
      <c r="J161">
        <v>0.25</v>
      </c>
      <c r="K161">
        <v>1.22</v>
      </c>
      <c r="L161">
        <v>3.86</v>
      </c>
      <c r="M161">
        <v>3.95</v>
      </c>
      <c r="N161">
        <v>3.85</v>
      </c>
      <c r="O161">
        <v>3.87</v>
      </c>
      <c r="P161">
        <v>43.97</v>
      </c>
      <c r="Q161">
        <v>38488740</v>
      </c>
      <c r="R161">
        <v>1.72</v>
      </c>
      <c r="S161" t="s">
        <v>47</v>
      </c>
      <c r="T161" t="s">
        <v>209</v>
      </c>
      <c r="U161">
        <v>2.58</v>
      </c>
      <c r="V161">
        <v>3.91</v>
      </c>
      <c r="W161">
        <v>45367</v>
      </c>
      <c r="X161">
        <v>53022</v>
      </c>
      <c r="Y161">
        <v>0.86</v>
      </c>
      <c r="Z161">
        <v>1083</v>
      </c>
      <c r="AA161">
        <v>2066</v>
      </c>
      <c r="AB161" t="s">
        <v>32</v>
      </c>
      <c r="AC161">
        <v>8.04</v>
      </c>
    </row>
    <row r="162" spans="1:29">
      <c r="A162" t="str">
        <f>"000572"</f>
        <v>000572</v>
      </c>
      <c r="B162" t="s">
        <v>288</v>
      </c>
      <c r="C162">
        <v>1.64</v>
      </c>
      <c r="D162">
        <v>3.1</v>
      </c>
      <c r="E162">
        <v>0.05</v>
      </c>
      <c r="F162">
        <v>3.09</v>
      </c>
      <c r="G162">
        <v>3.1</v>
      </c>
      <c r="H162">
        <v>200344</v>
      </c>
      <c r="I162">
        <v>1035</v>
      </c>
      <c r="J162">
        <v>0.32</v>
      </c>
      <c r="K162">
        <v>1.22</v>
      </c>
      <c r="L162">
        <v>3.03</v>
      </c>
      <c r="M162">
        <v>3.13</v>
      </c>
      <c r="N162">
        <v>3.03</v>
      </c>
      <c r="O162">
        <v>3.05</v>
      </c>
      <c r="P162" t="s">
        <v>32</v>
      </c>
      <c r="Q162">
        <v>61960488</v>
      </c>
      <c r="R162">
        <v>1.56</v>
      </c>
      <c r="S162" t="s">
        <v>262</v>
      </c>
      <c r="T162" t="s">
        <v>209</v>
      </c>
      <c r="U162">
        <v>3.28</v>
      </c>
      <c r="V162">
        <v>3.09</v>
      </c>
      <c r="W162">
        <v>93321</v>
      </c>
      <c r="X162">
        <v>107023</v>
      </c>
      <c r="Y162">
        <v>0.87</v>
      </c>
      <c r="Z162">
        <v>2036</v>
      </c>
      <c r="AA162">
        <v>2136</v>
      </c>
      <c r="AB162" t="s">
        <v>32</v>
      </c>
      <c r="AC162">
        <v>16.42</v>
      </c>
    </row>
    <row r="163" spans="1:29">
      <c r="A163" t="str">
        <f>"000573"</f>
        <v>000573</v>
      </c>
      <c r="B163" t="s">
        <v>289</v>
      </c>
      <c r="C163">
        <v>2.8</v>
      </c>
      <c r="D163">
        <v>3.3</v>
      </c>
      <c r="E163">
        <v>0.09</v>
      </c>
      <c r="F163">
        <v>3.29</v>
      </c>
      <c r="G163">
        <v>3.3</v>
      </c>
      <c r="H163">
        <v>42289</v>
      </c>
      <c r="I163">
        <v>681</v>
      </c>
      <c r="J163">
        <v>0.3</v>
      </c>
      <c r="K163">
        <v>0.68</v>
      </c>
      <c r="L163">
        <v>3.21</v>
      </c>
      <c r="M163">
        <v>3.3</v>
      </c>
      <c r="N163">
        <v>3.21</v>
      </c>
      <c r="O163">
        <v>3.21</v>
      </c>
      <c r="P163" t="s">
        <v>32</v>
      </c>
      <c r="Q163">
        <v>13826035</v>
      </c>
      <c r="R163">
        <v>1.22</v>
      </c>
      <c r="S163" t="s">
        <v>40</v>
      </c>
      <c r="T163" t="s">
        <v>136</v>
      </c>
      <c r="U163">
        <v>2.8</v>
      </c>
      <c r="V163">
        <v>3.27</v>
      </c>
      <c r="W163">
        <v>13746</v>
      </c>
      <c r="X163">
        <v>28542</v>
      </c>
      <c r="Y163">
        <v>0.48</v>
      </c>
      <c r="Z163">
        <v>749</v>
      </c>
      <c r="AA163">
        <v>1421</v>
      </c>
      <c r="AB163" t="s">
        <v>32</v>
      </c>
      <c r="AC163">
        <v>6.22</v>
      </c>
    </row>
    <row r="164" spans="1:29">
      <c r="A164" t="str">
        <f>"000576"</f>
        <v>000576</v>
      </c>
      <c r="B164" t="s">
        <v>290</v>
      </c>
      <c r="C164">
        <v>1.33</v>
      </c>
      <c r="D164">
        <v>6.85</v>
      </c>
      <c r="E164">
        <v>0.09</v>
      </c>
      <c r="F164">
        <v>6.84</v>
      </c>
      <c r="G164">
        <v>6.85</v>
      </c>
      <c r="H164">
        <v>338745</v>
      </c>
      <c r="I164">
        <v>6458</v>
      </c>
      <c r="J164">
        <v>0</v>
      </c>
      <c r="K164">
        <v>7.78</v>
      </c>
      <c r="L164">
        <v>6.89</v>
      </c>
      <c r="M164">
        <v>7.03</v>
      </c>
      <c r="N164">
        <v>6.78</v>
      </c>
      <c r="O164">
        <v>6.76</v>
      </c>
      <c r="P164">
        <v>510.6</v>
      </c>
      <c r="Q164">
        <v>233527600</v>
      </c>
      <c r="R164">
        <v>0.7</v>
      </c>
      <c r="S164" t="s">
        <v>204</v>
      </c>
      <c r="T164" t="s">
        <v>136</v>
      </c>
      <c r="U164">
        <v>3.7</v>
      </c>
      <c r="V164">
        <v>6.89</v>
      </c>
      <c r="W164">
        <v>170989</v>
      </c>
      <c r="X164">
        <v>167756</v>
      </c>
      <c r="Y164">
        <v>1.02</v>
      </c>
      <c r="Z164">
        <v>5074</v>
      </c>
      <c r="AA164">
        <v>2667</v>
      </c>
      <c r="AB164" t="s">
        <v>32</v>
      </c>
      <c r="AC164">
        <v>4.36</v>
      </c>
    </row>
    <row r="165" spans="1:29">
      <c r="A165" t="str">
        <f>"000581"</f>
        <v>000581</v>
      </c>
      <c r="B165" t="s">
        <v>291</v>
      </c>
      <c r="C165">
        <v>1.56</v>
      </c>
      <c r="D165">
        <v>21.54</v>
      </c>
      <c r="E165">
        <v>0.33</v>
      </c>
      <c r="F165">
        <v>21.53</v>
      </c>
      <c r="G165">
        <v>21.54</v>
      </c>
      <c r="H165">
        <v>96996</v>
      </c>
      <c r="I165">
        <v>656</v>
      </c>
      <c r="J165">
        <v>0.05</v>
      </c>
      <c r="K165">
        <v>1.16</v>
      </c>
      <c r="L165">
        <v>21.28</v>
      </c>
      <c r="M165">
        <v>21.71</v>
      </c>
      <c r="N165">
        <v>21.14</v>
      </c>
      <c r="O165">
        <v>21.21</v>
      </c>
      <c r="P165">
        <v>6.93</v>
      </c>
      <c r="Q165">
        <v>208818304</v>
      </c>
      <c r="R165">
        <v>1.42</v>
      </c>
      <c r="S165" t="s">
        <v>80</v>
      </c>
      <c r="T165" t="s">
        <v>87</v>
      </c>
      <c r="U165">
        <v>2.69</v>
      </c>
      <c r="V165">
        <v>21.53</v>
      </c>
      <c r="W165">
        <v>40147</v>
      </c>
      <c r="X165">
        <v>56849</v>
      </c>
      <c r="Y165">
        <v>0.71</v>
      </c>
      <c r="Z165">
        <v>385</v>
      </c>
      <c r="AA165">
        <v>106</v>
      </c>
      <c r="AB165" t="s">
        <v>32</v>
      </c>
      <c r="AC165">
        <v>8.36</v>
      </c>
    </row>
    <row r="166" spans="1:29">
      <c r="A166" t="str">
        <f>"000582"</f>
        <v>000582</v>
      </c>
      <c r="B166" t="s">
        <v>292</v>
      </c>
      <c r="C166">
        <v>1.89</v>
      </c>
      <c r="D166">
        <v>8.1</v>
      </c>
      <c r="E166">
        <v>0.15</v>
      </c>
      <c r="F166">
        <v>8.09</v>
      </c>
      <c r="G166">
        <v>8.1</v>
      </c>
      <c r="H166">
        <v>40468</v>
      </c>
      <c r="I166">
        <v>1202</v>
      </c>
      <c r="J166">
        <v>0.25</v>
      </c>
      <c r="K166">
        <v>1.54</v>
      </c>
      <c r="L166">
        <v>7.88</v>
      </c>
      <c r="M166">
        <v>8.1</v>
      </c>
      <c r="N166">
        <v>7.88</v>
      </c>
      <c r="O166">
        <v>7.95</v>
      </c>
      <c r="P166">
        <v>18.86</v>
      </c>
      <c r="Q166">
        <v>32494212</v>
      </c>
      <c r="R166">
        <v>1.21</v>
      </c>
      <c r="S166" t="s">
        <v>67</v>
      </c>
      <c r="T166" t="s">
        <v>238</v>
      </c>
      <c r="U166">
        <v>2.77</v>
      </c>
      <c r="V166">
        <v>8.03</v>
      </c>
      <c r="W166">
        <v>18166</v>
      </c>
      <c r="X166">
        <v>22302</v>
      </c>
      <c r="Y166">
        <v>0.81</v>
      </c>
      <c r="Z166">
        <v>75</v>
      </c>
      <c r="AA166">
        <v>1109</v>
      </c>
      <c r="AB166" t="s">
        <v>32</v>
      </c>
      <c r="AC166">
        <v>2.63</v>
      </c>
    </row>
    <row r="167" spans="1:29">
      <c r="A167" t="str">
        <f>"000584"</f>
        <v>000584</v>
      </c>
      <c r="B167" t="s">
        <v>293</v>
      </c>
      <c r="C167">
        <v>0.1</v>
      </c>
      <c r="D167">
        <v>9.55</v>
      </c>
      <c r="E167">
        <v>0.01</v>
      </c>
      <c r="F167">
        <v>9.54</v>
      </c>
      <c r="G167">
        <v>9.55</v>
      </c>
      <c r="H167">
        <v>115682</v>
      </c>
      <c r="I167">
        <v>1733</v>
      </c>
      <c r="J167">
        <v>0.1</v>
      </c>
      <c r="K167">
        <v>1.89</v>
      </c>
      <c r="L167">
        <v>9.47</v>
      </c>
      <c r="M167">
        <v>9.74</v>
      </c>
      <c r="N167">
        <v>9.45</v>
      </c>
      <c r="O167">
        <v>9.54</v>
      </c>
      <c r="P167">
        <v>52.01</v>
      </c>
      <c r="Q167">
        <v>110536120</v>
      </c>
      <c r="R167">
        <v>0.53</v>
      </c>
      <c r="S167" t="s">
        <v>190</v>
      </c>
      <c r="T167" t="s">
        <v>87</v>
      </c>
      <c r="U167">
        <v>3.04</v>
      </c>
      <c r="V167">
        <v>9.56</v>
      </c>
      <c r="W167">
        <v>60186</v>
      </c>
      <c r="X167">
        <v>55496</v>
      </c>
      <c r="Y167">
        <v>1.08</v>
      </c>
      <c r="Z167">
        <v>767</v>
      </c>
      <c r="AA167">
        <v>1403</v>
      </c>
      <c r="AB167" t="s">
        <v>32</v>
      </c>
      <c r="AC167">
        <v>6.11</v>
      </c>
    </row>
    <row r="168" spans="1:29">
      <c r="A168" t="str">
        <f>"000585"</f>
        <v>000585</v>
      </c>
      <c r="B168" t="s">
        <v>294</v>
      </c>
      <c r="C168">
        <v>1.56</v>
      </c>
      <c r="D168">
        <v>1.95</v>
      </c>
      <c r="E168">
        <v>0.03</v>
      </c>
      <c r="F168">
        <v>1.94</v>
      </c>
      <c r="G168">
        <v>1.95</v>
      </c>
      <c r="H168">
        <v>61513</v>
      </c>
      <c r="I168">
        <v>327</v>
      </c>
      <c r="J168">
        <v>0.52</v>
      </c>
      <c r="K168">
        <v>1.01</v>
      </c>
      <c r="L168">
        <v>1.93</v>
      </c>
      <c r="M168">
        <v>1.95</v>
      </c>
      <c r="N168">
        <v>1.9</v>
      </c>
      <c r="O168">
        <v>1.92</v>
      </c>
      <c r="P168" t="s">
        <v>32</v>
      </c>
      <c r="Q168">
        <v>11822780</v>
      </c>
      <c r="R168">
        <v>0.98</v>
      </c>
      <c r="S168" t="s">
        <v>104</v>
      </c>
      <c r="T168" t="s">
        <v>209</v>
      </c>
      <c r="U168">
        <v>2.6</v>
      </c>
      <c r="V168">
        <v>1.92</v>
      </c>
      <c r="W168">
        <v>33619</v>
      </c>
      <c r="X168">
        <v>27893</v>
      </c>
      <c r="Y168">
        <v>1.21</v>
      </c>
      <c r="Z168">
        <v>300</v>
      </c>
      <c r="AA168">
        <v>2055</v>
      </c>
      <c r="AB168" t="s">
        <v>32</v>
      </c>
      <c r="AC168">
        <v>6.09</v>
      </c>
    </row>
    <row r="169" spans="1:29">
      <c r="A169" t="str">
        <f>"000586"</f>
        <v>000586</v>
      </c>
      <c r="B169" t="s">
        <v>295</v>
      </c>
      <c r="C169">
        <v>1.27</v>
      </c>
      <c r="D169">
        <v>10.33</v>
      </c>
      <c r="E169">
        <v>0.13</v>
      </c>
      <c r="F169">
        <v>10.32</v>
      </c>
      <c r="G169">
        <v>10.33</v>
      </c>
      <c r="H169">
        <v>4307</v>
      </c>
      <c r="I169">
        <v>37</v>
      </c>
      <c r="J169">
        <v>0.1</v>
      </c>
      <c r="K169">
        <v>0.22</v>
      </c>
      <c r="L169">
        <v>10.2</v>
      </c>
      <c r="M169">
        <v>10.36</v>
      </c>
      <c r="N169">
        <v>10.08</v>
      </c>
      <c r="O169">
        <v>10.2</v>
      </c>
      <c r="P169" t="s">
        <v>32</v>
      </c>
      <c r="Q169">
        <v>4416157</v>
      </c>
      <c r="R169">
        <v>1.2</v>
      </c>
      <c r="S169" t="s">
        <v>119</v>
      </c>
      <c r="T169" t="s">
        <v>146</v>
      </c>
      <c r="U169">
        <v>2.75</v>
      </c>
      <c r="V169">
        <v>10.25</v>
      </c>
      <c r="W169">
        <v>1808</v>
      </c>
      <c r="X169">
        <v>2499</v>
      </c>
      <c r="Y169">
        <v>0.72</v>
      </c>
      <c r="Z169">
        <v>29</v>
      </c>
      <c r="AA169">
        <v>3</v>
      </c>
      <c r="AB169" t="s">
        <v>32</v>
      </c>
      <c r="AC169">
        <v>1.93</v>
      </c>
    </row>
    <row r="170" spans="1:29">
      <c r="A170" t="str">
        <f>"000587"</f>
        <v>000587</v>
      </c>
      <c r="B170" t="s">
        <v>296</v>
      </c>
      <c r="C170">
        <v>2.09</v>
      </c>
      <c r="D170">
        <v>3.42</v>
      </c>
      <c r="E170">
        <v>0.07</v>
      </c>
      <c r="F170">
        <v>3.41</v>
      </c>
      <c r="G170">
        <v>3.42</v>
      </c>
      <c r="H170">
        <v>538778</v>
      </c>
      <c r="I170">
        <v>5649</v>
      </c>
      <c r="J170">
        <v>0</v>
      </c>
      <c r="K170">
        <v>4.44</v>
      </c>
      <c r="L170">
        <v>3.35</v>
      </c>
      <c r="M170">
        <v>3.47</v>
      </c>
      <c r="N170">
        <v>3.32</v>
      </c>
      <c r="O170">
        <v>3.35</v>
      </c>
      <c r="P170">
        <v>18.16</v>
      </c>
      <c r="Q170">
        <v>183090080</v>
      </c>
      <c r="R170">
        <v>1.1</v>
      </c>
      <c r="S170" t="s">
        <v>117</v>
      </c>
      <c r="T170" t="s">
        <v>297</v>
      </c>
      <c r="U170">
        <v>4.48</v>
      </c>
      <c r="V170">
        <v>3.4</v>
      </c>
      <c r="W170">
        <v>256622</v>
      </c>
      <c r="X170">
        <v>282156</v>
      </c>
      <c r="Y170">
        <v>0.91</v>
      </c>
      <c r="Z170">
        <v>5738</v>
      </c>
      <c r="AA170">
        <v>4468</v>
      </c>
      <c r="AB170" t="s">
        <v>32</v>
      </c>
      <c r="AC170">
        <v>12.13</v>
      </c>
    </row>
    <row r="171" spans="1:29">
      <c r="A171" t="str">
        <f>"000589"</f>
        <v>000589</v>
      </c>
      <c r="B171" t="s">
        <v>298</v>
      </c>
      <c r="C171">
        <v>1.77</v>
      </c>
      <c r="D171">
        <v>3.45</v>
      </c>
      <c r="E171">
        <v>0.06</v>
      </c>
      <c r="F171">
        <v>3.45</v>
      </c>
      <c r="G171">
        <v>3.46</v>
      </c>
      <c r="H171">
        <v>47579</v>
      </c>
      <c r="I171">
        <v>283</v>
      </c>
      <c r="J171">
        <v>-0.28</v>
      </c>
      <c r="K171">
        <v>0.61</v>
      </c>
      <c r="L171">
        <v>3.39</v>
      </c>
      <c r="M171">
        <v>3.46</v>
      </c>
      <c r="N171">
        <v>3.39</v>
      </c>
      <c r="O171">
        <v>3.39</v>
      </c>
      <c r="P171">
        <v>160.71</v>
      </c>
      <c r="Q171">
        <v>16344857</v>
      </c>
      <c r="R171">
        <v>1.44</v>
      </c>
      <c r="S171" t="s">
        <v>80</v>
      </c>
      <c r="T171" t="s">
        <v>253</v>
      </c>
      <c r="U171">
        <v>2.06</v>
      </c>
      <c r="V171">
        <v>3.44</v>
      </c>
      <c r="W171">
        <v>23013</v>
      </c>
      <c r="X171">
        <v>24565</v>
      </c>
      <c r="Y171">
        <v>0.94</v>
      </c>
      <c r="Z171">
        <v>209</v>
      </c>
      <c r="AA171">
        <v>1261</v>
      </c>
      <c r="AB171" t="s">
        <v>32</v>
      </c>
      <c r="AC171">
        <v>7.75</v>
      </c>
    </row>
    <row r="172" spans="1:29">
      <c r="A172" t="str">
        <f>"000590"</f>
        <v>000590</v>
      </c>
      <c r="B172" t="s">
        <v>299</v>
      </c>
      <c r="C172">
        <v>2.42</v>
      </c>
      <c r="D172">
        <v>10.15</v>
      </c>
      <c r="E172">
        <v>0.24</v>
      </c>
      <c r="F172">
        <v>10.14</v>
      </c>
      <c r="G172">
        <v>10.15</v>
      </c>
      <c r="H172">
        <v>14571</v>
      </c>
      <c r="I172">
        <v>646</v>
      </c>
      <c r="J172">
        <v>0.59</v>
      </c>
      <c r="K172">
        <v>0.65</v>
      </c>
      <c r="L172">
        <v>9.83</v>
      </c>
      <c r="M172">
        <v>10.17</v>
      </c>
      <c r="N172">
        <v>9.83</v>
      </c>
      <c r="O172">
        <v>9.91</v>
      </c>
      <c r="P172">
        <v>111.35</v>
      </c>
      <c r="Q172">
        <v>14617818</v>
      </c>
      <c r="R172">
        <v>0.95</v>
      </c>
      <c r="S172" t="s">
        <v>195</v>
      </c>
      <c r="T172" t="s">
        <v>152</v>
      </c>
      <c r="U172">
        <v>3.43</v>
      </c>
      <c r="V172">
        <v>10.03</v>
      </c>
      <c r="W172">
        <v>5292</v>
      </c>
      <c r="X172">
        <v>9279</v>
      </c>
      <c r="Y172">
        <v>0.57</v>
      </c>
      <c r="Z172">
        <v>30</v>
      </c>
      <c r="AA172">
        <v>207</v>
      </c>
      <c r="AB172" t="s">
        <v>32</v>
      </c>
      <c r="AC172">
        <v>2.23</v>
      </c>
    </row>
    <row r="173" spans="1:29">
      <c r="A173" t="str">
        <f>"000591"</f>
        <v>000591</v>
      </c>
      <c r="B173" t="s">
        <v>300</v>
      </c>
      <c r="C173">
        <v>2.47</v>
      </c>
      <c r="D173">
        <v>3.73</v>
      </c>
      <c r="E173">
        <v>0.09</v>
      </c>
      <c r="F173">
        <v>3.73</v>
      </c>
      <c r="G173">
        <v>3.74</v>
      </c>
      <c r="H173">
        <v>188685</v>
      </c>
      <c r="I173">
        <v>935</v>
      </c>
      <c r="J173">
        <v>0</v>
      </c>
      <c r="K173">
        <v>0.93</v>
      </c>
      <c r="L173">
        <v>3.64</v>
      </c>
      <c r="M173">
        <v>3.75</v>
      </c>
      <c r="N173">
        <v>3.62</v>
      </c>
      <c r="O173">
        <v>3.64</v>
      </c>
      <c r="P173">
        <v>19.76</v>
      </c>
      <c r="Q173">
        <v>69923544</v>
      </c>
      <c r="R173">
        <v>1.41</v>
      </c>
      <c r="S173" t="s">
        <v>95</v>
      </c>
      <c r="T173" t="s">
        <v>221</v>
      </c>
      <c r="U173">
        <v>3.57</v>
      </c>
      <c r="V173">
        <v>3.71</v>
      </c>
      <c r="W173">
        <v>88916</v>
      </c>
      <c r="X173">
        <v>99769</v>
      </c>
      <c r="Y173">
        <v>0.89</v>
      </c>
      <c r="Z173">
        <v>1964</v>
      </c>
      <c r="AA173">
        <v>2647</v>
      </c>
      <c r="AB173" t="s">
        <v>32</v>
      </c>
      <c r="AC173">
        <v>20.37</v>
      </c>
    </row>
    <row r="174" spans="1:29">
      <c r="A174" t="str">
        <f>"000592"</f>
        <v>000592</v>
      </c>
      <c r="B174" t="s">
        <v>301</v>
      </c>
      <c r="C174">
        <v>1.71</v>
      </c>
      <c r="D174">
        <v>2.97</v>
      </c>
      <c r="E174">
        <v>0.05</v>
      </c>
      <c r="F174">
        <v>2.96</v>
      </c>
      <c r="G174">
        <v>2.97</v>
      </c>
      <c r="H174">
        <v>194134</v>
      </c>
      <c r="I174">
        <v>5199</v>
      </c>
      <c r="J174">
        <v>0.68</v>
      </c>
      <c r="K174">
        <v>1.01</v>
      </c>
      <c r="L174">
        <v>2.91</v>
      </c>
      <c r="M174">
        <v>2.99</v>
      </c>
      <c r="N174">
        <v>2.89</v>
      </c>
      <c r="O174">
        <v>2.92</v>
      </c>
      <c r="P174" t="s">
        <v>32</v>
      </c>
      <c r="Q174">
        <v>57249264</v>
      </c>
      <c r="R174">
        <v>1.36</v>
      </c>
      <c r="S174" t="s">
        <v>302</v>
      </c>
      <c r="T174" t="s">
        <v>236</v>
      </c>
      <c r="U174">
        <v>3.42</v>
      </c>
      <c r="V174">
        <v>2.95</v>
      </c>
      <c r="W174">
        <v>82798</v>
      </c>
      <c r="X174">
        <v>111336</v>
      </c>
      <c r="Y174">
        <v>0.74</v>
      </c>
      <c r="Z174">
        <v>5384</v>
      </c>
      <c r="AA174">
        <v>3722</v>
      </c>
      <c r="AB174" t="s">
        <v>32</v>
      </c>
      <c r="AC174">
        <v>19.13</v>
      </c>
    </row>
    <row r="175" spans="1:29">
      <c r="A175" t="str">
        <f>"000593"</f>
        <v>000593</v>
      </c>
      <c r="B175" t="s">
        <v>303</v>
      </c>
      <c r="C175">
        <v>-0.98</v>
      </c>
      <c r="D175">
        <v>7.1</v>
      </c>
      <c r="E175">
        <v>-0.07</v>
      </c>
      <c r="F175">
        <v>7.09</v>
      </c>
      <c r="G175">
        <v>7.1</v>
      </c>
      <c r="H175">
        <v>112120</v>
      </c>
      <c r="I175">
        <v>2192</v>
      </c>
      <c r="J175">
        <v>-0.13</v>
      </c>
      <c r="K175">
        <v>4.01</v>
      </c>
      <c r="L175">
        <v>7.33</v>
      </c>
      <c r="M175">
        <v>7.33</v>
      </c>
      <c r="N175">
        <v>6.98</v>
      </c>
      <c r="O175">
        <v>7.17</v>
      </c>
      <c r="P175" t="s">
        <v>32</v>
      </c>
      <c r="Q175">
        <v>79237832</v>
      </c>
      <c r="R175">
        <v>0.49</v>
      </c>
      <c r="S175" t="s">
        <v>174</v>
      </c>
      <c r="T175" t="s">
        <v>146</v>
      </c>
      <c r="U175">
        <v>4.88</v>
      </c>
      <c r="V175">
        <v>7.07</v>
      </c>
      <c r="W175">
        <v>66361</v>
      </c>
      <c r="X175">
        <v>45759</v>
      </c>
      <c r="Y175">
        <v>1.45</v>
      </c>
      <c r="Z175">
        <v>582</v>
      </c>
      <c r="AA175">
        <v>409</v>
      </c>
      <c r="AB175" t="s">
        <v>32</v>
      </c>
      <c r="AC175">
        <v>2.8</v>
      </c>
    </row>
    <row r="176" spans="1:29">
      <c r="A176" t="str">
        <f>"000595"</f>
        <v>000595</v>
      </c>
      <c r="B176" t="s">
        <v>304</v>
      </c>
      <c r="C176">
        <v>1.04</v>
      </c>
      <c r="D176">
        <v>3.87</v>
      </c>
      <c r="E176">
        <v>0.04</v>
      </c>
      <c r="F176">
        <v>3.87</v>
      </c>
      <c r="G176">
        <v>3.88</v>
      </c>
      <c r="H176">
        <v>72359</v>
      </c>
      <c r="I176">
        <v>1221</v>
      </c>
      <c r="J176">
        <v>-0.5</v>
      </c>
      <c r="K176">
        <v>0.97</v>
      </c>
      <c r="L176">
        <v>3.81</v>
      </c>
      <c r="M176">
        <v>3.89</v>
      </c>
      <c r="N176">
        <v>3.78</v>
      </c>
      <c r="O176">
        <v>3.83</v>
      </c>
      <c r="P176">
        <v>117.86</v>
      </c>
      <c r="Q176">
        <v>27860754</v>
      </c>
      <c r="R176">
        <v>1.53</v>
      </c>
      <c r="S176" t="s">
        <v>241</v>
      </c>
      <c r="T176" t="s">
        <v>273</v>
      </c>
      <c r="U176">
        <v>2.87</v>
      </c>
      <c r="V176">
        <v>3.85</v>
      </c>
      <c r="W176">
        <v>32281</v>
      </c>
      <c r="X176">
        <v>40078</v>
      </c>
      <c r="Y176">
        <v>0.81</v>
      </c>
      <c r="Z176">
        <v>1516</v>
      </c>
      <c r="AA176">
        <v>825</v>
      </c>
      <c r="AB176" t="s">
        <v>32</v>
      </c>
      <c r="AC176">
        <v>7.45</v>
      </c>
    </row>
    <row r="177" spans="1:29">
      <c r="A177" t="str">
        <f>"000596"</f>
        <v>000596</v>
      </c>
      <c r="B177" t="s">
        <v>305</v>
      </c>
      <c r="C177">
        <v>6.11</v>
      </c>
      <c r="D177">
        <v>97.04</v>
      </c>
      <c r="E177">
        <v>5.59</v>
      </c>
      <c r="F177">
        <v>97.03</v>
      </c>
      <c r="G177">
        <v>97.04</v>
      </c>
      <c r="H177">
        <v>49326</v>
      </c>
      <c r="I177">
        <v>716</v>
      </c>
      <c r="J177">
        <v>0.04</v>
      </c>
      <c r="K177">
        <v>1.29</v>
      </c>
      <c r="L177">
        <v>91.48</v>
      </c>
      <c r="M177">
        <v>97.5</v>
      </c>
      <c r="N177">
        <v>90</v>
      </c>
      <c r="O177">
        <v>91.45</v>
      </c>
      <c r="P177">
        <v>21.03</v>
      </c>
      <c r="Q177">
        <v>467500608</v>
      </c>
      <c r="R177">
        <v>1.41</v>
      </c>
      <c r="S177" t="s">
        <v>285</v>
      </c>
      <c r="T177" t="s">
        <v>143</v>
      </c>
      <c r="U177">
        <v>8.2</v>
      </c>
      <c r="V177">
        <v>94.78</v>
      </c>
      <c r="W177">
        <v>19701</v>
      </c>
      <c r="X177">
        <v>29625</v>
      </c>
      <c r="Y177">
        <v>0.67</v>
      </c>
      <c r="Z177">
        <v>15</v>
      </c>
      <c r="AA177">
        <v>138</v>
      </c>
      <c r="AB177" t="s">
        <v>32</v>
      </c>
      <c r="AC177">
        <v>3.84</v>
      </c>
    </row>
    <row r="178" spans="1:29">
      <c r="A178" t="str">
        <f>"000597"</f>
        <v>000597</v>
      </c>
      <c r="B178" t="s">
        <v>306</v>
      </c>
      <c r="C178">
        <v>3.75</v>
      </c>
      <c r="D178">
        <v>13.01</v>
      </c>
      <c r="E178">
        <v>0.47</v>
      </c>
      <c r="F178">
        <v>13</v>
      </c>
      <c r="G178">
        <v>13.01</v>
      </c>
      <c r="H178">
        <v>109524</v>
      </c>
      <c r="I178">
        <v>912</v>
      </c>
      <c r="J178">
        <v>-0.14</v>
      </c>
      <c r="K178">
        <v>2.31</v>
      </c>
      <c r="L178">
        <v>12.46</v>
      </c>
      <c r="M178">
        <v>13.08</v>
      </c>
      <c r="N178">
        <v>12.42</v>
      </c>
      <c r="O178">
        <v>12.54</v>
      </c>
      <c r="P178">
        <v>35.47</v>
      </c>
      <c r="Q178">
        <v>139891792</v>
      </c>
      <c r="R178">
        <v>1.52</v>
      </c>
      <c r="S178" t="s">
        <v>142</v>
      </c>
      <c r="T178" t="s">
        <v>111</v>
      </c>
      <c r="U178">
        <v>5.26</v>
      </c>
      <c r="V178">
        <v>12.77</v>
      </c>
      <c r="W178">
        <v>46015</v>
      </c>
      <c r="X178">
        <v>63509</v>
      </c>
      <c r="Y178">
        <v>0.72</v>
      </c>
      <c r="Z178">
        <v>73</v>
      </c>
      <c r="AA178">
        <v>192</v>
      </c>
      <c r="AB178" t="s">
        <v>32</v>
      </c>
      <c r="AC178">
        <v>4.73</v>
      </c>
    </row>
    <row r="179" spans="1:29">
      <c r="A179" t="str">
        <f>"000598"</f>
        <v>000598</v>
      </c>
      <c r="B179" t="s">
        <v>307</v>
      </c>
      <c r="C179">
        <v>0.47</v>
      </c>
      <c r="D179">
        <v>4.29</v>
      </c>
      <c r="E179">
        <v>0.02</v>
      </c>
      <c r="F179">
        <v>4.28</v>
      </c>
      <c r="G179">
        <v>4.29</v>
      </c>
      <c r="H179">
        <v>141806</v>
      </c>
      <c r="I179">
        <v>2540</v>
      </c>
      <c r="J179">
        <v>0</v>
      </c>
      <c r="K179">
        <v>0.47</v>
      </c>
      <c r="L179">
        <v>4.27</v>
      </c>
      <c r="M179">
        <v>4.34</v>
      </c>
      <c r="N179">
        <v>4.25</v>
      </c>
      <c r="O179">
        <v>4.27</v>
      </c>
      <c r="P179">
        <v>13.87</v>
      </c>
      <c r="Q179">
        <v>61022456</v>
      </c>
      <c r="R179">
        <v>1.48</v>
      </c>
      <c r="S179" t="s">
        <v>308</v>
      </c>
      <c r="T179" t="s">
        <v>146</v>
      </c>
      <c r="U179">
        <v>2.11</v>
      </c>
      <c r="V179">
        <v>4.3</v>
      </c>
      <c r="W179">
        <v>69313</v>
      </c>
      <c r="X179">
        <v>72493</v>
      </c>
      <c r="Y179">
        <v>0.96</v>
      </c>
      <c r="Z179">
        <v>5165</v>
      </c>
      <c r="AA179">
        <v>1155</v>
      </c>
      <c r="AB179" t="s">
        <v>32</v>
      </c>
      <c r="AC179">
        <v>29.86</v>
      </c>
    </row>
    <row r="180" spans="1:29">
      <c r="A180" t="str">
        <f>"000599"</f>
        <v>000599</v>
      </c>
      <c r="B180" t="s">
        <v>309</v>
      </c>
      <c r="C180">
        <v>1.91</v>
      </c>
      <c r="D180">
        <v>4.79</v>
      </c>
      <c r="E180">
        <v>0.09</v>
      </c>
      <c r="F180">
        <v>4.78</v>
      </c>
      <c r="G180">
        <v>4.79</v>
      </c>
      <c r="H180">
        <v>34149</v>
      </c>
      <c r="I180">
        <v>636</v>
      </c>
      <c r="J180">
        <v>0</v>
      </c>
      <c r="K180">
        <v>0.54</v>
      </c>
      <c r="L180">
        <v>4.67</v>
      </c>
      <c r="M180">
        <v>4.81</v>
      </c>
      <c r="N180">
        <v>4.66</v>
      </c>
      <c r="O180">
        <v>4.7</v>
      </c>
      <c r="P180">
        <v>37.21</v>
      </c>
      <c r="Q180">
        <v>16255559</v>
      </c>
      <c r="R180">
        <v>1.51</v>
      </c>
      <c r="S180" t="s">
        <v>80</v>
      </c>
      <c r="T180" t="s">
        <v>162</v>
      </c>
      <c r="U180">
        <v>3.19</v>
      </c>
      <c r="V180">
        <v>4.76</v>
      </c>
      <c r="W180">
        <v>14621</v>
      </c>
      <c r="X180">
        <v>19527</v>
      </c>
      <c r="Y180">
        <v>0.75</v>
      </c>
      <c r="Z180">
        <v>597</v>
      </c>
      <c r="AA180">
        <v>368</v>
      </c>
      <c r="AB180" t="s">
        <v>32</v>
      </c>
      <c r="AC180">
        <v>6.28</v>
      </c>
    </row>
    <row r="181" spans="1:29">
      <c r="A181" t="str">
        <f>"000600"</f>
        <v>000600</v>
      </c>
      <c r="B181" t="s">
        <v>310</v>
      </c>
      <c r="C181">
        <v>2.46</v>
      </c>
      <c r="D181">
        <v>5.83</v>
      </c>
      <c r="E181">
        <v>0.14</v>
      </c>
      <c r="F181">
        <v>5.83</v>
      </c>
      <c r="G181">
        <v>5.84</v>
      </c>
      <c r="H181">
        <v>129748</v>
      </c>
      <c r="I181">
        <v>1854</v>
      </c>
      <c r="J181">
        <v>0</v>
      </c>
      <c r="K181">
        <v>1.19</v>
      </c>
      <c r="L181">
        <v>5.66</v>
      </c>
      <c r="M181">
        <v>5.86</v>
      </c>
      <c r="N181">
        <v>5.66</v>
      </c>
      <c r="O181">
        <v>5.69</v>
      </c>
      <c r="P181">
        <v>13.02</v>
      </c>
      <c r="Q181">
        <v>75303336</v>
      </c>
      <c r="R181">
        <v>1.54</v>
      </c>
      <c r="S181" t="s">
        <v>75</v>
      </c>
      <c r="T181" t="s">
        <v>154</v>
      </c>
      <c r="U181">
        <v>3.51</v>
      </c>
      <c r="V181">
        <v>5.8</v>
      </c>
      <c r="W181">
        <v>51024</v>
      </c>
      <c r="X181">
        <v>78723</v>
      </c>
      <c r="Y181">
        <v>0.65</v>
      </c>
      <c r="Z181">
        <v>903</v>
      </c>
      <c r="AA181">
        <v>2293</v>
      </c>
      <c r="AB181" t="s">
        <v>32</v>
      </c>
      <c r="AC181">
        <v>10.9</v>
      </c>
    </row>
    <row r="182" spans="1:29">
      <c r="A182" t="str">
        <f>"000601"</f>
        <v>000601</v>
      </c>
      <c r="B182" t="s">
        <v>311</v>
      </c>
      <c r="C182">
        <v>1.66</v>
      </c>
      <c r="D182">
        <v>4.9</v>
      </c>
      <c r="E182">
        <v>0.08</v>
      </c>
      <c r="F182">
        <v>4.9</v>
      </c>
      <c r="G182">
        <v>4.91</v>
      </c>
      <c r="H182">
        <v>81131</v>
      </c>
      <c r="I182">
        <v>939</v>
      </c>
      <c r="J182">
        <v>0</v>
      </c>
      <c r="K182">
        <v>0.75</v>
      </c>
      <c r="L182">
        <v>4.7</v>
      </c>
      <c r="M182">
        <v>4.98</v>
      </c>
      <c r="N182">
        <v>4.7</v>
      </c>
      <c r="O182">
        <v>4.82</v>
      </c>
      <c r="P182">
        <v>13.1</v>
      </c>
      <c r="Q182">
        <v>39339568</v>
      </c>
      <c r="R182">
        <v>1.72</v>
      </c>
      <c r="S182" t="s">
        <v>312</v>
      </c>
      <c r="T182" t="s">
        <v>136</v>
      </c>
      <c r="U182">
        <v>5.81</v>
      </c>
      <c r="V182">
        <v>4.85</v>
      </c>
      <c r="W182">
        <v>41021</v>
      </c>
      <c r="X182">
        <v>40110</v>
      </c>
      <c r="Y182">
        <v>1.02</v>
      </c>
      <c r="Z182">
        <v>2417</v>
      </c>
      <c r="AA182">
        <v>1079</v>
      </c>
      <c r="AB182" t="s">
        <v>32</v>
      </c>
      <c r="AC182">
        <v>10.8</v>
      </c>
    </row>
    <row r="183" spans="1:29">
      <c r="A183" t="str">
        <f>"000603"</f>
        <v>000603</v>
      </c>
      <c r="B183" t="s">
        <v>313</v>
      </c>
      <c r="C183" t="s">
        <v>32</v>
      </c>
      <c r="D183">
        <v>10.83</v>
      </c>
      <c r="E183" t="s">
        <v>32</v>
      </c>
      <c r="F183" t="s">
        <v>32</v>
      </c>
      <c r="G183" t="s">
        <v>32</v>
      </c>
      <c r="H183">
        <v>0</v>
      </c>
      <c r="I183">
        <v>0</v>
      </c>
      <c r="J183" t="s">
        <v>32</v>
      </c>
      <c r="K183">
        <v>0</v>
      </c>
      <c r="L183" t="s">
        <v>32</v>
      </c>
      <c r="M183" t="s">
        <v>32</v>
      </c>
      <c r="N183" t="s">
        <v>32</v>
      </c>
      <c r="O183">
        <v>10.83</v>
      </c>
      <c r="P183">
        <v>27.82</v>
      </c>
      <c r="Q183">
        <v>0</v>
      </c>
      <c r="R183">
        <v>0</v>
      </c>
      <c r="S183" t="s">
        <v>113</v>
      </c>
      <c r="T183" t="s">
        <v>45</v>
      </c>
      <c r="U183">
        <v>0</v>
      </c>
      <c r="V183">
        <v>10.83</v>
      </c>
      <c r="W183">
        <v>0</v>
      </c>
      <c r="X183">
        <v>0</v>
      </c>
      <c r="Y183" t="s">
        <v>32</v>
      </c>
      <c r="Z183">
        <v>0</v>
      </c>
      <c r="AA183">
        <v>0</v>
      </c>
      <c r="AB183" t="s">
        <v>32</v>
      </c>
      <c r="AC183">
        <v>4.11</v>
      </c>
    </row>
    <row r="184" spans="1:29">
      <c r="A184" t="str">
        <f>"000605"</f>
        <v>000605</v>
      </c>
      <c r="B184" t="s">
        <v>314</v>
      </c>
      <c r="C184">
        <v>0.96</v>
      </c>
      <c r="D184">
        <v>10.47</v>
      </c>
      <c r="E184">
        <v>0.1</v>
      </c>
      <c r="F184">
        <v>10.47</v>
      </c>
      <c r="G184">
        <v>10.48</v>
      </c>
      <c r="H184">
        <v>34852</v>
      </c>
      <c r="I184">
        <v>603</v>
      </c>
      <c r="J184">
        <v>-0.09</v>
      </c>
      <c r="K184">
        <v>1.28</v>
      </c>
      <c r="L184">
        <v>10.36</v>
      </c>
      <c r="M184">
        <v>10.55</v>
      </c>
      <c r="N184">
        <v>10.21</v>
      </c>
      <c r="O184">
        <v>10.37</v>
      </c>
      <c r="P184">
        <v>104.84</v>
      </c>
      <c r="Q184">
        <v>36526144</v>
      </c>
      <c r="R184">
        <v>1.82</v>
      </c>
      <c r="S184" t="s">
        <v>308</v>
      </c>
      <c r="T184" t="s">
        <v>45</v>
      </c>
      <c r="U184">
        <v>3.28</v>
      </c>
      <c r="V184">
        <v>10.48</v>
      </c>
      <c r="W184">
        <v>17592</v>
      </c>
      <c r="X184">
        <v>17260</v>
      </c>
      <c r="Y184">
        <v>1.02</v>
      </c>
      <c r="Z184">
        <v>817</v>
      </c>
      <c r="AA184">
        <v>318</v>
      </c>
      <c r="AB184" t="s">
        <v>32</v>
      </c>
      <c r="AC184">
        <v>2.73</v>
      </c>
    </row>
    <row r="185" spans="1:29">
      <c r="A185" t="str">
        <f>"000606"</f>
        <v>000606</v>
      </c>
      <c r="B185" t="s">
        <v>315</v>
      </c>
      <c r="C185">
        <v>10.08</v>
      </c>
      <c r="D185">
        <v>6.88</v>
      </c>
      <c r="E185">
        <v>0.63</v>
      </c>
      <c r="F185">
        <v>6.88</v>
      </c>
      <c r="G185" t="s">
        <v>32</v>
      </c>
      <c r="H185">
        <v>78272</v>
      </c>
      <c r="I185">
        <v>262</v>
      </c>
      <c r="J185">
        <v>0</v>
      </c>
      <c r="K185">
        <v>1.43</v>
      </c>
      <c r="L185">
        <v>6.25</v>
      </c>
      <c r="M185">
        <v>6.88</v>
      </c>
      <c r="N185">
        <v>6.22</v>
      </c>
      <c r="O185">
        <v>6.25</v>
      </c>
      <c r="P185">
        <v>31.84</v>
      </c>
      <c r="Q185">
        <v>52237108</v>
      </c>
      <c r="R185">
        <v>2.3</v>
      </c>
      <c r="S185" t="s">
        <v>316</v>
      </c>
      <c r="T185" t="s">
        <v>176</v>
      </c>
      <c r="U185">
        <v>10.56</v>
      </c>
      <c r="V185">
        <v>6.67</v>
      </c>
      <c r="W185">
        <v>46071</v>
      </c>
      <c r="X185">
        <v>32201</v>
      </c>
      <c r="Y185">
        <v>1.43</v>
      </c>
      <c r="Z185">
        <v>12513</v>
      </c>
      <c r="AA185">
        <v>0</v>
      </c>
      <c r="AB185" t="s">
        <v>32</v>
      </c>
      <c r="AC185">
        <v>5.46</v>
      </c>
    </row>
    <row r="186" spans="1:29">
      <c r="A186" t="str">
        <f>"000607"</f>
        <v>000607</v>
      </c>
      <c r="B186" t="s">
        <v>317</v>
      </c>
      <c r="C186">
        <v>1.69</v>
      </c>
      <c r="D186">
        <v>4.22</v>
      </c>
      <c r="E186">
        <v>0.07</v>
      </c>
      <c r="F186">
        <v>4.21</v>
      </c>
      <c r="G186">
        <v>4.22</v>
      </c>
      <c r="H186">
        <v>20547</v>
      </c>
      <c r="I186">
        <v>331</v>
      </c>
      <c r="J186">
        <v>0.48</v>
      </c>
      <c r="K186">
        <v>0.23</v>
      </c>
      <c r="L186">
        <v>4.16</v>
      </c>
      <c r="M186">
        <v>4.22</v>
      </c>
      <c r="N186">
        <v>4.13</v>
      </c>
      <c r="O186">
        <v>4.15</v>
      </c>
      <c r="P186" t="s">
        <v>32</v>
      </c>
      <c r="Q186">
        <v>8629938</v>
      </c>
      <c r="R186">
        <v>1.68</v>
      </c>
      <c r="S186" t="s">
        <v>91</v>
      </c>
      <c r="T186" t="s">
        <v>149</v>
      </c>
      <c r="U186">
        <v>2.17</v>
      </c>
      <c r="V186">
        <v>4.2</v>
      </c>
      <c r="W186">
        <v>10018</v>
      </c>
      <c r="X186">
        <v>10529</v>
      </c>
      <c r="Y186">
        <v>0.95</v>
      </c>
      <c r="Z186">
        <v>1349</v>
      </c>
      <c r="AA186">
        <v>1192</v>
      </c>
      <c r="AB186" t="s">
        <v>32</v>
      </c>
      <c r="AC186">
        <v>8.85</v>
      </c>
    </row>
    <row r="187" spans="1:29">
      <c r="A187" t="str">
        <f>"000608"</f>
        <v>000608</v>
      </c>
      <c r="B187" t="s">
        <v>318</v>
      </c>
      <c r="C187">
        <v>0.97</v>
      </c>
      <c r="D187">
        <v>5.23</v>
      </c>
      <c r="E187">
        <v>0.05</v>
      </c>
      <c r="F187">
        <v>5.23</v>
      </c>
      <c r="G187">
        <v>5.24</v>
      </c>
      <c r="H187">
        <v>20956</v>
      </c>
      <c r="I187">
        <v>484</v>
      </c>
      <c r="J187">
        <v>0</v>
      </c>
      <c r="K187">
        <v>0.28</v>
      </c>
      <c r="L187">
        <v>5.19</v>
      </c>
      <c r="M187">
        <v>5.4</v>
      </c>
      <c r="N187">
        <v>5.15</v>
      </c>
      <c r="O187">
        <v>5.18</v>
      </c>
      <c r="P187" t="s">
        <v>32</v>
      </c>
      <c r="Q187">
        <v>10998488</v>
      </c>
      <c r="R187">
        <v>1.98</v>
      </c>
      <c r="S187" t="s">
        <v>40</v>
      </c>
      <c r="T187" t="s">
        <v>238</v>
      </c>
      <c r="U187">
        <v>4.83</v>
      </c>
      <c r="V187">
        <v>5.25</v>
      </c>
      <c r="W187">
        <v>10756</v>
      </c>
      <c r="X187">
        <v>10199</v>
      </c>
      <c r="Y187">
        <v>1.05</v>
      </c>
      <c r="Z187">
        <v>35</v>
      </c>
      <c r="AA187">
        <v>64</v>
      </c>
      <c r="AB187" t="s">
        <v>32</v>
      </c>
      <c r="AC187">
        <v>7.5</v>
      </c>
    </row>
    <row r="188" spans="1:29">
      <c r="A188" t="str">
        <f>"000609"</f>
        <v>000609</v>
      </c>
      <c r="B188" t="s">
        <v>319</v>
      </c>
      <c r="C188">
        <v>1.99</v>
      </c>
      <c r="D188">
        <v>6.14</v>
      </c>
      <c r="E188">
        <v>0.12</v>
      </c>
      <c r="F188">
        <v>6.13</v>
      </c>
      <c r="G188">
        <v>6.14</v>
      </c>
      <c r="H188">
        <v>26911</v>
      </c>
      <c r="I188">
        <v>252</v>
      </c>
      <c r="J188">
        <v>0.16</v>
      </c>
      <c r="K188">
        <v>1</v>
      </c>
      <c r="L188">
        <v>6.01</v>
      </c>
      <c r="M188">
        <v>6.2</v>
      </c>
      <c r="N188">
        <v>6.01</v>
      </c>
      <c r="O188">
        <v>6.02</v>
      </c>
      <c r="P188" t="s">
        <v>32</v>
      </c>
      <c r="Q188">
        <v>16498435</v>
      </c>
      <c r="R188">
        <v>1.54</v>
      </c>
      <c r="S188" t="s">
        <v>40</v>
      </c>
      <c r="T188" t="s">
        <v>45</v>
      </c>
      <c r="U188">
        <v>3.16</v>
      </c>
      <c r="V188">
        <v>6.13</v>
      </c>
      <c r="W188">
        <v>15108</v>
      </c>
      <c r="X188">
        <v>11802</v>
      </c>
      <c r="Y188">
        <v>1.28</v>
      </c>
      <c r="Z188">
        <v>196</v>
      </c>
      <c r="AA188">
        <v>316</v>
      </c>
      <c r="AB188" t="s">
        <v>32</v>
      </c>
      <c r="AC188">
        <v>2.69</v>
      </c>
    </row>
    <row r="189" spans="1:29">
      <c r="A189" t="str">
        <f>"000610"</f>
        <v>000610</v>
      </c>
      <c r="B189" t="s">
        <v>320</v>
      </c>
      <c r="C189">
        <v>1.71</v>
      </c>
      <c r="D189">
        <v>6.55</v>
      </c>
      <c r="E189">
        <v>0.11</v>
      </c>
      <c r="F189">
        <v>6.54</v>
      </c>
      <c r="G189">
        <v>6.55</v>
      </c>
      <c r="H189">
        <v>133265</v>
      </c>
      <c r="I189">
        <v>2203</v>
      </c>
      <c r="J189">
        <v>0.31</v>
      </c>
      <c r="K189">
        <v>5.66</v>
      </c>
      <c r="L189">
        <v>6.35</v>
      </c>
      <c r="M189">
        <v>6.63</v>
      </c>
      <c r="N189">
        <v>6.25</v>
      </c>
      <c r="O189">
        <v>6.44</v>
      </c>
      <c r="P189" t="s">
        <v>32</v>
      </c>
      <c r="Q189">
        <v>86453432</v>
      </c>
      <c r="R189">
        <v>1.72</v>
      </c>
      <c r="S189" t="s">
        <v>321</v>
      </c>
      <c r="T189" t="s">
        <v>223</v>
      </c>
      <c r="U189">
        <v>5.9</v>
      </c>
      <c r="V189">
        <v>6.49</v>
      </c>
      <c r="W189">
        <v>67804</v>
      </c>
      <c r="X189">
        <v>65461</v>
      </c>
      <c r="Y189">
        <v>1.04</v>
      </c>
      <c r="Z189">
        <v>227</v>
      </c>
      <c r="AA189">
        <v>103</v>
      </c>
      <c r="AB189" t="s">
        <v>32</v>
      </c>
      <c r="AC189">
        <v>2.35</v>
      </c>
    </row>
    <row r="190" spans="1:29">
      <c r="A190" t="str">
        <f>"000611"</f>
        <v>000611</v>
      </c>
      <c r="B190" t="s">
        <v>322</v>
      </c>
      <c r="C190" t="s">
        <v>32</v>
      </c>
      <c r="D190">
        <v>6.73</v>
      </c>
      <c r="E190" t="s">
        <v>32</v>
      </c>
      <c r="F190" t="s">
        <v>32</v>
      </c>
      <c r="G190" t="s">
        <v>32</v>
      </c>
      <c r="H190">
        <v>0</v>
      </c>
      <c r="I190">
        <v>0</v>
      </c>
      <c r="J190" t="s">
        <v>32</v>
      </c>
      <c r="K190">
        <v>0</v>
      </c>
      <c r="L190" t="s">
        <v>32</v>
      </c>
      <c r="M190" t="s">
        <v>32</v>
      </c>
      <c r="N190" t="s">
        <v>32</v>
      </c>
      <c r="O190">
        <v>6.73</v>
      </c>
      <c r="P190" t="s">
        <v>32</v>
      </c>
      <c r="Q190">
        <v>0</v>
      </c>
      <c r="R190">
        <v>0</v>
      </c>
      <c r="S190" t="s">
        <v>99</v>
      </c>
      <c r="T190" t="s">
        <v>198</v>
      </c>
      <c r="U190">
        <v>0</v>
      </c>
      <c r="V190">
        <v>6.73</v>
      </c>
      <c r="W190">
        <v>0</v>
      </c>
      <c r="X190">
        <v>0</v>
      </c>
      <c r="Y190" t="s">
        <v>32</v>
      </c>
      <c r="Z190">
        <v>0</v>
      </c>
      <c r="AA190">
        <v>0</v>
      </c>
      <c r="AB190" t="s">
        <v>32</v>
      </c>
      <c r="AC190">
        <v>3.19</v>
      </c>
    </row>
    <row r="191" spans="1:29">
      <c r="A191" t="str">
        <f>"000612"</f>
        <v>000612</v>
      </c>
      <c r="B191" t="s">
        <v>323</v>
      </c>
      <c r="C191">
        <v>2.61</v>
      </c>
      <c r="D191">
        <v>5.11</v>
      </c>
      <c r="E191">
        <v>0.13</v>
      </c>
      <c r="F191">
        <v>5.1</v>
      </c>
      <c r="G191">
        <v>5.11</v>
      </c>
      <c r="H191">
        <v>86658</v>
      </c>
      <c r="I191">
        <v>2194</v>
      </c>
      <c r="J191">
        <v>-0.38</v>
      </c>
      <c r="K191">
        <v>0.73</v>
      </c>
      <c r="L191">
        <v>4.94</v>
      </c>
      <c r="M191">
        <v>5.25</v>
      </c>
      <c r="N191">
        <v>4.94</v>
      </c>
      <c r="O191">
        <v>4.98</v>
      </c>
      <c r="P191" t="s">
        <v>32</v>
      </c>
      <c r="Q191">
        <v>44526508</v>
      </c>
      <c r="R191">
        <v>2.82</v>
      </c>
      <c r="S191" t="s">
        <v>324</v>
      </c>
      <c r="T191" t="s">
        <v>164</v>
      </c>
      <c r="U191">
        <v>6.22</v>
      </c>
      <c r="V191">
        <v>5.14</v>
      </c>
      <c r="W191">
        <v>45290</v>
      </c>
      <c r="X191">
        <v>41368</v>
      </c>
      <c r="Y191">
        <v>1.09</v>
      </c>
      <c r="Z191">
        <v>463</v>
      </c>
      <c r="AA191">
        <v>572</v>
      </c>
      <c r="AB191" t="s">
        <v>32</v>
      </c>
      <c r="AC191">
        <v>11.9</v>
      </c>
    </row>
    <row r="192" spans="1:29">
      <c r="A192" t="str">
        <f>"000613"</f>
        <v>000613</v>
      </c>
      <c r="B192" t="s">
        <v>325</v>
      </c>
      <c r="C192">
        <v>1.02</v>
      </c>
      <c r="D192">
        <v>7.96</v>
      </c>
      <c r="E192">
        <v>0.08</v>
      </c>
      <c r="F192">
        <v>7.95</v>
      </c>
      <c r="G192">
        <v>7.96</v>
      </c>
      <c r="H192">
        <v>98324</v>
      </c>
      <c r="I192">
        <v>1119</v>
      </c>
      <c r="J192">
        <v>0</v>
      </c>
      <c r="K192">
        <v>3.7</v>
      </c>
      <c r="L192">
        <v>7.87</v>
      </c>
      <c r="M192">
        <v>8.06</v>
      </c>
      <c r="N192">
        <v>7.73</v>
      </c>
      <c r="O192">
        <v>7.88</v>
      </c>
      <c r="P192">
        <v>367.18</v>
      </c>
      <c r="Q192">
        <v>77882584</v>
      </c>
      <c r="R192">
        <v>1.24</v>
      </c>
      <c r="S192" t="s">
        <v>321</v>
      </c>
      <c r="T192" t="s">
        <v>209</v>
      </c>
      <c r="U192">
        <v>4.19</v>
      </c>
      <c r="V192">
        <v>7.92</v>
      </c>
      <c r="W192">
        <v>45667</v>
      </c>
      <c r="X192">
        <v>52656</v>
      </c>
      <c r="Y192">
        <v>0.87</v>
      </c>
      <c r="Z192">
        <v>358</v>
      </c>
      <c r="AA192">
        <v>442</v>
      </c>
      <c r="AB192" t="s">
        <v>32</v>
      </c>
      <c r="AC192">
        <v>2.66</v>
      </c>
    </row>
    <row r="193" spans="1:29">
      <c r="A193" t="str">
        <f>"000615"</f>
        <v>000615</v>
      </c>
      <c r="B193" t="s">
        <v>326</v>
      </c>
      <c r="C193">
        <v>1.99</v>
      </c>
      <c r="D193">
        <v>6.65</v>
      </c>
      <c r="E193">
        <v>0.13</v>
      </c>
      <c r="F193">
        <v>6.64</v>
      </c>
      <c r="G193">
        <v>6.65</v>
      </c>
      <c r="H193">
        <v>81697</v>
      </c>
      <c r="I193">
        <v>920</v>
      </c>
      <c r="J193">
        <v>0</v>
      </c>
      <c r="K193">
        <v>2.31</v>
      </c>
      <c r="L193">
        <v>6.52</v>
      </c>
      <c r="M193">
        <v>6.7</v>
      </c>
      <c r="N193">
        <v>6.49</v>
      </c>
      <c r="O193">
        <v>6.52</v>
      </c>
      <c r="P193" t="s">
        <v>32</v>
      </c>
      <c r="Q193">
        <v>54201612</v>
      </c>
      <c r="R193">
        <v>1.99</v>
      </c>
      <c r="S193" t="s">
        <v>34</v>
      </c>
      <c r="T193" t="s">
        <v>193</v>
      </c>
      <c r="U193">
        <v>3.22</v>
      </c>
      <c r="V193">
        <v>6.63</v>
      </c>
      <c r="W193">
        <v>38842</v>
      </c>
      <c r="X193">
        <v>42855</v>
      </c>
      <c r="Y193">
        <v>0.91</v>
      </c>
      <c r="Z193">
        <v>975</v>
      </c>
      <c r="AA193">
        <v>999</v>
      </c>
      <c r="AB193" t="s">
        <v>32</v>
      </c>
      <c r="AC193">
        <v>3.54</v>
      </c>
    </row>
    <row r="194" spans="1:29">
      <c r="A194" t="str">
        <f>"000616"</f>
        <v>000616</v>
      </c>
      <c r="B194" t="s">
        <v>327</v>
      </c>
      <c r="C194" t="s">
        <v>32</v>
      </c>
      <c r="D194">
        <v>3.42</v>
      </c>
      <c r="E194" t="s">
        <v>32</v>
      </c>
      <c r="F194" t="s">
        <v>32</v>
      </c>
      <c r="G194" t="s">
        <v>32</v>
      </c>
      <c r="H194">
        <v>0</v>
      </c>
      <c r="I194">
        <v>0</v>
      </c>
      <c r="J194" t="s">
        <v>32</v>
      </c>
      <c r="K194">
        <v>0</v>
      </c>
      <c r="L194" t="s">
        <v>32</v>
      </c>
      <c r="M194" t="s">
        <v>32</v>
      </c>
      <c r="N194" t="s">
        <v>32</v>
      </c>
      <c r="O194">
        <v>3.42</v>
      </c>
      <c r="P194" t="s">
        <v>32</v>
      </c>
      <c r="Q194">
        <v>0</v>
      </c>
      <c r="R194">
        <v>0</v>
      </c>
      <c r="S194" t="s">
        <v>34</v>
      </c>
      <c r="T194" t="s">
        <v>111</v>
      </c>
      <c r="U194">
        <v>0</v>
      </c>
      <c r="V194">
        <v>3.42</v>
      </c>
      <c r="W194">
        <v>0</v>
      </c>
      <c r="X194">
        <v>0</v>
      </c>
      <c r="Y194" t="s">
        <v>32</v>
      </c>
      <c r="Z194">
        <v>0</v>
      </c>
      <c r="AA194">
        <v>0</v>
      </c>
      <c r="AB194" t="s">
        <v>32</v>
      </c>
      <c r="AC194">
        <v>14.3</v>
      </c>
    </row>
    <row r="195" spans="1:29">
      <c r="A195" t="str">
        <f>"000617"</f>
        <v>000617</v>
      </c>
      <c r="B195" t="s">
        <v>328</v>
      </c>
      <c r="C195">
        <v>0.36</v>
      </c>
      <c r="D195">
        <v>11.25</v>
      </c>
      <c r="E195">
        <v>0.04</v>
      </c>
      <c r="F195">
        <v>11.24</v>
      </c>
      <c r="G195">
        <v>11.25</v>
      </c>
      <c r="H195">
        <v>23365</v>
      </c>
      <c r="I195">
        <v>265</v>
      </c>
      <c r="J195">
        <v>0.54</v>
      </c>
      <c r="K195">
        <v>0.81</v>
      </c>
      <c r="L195">
        <v>11.19</v>
      </c>
      <c r="M195">
        <v>11.35</v>
      </c>
      <c r="N195">
        <v>11.06</v>
      </c>
      <c r="O195">
        <v>11.21</v>
      </c>
      <c r="P195">
        <v>13.12</v>
      </c>
      <c r="Q195">
        <v>26234602</v>
      </c>
      <c r="R195">
        <v>2.03</v>
      </c>
      <c r="S195" t="s">
        <v>183</v>
      </c>
      <c r="T195" t="s">
        <v>162</v>
      </c>
      <c r="U195">
        <v>2.59</v>
      </c>
      <c r="V195">
        <v>11.23</v>
      </c>
      <c r="W195">
        <v>11930</v>
      </c>
      <c r="X195">
        <v>11434</v>
      </c>
      <c r="Y195">
        <v>1.04</v>
      </c>
      <c r="Z195">
        <v>53</v>
      </c>
      <c r="AA195">
        <v>200</v>
      </c>
      <c r="AB195" t="s">
        <v>32</v>
      </c>
      <c r="AC195">
        <v>2.88</v>
      </c>
    </row>
    <row r="196" spans="1:29">
      <c r="A196" t="str">
        <f>"000619"</f>
        <v>000619</v>
      </c>
      <c r="B196" t="s">
        <v>329</v>
      </c>
      <c r="C196">
        <v>2.06</v>
      </c>
      <c r="D196">
        <v>6.44</v>
      </c>
      <c r="E196">
        <v>0.13</v>
      </c>
      <c r="F196">
        <v>6.43</v>
      </c>
      <c r="G196">
        <v>6.44</v>
      </c>
      <c r="H196">
        <v>24828</v>
      </c>
      <c r="I196">
        <v>708</v>
      </c>
      <c r="J196">
        <v>0</v>
      </c>
      <c r="K196">
        <v>0.69</v>
      </c>
      <c r="L196">
        <v>6.32</v>
      </c>
      <c r="M196">
        <v>6.56</v>
      </c>
      <c r="N196">
        <v>6.32</v>
      </c>
      <c r="O196">
        <v>6.31</v>
      </c>
      <c r="P196" t="s">
        <v>32</v>
      </c>
      <c r="Q196">
        <v>15997817</v>
      </c>
      <c r="R196">
        <v>3.45</v>
      </c>
      <c r="S196" t="s">
        <v>69</v>
      </c>
      <c r="T196" t="s">
        <v>143</v>
      </c>
      <c r="U196">
        <v>3.8</v>
      </c>
      <c r="V196">
        <v>6.44</v>
      </c>
      <c r="W196">
        <v>11686</v>
      </c>
      <c r="X196">
        <v>13142</v>
      </c>
      <c r="Y196">
        <v>0.89</v>
      </c>
      <c r="Z196">
        <v>192</v>
      </c>
      <c r="AA196">
        <v>589</v>
      </c>
      <c r="AB196" t="s">
        <v>32</v>
      </c>
      <c r="AC196">
        <v>3.6</v>
      </c>
    </row>
    <row r="197" spans="1:29">
      <c r="A197" t="str">
        <f>"000620"</f>
        <v>000620</v>
      </c>
      <c r="B197" t="s">
        <v>330</v>
      </c>
      <c r="C197">
        <v>1.65</v>
      </c>
      <c r="D197">
        <v>5.53</v>
      </c>
      <c r="E197">
        <v>0.09</v>
      </c>
      <c r="F197">
        <v>5.53</v>
      </c>
      <c r="G197">
        <v>5.54</v>
      </c>
      <c r="H197">
        <v>45815</v>
      </c>
      <c r="I197">
        <v>1149</v>
      </c>
      <c r="J197">
        <v>-0.17</v>
      </c>
      <c r="K197">
        <v>0.24</v>
      </c>
      <c r="L197">
        <v>5.44</v>
      </c>
      <c r="M197">
        <v>5.61</v>
      </c>
      <c r="N197">
        <v>5.42</v>
      </c>
      <c r="O197">
        <v>5.44</v>
      </c>
      <c r="P197">
        <v>67.16</v>
      </c>
      <c r="Q197">
        <v>25266178</v>
      </c>
      <c r="R197">
        <v>0.82</v>
      </c>
      <c r="S197" t="s">
        <v>34</v>
      </c>
      <c r="T197" t="s">
        <v>45</v>
      </c>
      <c r="U197">
        <v>3.49</v>
      </c>
      <c r="V197">
        <v>5.51</v>
      </c>
      <c r="W197">
        <v>19123</v>
      </c>
      <c r="X197">
        <v>26691</v>
      </c>
      <c r="Y197">
        <v>0.72</v>
      </c>
      <c r="Z197">
        <v>369</v>
      </c>
      <c r="AA197">
        <v>854</v>
      </c>
      <c r="AB197" t="s">
        <v>32</v>
      </c>
      <c r="AC197">
        <v>18.97</v>
      </c>
    </row>
    <row r="198" spans="1:29">
      <c r="A198" t="str">
        <f>"000622"</f>
        <v>000622</v>
      </c>
      <c r="B198" t="s">
        <v>331</v>
      </c>
      <c r="C198">
        <v>2.11</v>
      </c>
      <c r="D198">
        <v>3.38</v>
      </c>
      <c r="E198">
        <v>0.07</v>
      </c>
      <c r="F198">
        <v>3.37</v>
      </c>
      <c r="G198">
        <v>3.38</v>
      </c>
      <c r="H198">
        <v>14497</v>
      </c>
      <c r="I198">
        <v>73</v>
      </c>
      <c r="J198">
        <v>0.3</v>
      </c>
      <c r="K198">
        <v>0.34</v>
      </c>
      <c r="L198">
        <v>3.31</v>
      </c>
      <c r="M198">
        <v>3.38</v>
      </c>
      <c r="N198">
        <v>3.28</v>
      </c>
      <c r="O198">
        <v>3.31</v>
      </c>
      <c r="P198" t="s">
        <v>32</v>
      </c>
      <c r="Q198">
        <v>4856867</v>
      </c>
      <c r="R198">
        <v>1.08</v>
      </c>
      <c r="S198" t="s">
        <v>80</v>
      </c>
      <c r="T198" t="s">
        <v>152</v>
      </c>
      <c r="U198">
        <v>3.02</v>
      </c>
      <c r="V198">
        <v>3.35</v>
      </c>
      <c r="W198">
        <v>5249</v>
      </c>
      <c r="X198">
        <v>9248</v>
      </c>
      <c r="Y198">
        <v>0.57</v>
      </c>
      <c r="Z198">
        <v>27</v>
      </c>
      <c r="AA198">
        <v>686</v>
      </c>
      <c r="AB198" t="s">
        <v>32</v>
      </c>
      <c r="AC198">
        <v>4.25</v>
      </c>
    </row>
    <row r="199" spans="1:29">
      <c r="A199" t="str">
        <f>"000623"</f>
        <v>000623</v>
      </c>
      <c r="B199" t="s">
        <v>332</v>
      </c>
      <c r="C199">
        <v>1.95</v>
      </c>
      <c r="D199">
        <v>17.81</v>
      </c>
      <c r="E199">
        <v>0.34</v>
      </c>
      <c r="F199">
        <v>17.8</v>
      </c>
      <c r="G199">
        <v>17.81</v>
      </c>
      <c r="H199">
        <v>104293</v>
      </c>
      <c r="I199">
        <v>971</v>
      </c>
      <c r="J199">
        <v>0.06</v>
      </c>
      <c r="K199">
        <v>0.95</v>
      </c>
      <c r="L199">
        <v>17.49</v>
      </c>
      <c r="M199">
        <v>18.18</v>
      </c>
      <c r="N199">
        <v>17.42</v>
      </c>
      <c r="O199">
        <v>17.47</v>
      </c>
      <c r="P199">
        <v>15.94</v>
      </c>
      <c r="Q199">
        <v>185791104</v>
      </c>
      <c r="R199">
        <v>2.67</v>
      </c>
      <c r="S199" t="s">
        <v>195</v>
      </c>
      <c r="T199" t="s">
        <v>81</v>
      </c>
      <c r="U199">
        <v>4.35</v>
      </c>
      <c r="V199">
        <v>17.81</v>
      </c>
      <c r="W199">
        <v>49881</v>
      </c>
      <c r="X199">
        <v>54412</v>
      </c>
      <c r="Y199">
        <v>0.92</v>
      </c>
      <c r="Z199">
        <v>545</v>
      </c>
      <c r="AA199">
        <v>646</v>
      </c>
      <c r="AB199" t="s">
        <v>32</v>
      </c>
      <c r="AC199">
        <v>10.95</v>
      </c>
    </row>
    <row r="200" spans="1:29">
      <c r="A200" t="str">
        <f>"000625"</f>
        <v>000625</v>
      </c>
      <c r="B200" t="s">
        <v>333</v>
      </c>
      <c r="C200">
        <v>2.12</v>
      </c>
      <c r="D200">
        <v>8.18</v>
      </c>
      <c r="E200">
        <v>0.17</v>
      </c>
      <c r="F200">
        <v>8.18</v>
      </c>
      <c r="G200">
        <v>8.19</v>
      </c>
      <c r="H200">
        <v>183892</v>
      </c>
      <c r="I200">
        <v>1838</v>
      </c>
      <c r="J200">
        <v>0</v>
      </c>
      <c r="K200">
        <v>0.49</v>
      </c>
      <c r="L200">
        <v>8</v>
      </c>
      <c r="M200">
        <v>8.21</v>
      </c>
      <c r="N200">
        <v>8</v>
      </c>
      <c r="O200">
        <v>8.01</v>
      </c>
      <c r="P200">
        <v>7.06</v>
      </c>
      <c r="Q200">
        <v>149545712</v>
      </c>
      <c r="R200">
        <v>1.67</v>
      </c>
      <c r="S200" t="s">
        <v>262</v>
      </c>
      <c r="T200" t="s">
        <v>221</v>
      </c>
      <c r="U200">
        <v>2.62</v>
      </c>
      <c r="V200">
        <v>8.13</v>
      </c>
      <c r="W200">
        <v>82337</v>
      </c>
      <c r="X200">
        <v>101554</v>
      </c>
      <c r="Y200">
        <v>0.81</v>
      </c>
      <c r="Z200">
        <v>2576</v>
      </c>
      <c r="AA200">
        <v>2848</v>
      </c>
      <c r="AB200" t="s">
        <v>32</v>
      </c>
      <c r="AC200">
        <v>37.61</v>
      </c>
    </row>
    <row r="201" spans="1:29">
      <c r="A201" t="str">
        <f>"000626"</f>
        <v>000626</v>
      </c>
      <c r="B201" t="s">
        <v>334</v>
      </c>
      <c r="C201">
        <v>3.99</v>
      </c>
      <c r="D201">
        <v>7.3</v>
      </c>
      <c r="E201">
        <v>0.28</v>
      </c>
      <c r="F201">
        <v>7.29</v>
      </c>
      <c r="G201">
        <v>7.3</v>
      </c>
      <c r="H201">
        <v>58605</v>
      </c>
      <c r="I201">
        <v>1108</v>
      </c>
      <c r="J201">
        <v>-0.4</v>
      </c>
      <c r="K201">
        <v>1.45</v>
      </c>
      <c r="L201">
        <v>6.97</v>
      </c>
      <c r="M201">
        <v>7.68</v>
      </c>
      <c r="N201">
        <v>6.85</v>
      </c>
      <c r="O201">
        <v>7.02</v>
      </c>
      <c r="P201" t="s">
        <v>32</v>
      </c>
      <c r="Q201">
        <v>42909496</v>
      </c>
      <c r="R201">
        <v>1.86</v>
      </c>
      <c r="S201" t="s">
        <v>140</v>
      </c>
      <c r="T201" t="s">
        <v>87</v>
      </c>
      <c r="U201">
        <v>11.82</v>
      </c>
      <c r="V201">
        <v>7.32</v>
      </c>
      <c r="W201">
        <v>27867</v>
      </c>
      <c r="X201">
        <v>30738</v>
      </c>
      <c r="Y201">
        <v>0.91</v>
      </c>
      <c r="Z201">
        <v>64</v>
      </c>
      <c r="AA201">
        <v>438</v>
      </c>
      <c r="AB201" t="s">
        <v>32</v>
      </c>
      <c r="AC201">
        <v>4.05</v>
      </c>
    </row>
    <row r="202" spans="1:29">
      <c r="A202" t="str">
        <f>"000627"</f>
        <v>000627</v>
      </c>
      <c r="B202" t="s">
        <v>335</v>
      </c>
      <c r="C202">
        <v>3.59</v>
      </c>
      <c r="D202">
        <v>6.93</v>
      </c>
      <c r="E202">
        <v>0.24</v>
      </c>
      <c r="F202">
        <v>6.92</v>
      </c>
      <c r="G202">
        <v>6.93</v>
      </c>
      <c r="H202">
        <v>256642</v>
      </c>
      <c r="I202">
        <v>6636</v>
      </c>
      <c r="J202">
        <v>0.43</v>
      </c>
      <c r="K202">
        <v>1.9</v>
      </c>
      <c r="L202">
        <v>6.7</v>
      </c>
      <c r="M202">
        <v>7</v>
      </c>
      <c r="N202">
        <v>6.66</v>
      </c>
      <c r="O202">
        <v>6.69</v>
      </c>
      <c r="P202">
        <v>25.3</v>
      </c>
      <c r="Q202">
        <v>175964240</v>
      </c>
      <c r="R202">
        <v>2.56</v>
      </c>
      <c r="S202" t="s">
        <v>336</v>
      </c>
      <c r="T202" t="s">
        <v>193</v>
      </c>
      <c r="U202">
        <v>5.08</v>
      </c>
      <c r="V202">
        <v>6.86</v>
      </c>
      <c r="W202">
        <v>118217</v>
      </c>
      <c r="X202">
        <v>138424</v>
      </c>
      <c r="Y202">
        <v>0.85</v>
      </c>
      <c r="Z202">
        <v>257</v>
      </c>
      <c r="AA202">
        <v>932</v>
      </c>
      <c r="AB202" t="s">
        <v>32</v>
      </c>
      <c r="AC202">
        <v>13.54</v>
      </c>
    </row>
    <row r="203" spans="1:29">
      <c r="A203" t="str">
        <f>"000628"</f>
        <v>000628</v>
      </c>
      <c r="B203" t="s">
        <v>337</v>
      </c>
      <c r="C203">
        <v>2.52</v>
      </c>
      <c r="D203">
        <v>8.54</v>
      </c>
      <c r="E203">
        <v>0.21</v>
      </c>
      <c r="F203">
        <v>8.54</v>
      </c>
      <c r="G203">
        <v>8.55</v>
      </c>
      <c r="H203">
        <v>51142</v>
      </c>
      <c r="I203">
        <v>766</v>
      </c>
      <c r="J203">
        <v>-0.11</v>
      </c>
      <c r="K203">
        <v>2.72</v>
      </c>
      <c r="L203">
        <v>8.39</v>
      </c>
      <c r="M203">
        <v>8.62</v>
      </c>
      <c r="N203">
        <v>8.3</v>
      </c>
      <c r="O203">
        <v>8.33</v>
      </c>
      <c r="P203" t="s">
        <v>32</v>
      </c>
      <c r="Q203">
        <v>43341080</v>
      </c>
      <c r="R203">
        <v>2.34</v>
      </c>
      <c r="S203" t="s">
        <v>338</v>
      </c>
      <c r="T203" t="s">
        <v>146</v>
      </c>
      <c r="U203">
        <v>3.84</v>
      </c>
      <c r="V203">
        <v>8.47</v>
      </c>
      <c r="W203">
        <v>23390</v>
      </c>
      <c r="X203">
        <v>27752</v>
      </c>
      <c r="Y203">
        <v>0.84</v>
      </c>
      <c r="Z203">
        <v>445</v>
      </c>
      <c r="AA203">
        <v>390</v>
      </c>
      <c r="AB203" t="s">
        <v>32</v>
      </c>
      <c r="AC203">
        <v>1.88</v>
      </c>
    </row>
    <row r="204" spans="1:29">
      <c r="A204" t="str">
        <f>"000630"</f>
        <v>000630</v>
      </c>
      <c r="B204" t="s">
        <v>339</v>
      </c>
      <c r="C204">
        <v>2.79</v>
      </c>
      <c r="D204">
        <v>2.21</v>
      </c>
      <c r="E204">
        <v>0.06</v>
      </c>
      <c r="F204">
        <v>2.2</v>
      </c>
      <c r="G204">
        <v>2.21</v>
      </c>
      <c r="H204">
        <v>778583</v>
      </c>
      <c r="I204">
        <v>4017</v>
      </c>
      <c r="J204">
        <v>0.45</v>
      </c>
      <c r="K204">
        <v>0.81</v>
      </c>
      <c r="L204">
        <v>2.15</v>
      </c>
      <c r="M204">
        <v>2.23</v>
      </c>
      <c r="N204">
        <v>2.14</v>
      </c>
      <c r="O204">
        <v>2.15</v>
      </c>
      <c r="P204">
        <v>28.72</v>
      </c>
      <c r="Q204">
        <v>170950192</v>
      </c>
      <c r="R204">
        <v>2.85</v>
      </c>
      <c r="S204" t="s">
        <v>340</v>
      </c>
      <c r="T204" t="s">
        <v>143</v>
      </c>
      <c r="U204">
        <v>4.19</v>
      </c>
      <c r="V204">
        <v>2.2</v>
      </c>
      <c r="W204">
        <v>298814</v>
      </c>
      <c r="X204">
        <v>479769</v>
      </c>
      <c r="Y204">
        <v>0.62</v>
      </c>
      <c r="Z204">
        <v>21419</v>
      </c>
      <c r="AA204">
        <v>20443</v>
      </c>
      <c r="AB204" t="s">
        <v>32</v>
      </c>
      <c r="AC204">
        <v>95.61</v>
      </c>
    </row>
    <row r="205" spans="1:29">
      <c r="A205" t="str">
        <f>"000631"</f>
        <v>000631</v>
      </c>
      <c r="B205" t="s">
        <v>341</v>
      </c>
      <c r="C205">
        <v>2.98</v>
      </c>
      <c r="D205">
        <v>3.46</v>
      </c>
      <c r="E205">
        <v>0.1</v>
      </c>
      <c r="F205">
        <v>3.45</v>
      </c>
      <c r="G205">
        <v>3.46</v>
      </c>
      <c r="H205">
        <v>122649</v>
      </c>
      <c r="I205">
        <v>1079</v>
      </c>
      <c r="J205">
        <v>0.29</v>
      </c>
      <c r="K205">
        <v>0.5</v>
      </c>
      <c r="L205">
        <v>3.36</v>
      </c>
      <c r="M205">
        <v>3.47</v>
      </c>
      <c r="N205">
        <v>3.35</v>
      </c>
      <c r="O205">
        <v>3.36</v>
      </c>
      <c r="P205">
        <v>5.38</v>
      </c>
      <c r="Q205">
        <v>42079588</v>
      </c>
      <c r="R205">
        <v>3.21</v>
      </c>
      <c r="S205" t="s">
        <v>40</v>
      </c>
      <c r="T205" t="s">
        <v>81</v>
      </c>
      <c r="U205">
        <v>3.57</v>
      </c>
      <c r="V205">
        <v>3.43</v>
      </c>
      <c r="W205">
        <v>52032</v>
      </c>
      <c r="X205">
        <v>70616</v>
      </c>
      <c r="Y205">
        <v>0.74</v>
      </c>
      <c r="Z205">
        <v>3163</v>
      </c>
      <c r="AA205">
        <v>2812</v>
      </c>
      <c r="AB205" t="s">
        <v>32</v>
      </c>
      <c r="AC205">
        <v>24.33</v>
      </c>
    </row>
    <row r="206" spans="1:29">
      <c r="A206" t="str">
        <f>"000632"</f>
        <v>000632</v>
      </c>
      <c r="B206" t="s">
        <v>342</v>
      </c>
      <c r="C206">
        <v>1.32</v>
      </c>
      <c r="D206">
        <v>5.38</v>
      </c>
      <c r="E206">
        <v>0.07</v>
      </c>
      <c r="F206">
        <v>5.38</v>
      </c>
      <c r="G206">
        <v>5.39</v>
      </c>
      <c r="H206">
        <v>28627</v>
      </c>
      <c r="I206">
        <v>193</v>
      </c>
      <c r="J206">
        <v>0</v>
      </c>
      <c r="K206">
        <v>0.61</v>
      </c>
      <c r="L206">
        <v>5.31</v>
      </c>
      <c r="M206">
        <v>5.43</v>
      </c>
      <c r="N206">
        <v>5.28</v>
      </c>
      <c r="O206">
        <v>5.31</v>
      </c>
      <c r="P206">
        <v>54.64</v>
      </c>
      <c r="Q206">
        <v>15400396</v>
      </c>
      <c r="R206">
        <v>0.95</v>
      </c>
      <c r="S206" t="s">
        <v>47</v>
      </c>
      <c r="T206" t="s">
        <v>236</v>
      </c>
      <c r="U206">
        <v>2.82</v>
      </c>
      <c r="V206">
        <v>5.38</v>
      </c>
      <c r="W206">
        <v>12387</v>
      </c>
      <c r="X206">
        <v>16239</v>
      </c>
      <c r="Y206">
        <v>0.76</v>
      </c>
      <c r="Z206">
        <v>1249</v>
      </c>
      <c r="AA206">
        <v>534</v>
      </c>
      <c r="AB206" t="s">
        <v>32</v>
      </c>
      <c r="AC206">
        <v>4.65</v>
      </c>
    </row>
    <row r="207" spans="1:29">
      <c r="A207" t="str">
        <f>"000633"</f>
        <v>000633</v>
      </c>
      <c r="B207" t="s">
        <v>343</v>
      </c>
      <c r="C207">
        <v>3.85</v>
      </c>
      <c r="D207">
        <v>5.12</v>
      </c>
      <c r="E207">
        <v>0.19</v>
      </c>
      <c r="F207">
        <v>5.11</v>
      </c>
      <c r="G207">
        <v>5.12</v>
      </c>
      <c r="H207">
        <v>70194</v>
      </c>
      <c r="I207">
        <v>1273</v>
      </c>
      <c r="J207">
        <v>1.19</v>
      </c>
      <c r="K207">
        <v>1.82</v>
      </c>
      <c r="L207">
        <v>4.95</v>
      </c>
      <c r="M207">
        <v>5.2</v>
      </c>
      <c r="N207">
        <v>4.91</v>
      </c>
      <c r="O207">
        <v>4.93</v>
      </c>
      <c r="P207" t="s">
        <v>32</v>
      </c>
      <c r="Q207">
        <v>35374112</v>
      </c>
      <c r="R207">
        <v>1.49</v>
      </c>
      <c r="S207" t="s">
        <v>47</v>
      </c>
      <c r="T207" t="s">
        <v>156</v>
      </c>
      <c r="U207">
        <v>5.88</v>
      </c>
      <c r="V207">
        <v>5.04</v>
      </c>
      <c r="W207">
        <v>26776</v>
      </c>
      <c r="X207">
        <v>43418</v>
      </c>
      <c r="Y207">
        <v>0.62</v>
      </c>
      <c r="Z207">
        <v>190</v>
      </c>
      <c r="AA207">
        <v>2009</v>
      </c>
      <c r="AB207" t="s">
        <v>32</v>
      </c>
      <c r="AC207">
        <v>3.85</v>
      </c>
    </row>
    <row r="208" spans="1:29">
      <c r="A208" t="str">
        <f>"000635"</f>
        <v>000635</v>
      </c>
      <c r="B208" t="s">
        <v>344</v>
      </c>
      <c r="C208">
        <v>1.19</v>
      </c>
      <c r="D208">
        <v>9.38</v>
      </c>
      <c r="E208">
        <v>0.11</v>
      </c>
      <c r="F208">
        <v>9.37</v>
      </c>
      <c r="G208">
        <v>9.38</v>
      </c>
      <c r="H208">
        <v>34169</v>
      </c>
      <c r="I208">
        <v>395</v>
      </c>
      <c r="J208">
        <v>0.11</v>
      </c>
      <c r="K208">
        <v>1.13</v>
      </c>
      <c r="L208">
        <v>9.28</v>
      </c>
      <c r="M208">
        <v>9.45</v>
      </c>
      <c r="N208">
        <v>9.2</v>
      </c>
      <c r="O208">
        <v>9.27</v>
      </c>
      <c r="P208">
        <v>19.12</v>
      </c>
      <c r="Q208">
        <v>31958042</v>
      </c>
      <c r="R208">
        <v>2.19</v>
      </c>
      <c r="S208" t="s">
        <v>218</v>
      </c>
      <c r="T208" t="s">
        <v>273</v>
      </c>
      <c r="U208">
        <v>2.7</v>
      </c>
      <c r="V208">
        <v>9.35</v>
      </c>
      <c r="W208">
        <v>16568</v>
      </c>
      <c r="X208">
        <v>17600</v>
      </c>
      <c r="Y208">
        <v>0.94</v>
      </c>
      <c r="Z208">
        <v>66</v>
      </c>
      <c r="AA208">
        <v>127</v>
      </c>
      <c r="AB208" t="s">
        <v>32</v>
      </c>
      <c r="AC208">
        <v>3.03</v>
      </c>
    </row>
    <row r="209" spans="1:29">
      <c r="A209" t="str">
        <f>"000636"</f>
        <v>000636</v>
      </c>
      <c r="B209" t="s">
        <v>345</v>
      </c>
      <c r="C209">
        <v>-9.46</v>
      </c>
      <c r="D209">
        <v>20.68</v>
      </c>
      <c r="E209">
        <v>-2.16</v>
      </c>
      <c r="F209">
        <v>20.68</v>
      </c>
      <c r="G209">
        <v>20.69</v>
      </c>
      <c r="H209">
        <v>1568110</v>
      </c>
      <c r="I209">
        <v>33907</v>
      </c>
      <c r="J209">
        <v>-0.28</v>
      </c>
      <c r="K209">
        <v>17.91</v>
      </c>
      <c r="L209">
        <v>22.52</v>
      </c>
      <c r="M209">
        <v>22.71</v>
      </c>
      <c r="N209">
        <v>20.61</v>
      </c>
      <c r="O209">
        <v>22.84</v>
      </c>
      <c r="P209">
        <v>39.8</v>
      </c>
      <c r="Q209">
        <v>3324762112</v>
      </c>
      <c r="R209">
        <v>1.64</v>
      </c>
      <c r="S209" t="s">
        <v>63</v>
      </c>
      <c r="T209" t="s">
        <v>136</v>
      </c>
      <c r="U209">
        <v>9.19</v>
      </c>
      <c r="V209">
        <v>21.2</v>
      </c>
      <c r="W209">
        <v>873732</v>
      </c>
      <c r="X209">
        <v>694377</v>
      </c>
      <c r="Y209">
        <v>1.26</v>
      </c>
      <c r="Z209">
        <v>2085</v>
      </c>
      <c r="AA209">
        <v>995</v>
      </c>
      <c r="AB209" t="s">
        <v>32</v>
      </c>
      <c r="AC209">
        <v>8.75</v>
      </c>
    </row>
    <row r="210" spans="1:29">
      <c r="A210" t="str">
        <f>"000637"</f>
        <v>000637</v>
      </c>
      <c r="B210" t="s">
        <v>346</v>
      </c>
      <c r="C210">
        <v>1.95</v>
      </c>
      <c r="D210">
        <v>4.19</v>
      </c>
      <c r="E210">
        <v>0.08</v>
      </c>
      <c r="F210">
        <v>4.19</v>
      </c>
      <c r="G210">
        <v>4.2</v>
      </c>
      <c r="H210">
        <v>37595</v>
      </c>
      <c r="I210">
        <v>231</v>
      </c>
      <c r="J210">
        <v>-0.23</v>
      </c>
      <c r="K210">
        <v>1.03</v>
      </c>
      <c r="L210">
        <v>4.12</v>
      </c>
      <c r="M210">
        <v>4.22</v>
      </c>
      <c r="N210">
        <v>4.11</v>
      </c>
      <c r="O210">
        <v>4.11</v>
      </c>
      <c r="P210">
        <v>35.46</v>
      </c>
      <c r="Q210">
        <v>15672239</v>
      </c>
      <c r="R210">
        <v>2.15</v>
      </c>
      <c r="S210" t="s">
        <v>110</v>
      </c>
      <c r="T210" t="s">
        <v>136</v>
      </c>
      <c r="U210">
        <v>2.68</v>
      </c>
      <c r="V210">
        <v>4.17</v>
      </c>
      <c r="W210">
        <v>13556</v>
      </c>
      <c r="X210">
        <v>24038</v>
      </c>
      <c r="Y210">
        <v>0.56</v>
      </c>
      <c r="Z210">
        <v>428</v>
      </c>
      <c r="AA210">
        <v>881</v>
      </c>
      <c r="AB210" t="s">
        <v>32</v>
      </c>
      <c r="AC210">
        <v>3.66</v>
      </c>
    </row>
    <row r="211" spans="1:29">
      <c r="A211" t="str">
        <f>"000638"</f>
        <v>000638</v>
      </c>
      <c r="B211" t="s">
        <v>347</v>
      </c>
      <c r="C211">
        <v>-0.52</v>
      </c>
      <c r="D211">
        <v>5.75</v>
      </c>
      <c r="E211">
        <v>-0.03</v>
      </c>
      <c r="F211">
        <v>5.74</v>
      </c>
      <c r="G211">
        <v>5.75</v>
      </c>
      <c r="H211">
        <v>134942</v>
      </c>
      <c r="I211">
        <v>1219</v>
      </c>
      <c r="J211">
        <v>0</v>
      </c>
      <c r="K211">
        <v>4.36</v>
      </c>
      <c r="L211">
        <v>5.87</v>
      </c>
      <c r="M211">
        <v>5.88</v>
      </c>
      <c r="N211">
        <v>5.6</v>
      </c>
      <c r="O211">
        <v>5.78</v>
      </c>
      <c r="P211" t="s">
        <v>32</v>
      </c>
      <c r="Q211">
        <v>77015784</v>
      </c>
      <c r="R211">
        <v>2.04</v>
      </c>
      <c r="S211" t="s">
        <v>117</v>
      </c>
      <c r="T211" t="s">
        <v>111</v>
      </c>
      <c r="U211">
        <v>4.84</v>
      </c>
      <c r="V211">
        <v>5.71</v>
      </c>
      <c r="W211">
        <v>71670</v>
      </c>
      <c r="X211">
        <v>63272</v>
      </c>
      <c r="Y211">
        <v>1.13</v>
      </c>
      <c r="Z211">
        <v>1459</v>
      </c>
      <c r="AA211">
        <v>247</v>
      </c>
      <c r="AB211" t="s">
        <v>32</v>
      </c>
      <c r="AC211">
        <v>3.09</v>
      </c>
    </row>
    <row r="212" spans="1:29">
      <c r="A212" t="str">
        <f>"000639"</f>
        <v>000639</v>
      </c>
      <c r="B212" t="s">
        <v>348</v>
      </c>
      <c r="C212">
        <v>0.92</v>
      </c>
      <c r="D212">
        <v>9.83</v>
      </c>
      <c r="E212">
        <v>0.09</v>
      </c>
      <c r="F212">
        <v>9.82</v>
      </c>
      <c r="G212">
        <v>9.83</v>
      </c>
      <c r="H212">
        <v>64915</v>
      </c>
      <c r="I212">
        <v>1541</v>
      </c>
      <c r="J212">
        <v>0.1</v>
      </c>
      <c r="K212">
        <v>1.23</v>
      </c>
      <c r="L212">
        <v>9.77</v>
      </c>
      <c r="M212">
        <v>9.84</v>
      </c>
      <c r="N212">
        <v>9.62</v>
      </c>
      <c r="O212">
        <v>9.74</v>
      </c>
      <c r="P212">
        <v>22.61</v>
      </c>
      <c r="Q212">
        <v>63417436</v>
      </c>
      <c r="R212">
        <v>0.99</v>
      </c>
      <c r="S212" t="s">
        <v>213</v>
      </c>
      <c r="T212" t="s">
        <v>162</v>
      </c>
      <c r="U212">
        <v>2.26</v>
      </c>
      <c r="V212">
        <v>9.77</v>
      </c>
      <c r="W212">
        <v>33031</v>
      </c>
      <c r="X212">
        <v>31883</v>
      </c>
      <c r="Y212">
        <v>1.04</v>
      </c>
      <c r="Z212">
        <v>222</v>
      </c>
      <c r="AA212">
        <v>26</v>
      </c>
      <c r="AB212" t="s">
        <v>32</v>
      </c>
      <c r="AC212">
        <v>5.27</v>
      </c>
    </row>
    <row r="213" spans="1:29">
      <c r="A213" t="str">
        <f>"000650"</f>
        <v>000650</v>
      </c>
      <c r="B213" t="s">
        <v>349</v>
      </c>
      <c r="C213">
        <v>0.54</v>
      </c>
      <c r="D213">
        <v>7.51</v>
      </c>
      <c r="E213">
        <v>0.04</v>
      </c>
      <c r="F213">
        <v>7.51</v>
      </c>
      <c r="G213">
        <v>7.52</v>
      </c>
      <c r="H213">
        <v>416838</v>
      </c>
      <c r="I213">
        <v>5993</v>
      </c>
      <c r="J213">
        <v>0.4</v>
      </c>
      <c r="K213">
        <v>3.37</v>
      </c>
      <c r="L213">
        <v>7.45</v>
      </c>
      <c r="M213">
        <v>7.59</v>
      </c>
      <c r="N213">
        <v>7.3</v>
      </c>
      <c r="O213">
        <v>7.47</v>
      </c>
      <c r="P213">
        <v>21.85</v>
      </c>
      <c r="Q213">
        <v>311887648</v>
      </c>
      <c r="R213">
        <v>0.62</v>
      </c>
      <c r="S213" t="s">
        <v>195</v>
      </c>
      <c r="T213" t="s">
        <v>172</v>
      </c>
      <c r="U213">
        <v>3.88</v>
      </c>
      <c r="V213">
        <v>7.48</v>
      </c>
      <c r="W213">
        <v>201552</v>
      </c>
      <c r="X213">
        <v>215286</v>
      </c>
      <c r="Y213">
        <v>0.94</v>
      </c>
      <c r="Z213">
        <v>3284</v>
      </c>
      <c r="AA213">
        <v>717</v>
      </c>
      <c r="AB213" t="s">
        <v>32</v>
      </c>
      <c r="AC213">
        <v>12.38</v>
      </c>
    </row>
    <row r="214" spans="1:29">
      <c r="A214" t="str">
        <f>"000651"</f>
        <v>000651</v>
      </c>
      <c r="B214" t="s">
        <v>350</v>
      </c>
      <c r="C214">
        <v>2.88</v>
      </c>
      <c r="D214">
        <v>45.78</v>
      </c>
      <c r="E214">
        <v>1.28</v>
      </c>
      <c r="F214">
        <v>45.77</v>
      </c>
      <c r="G214">
        <v>45.78</v>
      </c>
      <c r="H214">
        <v>675541</v>
      </c>
      <c r="I214">
        <v>8334</v>
      </c>
      <c r="J214">
        <v>0.04</v>
      </c>
      <c r="K214">
        <v>1.13</v>
      </c>
      <c r="L214">
        <v>44.98</v>
      </c>
      <c r="M214">
        <v>45.97</v>
      </c>
      <c r="N214">
        <v>44.58</v>
      </c>
      <c r="O214">
        <v>44.5</v>
      </c>
      <c r="P214">
        <v>12.34</v>
      </c>
      <c r="Q214">
        <v>3071358464</v>
      </c>
      <c r="R214">
        <v>1.49</v>
      </c>
      <c r="S214" t="s">
        <v>55</v>
      </c>
      <c r="T214" t="s">
        <v>136</v>
      </c>
      <c r="U214">
        <v>3.12</v>
      </c>
      <c r="V214">
        <v>45.47</v>
      </c>
      <c r="W214">
        <v>314768</v>
      </c>
      <c r="X214">
        <v>360772</v>
      </c>
      <c r="Y214">
        <v>0.87</v>
      </c>
      <c r="Z214">
        <v>599</v>
      </c>
      <c r="AA214">
        <v>7606</v>
      </c>
      <c r="AB214" t="s">
        <v>32</v>
      </c>
      <c r="AC214">
        <v>59.7</v>
      </c>
    </row>
    <row r="215" spans="1:29">
      <c r="A215" t="str">
        <f>"000652"</f>
        <v>000652</v>
      </c>
      <c r="B215" t="s">
        <v>351</v>
      </c>
      <c r="C215">
        <v>1.64</v>
      </c>
      <c r="D215">
        <v>3.1</v>
      </c>
      <c r="E215">
        <v>0.05</v>
      </c>
      <c r="F215">
        <v>3.1</v>
      </c>
      <c r="G215">
        <v>3.11</v>
      </c>
      <c r="H215">
        <v>72485</v>
      </c>
      <c r="I215">
        <v>595</v>
      </c>
      <c r="J215">
        <v>0</v>
      </c>
      <c r="K215">
        <v>0.49</v>
      </c>
      <c r="L215">
        <v>3.05</v>
      </c>
      <c r="M215">
        <v>3.11</v>
      </c>
      <c r="N215">
        <v>3.05</v>
      </c>
      <c r="O215">
        <v>3.05</v>
      </c>
      <c r="P215" t="s">
        <v>32</v>
      </c>
      <c r="Q215">
        <v>22398600</v>
      </c>
      <c r="R215">
        <v>1.01</v>
      </c>
      <c r="S215" t="s">
        <v>117</v>
      </c>
      <c r="T215" t="s">
        <v>248</v>
      </c>
      <c r="U215">
        <v>1.97</v>
      </c>
      <c r="V215">
        <v>3.09</v>
      </c>
      <c r="W215">
        <v>32812</v>
      </c>
      <c r="X215">
        <v>39672</v>
      </c>
      <c r="Y215">
        <v>0.83</v>
      </c>
      <c r="Z215">
        <v>4050</v>
      </c>
      <c r="AA215">
        <v>5501</v>
      </c>
      <c r="AB215" t="s">
        <v>32</v>
      </c>
      <c r="AC215">
        <v>14.74</v>
      </c>
    </row>
    <row r="216" spans="1:29">
      <c r="A216" t="str">
        <f>"000655"</f>
        <v>000655</v>
      </c>
      <c r="B216" t="s">
        <v>352</v>
      </c>
      <c r="C216">
        <v>3.73</v>
      </c>
      <c r="D216">
        <v>3.34</v>
      </c>
      <c r="E216">
        <v>0.12</v>
      </c>
      <c r="F216">
        <v>3.34</v>
      </c>
      <c r="G216">
        <v>3.35</v>
      </c>
      <c r="H216">
        <v>56941</v>
      </c>
      <c r="I216">
        <v>144</v>
      </c>
      <c r="J216">
        <v>0</v>
      </c>
      <c r="K216">
        <v>0.96</v>
      </c>
      <c r="L216">
        <v>3.21</v>
      </c>
      <c r="M216">
        <v>3.37</v>
      </c>
      <c r="N216">
        <v>3.21</v>
      </c>
      <c r="O216">
        <v>3.22</v>
      </c>
      <c r="P216">
        <v>34</v>
      </c>
      <c r="Q216">
        <v>18828716</v>
      </c>
      <c r="R216">
        <v>1.91</v>
      </c>
      <c r="S216" t="s">
        <v>353</v>
      </c>
      <c r="T216" t="s">
        <v>162</v>
      </c>
      <c r="U216">
        <v>4.97</v>
      </c>
      <c r="V216">
        <v>3.31</v>
      </c>
      <c r="W216">
        <v>24817</v>
      </c>
      <c r="X216">
        <v>32124</v>
      </c>
      <c r="Y216">
        <v>0.77</v>
      </c>
      <c r="Z216">
        <v>903</v>
      </c>
      <c r="AA216">
        <v>186</v>
      </c>
      <c r="AB216" t="s">
        <v>32</v>
      </c>
      <c r="AC216">
        <v>5.95</v>
      </c>
    </row>
    <row r="217" spans="1:29">
      <c r="A217" t="str">
        <f>"000656"</f>
        <v>000656</v>
      </c>
      <c r="B217" t="s">
        <v>354</v>
      </c>
      <c r="C217">
        <v>1.63</v>
      </c>
      <c r="D217">
        <v>4.99</v>
      </c>
      <c r="E217">
        <v>0.08</v>
      </c>
      <c r="F217">
        <v>4.99</v>
      </c>
      <c r="G217">
        <v>5</v>
      </c>
      <c r="H217">
        <v>149231</v>
      </c>
      <c r="I217">
        <v>370</v>
      </c>
      <c r="J217">
        <v>0</v>
      </c>
      <c r="K217">
        <v>0.29</v>
      </c>
      <c r="L217">
        <v>4.9</v>
      </c>
      <c r="M217">
        <v>5.04</v>
      </c>
      <c r="N217">
        <v>4.88</v>
      </c>
      <c r="O217">
        <v>4.91</v>
      </c>
      <c r="P217">
        <v>39.01</v>
      </c>
      <c r="Q217">
        <v>74391296</v>
      </c>
      <c r="R217">
        <v>1.61</v>
      </c>
      <c r="S217" t="s">
        <v>40</v>
      </c>
      <c r="T217" t="s">
        <v>221</v>
      </c>
      <c r="U217">
        <v>3.26</v>
      </c>
      <c r="V217">
        <v>4.98</v>
      </c>
      <c r="W217">
        <v>75699</v>
      </c>
      <c r="X217">
        <v>73531</v>
      </c>
      <c r="Y217">
        <v>1.03</v>
      </c>
      <c r="Z217">
        <v>1341</v>
      </c>
      <c r="AA217">
        <v>2392</v>
      </c>
      <c r="AB217" t="s">
        <v>32</v>
      </c>
      <c r="AC217">
        <v>52.16</v>
      </c>
    </row>
    <row r="218" spans="1:29">
      <c r="A218" t="str">
        <f>"000657"</f>
        <v>000657</v>
      </c>
      <c r="B218" t="s">
        <v>355</v>
      </c>
      <c r="C218">
        <v>2.9</v>
      </c>
      <c r="D218">
        <v>7.09</v>
      </c>
      <c r="E218">
        <v>0.2</v>
      </c>
      <c r="F218">
        <v>7.09</v>
      </c>
      <c r="G218">
        <v>7.1</v>
      </c>
      <c r="H218">
        <v>50217</v>
      </c>
      <c r="I218">
        <v>308</v>
      </c>
      <c r="J218">
        <v>0</v>
      </c>
      <c r="K218">
        <v>1.46</v>
      </c>
      <c r="L218">
        <v>7.01</v>
      </c>
      <c r="M218">
        <v>7.19</v>
      </c>
      <c r="N218">
        <v>6.96</v>
      </c>
      <c r="O218">
        <v>6.89</v>
      </c>
      <c r="P218">
        <v>27.14</v>
      </c>
      <c r="Q218">
        <v>35557608</v>
      </c>
      <c r="R218">
        <v>2.62</v>
      </c>
      <c r="S218" t="s">
        <v>356</v>
      </c>
      <c r="T218" t="s">
        <v>209</v>
      </c>
      <c r="U218">
        <v>3.34</v>
      </c>
      <c r="V218">
        <v>7.08</v>
      </c>
      <c r="W218">
        <v>24618</v>
      </c>
      <c r="X218">
        <v>25599</v>
      </c>
      <c r="Y218">
        <v>0.96</v>
      </c>
      <c r="Z218">
        <v>4</v>
      </c>
      <c r="AA218">
        <v>1875</v>
      </c>
      <c r="AB218" t="s">
        <v>32</v>
      </c>
      <c r="AC218">
        <v>3.44</v>
      </c>
    </row>
    <row r="219" spans="1:29">
      <c r="A219" t="str">
        <f>"000659"</f>
        <v>000659</v>
      </c>
      <c r="B219" t="s">
        <v>357</v>
      </c>
      <c r="C219">
        <v>2.62</v>
      </c>
      <c r="D219">
        <v>2.35</v>
      </c>
      <c r="E219">
        <v>0.06</v>
      </c>
      <c r="F219">
        <v>2.34</v>
      </c>
      <c r="G219">
        <v>2.35</v>
      </c>
      <c r="H219">
        <v>160399</v>
      </c>
      <c r="I219">
        <v>2323</v>
      </c>
      <c r="J219">
        <v>0</v>
      </c>
      <c r="K219">
        <v>1.25</v>
      </c>
      <c r="L219">
        <v>2.3</v>
      </c>
      <c r="M219">
        <v>2.37</v>
      </c>
      <c r="N219">
        <v>2.29</v>
      </c>
      <c r="O219">
        <v>2.29</v>
      </c>
      <c r="P219" t="s">
        <v>32</v>
      </c>
      <c r="Q219">
        <v>37494708</v>
      </c>
      <c r="R219">
        <v>1.43</v>
      </c>
      <c r="S219" t="s">
        <v>91</v>
      </c>
      <c r="T219" t="s">
        <v>136</v>
      </c>
      <c r="U219">
        <v>3.49</v>
      </c>
      <c r="V219">
        <v>2.34</v>
      </c>
      <c r="W219">
        <v>55345</v>
      </c>
      <c r="X219">
        <v>105053</v>
      </c>
      <c r="Y219">
        <v>0.53</v>
      </c>
      <c r="Z219">
        <v>1567</v>
      </c>
      <c r="AA219">
        <v>242</v>
      </c>
      <c r="AB219" t="s">
        <v>32</v>
      </c>
      <c r="AC219">
        <v>12.86</v>
      </c>
    </row>
    <row r="220" spans="1:29">
      <c r="A220" t="str">
        <f>"000661"</f>
        <v>000661</v>
      </c>
      <c r="B220" t="s">
        <v>358</v>
      </c>
      <c r="C220">
        <v>-4.3</v>
      </c>
      <c r="D220">
        <v>205</v>
      </c>
      <c r="E220">
        <v>-9.2</v>
      </c>
      <c r="F220">
        <v>204.99</v>
      </c>
      <c r="G220">
        <v>205</v>
      </c>
      <c r="H220">
        <v>178996</v>
      </c>
      <c r="I220">
        <v>1460</v>
      </c>
      <c r="J220">
        <v>-1.43</v>
      </c>
      <c r="K220">
        <v>10.53</v>
      </c>
      <c r="L220">
        <v>192.78</v>
      </c>
      <c r="M220">
        <v>226.88</v>
      </c>
      <c r="N220">
        <v>192.78</v>
      </c>
      <c r="O220">
        <v>214.2</v>
      </c>
      <c r="P220">
        <v>41.47</v>
      </c>
      <c r="Q220">
        <v>3620087552</v>
      </c>
      <c r="R220">
        <v>10.36</v>
      </c>
      <c r="S220" t="s">
        <v>36</v>
      </c>
      <c r="T220" t="s">
        <v>81</v>
      </c>
      <c r="U220">
        <v>15.92</v>
      </c>
      <c r="V220">
        <v>202.24</v>
      </c>
      <c r="W220">
        <v>83971</v>
      </c>
      <c r="X220">
        <v>95024</v>
      </c>
      <c r="Y220">
        <v>0.88</v>
      </c>
      <c r="Z220">
        <v>1</v>
      </c>
      <c r="AA220">
        <v>571</v>
      </c>
      <c r="AB220" t="s">
        <v>32</v>
      </c>
      <c r="AC220">
        <v>1.7</v>
      </c>
    </row>
    <row r="221" spans="1:29">
      <c r="A221" t="str">
        <f>"000662"</f>
        <v>000662</v>
      </c>
      <c r="B221" t="s">
        <v>359</v>
      </c>
      <c r="C221">
        <v>3.11</v>
      </c>
      <c r="D221">
        <v>6.29</v>
      </c>
      <c r="E221">
        <v>0.19</v>
      </c>
      <c r="F221">
        <v>6.29</v>
      </c>
      <c r="G221">
        <v>6.3</v>
      </c>
      <c r="H221">
        <v>103540</v>
      </c>
      <c r="I221">
        <v>3486</v>
      </c>
      <c r="J221">
        <v>0.48</v>
      </c>
      <c r="K221">
        <v>2.77</v>
      </c>
      <c r="L221">
        <v>6.14</v>
      </c>
      <c r="M221">
        <v>6.29</v>
      </c>
      <c r="N221">
        <v>6.07</v>
      </c>
      <c r="O221">
        <v>6.1</v>
      </c>
      <c r="P221">
        <v>19.6</v>
      </c>
      <c r="Q221">
        <v>64058652</v>
      </c>
      <c r="R221">
        <v>1.54</v>
      </c>
      <c r="S221" t="s">
        <v>270</v>
      </c>
      <c r="T221" t="s">
        <v>238</v>
      </c>
      <c r="U221">
        <v>3.61</v>
      </c>
      <c r="V221">
        <v>6.19</v>
      </c>
      <c r="W221">
        <v>51770</v>
      </c>
      <c r="X221">
        <v>51769</v>
      </c>
      <c r="Y221">
        <v>1</v>
      </c>
      <c r="Z221">
        <v>1257</v>
      </c>
      <c r="AA221">
        <v>2458</v>
      </c>
      <c r="AB221" t="s">
        <v>32</v>
      </c>
      <c r="AC221">
        <v>3.74</v>
      </c>
    </row>
    <row r="222" spans="1:29">
      <c r="A222" t="str">
        <f>"000663"</f>
        <v>000663</v>
      </c>
      <c r="B222" t="s">
        <v>360</v>
      </c>
      <c r="C222">
        <v>0.9</v>
      </c>
      <c r="D222">
        <v>7.81</v>
      </c>
      <c r="E222">
        <v>0.07</v>
      </c>
      <c r="F222">
        <v>7.81</v>
      </c>
      <c r="G222">
        <v>7.82</v>
      </c>
      <c r="H222">
        <v>23877</v>
      </c>
      <c r="I222">
        <v>877</v>
      </c>
      <c r="J222">
        <v>0</v>
      </c>
      <c r="K222">
        <v>1.21</v>
      </c>
      <c r="L222">
        <v>7.77</v>
      </c>
      <c r="M222">
        <v>7.85</v>
      </c>
      <c r="N222">
        <v>7.68</v>
      </c>
      <c r="O222">
        <v>7.74</v>
      </c>
      <c r="P222" t="s">
        <v>32</v>
      </c>
      <c r="Q222">
        <v>18622278</v>
      </c>
      <c r="R222">
        <v>1.13</v>
      </c>
      <c r="S222" t="s">
        <v>302</v>
      </c>
      <c r="T222" t="s">
        <v>236</v>
      </c>
      <c r="U222">
        <v>2.2</v>
      </c>
      <c r="V222">
        <v>7.8</v>
      </c>
      <c r="W222">
        <v>10864</v>
      </c>
      <c r="X222">
        <v>13013</v>
      </c>
      <c r="Y222">
        <v>0.83</v>
      </c>
      <c r="Z222">
        <v>578</v>
      </c>
      <c r="AA222">
        <v>238</v>
      </c>
      <c r="AB222" t="s">
        <v>32</v>
      </c>
      <c r="AC222">
        <v>1.97</v>
      </c>
    </row>
    <row r="223" spans="1:29">
      <c r="A223" t="str">
        <f>"000665"</f>
        <v>000665</v>
      </c>
      <c r="B223" t="s">
        <v>361</v>
      </c>
      <c r="C223">
        <v>1.88</v>
      </c>
      <c r="D223">
        <v>8.65</v>
      </c>
      <c r="E223">
        <v>0.16</v>
      </c>
      <c r="F223">
        <v>8.65</v>
      </c>
      <c r="G223">
        <v>8.66</v>
      </c>
      <c r="H223">
        <v>54699</v>
      </c>
      <c r="I223">
        <v>478</v>
      </c>
      <c r="J223">
        <v>0</v>
      </c>
      <c r="K223">
        <v>0.86</v>
      </c>
      <c r="L223">
        <v>8.48</v>
      </c>
      <c r="M223">
        <v>8.72</v>
      </c>
      <c r="N223">
        <v>8.46</v>
      </c>
      <c r="O223">
        <v>8.49</v>
      </c>
      <c r="P223">
        <v>14.86</v>
      </c>
      <c r="Q223">
        <v>47089900</v>
      </c>
      <c r="R223">
        <v>1.95</v>
      </c>
      <c r="S223" t="s">
        <v>148</v>
      </c>
      <c r="T223" t="s">
        <v>193</v>
      </c>
      <c r="U223">
        <v>3.06</v>
      </c>
      <c r="V223">
        <v>8.61</v>
      </c>
      <c r="W223">
        <v>23837</v>
      </c>
      <c r="X223">
        <v>30861</v>
      </c>
      <c r="Y223">
        <v>0.77</v>
      </c>
      <c r="Z223">
        <v>274</v>
      </c>
      <c r="AA223">
        <v>427</v>
      </c>
      <c r="AB223" t="s">
        <v>32</v>
      </c>
      <c r="AC223">
        <v>6.36</v>
      </c>
    </row>
    <row r="224" spans="1:29">
      <c r="A224" t="str">
        <f>"000666"</f>
        <v>000666</v>
      </c>
      <c r="B224" t="s">
        <v>362</v>
      </c>
      <c r="C224" t="s">
        <v>32</v>
      </c>
      <c r="D224">
        <v>18.08</v>
      </c>
      <c r="E224" t="s">
        <v>32</v>
      </c>
      <c r="F224" t="s">
        <v>32</v>
      </c>
      <c r="G224" t="s">
        <v>32</v>
      </c>
      <c r="H224">
        <v>0</v>
      </c>
      <c r="I224">
        <v>0</v>
      </c>
      <c r="J224" t="s">
        <v>32</v>
      </c>
      <c r="K224">
        <v>0</v>
      </c>
      <c r="L224" t="s">
        <v>32</v>
      </c>
      <c r="M224" t="s">
        <v>32</v>
      </c>
      <c r="N224" t="s">
        <v>32</v>
      </c>
      <c r="O224">
        <v>18.08</v>
      </c>
      <c r="P224">
        <v>23.69</v>
      </c>
      <c r="Q224">
        <v>0</v>
      </c>
      <c r="R224">
        <v>0</v>
      </c>
      <c r="S224" t="s">
        <v>363</v>
      </c>
      <c r="T224" t="s">
        <v>45</v>
      </c>
      <c r="U224">
        <v>0</v>
      </c>
      <c r="V224">
        <v>18.08</v>
      </c>
      <c r="W224">
        <v>0</v>
      </c>
      <c r="X224">
        <v>0</v>
      </c>
      <c r="Y224" t="s">
        <v>32</v>
      </c>
      <c r="Z224">
        <v>0</v>
      </c>
      <c r="AA224">
        <v>0</v>
      </c>
      <c r="AB224" t="s">
        <v>32</v>
      </c>
      <c r="AC224">
        <v>4.74</v>
      </c>
    </row>
    <row r="225" spans="1:29">
      <c r="A225" t="str">
        <f>"000667"</f>
        <v>000667</v>
      </c>
      <c r="B225" t="s">
        <v>364</v>
      </c>
      <c r="C225">
        <v>1.79</v>
      </c>
      <c r="D225">
        <v>2.27</v>
      </c>
      <c r="E225">
        <v>0.04</v>
      </c>
      <c r="F225">
        <v>2.27</v>
      </c>
      <c r="G225">
        <v>2.28</v>
      </c>
      <c r="H225">
        <v>119066</v>
      </c>
      <c r="I225">
        <v>194</v>
      </c>
      <c r="J225">
        <v>0</v>
      </c>
      <c r="K225">
        <v>0.47</v>
      </c>
      <c r="L225">
        <v>2.23</v>
      </c>
      <c r="M225">
        <v>2.29</v>
      </c>
      <c r="N225">
        <v>2.22</v>
      </c>
      <c r="O225">
        <v>2.23</v>
      </c>
      <c r="P225" t="s">
        <v>32</v>
      </c>
      <c r="Q225">
        <v>27011912</v>
      </c>
      <c r="R225">
        <v>1.55</v>
      </c>
      <c r="S225" t="s">
        <v>34</v>
      </c>
      <c r="T225" t="s">
        <v>250</v>
      </c>
      <c r="U225">
        <v>3.14</v>
      </c>
      <c r="V225">
        <v>2.27</v>
      </c>
      <c r="W225">
        <v>44845</v>
      </c>
      <c r="X225">
        <v>74220</v>
      </c>
      <c r="Y225">
        <v>0.6</v>
      </c>
      <c r="Z225">
        <v>5056</v>
      </c>
      <c r="AA225">
        <v>15161</v>
      </c>
      <c r="AB225" t="s">
        <v>32</v>
      </c>
      <c r="AC225">
        <v>25.4</v>
      </c>
    </row>
    <row r="226" spans="1:29">
      <c r="A226" t="str">
        <f>"000668"</f>
        <v>000668</v>
      </c>
      <c r="B226" t="s">
        <v>365</v>
      </c>
      <c r="C226">
        <v>0.96</v>
      </c>
      <c r="D226">
        <v>10.57</v>
      </c>
      <c r="E226">
        <v>0.1</v>
      </c>
      <c r="F226">
        <v>10.56</v>
      </c>
      <c r="G226">
        <v>10.57</v>
      </c>
      <c r="H226">
        <v>8819</v>
      </c>
      <c r="I226">
        <v>54</v>
      </c>
      <c r="J226">
        <v>0</v>
      </c>
      <c r="K226">
        <v>0.6</v>
      </c>
      <c r="L226">
        <v>10.4</v>
      </c>
      <c r="M226">
        <v>10.61</v>
      </c>
      <c r="N226">
        <v>10.37</v>
      </c>
      <c r="O226">
        <v>10.47</v>
      </c>
      <c r="P226">
        <v>152.26</v>
      </c>
      <c r="Q226">
        <v>9274901</v>
      </c>
      <c r="R226">
        <v>0.61</v>
      </c>
      <c r="S226" t="s">
        <v>40</v>
      </c>
      <c r="T226" t="s">
        <v>366</v>
      </c>
      <c r="U226">
        <v>2.29</v>
      </c>
      <c r="V226">
        <v>10.52</v>
      </c>
      <c r="W226">
        <v>4137</v>
      </c>
      <c r="X226">
        <v>4682</v>
      </c>
      <c r="Y226">
        <v>0.88</v>
      </c>
      <c r="Z226">
        <v>248</v>
      </c>
      <c r="AA226">
        <v>29</v>
      </c>
      <c r="AB226" t="s">
        <v>32</v>
      </c>
      <c r="AC226">
        <v>1.47</v>
      </c>
    </row>
    <row r="227" spans="1:29">
      <c r="A227" t="str">
        <f>"000669"</f>
        <v>000669</v>
      </c>
      <c r="B227" t="s">
        <v>367</v>
      </c>
      <c r="C227" t="s">
        <v>32</v>
      </c>
      <c r="D227">
        <v>7.25</v>
      </c>
      <c r="E227" t="s">
        <v>32</v>
      </c>
      <c r="F227" t="s">
        <v>32</v>
      </c>
      <c r="G227" t="s">
        <v>32</v>
      </c>
      <c r="H227">
        <v>0</v>
      </c>
      <c r="I227">
        <v>0</v>
      </c>
      <c r="J227" t="s">
        <v>32</v>
      </c>
      <c r="K227">
        <v>0</v>
      </c>
      <c r="L227" t="s">
        <v>32</v>
      </c>
      <c r="M227" t="s">
        <v>32</v>
      </c>
      <c r="N227" t="s">
        <v>32</v>
      </c>
      <c r="O227">
        <v>7.25</v>
      </c>
      <c r="P227">
        <v>14.29</v>
      </c>
      <c r="Q227">
        <v>0</v>
      </c>
      <c r="R227">
        <v>0</v>
      </c>
      <c r="S227" t="s">
        <v>174</v>
      </c>
      <c r="T227" t="s">
        <v>81</v>
      </c>
      <c r="U227">
        <v>0</v>
      </c>
      <c r="V227">
        <v>7.25</v>
      </c>
      <c r="W227">
        <v>0</v>
      </c>
      <c r="X227">
        <v>0</v>
      </c>
      <c r="Y227" t="s">
        <v>32</v>
      </c>
      <c r="Z227">
        <v>0</v>
      </c>
      <c r="AA227">
        <v>0</v>
      </c>
      <c r="AB227" t="s">
        <v>32</v>
      </c>
      <c r="AC227">
        <v>6.7</v>
      </c>
    </row>
    <row r="228" spans="1:29">
      <c r="A228" t="str">
        <f>"000670"</f>
        <v>000670</v>
      </c>
      <c r="B228" t="s">
        <v>368</v>
      </c>
      <c r="C228">
        <v>-1.36</v>
      </c>
      <c r="D228">
        <v>4.35</v>
      </c>
      <c r="E228">
        <v>-0.06</v>
      </c>
      <c r="F228">
        <v>4.35</v>
      </c>
      <c r="G228">
        <v>4.36</v>
      </c>
      <c r="H228">
        <v>511124</v>
      </c>
      <c r="I228">
        <v>3906</v>
      </c>
      <c r="J228">
        <v>-0.22</v>
      </c>
      <c r="K228">
        <v>8.52</v>
      </c>
      <c r="L228">
        <v>4.22</v>
      </c>
      <c r="M228">
        <v>4.42</v>
      </c>
      <c r="N228">
        <v>4.22</v>
      </c>
      <c r="O228">
        <v>4.41</v>
      </c>
      <c r="P228" t="s">
        <v>32</v>
      </c>
      <c r="Q228">
        <v>220050032</v>
      </c>
      <c r="R228">
        <v>1.87</v>
      </c>
      <c r="S228" t="s">
        <v>63</v>
      </c>
      <c r="T228" t="s">
        <v>193</v>
      </c>
      <c r="U228">
        <v>4.54</v>
      </c>
      <c r="V228">
        <v>4.31</v>
      </c>
      <c r="W228">
        <v>236652</v>
      </c>
      <c r="X228">
        <v>274472</v>
      </c>
      <c r="Y228">
        <v>0.86</v>
      </c>
      <c r="Z228">
        <v>6694</v>
      </c>
      <c r="AA228">
        <v>1755</v>
      </c>
      <c r="AB228" t="s">
        <v>32</v>
      </c>
      <c r="AC228">
        <v>6</v>
      </c>
    </row>
    <row r="229" spans="1:29">
      <c r="A229" t="str">
        <f>"000671"</f>
        <v>000671</v>
      </c>
      <c r="B229" t="s">
        <v>369</v>
      </c>
      <c r="C229">
        <v>0.99</v>
      </c>
      <c r="D229">
        <v>6.13</v>
      </c>
      <c r="E229">
        <v>0.06</v>
      </c>
      <c r="F229">
        <v>6.12</v>
      </c>
      <c r="G229">
        <v>6.13</v>
      </c>
      <c r="H229">
        <v>333881</v>
      </c>
      <c r="I229">
        <v>3317</v>
      </c>
      <c r="J229">
        <v>0</v>
      </c>
      <c r="K229">
        <v>1.03</v>
      </c>
      <c r="L229">
        <v>6.09</v>
      </c>
      <c r="M229">
        <v>6.32</v>
      </c>
      <c r="N229">
        <v>6.09</v>
      </c>
      <c r="O229">
        <v>6.07</v>
      </c>
      <c r="P229">
        <v>27.65</v>
      </c>
      <c r="Q229">
        <v>206489904</v>
      </c>
      <c r="R229">
        <v>1.96</v>
      </c>
      <c r="S229" t="s">
        <v>40</v>
      </c>
      <c r="T229" t="s">
        <v>236</v>
      </c>
      <c r="U229">
        <v>3.79</v>
      </c>
      <c r="V229">
        <v>6.18</v>
      </c>
      <c r="W229">
        <v>155202</v>
      </c>
      <c r="X229">
        <v>178679</v>
      </c>
      <c r="Y229">
        <v>0.87</v>
      </c>
      <c r="Z229">
        <v>1524</v>
      </c>
      <c r="AA229">
        <v>2819</v>
      </c>
      <c r="AB229" t="s">
        <v>32</v>
      </c>
      <c r="AC229">
        <v>32.48</v>
      </c>
    </row>
    <row r="230" spans="1:29">
      <c r="A230" t="str">
        <f>"000672"</f>
        <v>000672</v>
      </c>
      <c r="B230" t="s">
        <v>370</v>
      </c>
      <c r="C230">
        <v>6.09</v>
      </c>
      <c r="D230">
        <v>9.75</v>
      </c>
      <c r="E230">
        <v>0.56</v>
      </c>
      <c r="F230">
        <v>9.75</v>
      </c>
      <c r="G230">
        <v>9.76</v>
      </c>
      <c r="H230">
        <v>512534</v>
      </c>
      <c r="I230">
        <v>6823</v>
      </c>
      <c r="J230">
        <v>0.1</v>
      </c>
      <c r="K230">
        <v>6.3</v>
      </c>
      <c r="L230">
        <v>9.43</v>
      </c>
      <c r="M230">
        <v>9.83</v>
      </c>
      <c r="N230">
        <v>9.27</v>
      </c>
      <c r="O230">
        <v>9.19</v>
      </c>
      <c r="P230">
        <v>11.94</v>
      </c>
      <c r="Q230">
        <v>493743072</v>
      </c>
      <c r="R230">
        <v>2.9</v>
      </c>
      <c r="S230" t="s">
        <v>166</v>
      </c>
      <c r="T230" t="s">
        <v>266</v>
      </c>
      <c r="U230">
        <v>6.09</v>
      </c>
      <c r="V230">
        <v>9.63</v>
      </c>
      <c r="W230">
        <v>227829</v>
      </c>
      <c r="X230">
        <v>284705</v>
      </c>
      <c r="Y230">
        <v>0.8</v>
      </c>
      <c r="Z230">
        <v>3575</v>
      </c>
      <c r="AA230">
        <v>1344</v>
      </c>
      <c r="AB230" t="s">
        <v>32</v>
      </c>
      <c r="AC230">
        <v>8.14</v>
      </c>
    </row>
    <row r="231" spans="1:29">
      <c r="A231" t="str">
        <f>"000673"</f>
        <v>000673</v>
      </c>
      <c r="B231" t="s">
        <v>371</v>
      </c>
      <c r="C231" t="s">
        <v>32</v>
      </c>
      <c r="D231">
        <v>18.34</v>
      </c>
      <c r="E231" t="s">
        <v>32</v>
      </c>
      <c r="F231" t="s">
        <v>32</v>
      </c>
      <c r="G231" t="s">
        <v>32</v>
      </c>
      <c r="H231">
        <v>0</v>
      </c>
      <c r="I231">
        <v>0</v>
      </c>
      <c r="J231" t="s">
        <v>32</v>
      </c>
      <c r="K231">
        <v>0</v>
      </c>
      <c r="L231" t="s">
        <v>32</v>
      </c>
      <c r="M231" t="s">
        <v>32</v>
      </c>
      <c r="N231" t="s">
        <v>32</v>
      </c>
      <c r="O231">
        <v>18.34</v>
      </c>
      <c r="P231">
        <v>38.98</v>
      </c>
      <c r="Q231">
        <v>0</v>
      </c>
      <c r="R231">
        <v>0</v>
      </c>
      <c r="S231" t="s">
        <v>148</v>
      </c>
      <c r="T231" t="s">
        <v>169</v>
      </c>
      <c r="U231">
        <v>0</v>
      </c>
      <c r="V231">
        <v>18.34</v>
      </c>
      <c r="W231">
        <v>0</v>
      </c>
      <c r="X231">
        <v>0</v>
      </c>
      <c r="Y231" t="s">
        <v>32</v>
      </c>
      <c r="Z231">
        <v>0</v>
      </c>
      <c r="AA231">
        <v>0</v>
      </c>
      <c r="AB231" t="s">
        <v>32</v>
      </c>
      <c r="AC231">
        <v>4.17</v>
      </c>
    </row>
    <row r="232" spans="1:29">
      <c r="A232" t="str">
        <f>"000676"</f>
        <v>000676</v>
      </c>
      <c r="B232" t="s">
        <v>372</v>
      </c>
      <c r="C232">
        <v>1</v>
      </c>
      <c r="D232">
        <v>12.14</v>
      </c>
      <c r="E232">
        <v>0.12</v>
      </c>
      <c r="F232">
        <v>12.14</v>
      </c>
      <c r="G232">
        <v>12.15</v>
      </c>
      <c r="H232">
        <v>52815</v>
      </c>
      <c r="I232">
        <v>467</v>
      </c>
      <c r="J232">
        <v>0</v>
      </c>
      <c r="K232">
        <v>1.66</v>
      </c>
      <c r="L232">
        <v>12.05</v>
      </c>
      <c r="M232">
        <v>12.23</v>
      </c>
      <c r="N232">
        <v>11.92</v>
      </c>
      <c r="O232">
        <v>12.02</v>
      </c>
      <c r="P232">
        <v>14.58</v>
      </c>
      <c r="Q232">
        <v>63998288</v>
      </c>
      <c r="R232">
        <v>0.65</v>
      </c>
      <c r="S232" t="s">
        <v>316</v>
      </c>
      <c r="T232" t="s">
        <v>164</v>
      </c>
      <c r="U232">
        <v>2.58</v>
      </c>
      <c r="V232">
        <v>12.12</v>
      </c>
      <c r="W232">
        <v>24596</v>
      </c>
      <c r="X232">
        <v>28218</v>
      </c>
      <c r="Y232">
        <v>0.87</v>
      </c>
      <c r="Z232">
        <v>279</v>
      </c>
      <c r="AA232">
        <v>414</v>
      </c>
      <c r="AB232" t="s">
        <v>32</v>
      </c>
      <c r="AC232">
        <v>3.19</v>
      </c>
    </row>
    <row r="233" spans="1:29">
      <c r="A233" t="str">
        <f>"000677"</f>
        <v>000677</v>
      </c>
      <c r="B233" t="s">
        <v>373</v>
      </c>
      <c r="C233">
        <v>0.82</v>
      </c>
      <c r="D233">
        <v>3.68</v>
      </c>
      <c r="E233">
        <v>0.03</v>
      </c>
      <c r="F233">
        <v>3.67</v>
      </c>
      <c r="G233">
        <v>3.68</v>
      </c>
      <c r="H233">
        <v>51626</v>
      </c>
      <c r="I233">
        <v>526</v>
      </c>
      <c r="J233">
        <v>0.27</v>
      </c>
      <c r="K233">
        <v>0.6</v>
      </c>
      <c r="L233">
        <v>3.65</v>
      </c>
      <c r="M233">
        <v>3.71</v>
      </c>
      <c r="N233">
        <v>3.65</v>
      </c>
      <c r="O233">
        <v>3.65</v>
      </c>
      <c r="P233" t="s">
        <v>32</v>
      </c>
      <c r="Q233">
        <v>18983516</v>
      </c>
      <c r="R233">
        <v>0.92</v>
      </c>
      <c r="S233" t="s">
        <v>190</v>
      </c>
      <c r="T233" t="s">
        <v>162</v>
      </c>
      <c r="U233">
        <v>1.64</v>
      </c>
      <c r="V233">
        <v>3.68</v>
      </c>
      <c r="W233">
        <v>31775</v>
      </c>
      <c r="X233">
        <v>19850</v>
      </c>
      <c r="Y233">
        <v>1.6</v>
      </c>
      <c r="Z233">
        <v>826</v>
      </c>
      <c r="AA233">
        <v>654</v>
      </c>
      <c r="AB233" t="s">
        <v>32</v>
      </c>
      <c r="AC233">
        <v>8.64</v>
      </c>
    </row>
    <row r="234" spans="1:29">
      <c r="A234" t="str">
        <f>"000678"</f>
        <v>000678</v>
      </c>
      <c r="B234" t="s">
        <v>374</v>
      </c>
      <c r="C234">
        <v>1.54</v>
      </c>
      <c r="D234">
        <v>5.29</v>
      </c>
      <c r="E234">
        <v>0.08</v>
      </c>
      <c r="F234">
        <v>5.29</v>
      </c>
      <c r="G234">
        <v>5.3</v>
      </c>
      <c r="H234">
        <v>61231</v>
      </c>
      <c r="I234">
        <v>802</v>
      </c>
      <c r="J234">
        <v>0.19</v>
      </c>
      <c r="K234">
        <v>1.43</v>
      </c>
      <c r="L234">
        <v>5.18</v>
      </c>
      <c r="M234">
        <v>5.34</v>
      </c>
      <c r="N234">
        <v>5.15</v>
      </c>
      <c r="O234">
        <v>5.21</v>
      </c>
      <c r="P234">
        <v>1405.73</v>
      </c>
      <c r="Q234">
        <v>32231442</v>
      </c>
      <c r="R234">
        <v>0.97</v>
      </c>
      <c r="S234" t="s">
        <v>241</v>
      </c>
      <c r="T234" t="s">
        <v>193</v>
      </c>
      <c r="U234">
        <v>3.65</v>
      </c>
      <c r="V234">
        <v>5.26</v>
      </c>
      <c r="W234">
        <v>30861</v>
      </c>
      <c r="X234">
        <v>30370</v>
      </c>
      <c r="Y234">
        <v>1.02</v>
      </c>
      <c r="Z234">
        <v>399</v>
      </c>
      <c r="AA234">
        <v>1378</v>
      </c>
      <c r="AB234" t="s">
        <v>32</v>
      </c>
      <c r="AC234">
        <v>4.29</v>
      </c>
    </row>
    <row r="235" spans="1:29">
      <c r="A235" t="str">
        <f>"000679"</f>
        <v>000679</v>
      </c>
      <c r="B235" t="s">
        <v>375</v>
      </c>
      <c r="C235">
        <v>2.42</v>
      </c>
      <c r="D235">
        <v>4.66</v>
      </c>
      <c r="E235">
        <v>0.11</v>
      </c>
      <c r="F235">
        <v>4.65</v>
      </c>
      <c r="G235">
        <v>4.66</v>
      </c>
      <c r="H235">
        <v>26657</v>
      </c>
      <c r="I235">
        <v>262</v>
      </c>
      <c r="J235">
        <v>0.22</v>
      </c>
      <c r="K235">
        <v>0.75</v>
      </c>
      <c r="L235">
        <v>4.53</v>
      </c>
      <c r="M235">
        <v>4.68</v>
      </c>
      <c r="N235">
        <v>4.53</v>
      </c>
      <c r="O235">
        <v>4.55</v>
      </c>
      <c r="P235">
        <v>63.71</v>
      </c>
      <c r="Q235">
        <v>12297353</v>
      </c>
      <c r="R235">
        <v>1.54</v>
      </c>
      <c r="S235" t="s">
        <v>186</v>
      </c>
      <c r="T235" t="s">
        <v>111</v>
      </c>
      <c r="U235">
        <v>3.3</v>
      </c>
      <c r="V235">
        <v>4.61</v>
      </c>
      <c r="W235">
        <v>12236</v>
      </c>
      <c r="X235">
        <v>14421</v>
      </c>
      <c r="Y235">
        <v>0.85</v>
      </c>
      <c r="Z235">
        <v>89</v>
      </c>
      <c r="AA235">
        <v>294</v>
      </c>
      <c r="AB235" t="s">
        <v>32</v>
      </c>
      <c r="AC235">
        <v>3.56</v>
      </c>
    </row>
    <row r="236" spans="1:29">
      <c r="A236" t="str">
        <f>"000680"</f>
        <v>000680</v>
      </c>
      <c r="B236" t="s">
        <v>376</v>
      </c>
      <c r="C236">
        <v>4.87</v>
      </c>
      <c r="D236">
        <v>3.66</v>
      </c>
      <c r="E236">
        <v>0.17</v>
      </c>
      <c r="F236">
        <v>3.65</v>
      </c>
      <c r="G236">
        <v>3.66</v>
      </c>
      <c r="H236">
        <v>317228</v>
      </c>
      <c r="I236">
        <v>4820</v>
      </c>
      <c r="J236">
        <v>0.27</v>
      </c>
      <c r="K236">
        <v>3</v>
      </c>
      <c r="L236">
        <v>3.52</v>
      </c>
      <c r="M236">
        <v>3.7</v>
      </c>
      <c r="N236">
        <v>3.5</v>
      </c>
      <c r="O236">
        <v>3.49</v>
      </c>
      <c r="P236">
        <v>27</v>
      </c>
      <c r="Q236">
        <v>115204368</v>
      </c>
      <c r="R236">
        <v>3.26</v>
      </c>
      <c r="S236" t="s">
        <v>151</v>
      </c>
      <c r="T236" t="s">
        <v>162</v>
      </c>
      <c r="U236">
        <v>5.73</v>
      </c>
      <c r="V236">
        <v>3.63</v>
      </c>
      <c r="W236">
        <v>134807</v>
      </c>
      <c r="X236">
        <v>182421</v>
      </c>
      <c r="Y236">
        <v>0.74</v>
      </c>
      <c r="Z236">
        <v>1882</v>
      </c>
      <c r="AA236">
        <v>918</v>
      </c>
      <c r="AB236" t="s">
        <v>32</v>
      </c>
      <c r="AC236">
        <v>10.57</v>
      </c>
    </row>
    <row r="237" spans="1:29">
      <c r="A237" t="str">
        <f>"000681"</f>
        <v>000681</v>
      </c>
      <c r="B237" t="s">
        <v>377</v>
      </c>
      <c r="C237">
        <v>0.74</v>
      </c>
      <c r="D237">
        <v>27.2</v>
      </c>
      <c r="E237">
        <v>0.2</v>
      </c>
      <c r="F237">
        <v>27.2</v>
      </c>
      <c r="G237">
        <v>27.21</v>
      </c>
      <c r="H237">
        <v>63782</v>
      </c>
      <c r="I237">
        <v>569</v>
      </c>
      <c r="J237">
        <v>0.18</v>
      </c>
      <c r="K237">
        <v>2.28</v>
      </c>
      <c r="L237">
        <v>27.01</v>
      </c>
      <c r="M237">
        <v>27.47</v>
      </c>
      <c r="N237">
        <v>26.14</v>
      </c>
      <c r="O237">
        <v>27</v>
      </c>
      <c r="P237">
        <v>119.37</v>
      </c>
      <c r="Q237">
        <v>171406672</v>
      </c>
      <c r="R237">
        <v>1.12</v>
      </c>
      <c r="S237" t="s">
        <v>316</v>
      </c>
      <c r="T237" t="s">
        <v>87</v>
      </c>
      <c r="U237">
        <v>4.93</v>
      </c>
      <c r="V237">
        <v>26.87</v>
      </c>
      <c r="W237">
        <v>26874</v>
      </c>
      <c r="X237">
        <v>36907</v>
      </c>
      <c r="Y237">
        <v>0.73</v>
      </c>
      <c r="Z237">
        <v>604</v>
      </c>
      <c r="AA237">
        <v>105</v>
      </c>
      <c r="AB237" t="s">
        <v>32</v>
      </c>
      <c r="AC237">
        <v>2.8</v>
      </c>
    </row>
    <row r="238" spans="1:29">
      <c r="A238" t="str">
        <f>"000682"</f>
        <v>000682</v>
      </c>
      <c r="B238" t="s">
        <v>378</v>
      </c>
      <c r="C238">
        <v>1.57</v>
      </c>
      <c r="D238">
        <v>3.87</v>
      </c>
      <c r="E238">
        <v>0.06</v>
      </c>
      <c r="F238">
        <v>3.86</v>
      </c>
      <c r="G238">
        <v>3.87</v>
      </c>
      <c r="H238">
        <v>25537</v>
      </c>
      <c r="I238">
        <v>497</v>
      </c>
      <c r="J238">
        <v>0.26</v>
      </c>
      <c r="K238">
        <v>0.26</v>
      </c>
      <c r="L238">
        <v>3.81</v>
      </c>
      <c r="M238">
        <v>3.87</v>
      </c>
      <c r="N238">
        <v>3.79</v>
      </c>
      <c r="O238">
        <v>3.81</v>
      </c>
      <c r="P238">
        <v>170.56</v>
      </c>
      <c r="Q238">
        <v>9836413</v>
      </c>
      <c r="R238">
        <v>1.48</v>
      </c>
      <c r="S238" t="s">
        <v>104</v>
      </c>
      <c r="T238" t="s">
        <v>162</v>
      </c>
      <c r="U238">
        <v>2.1</v>
      </c>
      <c r="V238">
        <v>3.85</v>
      </c>
      <c r="W238">
        <v>12138</v>
      </c>
      <c r="X238">
        <v>13399</v>
      </c>
      <c r="Y238">
        <v>0.91</v>
      </c>
      <c r="Z238">
        <v>506</v>
      </c>
      <c r="AA238">
        <v>459</v>
      </c>
      <c r="AB238" t="s">
        <v>32</v>
      </c>
      <c r="AC238">
        <v>9.78</v>
      </c>
    </row>
    <row r="239" spans="1:29">
      <c r="A239" t="str">
        <f>"000683"</f>
        <v>000683</v>
      </c>
      <c r="B239" t="s">
        <v>379</v>
      </c>
      <c r="C239">
        <v>1.63</v>
      </c>
      <c r="D239">
        <v>3.12</v>
      </c>
      <c r="E239">
        <v>0.05</v>
      </c>
      <c r="F239">
        <v>3.12</v>
      </c>
      <c r="G239">
        <v>3.13</v>
      </c>
      <c r="H239">
        <v>1436876</v>
      </c>
      <c r="I239">
        <v>31266</v>
      </c>
      <c r="J239">
        <v>1.63</v>
      </c>
      <c r="K239">
        <v>5.07</v>
      </c>
      <c r="L239">
        <v>3.06</v>
      </c>
      <c r="M239">
        <v>3.23</v>
      </c>
      <c r="N239">
        <v>3.02</v>
      </c>
      <c r="O239">
        <v>3.07</v>
      </c>
      <c r="P239">
        <v>9.94</v>
      </c>
      <c r="Q239">
        <v>444438848</v>
      </c>
      <c r="R239">
        <v>2.97</v>
      </c>
      <c r="S239" t="s">
        <v>218</v>
      </c>
      <c r="T239" t="s">
        <v>198</v>
      </c>
      <c r="U239">
        <v>6.84</v>
      </c>
      <c r="V239">
        <v>3.09</v>
      </c>
      <c r="W239">
        <v>734098</v>
      </c>
      <c r="X239">
        <v>702777</v>
      </c>
      <c r="Y239">
        <v>1.04</v>
      </c>
      <c r="Z239">
        <v>8151</v>
      </c>
      <c r="AA239">
        <v>7564</v>
      </c>
      <c r="AB239" t="s">
        <v>32</v>
      </c>
      <c r="AC239">
        <v>28.33</v>
      </c>
    </row>
    <row r="240" spans="1:29">
      <c r="A240" t="str">
        <f>"000685"</f>
        <v>000685</v>
      </c>
      <c r="B240" t="s">
        <v>380</v>
      </c>
      <c r="C240">
        <v>3.12</v>
      </c>
      <c r="D240">
        <v>8.26</v>
      </c>
      <c r="E240">
        <v>0.25</v>
      </c>
      <c r="F240">
        <v>8.25</v>
      </c>
      <c r="G240">
        <v>8.26</v>
      </c>
      <c r="H240">
        <v>70816</v>
      </c>
      <c r="I240">
        <v>897</v>
      </c>
      <c r="J240">
        <v>0.36</v>
      </c>
      <c r="K240">
        <v>0.57</v>
      </c>
      <c r="L240">
        <v>8</v>
      </c>
      <c r="M240">
        <v>8.28</v>
      </c>
      <c r="N240">
        <v>7.99</v>
      </c>
      <c r="O240">
        <v>8.01</v>
      </c>
      <c r="P240">
        <v>16.1</v>
      </c>
      <c r="Q240">
        <v>57971700</v>
      </c>
      <c r="R240">
        <v>2.44</v>
      </c>
      <c r="S240" t="s">
        <v>308</v>
      </c>
      <c r="T240" t="s">
        <v>136</v>
      </c>
      <c r="U240">
        <v>3.62</v>
      </c>
      <c r="V240">
        <v>8.19</v>
      </c>
      <c r="W240">
        <v>28312</v>
      </c>
      <c r="X240">
        <v>42504</v>
      </c>
      <c r="Y240">
        <v>0.67</v>
      </c>
      <c r="Z240">
        <v>354</v>
      </c>
      <c r="AA240">
        <v>62</v>
      </c>
      <c r="AB240" t="s">
        <v>32</v>
      </c>
      <c r="AC240">
        <v>12.53</v>
      </c>
    </row>
    <row r="241" spans="1:29">
      <c r="A241" t="str">
        <f>"000686"</f>
        <v>000686</v>
      </c>
      <c r="B241" t="s">
        <v>381</v>
      </c>
      <c r="C241">
        <v>2.05</v>
      </c>
      <c r="D241">
        <v>6.46</v>
      </c>
      <c r="E241">
        <v>0.13</v>
      </c>
      <c r="F241">
        <v>6.45</v>
      </c>
      <c r="G241">
        <v>6.46</v>
      </c>
      <c r="H241">
        <v>217997</v>
      </c>
      <c r="I241">
        <v>764</v>
      </c>
      <c r="J241">
        <v>0</v>
      </c>
      <c r="K241">
        <v>0.93</v>
      </c>
      <c r="L241">
        <v>6.32</v>
      </c>
      <c r="M241">
        <v>6.55</v>
      </c>
      <c r="N241">
        <v>6.31</v>
      </c>
      <c r="O241">
        <v>6.33</v>
      </c>
      <c r="P241">
        <v>28.44</v>
      </c>
      <c r="Q241">
        <v>140463264</v>
      </c>
      <c r="R241">
        <v>1.97</v>
      </c>
      <c r="S241" t="s">
        <v>158</v>
      </c>
      <c r="T241" t="s">
        <v>81</v>
      </c>
      <c r="U241">
        <v>3.79</v>
      </c>
      <c r="V241">
        <v>6.44</v>
      </c>
      <c r="W241">
        <v>107106</v>
      </c>
      <c r="X241">
        <v>110891</v>
      </c>
      <c r="Y241">
        <v>0.97</v>
      </c>
      <c r="Z241">
        <v>1774</v>
      </c>
      <c r="AA241">
        <v>1186</v>
      </c>
      <c r="AB241" t="s">
        <v>32</v>
      </c>
      <c r="AC241">
        <v>23.4</v>
      </c>
    </row>
    <row r="242" spans="1:29">
      <c r="A242" t="str">
        <f>"000687"</f>
        <v>000687</v>
      </c>
      <c r="B242" t="s">
        <v>382</v>
      </c>
      <c r="C242">
        <v>0.43</v>
      </c>
      <c r="D242">
        <v>9.29</v>
      </c>
      <c r="E242">
        <v>0.04</v>
      </c>
      <c r="F242">
        <v>9.28</v>
      </c>
      <c r="G242">
        <v>9.29</v>
      </c>
      <c r="H242">
        <v>63559</v>
      </c>
      <c r="I242">
        <v>566</v>
      </c>
      <c r="J242">
        <v>0</v>
      </c>
      <c r="K242">
        <v>1.2</v>
      </c>
      <c r="L242">
        <v>9.27</v>
      </c>
      <c r="M242">
        <v>9.39</v>
      </c>
      <c r="N242">
        <v>9.12</v>
      </c>
      <c r="O242">
        <v>9.25</v>
      </c>
      <c r="P242">
        <v>100.65</v>
      </c>
      <c r="Q242">
        <v>58902692</v>
      </c>
      <c r="R242">
        <v>1.32</v>
      </c>
      <c r="S242" t="s">
        <v>119</v>
      </c>
      <c r="T242" t="s">
        <v>154</v>
      </c>
      <c r="U242">
        <v>2.92</v>
      </c>
      <c r="V242">
        <v>9.27</v>
      </c>
      <c r="W242">
        <v>34553</v>
      </c>
      <c r="X242">
        <v>29005</v>
      </c>
      <c r="Y242">
        <v>1.19</v>
      </c>
      <c r="Z242">
        <v>939</v>
      </c>
      <c r="AA242">
        <v>149</v>
      </c>
      <c r="AB242" t="s">
        <v>32</v>
      </c>
      <c r="AC242">
        <v>5.29</v>
      </c>
    </row>
    <row r="243" spans="1:29">
      <c r="A243" t="str">
        <f>"000688"</f>
        <v>000688</v>
      </c>
      <c r="B243" t="s">
        <v>383</v>
      </c>
      <c r="C243">
        <v>0.52</v>
      </c>
      <c r="D243">
        <v>11.52</v>
      </c>
      <c r="E243">
        <v>0.06</v>
      </c>
      <c r="F243">
        <v>11.52</v>
      </c>
      <c r="G243">
        <v>11.53</v>
      </c>
      <c r="H243">
        <v>26761</v>
      </c>
      <c r="I243">
        <v>214</v>
      </c>
      <c r="J243">
        <v>0.17</v>
      </c>
      <c r="K243">
        <v>0.24</v>
      </c>
      <c r="L243">
        <v>11.45</v>
      </c>
      <c r="M243">
        <v>11.64</v>
      </c>
      <c r="N243">
        <v>11.38</v>
      </c>
      <c r="O243">
        <v>11.46</v>
      </c>
      <c r="P243">
        <v>25.57</v>
      </c>
      <c r="Q243">
        <v>30842376</v>
      </c>
      <c r="R243">
        <v>1.05</v>
      </c>
      <c r="S243" t="s">
        <v>113</v>
      </c>
      <c r="T243" t="s">
        <v>221</v>
      </c>
      <c r="U243">
        <v>2.27</v>
      </c>
      <c r="V243">
        <v>11.53</v>
      </c>
      <c r="W243">
        <v>11627</v>
      </c>
      <c r="X243">
        <v>15133</v>
      </c>
      <c r="Y243">
        <v>0.77</v>
      </c>
      <c r="Z243">
        <v>111</v>
      </c>
      <c r="AA243">
        <v>126</v>
      </c>
      <c r="AB243" t="s">
        <v>32</v>
      </c>
      <c r="AC243">
        <v>11.37</v>
      </c>
    </row>
    <row r="244" spans="1:29">
      <c r="A244" t="str">
        <f>"000690"</f>
        <v>000690</v>
      </c>
      <c r="B244" t="s">
        <v>384</v>
      </c>
      <c r="C244">
        <v>1.33</v>
      </c>
      <c r="D244">
        <v>7.61</v>
      </c>
      <c r="E244">
        <v>0.1</v>
      </c>
      <c r="F244">
        <v>7.61</v>
      </c>
      <c r="G244">
        <v>7.62</v>
      </c>
      <c r="H244">
        <v>98674</v>
      </c>
      <c r="I244">
        <v>2676</v>
      </c>
      <c r="J244">
        <v>0.53</v>
      </c>
      <c r="K244">
        <v>0.48</v>
      </c>
      <c r="L244">
        <v>7.54</v>
      </c>
      <c r="M244">
        <v>7.67</v>
      </c>
      <c r="N244">
        <v>7.46</v>
      </c>
      <c r="O244">
        <v>7.51</v>
      </c>
      <c r="P244">
        <v>64.52</v>
      </c>
      <c r="Q244">
        <v>74887816</v>
      </c>
      <c r="R244">
        <v>1.57</v>
      </c>
      <c r="S244" t="s">
        <v>75</v>
      </c>
      <c r="T244" t="s">
        <v>136</v>
      </c>
      <c r="U244">
        <v>2.8</v>
      </c>
      <c r="V244">
        <v>7.59</v>
      </c>
      <c r="W244">
        <v>43319</v>
      </c>
      <c r="X244">
        <v>55355</v>
      </c>
      <c r="Y244">
        <v>0.78</v>
      </c>
      <c r="Z244">
        <v>891</v>
      </c>
      <c r="AA244">
        <v>1041</v>
      </c>
      <c r="AB244" t="s">
        <v>32</v>
      </c>
      <c r="AC244">
        <v>20.39</v>
      </c>
    </row>
    <row r="245" spans="1:29">
      <c r="A245" t="str">
        <f>"000691"</f>
        <v>000691</v>
      </c>
      <c r="B245" t="s">
        <v>385</v>
      </c>
      <c r="C245">
        <v>0.53</v>
      </c>
      <c r="D245">
        <v>3.8</v>
      </c>
      <c r="E245">
        <v>0.02</v>
      </c>
      <c r="F245">
        <v>3.79</v>
      </c>
      <c r="G245">
        <v>3.8</v>
      </c>
      <c r="H245">
        <v>45559</v>
      </c>
      <c r="I245">
        <v>2679</v>
      </c>
      <c r="J245">
        <v>-0.25</v>
      </c>
      <c r="K245">
        <v>1.57</v>
      </c>
      <c r="L245">
        <v>3.79</v>
      </c>
      <c r="M245">
        <v>3.85</v>
      </c>
      <c r="N245">
        <v>3.76</v>
      </c>
      <c r="O245">
        <v>3.78</v>
      </c>
      <c r="P245" t="s">
        <v>32</v>
      </c>
      <c r="Q245">
        <v>17376100</v>
      </c>
      <c r="R245">
        <v>0.72</v>
      </c>
      <c r="S245" t="s">
        <v>40</v>
      </c>
      <c r="T245" t="s">
        <v>266</v>
      </c>
      <c r="U245">
        <v>2.38</v>
      </c>
      <c r="V245">
        <v>3.81</v>
      </c>
      <c r="W245">
        <v>21160</v>
      </c>
      <c r="X245">
        <v>24399</v>
      </c>
      <c r="Y245">
        <v>0.87</v>
      </c>
      <c r="Z245">
        <v>1193</v>
      </c>
      <c r="AA245">
        <v>874</v>
      </c>
      <c r="AB245" t="s">
        <v>32</v>
      </c>
      <c r="AC245">
        <v>2.9</v>
      </c>
    </row>
    <row r="246" spans="1:29">
      <c r="A246" t="str">
        <f>"000692"</f>
        <v>000692</v>
      </c>
      <c r="B246" t="s">
        <v>386</v>
      </c>
      <c r="C246">
        <v>1.3</v>
      </c>
      <c r="D246">
        <v>3.11</v>
      </c>
      <c r="E246">
        <v>0.04</v>
      </c>
      <c r="F246">
        <v>3.11</v>
      </c>
      <c r="G246">
        <v>3.12</v>
      </c>
      <c r="H246">
        <v>34037</v>
      </c>
      <c r="I246">
        <v>519</v>
      </c>
      <c r="J246">
        <v>-0.31</v>
      </c>
      <c r="K246">
        <v>0.64</v>
      </c>
      <c r="L246">
        <v>3.07</v>
      </c>
      <c r="M246">
        <v>3.14</v>
      </c>
      <c r="N246">
        <v>3.06</v>
      </c>
      <c r="O246">
        <v>3.07</v>
      </c>
      <c r="P246" t="s">
        <v>32</v>
      </c>
      <c r="Q246">
        <v>10605488</v>
      </c>
      <c r="R246">
        <v>1.58</v>
      </c>
      <c r="S246" t="s">
        <v>174</v>
      </c>
      <c r="T246" t="s">
        <v>111</v>
      </c>
      <c r="U246">
        <v>2.61</v>
      </c>
      <c r="V246">
        <v>3.12</v>
      </c>
      <c r="W246">
        <v>16321</v>
      </c>
      <c r="X246">
        <v>17715</v>
      </c>
      <c r="Y246">
        <v>0.92</v>
      </c>
      <c r="Z246">
        <v>974</v>
      </c>
      <c r="AA246">
        <v>415</v>
      </c>
      <c r="AB246" t="s">
        <v>32</v>
      </c>
      <c r="AC246">
        <v>5.33</v>
      </c>
    </row>
    <row r="247" spans="1:29">
      <c r="A247" t="str">
        <f>"000695"</f>
        <v>000695</v>
      </c>
      <c r="B247" t="s">
        <v>387</v>
      </c>
      <c r="C247">
        <v>1.83</v>
      </c>
      <c r="D247">
        <v>8.9</v>
      </c>
      <c r="E247">
        <v>0.16</v>
      </c>
      <c r="F247">
        <v>8.86</v>
      </c>
      <c r="G247">
        <v>8.9</v>
      </c>
      <c r="H247">
        <v>8255</v>
      </c>
      <c r="I247">
        <v>70</v>
      </c>
      <c r="J247">
        <v>0.23</v>
      </c>
      <c r="K247">
        <v>0.37</v>
      </c>
      <c r="L247">
        <v>8.75</v>
      </c>
      <c r="M247">
        <v>8.93</v>
      </c>
      <c r="N247">
        <v>8.66</v>
      </c>
      <c r="O247">
        <v>8.74</v>
      </c>
      <c r="P247">
        <v>199.42</v>
      </c>
      <c r="Q247">
        <v>7302325</v>
      </c>
      <c r="R247">
        <v>1.32</v>
      </c>
      <c r="S247" t="s">
        <v>174</v>
      </c>
      <c r="T247" t="s">
        <v>248</v>
      </c>
      <c r="U247">
        <v>3.09</v>
      </c>
      <c r="V247">
        <v>8.85</v>
      </c>
      <c r="W247">
        <v>3717</v>
      </c>
      <c r="X247">
        <v>4537</v>
      </c>
      <c r="Y247">
        <v>0.82</v>
      </c>
      <c r="Z247">
        <v>79</v>
      </c>
      <c r="AA247">
        <v>21</v>
      </c>
      <c r="AB247" t="s">
        <v>32</v>
      </c>
      <c r="AC247">
        <v>2.22</v>
      </c>
    </row>
    <row r="248" spans="1:29">
      <c r="A248" t="str">
        <f>"000697"</f>
        <v>000697</v>
      </c>
      <c r="B248" t="s">
        <v>388</v>
      </c>
      <c r="C248">
        <v>2.16</v>
      </c>
      <c r="D248">
        <v>15.64</v>
      </c>
      <c r="E248">
        <v>0.33</v>
      </c>
      <c r="F248">
        <v>15.63</v>
      </c>
      <c r="G248">
        <v>15.64</v>
      </c>
      <c r="H248">
        <v>29329</v>
      </c>
      <c r="I248">
        <v>602</v>
      </c>
      <c r="J248">
        <v>0.06</v>
      </c>
      <c r="K248">
        <v>0.65</v>
      </c>
      <c r="L248">
        <v>15.3</v>
      </c>
      <c r="M248">
        <v>15.74</v>
      </c>
      <c r="N248">
        <v>15.23</v>
      </c>
      <c r="O248">
        <v>15.31</v>
      </c>
      <c r="P248" t="s">
        <v>32</v>
      </c>
      <c r="Q248">
        <v>45622752</v>
      </c>
      <c r="R248">
        <v>0.76</v>
      </c>
      <c r="S248" t="s">
        <v>389</v>
      </c>
      <c r="T248" t="s">
        <v>223</v>
      </c>
      <c r="U248">
        <v>3.33</v>
      </c>
      <c r="V248">
        <v>15.56</v>
      </c>
      <c r="W248">
        <v>12442</v>
      </c>
      <c r="X248">
        <v>16886</v>
      </c>
      <c r="Y248">
        <v>0.74</v>
      </c>
      <c r="Z248">
        <v>21</v>
      </c>
      <c r="AA248">
        <v>283</v>
      </c>
      <c r="AB248" t="s">
        <v>32</v>
      </c>
      <c r="AC248">
        <v>4.54</v>
      </c>
    </row>
    <row r="249" spans="1:29">
      <c r="A249" t="str">
        <f>"000698"</f>
        <v>000698</v>
      </c>
      <c r="B249" t="s">
        <v>390</v>
      </c>
      <c r="C249">
        <v>1.63</v>
      </c>
      <c r="D249">
        <v>4.36</v>
      </c>
      <c r="E249">
        <v>0.07</v>
      </c>
      <c r="F249">
        <v>4.36</v>
      </c>
      <c r="G249">
        <v>4.37</v>
      </c>
      <c r="H249">
        <v>52898</v>
      </c>
      <c r="I249">
        <v>1592</v>
      </c>
      <c r="J249">
        <v>0.23</v>
      </c>
      <c r="K249">
        <v>1.22</v>
      </c>
      <c r="L249">
        <v>4.29</v>
      </c>
      <c r="M249">
        <v>4.38</v>
      </c>
      <c r="N249">
        <v>4.26</v>
      </c>
      <c r="O249">
        <v>4.29</v>
      </c>
      <c r="P249">
        <v>24.55</v>
      </c>
      <c r="Q249">
        <v>22886708</v>
      </c>
      <c r="R249">
        <v>1.6</v>
      </c>
      <c r="S249" t="s">
        <v>218</v>
      </c>
      <c r="T249" t="s">
        <v>111</v>
      </c>
      <c r="U249">
        <v>2.8</v>
      </c>
      <c r="V249">
        <v>4.33</v>
      </c>
      <c r="W249">
        <v>25094</v>
      </c>
      <c r="X249">
        <v>27803</v>
      </c>
      <c r="Y249">
        <v>0.9</v>
      </c>
      <c r="Z249">
        <v>8262</v>
      </c>
      <c r="AA249">
        <v>1385</v>
      </c>
      <c r="AB249" t="s">
        <v>32</v>
      </c>
      <c r="AC249">
        <v>4.32</v>
      </c>
    </row>
    <row r="250" spans="1:29">
      <c r="A250" t="str">
        <f>"000700"</f>
        <v>000700</v>
      </c>
      <c r="B250" t="s">
        <v>391</v>
      </c>
      <c r="C250">
        <v>2.47</v>
      </c>
      <c r="D250">
        <v>3.73</v>
      </c>
      <c r="E250">
        <v>0.09</v>
      </c>
      <c r="F250">
        <v>3.73</v>
      </c>
      <c r="G250">
        <v>3.74</v>
      </c>
      <c r="H250">
        <v>52165</v>
      </c>
      <c r="I250">
        <v>2707</v>
      </c>
      <c r="J250">
        <v>0.27</v>
      </c>
      <c r="K250">
        <v>0.75</v>
      </c>
      <c r="L250">
        <v>3.66</v>
      </c>
      <c r="M250">
        <v>3.73</v>
      </c>
      <c r="N250">
        <v>3.63</v>
      </c>
      <c r="O250">
        <v>3.64</v>
      </c>
      <c r="P250">
        <v>71.86</v>
      </c>
      <c r="Q250">
        <v>19266796</v>
      </c>
      <c r="R250">
        <v>2.03</v>
      </c>
      <c r="S250" t="s">
        <v>80</v>
      </c>
      <c r="T250" t="s">
        <v>87</v>
      </c>
      <c r="U250">
        <v>2.75</v>
      </c>
      <c r="V250">
        <v>3.69</v>
      </c>
      <c r="W250">
        <v>19945</v>
      </c>
      <c r="X250">
        <v>32219</v>
      </c>
      <c r="Y250">
        <v>0.62</v>
      </c>
      <c r="Z250">
        <v>847</v>
      </c>
      <c r="AA250">
        <v>1983</v>
      </c>
      <c r="AB250" t="s">
        <v>32</v>
      </c>
      <c r="AC250">
        <v>6.97</v>
      </c>
    </row>
    <row r="251" spans="1:29">
      <c r="A251" t="str">
        <f>"000701"</f>
        <v>000701</v>
      </c>
      <c r="B251" t="s">
        <v>392</v>
      </c>
      <c r="C251">
        <v>0</v>
      </c>
      <c r="D251">
        <v>7.49</v>
      </c>
      <c r="E251">
        <v>0</v>
      </c>
      <c r="F251">
        <v>7.49</v>
      </c>
      <c r="G251">
        <v>7.5</v>
      </c>
      <c r="H251">
        <v>65052</v>
      </c>
      <c r="I251">
        <v>1187</v>
      </c>
      <c r="J251">
        <v>0</v>
      </c>
      <c r="K251">
        <v>1.72</v>
      </c>
      <c r="L251">
        <v>7.45</v>
      </c>
      <c r="M251">
        <v>7.55</v>
      </c>
      <c r="N251">
        <v>7.34</v>
      </c>
      <c r="O251">
        <v>7.49</v>
      </c>
      <c r="P251">
        <v>24.94</v>
      </c>
      <c r="Q251">
        <v>48589764</v>
      </c>
      <c r="R251">
        <v>0.52</v>
      </c>
      <c r="S251" t="s">
        <v>47</v>
      </c>
      <c r="T251" t="s">
        <v>236</v>
      </c>
      <c r="U251">
        <v>2.8</v>
      </c>
      <c r="V251">
        <v>7.47</v>
      </c>
      <c r="W251">
        <v>35760</v>
      </c>
      <c r="X251">
        <v>29291</v>
      </c>
      <c r="Y251">
        <v>1.22</v>
      </c>
      <c r="Z251">
        <v>252</v>
      </c>
      <c r="AA251">
        <v>245</v>
      </c>
      <c r="AB251" t="s">
        <v>32</v>
      </c>
      <c r="AC251">
        <v>3.78</v>
      </c>
    </row>
    <row r="252" spans="1:29">
      <c r="A252" t="str">
        <f>"000702"</f>
        <v>000702</v>
      </c>
      <c r="B252" t="s">
        <v>393</v>
      </c>
      <c r="C252">
        <v>1.01</v>
      </c>
      <c r="D252">
        <v>5.98</v>
      </c>
      <c r="E252">
        <v>0.06</v>
      </c>
      <c r="F252">
        <v>5.98</v>
      </c>
      <c r="G252">
        <v>5.99</v>
      </c>
      <c r="H252">
        <v>30538</v>
      </c>
      <c r="I252">
        <v>122</v>
      </c>
      <c r="J252">
        <v>0</v>
      </c>
      <c r="K252">
        <v>1.15</v>
      </c>
      <c r="L252">
        <v>5.91</v>
      </c>
      <c r="M252">
        <v>6.04</v>
      </c>
      <c r="N252">
        <v>5.91</v>
      </c>
      <c r="O252">
        <v>5.92</v>
      </c>
      <c r="P252">
        <v>9.66</v>
      </c>
      <c r="Q252">
        <v>18297346</v>
      </c>
      <c r="R252">
        <v>1.12</v>
      </c>
      <c r="S252" t="s">
        <v>102</v>
      </c>
      <c r="T252" t="s">
        <v>152</v>
      </c>
      <c r="U252">
        <v>2.2</v>
      </c>
      <c r="V252">
        <v>5.99</v>
      </c>
      <c r="W252">
        <v>16993</v>
      </c>
      <c r="X252">
        <v>13545</v>
      </c>
      <c r="Y252">
        <v>1.25</v>
      </c>
      <c r="Z252">
        <v>789</v>
      </c>
      <c r="AA252">
        <v>177</v>
      </c>
      <c r="AB252" t="s">
        <v>32</v>
      </c>
      <c r="AC252">
        <v>2.67</v>
      </c>
    </row>
    <row r="253" spans="1:29">
      <c r="A253" t="str">
        <f>"000703"</f>
        <v>000703</v>
      </c>
      <c r="B253" t="s">
        <v>394</v>
      </c>
      <c r="C253">
        <v>6.98</v>
      </c>
      <c r="D253">
        <v>16.56</v>
      </c>
      <c r="E253">
        <v>1.08</v>
      </c>
      <c r="F253">
        <v>16.55</v>
      </c>
      <c r="G253">
        <v>16.56</v>
      </c>
      <c r="H253">
        <v>411444</v>
      </c>
      <c r="I253">
        <v>2013</v>
      </c>
      <c r="J253">
        <v>-0.41</v>
      </c>
      <c r="K253">
        <v>1.98</v>
      </c>
      <c r="L253">
        <v>15.85</v>
      </c>
      <c r="M253">
        <v>16.91</v>
      </c>
      <c r="N253">
        <v>15.85</v>
      </c>
      <c r="O253">
        <v>15.48</v>
      </c>
      <c r="P253">
        <v>13.61</v>
      </c>
      <c r="Q253">
        <v>677987712</v>
      </c>
      <c r="R253">
        <v>4.1</v>
      </c>
      <c r="S253" t="s">
        <v>190</v>
      </c>
      <c r="T253" t="s">
        <v>238</v>
      </c>
      <c r="U253">
        <v>6.85</v>
      </c>
      <c r="V253">
        <v>16.48</v>
      </c>
      <c r="W253">
        <v>173200</v>
      </c>
      <c r="X253">
        <v>238243</v>
      </c>
      <c r="Y253">
        <v>0.73</v>
      </c>
      <c r="Z253">
        <v>92</v>
      </c>
      <c r="AA253">
        <v>56</v>
      </c>
      <c r="AB253" t="s">
        <v>32</v>
      </c>
      <c r="AC253">
        <v>20.78</v>
      </c>
    </row>
    <row r="254" spans="1:29">
      <c r="A254" t="str">
        <f>"000705"</f>
        <v>000705</v>
      </c>
      <c r="B254" t="s">
        <v>395</v>
      </c>
      <c r="C254">
        <v>1.86</v>
      </c>
      <c r="D254">
        <v>6.58</v>
      </c>
      <c r="E254">
        <v>0.12</v>
      </c>
      <c r="F254">
        <v>6.57</v>
      </c>
      <c r="G254">
        <v>6.58</v>
      </c>
      <c r="H254">
        <v>27263</v>
      </c>
      <c r="I254">
        <v>649</v>
      </c>
      <c r="J254">
        <v>0.15</v>
      </c>
      <c r="K254">
        <v>0.97</v>
      </c>
      <c r="L254">
        <v>6.42</v>
      </c>
      <c r="M254">
        <v>6.62</v>
      </c>
      <c r="N254">
        <v>6.4</v>
      </c>
      <c r="O254">
        <v>6.46</v>
      </c>
      <c r="P254">
        <v>37.93</v>
      </c>
      <c r="Q254">
        <v>17842340</v>
      </c>
      <c r="R254">
        <v>1.6</v>
      </c>
      <c r="S254" t="s">
        <v>77</v>
      </c>
      <c r="T254" t="s">
        <v>149</v>
      </c>
      <c r="U254">
        <v>3.41</v>
      </c>
      <c r="V254">
        <v>6.54</v>
      </c>
      <c r="W254">
        <v>11070</v>
      </c>
      <c r="X254">
        <v>16192</v>
      </c>
      <c r="Y254">
        <v>0.68</v>
      </c>
      <c r="Z254">
        <v>192</v>
      </c>
      <c r="AA254">
        <v>163</v>
      </c>
      <c r="AB254" t="s">
        <v>32</v>
      </c>
      <c r="AC254">
        <v>2.82</v>
      </c>
    </row>
    <row r="255" spans="1:29">
      <c r="A255" t="str">
        <f>"000707"</f>
        <v>000707</v>
      </c>
      <c r="B255" t="s">
        <v>396</v>
      </c>
      <c r="C255">
        <v>0</v>
      </c>
      <c r="D255">
        <v>2.92</v>
      </c>
      <c r="E255">
        <v>0</v>
      </c>
      <c r="F255">
        <v>2.91</v>
      </c>
      <c r="G255">
        <v>2.92</v>
      </c>
      <c r="H255">
        <v>48332</v>
      </c>
      <c r="I255">
        <v>708</v>
      </c>
      <c r="J255">
        <v>0.34</v>
      </c>
      <c r="K255">
        <v>1.04</v>
      </c>
      <c r="L255">
        <v>2.94</v>
      </c>
      <c r="M255">
        <v>2.95</v>
      </c>
      <c r="N255">
        <v>2.89</v>
      </c>
      <c r="O255">
        <v>2.92</v>
      </c>
      <c r="P255" t="s">
        <v>32</v>
      </c>
      <c r="Q255">
        <v>14111513</v>
      </c>
      <c r="R255">
        <v>0.48</v>
      </c>
      <c r="S255" t="s">
        <v>218</v>
      </c>
      <c r="T255" t="s">
        <v>193</v>
      </c>
      <c r="U255">
        <v>2.05</v>
      </c>
      <c r="V255">
        <v>2.92</v>
      </c>
      <c r="W255">
        <v>29434</v>
      </c>
      <c r="X255">
        <v>18897</v>
      </c>
      <c r="Y255">
        <v>1.56</v>
      </c>
      <c r="Z255">
        <v>922</v>
      </c>
      <c r="AA255">
        <v>279</v>
      </c>
      <c r="AB255" t="s">
        <v>32</v>
      </c>
      <c r="AC255">
        <v>4.64</v>
      </c>
    </row>
    <row r="256" spans="1:29">
      <c r="A256" t="str">
        <f>"000708"</f>
        <v>000708</v>
      </c>
      <c r="B256" t="s">
        <v>397</v>
      </c>
      <c r="C256">
        <v>3.14</v>
      </c>
      <c r="D256">
        <v>9.19</v>
      </c>
      <c r="E256">
        <v>0.28</v>
      </c>
      <c r="F256">
        <v>9.18</v>
      </c>
      <c r="G256">
        <v>9.19</v>
      </c>
      <c r="H256">
        <v>54284</v>
      </c>
      <c r="I256">
        <v>229</v>
      </c>
      <c r="J256">
        <v>-0.21</v>
      </c>
      <c r="K256">
        <v>1.21</v>
      </c>
      <c r="L256">
        <v>8.96</v>
      </c>
      <c r="M256">
        <v>9.38</v>
      </c>
      <c r="N256">
        <v>8.96</v>
      </c>
      <c r="O256">
        <v>8.91</v>
      </c>
      <c r="P256">
        <v>11.4</v>
      </c>
      <c r="Q256">
        <v>49843796</v>
      </c>
      <c r="R256">
        <v>2.43</v>
      </c>
      <c r="S256" t="s">
        <v>398</v>
      </c>
      <c r="T256" t="s">
        <v>193</v>
      </c>
      <c r="U256">
        <v>4.71</v>
      </c>
      <c r="V256">
        <v>9.18</v>
      </c>
      <c r="W256">
        <v>27828</v>
      </c>
      <c r="X256">
        <v>26456</v>
      </c>
      <c r="Y256">
        <v>1.05</v>
      </c>
      <c r="Z256">
        <v>110</v>
      </c>
      <c r="AA256">
        <v>452</v>
      </c>
      <c r="AB256" t="s">
        <v>32</v>
      </c>
      <c r="AC256">
        <v>4.49</v>
      </c>
    </row>
    <row r="257" spans="1:29">
      <c r="A257" t="str">
        <f>"000709"</f>
        <v>000709</v>
      </c>
      <c r="B257" t="s">
        <v>399</v>
      </c>
      <c r="C257">
        <v>2.11</v>
      </c>
      <c r="D257">
        <v>2.91</v>
      </c>
      <c r="E257">
        <v>0.06</v>
      </c>
      <c r="F257">
        <v>2.9</v>
      </c>
      <c r="G257">
        <v>2.91</v>
      </c>
      <c r="H257">
        <v>967705</v>
      </c>
      <c r="I257">
        <v>13337</v>
      </c>
      <c r="J257">
        <v>0</v>
      </c>
      <c r="K257">
        <v>0.91</v>
      </c>
      <c r="L257">
        <v>2.86</v>
      </c>
      <c r="M257">
        <v>2.95</v>
      </c>
      <c r="N257">
        <v>2.85</v>
      </c>
      <c r="O257">
        <v>2.85</v>
      </c>
      <c r="P257">
        <v>20.72</v>
      </c>
      <c r="Q257">
        <v>282336512</v>
      </c>
      <c r="R257">
        <v>2.7</v>
      </c>
      <c r="S257" t="s">
        <v>353</v>
      </c>
      <c r="T257" t="s">
        <v>154</v>
      </c>
      <c r="U257">
        <v>3.51</v>
      </c>
      <c r="V257">
        <v>2.92</v>
      </c>
      <c r="W257">
        <v>394000</v>
      </c>
      <c r="X257">
        <v>573704</v>
      </c>
      <c r="Y257">
        <v>0.69</v>
      </c>
      <c r="Z257">
        <v>40295</v>
      </c>
      <c r="AA257">
        <v>13543</v>
      </c>
      <c r="AB257" t="s">
        <v>32</v>
      </c>
      <c r="AC257">
        <v>106.17</v>
      </c>
    </row>
    <row r="258" spans="1:29">
      <c r="A258" t="str">
        <f>"000710"</f>
        <v>000710</v>
      </c>
      <c r="B258" t="s">
        <v>400</v>
      </c>
      <c r="C258">
        <v>4.24</v>
      </c>
      <c r="D258">
        <v>47.67</v>
      </c>
      <c r="E258">
        <v>1.94</v>
      </c>
      <c r="F258">
        <v>47.67</v>
      </c>
      <c r="G258">
        <v>47.68</v>
      </c>
      <c r="H258">
        <v>17280</v>
      </c>
      <c r="I258">
        <v>328</v>
      </c>
      <c r="J258">
        <v>0</v>
      </c>
      <c r="K258">
        <v>2.78</v>
      </c>
      <c r="L258">
        <v>45.6</v>
      </c>
      <c r="M258">
        <v>47.94</v>
      </c>
      <c r="N258">
        <v>45.1</v>
      </c>
      <c r="O258">
        <v>45.73</v>
      </c>
      <c r="P258">
        <v>64.36</v>
      </c>
      <c r="Q258">
        <v>81355432</v>
      </c>
      <c r="R258">
        <v>1.14</v>
      </c>
      <c r="S258" t="s">
        <v>138</v>
      </c>
      <c r="T258" t="s">
        <v>146</v>
      </c>
      <c r="U258">
        <v>6.21</v>
      </c>
      <c r="V258">
        <v>47.08</v>
      </c>
      <c r="W258">
        <v>6908</v>
      </c>
      <c r="X258">
        <v>10372</v>
      </c>
      <c r="Y258">
        <v>0.67</v>
      </c>
      <c r="Z258">
        <v>67</v>
      </c>
      <c r="AA258">
        <v>63</v>
      </c>
      <c r="AB258" t="s">
        <v>32</v>
      </c>
      <c r="AC258">
        <v>0.62</v>
      </c>
    </row>
    <row r="259" spans="1:29">
      <c r="A259" t="str">
        <f>"000711"</f>
        <v>000711</v>
      </c>
      <c r="B259" t="s">
        <v>401</v>
      </c>
      <c r="C259" t="s">
        <v>32</v>
      </c>
      <c r="D259">
        <v>10.02</v>
      </c>
      <c r="E259" t="s">
        <v>32</v>
      </c>
      <c r="F259" t="s">
        <v>32</v>
      </c>
      <c r="G259" t="s">
        <v>32</v>
      </c>
      <c r="H259">
        <v>0</v>
      </c>
      <c r="I259">
        <v>0</v>
      </c>
      <c r="J259" t="s">
        <v>32</v>
      </c>
      <c r="K259">
        <v>0</v>
      </c>
      <c r="L259" t="s">
        <v>32</v>
      </c>
      <c r="M259" t="s">
        <v>32</v>
      </c>
      <c r="N259" t="s">
        <v>32</v>
      </c>
      <c r="O259">
        <v>10.02</v>
      </c>
      <c r="P259" t="s">
        <v>32</v>
      </c>
      <c r="Q259">
        <v>0</v>
      </c>
      <c r="R259">
        <v>0</v>
      </c>
      <c r="S259" t="s">
        <v>270</v>
      </c>
      <c r="T259" t="s">
        <v>297</v>
      </c>
      <c r="U259">
        <v>0</v>
      </c>
      <c r="V259">
        <v>10.02</v>
      </c>
      <c r="W259">
        <v>0</v>
      </c>
      <c r="X259">
        <v>0</v>
      </c>
      <c r="Y259" t="s">
        <v>32</v>
      </c>
      <c r="Z259">
        <v>0</v>
      </c>
      <c r="AA259">
        <v>0</v>
      </c>
      <c r="AB259" t="s">
        <v>32</v>
      </c>
      <c r="AC259">
        <v>4.05</v>
      </c>
    </row>
    <row r="260" spans="1:29">
      <c r="A260" t="str">
        <f>"000712"</f>
        <v>000712</v>
      </c>
      <c r="B260" t="s">
        <v>402</v>
      </c>
      <c r="C260">
        <v>3.01</v>
      </c>
      <c r="D260">
        <v>9.92</v>
      </c>
      <c r="E260">
        <v>0.29</v>
      </c>
      <c r="F260">
        <v>9.91</v>
      </c>
      <c r="G260">
        <v>9.92</v>
      </c>
      <c r="H260">
        <v>106564</v>
      </c>
      <c r="I260">
        <v>1315</v>
      </c>
      <c r="J260">
        <v>0.51</v>
      </c>
      <c r="K260">
        <v>1.19</v>
      </c>
      <c r="L260">
        <v>9.63</v>
      </c>
      <c r="M260">
        <v>10.09</v>
      </c>
      <c r="N260">
        <v>9.57</v>
      </c>
      <c r="O260">
        <v>9.63</v>
      </c>
      <c r="P260">
        <v>59.52</v>
      </c>
      <c r="Q260">
        <v>105237080</v>
      </c>
      <c r="R260">
        <v>2.2</v>
      </c>
      <c r="S260" t="s">
        <v>158</v>
      </c>
      <c r="T260" t="s">
        <v>136</v>
      </c>
      <c r="U260">
        <v>5.4</v>
      </c>
      <c r="V260">
        <v>9.88</v>
      </c>
      <c r="W260">
        <v>47542</v>
      </c>
      <c r="X260">
        <v>59021</v>
      </c>
      <c r="Y260">
        <v>0.81</v>
      </c>
      <c r="Z260">
        <v>145</v>
      </c>
      <c r="AA260">
        <v>733</v>
      </c>
      <c r="AB260" t="s">
        <v>32</v>
      </c>
      <c r="AC260">
        <v>8.95</v>
      </c>
    </row>
    <row r="261" spans="1:29">
      <c r="A261" t="str">
        <f>"000713"</f>
        <v>000713</v>
      </c>
      <c r="B261" t="s">
        <v>403</v>
      </c>
      <c r="C261">
        <v>0.87</v>
      </c>
      <c r="D261">
        <v>6.99</v>
      </c>
      <c r="E261">
        <v>0.06</v>
      </c>
      <c r="F261">
        <v>6.99</v>
      </c>
      <c r="G261">
        <v>7</v>
      </c>
      <c r="H261">
        <v>121341</v>
      </c>
      <c r="I261">
        <v>2190</v>
      </c>
      <c r="J261">
        <v>0.29</v>
      </c>
      <c r="K261">
        <v>4.06</v>
      </c>
      <c r="L261">
        <v>6.9</v>
      </c>
      <c r="M261">
        <v>7.05</v>
      </c>
      <c r="N261">
        <v>6.82</v>
      </c>
      <c r="O261">
        <v>6.93</v>
      </c>
      <c r="P261">
        <v>33.77</v>
      </c>
      <c r="Q261">
        <v>84031704</v>
      </c>
      <c r="R261">
        <v>1.07</v>
      </c>
      <c r="S261" t="s">
        <v>404</v>
      </c>
      <c r="T261" t="s">
        <v>143</v>
      </c>
      <c r="U261">
        <v>3.32</v>
      </c>
      <c r="V261">
        <v>6.93</v>
      </c>
      <c r="W261">
        <v>62825</v>
      </c>
      <c r="X261">
        <v>58516</v>
      </c>
      <c r="Y261">
        <v>1.07</v>
      </c>
      <c r="Z261">
        <v>275</v>
      </c>
      <c r="AA261">
        <v>1215</v>
      </c>
      <c r="AB261" t="s">
        <v>32</v>
      </c>
      <c r="AC261">
        <v>2.99</v>
      </c>
    </row>
    <row r="262" spans="1:29">
      <c r="A262" t="str">
        <f>"000715"</f>
        <v>000715</v>
      </c>
      <c r="B262" t="s">
        <v>405</v>
      </c>
      <c r="C262">
        <v>3.12</v>
      </c>
      <c r="D262">
        <v>6.62</v>
      </c>
      <c r="E262">
        <v>0.2</v>
      </c>
      <c r="F262">
        <v>6.6</v>
      </c>
      <c r="G262">
        <v>6.62</v>
      </c>
      <c r="H262">
        <v>20623</v>
      </c>
      <c r="I262">
        <v>1332</v>
      </c>
      <c r="J262">
        <v>0.61</v>
      </c>
      <c r="K262">
        <v>0.74</v>
      </c>
      <c r="L262">
        <v>6.42</v>
      </c>
      <c r="M262">
        <v>6.64</v>
      </c>
      <c r="N262">
        <v>6.38</v>
      </c>
      <c r="O262">
        <v>6.42</v>
      </c>
      <c r="P262">
        <v>27.06</v>
      </c>
      <c r="Q262">
        <v>13423143</v>
      </c>
      <c r="R262">
        <v>1.43</v>
      </c>
      <c r="S262" t="s">
        <v>186</v>
      </c>
      <c r="T262" t="s">
        <v>111</v>
      </c>
      <c r="U262">
        <v>4.05</v>
      </c>
      <c r="V262">
        <v>6.51</v>
      </c>
      <c r="W262">
        <v>7706</v>
      </c>
      <c r="X262">
        <v>12917</v>
      </c>
      <c r="Y262">
        <v>0.6</v>
      </c>
      <c r="Z262">
        <v>5</v>
      </c>
      <c r="AA262">
        <v>1175</v>
      </c>
      <c r="AB262" t="s">
        <v>32</v>
      </c>
      <c r="AC262">
        <v>2.79</v>
      </c>
    </row>
    <row r="263" spans="1:29">
      <c r="A263" t="str">
        <f>"000716"</f>
        <v>000716</v>
      </c>
      <c r="B263" t="s">
        <v>406</v>
      </c>
      <c r="C263">
        <v>2.84</v>
      </c>
      <c r="D263">
        <v>3.62</v>
      </c>
      <c r="E263">
        <v>0.1</v>
      </c>
      <c r="F263">
        <v>3.61</v>
      </c>
      <c r="G263">
        <v>3.62</v>
      </c>
      <c r="H263">
        <v>72710</v>
      </c>
      <c r="I263">
        <v>4098</v>
      </c>
      <c r="J263">
        <v>0</v>
      </c>
      <c r="K263">
        <v>1.24</v>
      </c>
      <c r="L263">
        <v>3.5</v>
      </c>
      <c r="M263">
        <v>3.62</v>
      </c>
      <c r="N263">
        <v>3.5</v>
      </c>
      <c r="O263">
        <v>3.52</v>
      </c>
      <c r="P263">
        <v>50.69</v>
      </c>
      <c r="Q263">
        <v>26039210</v>
      </c>
      <c r="R263">
        <v>1.81</v>
      </c>
      <c r="S263" t="s">
        <v>213</v>
      </c>
      <c r="T263" t="s">
        <v>238</v>
      </c>
      <c r="U263">
        <v>3.41</v>
      </c>
      <c r="V263">
        <v>3.58</v>
      </c>
      <c r="W263">
        <v>31457</v>
      </c>
      <c r="X263">
        <v>41252</v>
      </c>
      <c r="Y263">
        <v>0.76</v>
      </c>
      <c r="Z263">
        <v>2518</v>
      </c>
      <c r="AA263">
        <v>132</v>
      </c>
      <c r="AB263" t="s">
        <v>32</v>
      </c>
      <c r="AC263">
        <v>5.88</v>
      </c>
    </row>
    <row r="264" spans="1:29">
      <c r="A264" t="str">
        <f>"000717"</f>
        <v>000717</v>
      </c>
      <c r="B264" t="s">
        <v>407</v>
      </c>
      <c r="C264">
        <v>6.59</v>
      </c>
      <c r="D264">
        <v>7.28</v>
      </c>
      <c r="E264">
        <v>0.45</v>
      </c>
      <c r="F264">
        <v>7.28</v>
      </c>
      <c r="G264">
        <v>7.29</v>
      </c>
      <c r="H264">
        <v>1419383</v>
      </c>
      <c r="I264">
        <v>8514</v>
      </c>
      <c r="J264">
        <v>0.14</v>
      </c>
      <c r="K264">
        <v>5.87</v>
      </c>
      <c r="L264">
        <v>7.2</v>
      </c>
      <c r="M264">
        <v>7.51</v>
      </c>
      <c r="N264">
        <v>7.2</v>
      </c>
      <c r="O264">
        <v>6.83</v>
      </c>
      <c r="P264">
        <v>5.13</v>
      </c>
      <c r="Q264">
        <v>1051678784</v>
      </c>
      <c r="R264">
        <v>3.44</v>
      </c>
      <c r="S264" t="s">
        <v>353</v>
      </c>
      <c r="T264" t="s">
        <v>136</v>
      </c>
      <c r="U264">
        <v>4.54</v>
      </c>
      <c r="V264">
        <v>7.41</v>
      </c>
      <c r="W264">
        <v>918401</v>
      </c>
      <c r="X264">
        <v>500981</v>
      </c>
      <c r="Y264">
        <v>1.83</v>
      </c>
      <c r="Z264">
        <v>2318</v>
      </c>
      <c r="AA264">
        <v>3153</v>
      </c>
      <c r="AB264" t="s">
        <v>32</v>
      </c>
      <c r="AC264">
        <v>24.2</v>
      </c>
    </row>
    <row r="265" spans="1:29">
      <c r="A265" t="str">
        <f>"000718"</f>
        <v>000718</v>
      </c>
      <c r="B265" t="s">
        <v>408</v>
      </c>
      <c r="C265">
        <v>1.96</v>
      </c>
      <c r="D265">
        <v>3.65</v>
      </c>
      <c r="E265">
        <v>0.07</v>
      </c>
      <c r="F265">
        <v>3.64</v>
      </c>
      <c r="G265">
        <v>3.65</v>
      </c>
      <c r="H265">
        <v>142609</v>
      </c>
      <c r="I265">
        <v>1811</v>
      </c>
      <c r="J265">
        <v>0.27</v>
      </c>
      <c r="K265">
        <v>0.62</v>
      </c>
      <c r="L265">
        <v>3.57</v>
      </c>
      <c r="M265">
        <v>3.67</v>
      </c>
      <c r="N265">
        <v>3.56</v>
      </c>
      <c r="O265">
        <v>3.58</v>
      </c>
      <c r="P265">
        <v>10.19</v>
      </c>
      <c r="Q265">
        <v>51914864</v>
      </c>
      <c r="R265">
        <v>2.32</v>
      </c>
      <c r="S265" t="s">
        <v>40</v>
      </c>
      <c r="T265" t="s">
        <v>81</v>
      </c>
      <c r="U265">
        <v>3.07</v>
      </c>
      <c r="V265">
        <v>3.64</v>
      </c>
      <c r="W265">
        <v>55269</v>
      </c>
      <c r="X265">
        <v>87340</v>
      </c>
      <c r="Y265">
        <v>0.63</v>
      </c>
      <c r="Z265">
        <v>3252</v>
      </c>
      <c r="AA265">
        <v>1116</v>
      </c>
      <c r="AB265" t="s">
        <v>32</v>
      </c>
      <c r="AC265">
        <v>22.89</v>
      </c>
    </row>
    <row r="266" spans="1:29">
      <c r="A266" t="str">
        <f>"000719"</f>
        <v>000719</v>
      </c>
      <c r="B266" t="s">
        <v>409</v>
      </c>
      <c r="C266">
        <v>2.46</v>
      </c>
      <c r="D266">
        <v>7.08</v>
      </c>
      <c r="E266">
        <v>0.17</v>
      </c>
      <c r="F266">
        <v>7.07</v>
      </c>
      <c r="G266">
        <v>7.08</v>
      </c>
      <c r="H266">
        <v>38192</v>
      </c>
      <c r="I266">
        <v>1861</v>
      </c>
      <c r="J266">
        <v>0.57</v>
      </c>
      <c r="K266">
        <v>0.57</v>
      </c>
      <c r="L266">
        <v>6.92</v>
      </c>
      <c r="M266">
        <v>7.16</v>
      </c>
      <c r="N266">
        <v>6.88</v>
      </c>
      <c r="O266">
        <v>6.91</v>
      </c>
      <c r="P266">
        <v>23.38</v>
      </c>
      <c r="Q266">
        <v>26826370</v>
      </c>
      <c r="R266">
        <v>1.79</v>
      </c>
      <c r="S266" t="s">
        <v>211</v>
      </c>
      <c r="T266" t="s">
        <v>164</v>
      </c>
      <c r="U266">
        <v>4.05</v>
      </c>
      <c r="V266">
        <v>7.02</v>
      </c>
      <c r="W266">
        <v>20261</v>
      </c>
      <c r="X266">
        <v>17931</v>
      </c>
      <c r="Y266">
        <v>1.13</v>
      </c>
      <c r="Z266">
        <v>50</v>
      </c>
      <c r="AA266">
        <v>102</v>
      </c>
      <c r="AB266" t="s">
        <v>32</v>
      </c>
      <c r="AC266">
        <v>6.67</v>
      </c>
    </row>
    <row r="267" spans="1:29">
      <c r="A267" t="str">
        <f>"000720"</f>
        <v>000720</v>
      </c>
      <c r="B267" t="s">
        <v>410</v>
      </c>
      <c r="C267">
        <v>5.13</v>
      </c>
      <c r="D267">
        <v>3.69</v>
      </c>
      <c r="E267">
        <v>0.18</v>
      </c>
      <c r="F267">
        <v>3.69</v>
      </c>
      <c r="G267" t="s">
        <v>32</v>
      </c>
      <c r="H267">
        <v>82464</v>
      </c>
      <c r="I267">
        <v>204</v>
      </c>
      <c r="J267">
        <v>0</v>
      </c>
      <c r="K267">
        <v>0.96</v>
      </c>
      <c r="L267">
        <v>3.53</v>
      </c>
      <c r="M267">
        <v>3.69</v>
      </c>
      <c r="N267">
        <v>3.51</v>
      </c>
      <c r="O267">
        <v>3.51</v>
      </c>
      <c r="P267">
        <v>2.05</v>
      </c>
      <c r="Q267">
        <v>29772882</v>
      </c>
      <c r="R267">
        <v>3.1</v>
      </c>
      <c r="S267" t="s">
        <v>75</v>
      </c>
      <c r="T267" t="s">
        <v>162</v>
      </c>
      <c r="U267">
        <v>5.13</v>
      </c>
      <c r="V267">
        <v>3.61</v>
      </c>
      <c r="W267">
        <v>41583</v>
      </c>
      <c r="X267">
        <v>40880</v>
      </c>
      <c r="Y267">
        <v>1.02</v>
      </c>
      <c r="Z267">
        <v>4163</v>
      </c>
      <c r="AA267">
        <v>0</v>
      </c>
      <c r="AB267" t="s">
        <v>32</v>
      </c>
      <c r="AC267">
        <v>8.63</v>
      </c>
    </row>
    <row r="268" spans="1:29">
      <c r="A268" t="str">
        <f>"000721"</f>
        <v>000721</v>
      </c>
      <c r="B268" t="s">
        <v>411</v>
      </c>
      <c r="C268">
        <v>10.02</v>
      </c>
      <c r="D268">
        <v>4.94</v>
      </c>
      <c r="E268">
        <v>0.45</v>
      </c>
      <c r="F268">
        <v>4.94</v>
      </c>
      <c r="G268" t="s">
        <v>32</v>
      </c>
      <c r="H268">
        <v>245743</v>
      </c>
      <c r="I268">
        <v>311</v>
      </c>
      <c r="J268">
        <v>0</v>
      </c>
      <c r="K268">
        <v>5.64</v>
      </c>
      <c r="L268">
        <v>4.78</v>
      </c>
      <c r="M268">
        <v>4.94</v>
      </c>
      <c r="N268">
        <v>4.68</v>
      </c>
      <c r="O268">
        <v>4.49</v>
      </c>
      <c r="P268" t="s">
        <v>32</v>
      </c>
      <c r="Q268">
        <v>118867776</v>
      </c>
      <c r="R268">
        <v>4.92</v>
      </c>
      <c r="S268" t="s">
        <v>42</v>
      </c>
      <c r="T268" t="s">
        <v>223</v>
      </c>
      <c r="U268">
        <v>5.79</v>
      </c>
      <c r="V268">
        <v>4.84</v>
      </c>
      <c r="W268">
        <v>89804</v>
      </c>
      <c r="X268">
        <v>155939</v>
      </c>
      <c r="Y268">
        <v>0.58</v>
      </c>
      <c r="Z268">
        <v>64711</v>
      </c>
      <c r="AA268">
        <v>0</v>
      </c>
      <c r="AB268" t="s">
        <v>32</v>
      </c>
      <c r="AC268">
        <v>4.36</v>
      </c>
    </row>
    <row r="269" spans="1:29">
      <c r="A269" t="str">
        <f>"000722"</f>
        <v>000722</v>
      </c>
      <c r="B269" t="s">
        <v>412</v>
      </c>
      <c r="C269">
        <v>3.99</v>
      </c>
      <c r="D269">
        <v>5.99</v>
      </c>
      <c r="E269">
        <v>0.23</v>
      </c>
      <c r="F269">
        <v>5.99</v>
      </c>
      <c r="G269">
        <v>6</v>
      </c>
      <c r="H269">
        <v>105568</v>
      </c>
      <c r="I269">
        <v>1597</v>
      </c>
      <c r="J269">
        <v>-0.16</v>
      </c>
      <c r="K269">
        <v>2.27</v>
      </c>
      <c r="L269">
        <v>5.73</v>
      </c>
      <c r="M269">
        <v>6.02</v>
      </c>
      <c r="N269">
        <v>5.73</v>
      </c>
      <c r="O269">
        <v>5.76</v>
      </c>
      <c r="P269">
        <v>35.81</v>
      </c>
      <c r="Q269">
        <v>61911540</v>
      </c>
      <c r="R269">
        <v>3.03</v>
      </c>
      <c r="S269" t="s">
        <v>312</v>
      </c>
      <c r="T269" t="s">
        <v>152</v>
      </c>
      <c r="U269">
        <v>5.03</v>
      </c>
      <c r="V269">
        <v>5.86</v>
      </c>
      <c r="W269">
        <v>46344</v>
      </c>
      <c r="X269">
        <v>59223</v>
      </c>
      <c r="Y269">
        <v>0.78</v>
      </c>
      <c r="Z269">
        <v>1030</v>
      </c>
      <c r="AA269">
        <v>1302</v>
      </c>
      <c r="AB269" t="s">
        <v>32</v>
      </c>
      <c r="AC269">
        <v>4.64</v>
      </c>
    </row>
    <row r="270" spans="1:29">
      <c r="A270" t="str">
        <f>"000723"</f>
        <v>000723</v>
      </c>
      <c r="B270" t="s">
        <v>413</v>
      </c>
      <c r="C270" t="s">
        <v>32</v>
      </c>
      <c r="D270">
        <v>5.43</v>
      </c>
      <c r="E270" t="s">
        <v>32</v>
      </c>
      <c r="F270" t="s">
        <v>32</v>
      </c>
      <c r="G270" t="s">
        <v>32</v>
      </c>
      <c r="H270">
        <v>0</v>
      </c>
      <c r="I270">
        <v>0</v>
      </c>
      <c r="J270" t="s">
        <v>32</v>
      </c>
      <c r="K270">
        <v>0</v>
      </c>
      <c r="L270" t="s">
        <v>32</v>
      </c>
      <c r="M270" t="s">
        <v>32</v>
      </c>
      <c r="N270" t="s">
        <v>32</v>
      </c>
      <c r="O270">
        <v>5.43</v>
      </c>
      <c r="P270">
        <v>17.92</v>
      </c>
      <c r="Q270">
        <v>0</v>
      </c>
      <c r="R270">
        <v>0</v>
      </c>
      <c r="S270" t="s">
        <v>414</v>
      </c>
      <c r="T270" t="s">
        <v>169</v>
      </c>
      <c r="U270">
        <v>0</v>
      </c>
      <c r="V270">
        <v>5.43</v>
      </c>
      <c r="W270">
        <v>0</v>
      </c>
      <c r="X270">
        <v>0</v>
      </c>
      <c r="Y270" t="s">
        <v>32</v>
      </c>
      <c r="Z270">
        <v>0</v>
      </c>
      <c r="AA270">
        <v>0</v>
      </c>
      <c r="AB270" t="s">
        <v>32</v>
      </c>
      <c r="AC270">
        <v>10.81</v>
      </c>
    </row>
    <row r="271" spans="1:29">
      <c r="A271" t="str">
        <f>"000725"</f>
        <v>000725</v>
      </c>
      <c r="B271" t="s">
        <v>415</v>
      </c>
      <c r="C271">
        <v>5.23</v>
      </c>
      <c r="D271">
        <v>3.82</v>
      </c>
      <c r="E271">
        <v>0.19</v>
      </c>
      <c r="F271">
        <v>3.81</v>
      </c>
      <c r="G271">
        <v>3.82</v>
      </c>
      <c r="H271">
        <v>11207657</v>
      </c>
      <c r="I271">
        <v>106452</v>
      </c>
      <c r="J271">
        <v>0.26</v>
      </c>
      <c r="K271">
        <v>3.31</v>
      </c>
      <c r="L271">
        <v>3.66</v>
      </c>
      <c r="M271">
        <v>3.87</v>
      </c>
      <c r="N271">
        <v>3.63</v>
      </c>
      <c r="O271">
        <v>3.63</v>
      </c>
      <c r="P271">
        <v>16.46</v>
      </c>
      <c r="Q271">
        <v>4227055872</v>
      </c>
      <c r="R271">
        <v>2.41</v>
      </c>
      <c r="S271" t="s">
        <v>63</v>
      </c>
      <c r="T271" t="s">
        <v>45</v>
      </c>
      <c r="U271">
        <v>6.61</v>
      </c>
      <c r="V271">
        <v>3.77</v>
      </c>
      <c r="W271">
        <v>4562157</v>
      </c>
      <c r="X271">
        <v>6645499</v>
      </c>
      <c r="Y271">
        <v>0.69</v>
      </c>
      <c r="Z271">
        <v>52830</v>
      </c>
      <c r="AA271">
        <v>7673</v>
      </c>
      <c r="AB271" t="s">
        <v>32</v>
      </c>
      <c r="AC271">
        <v>338.6</v>
      </c>
    </row>
    <row r="272" spans="1:29">
      <c r="A272" t="str">
        <f>"000726"</f>
        <v>000726</v>
      </c>
      <c r="B272" t="s">
        <v>416</v>
      </c>
      <c r="C272">
        <v>1.64</v>
      </c>
      <c r="D272">
        <v>10.53</v>
      </c>
      <c r="E272">
        <v>0.17</v>
      </c>
      <c r="F272">
        <v>10.53</v>
      </c>
      <c r="G272">
        <v>10.54</v>
      </c>
      <c r="H272">
        <v>68699</v>
      </c>
      <c r="I272">
        <v>771</v>
      </c>
      <c r="J272">
        <v>-0.37</v>
      </c>
      <c r="K272">
        <v>1.22</v>
      </c>
      <c r="L272">
        <v>10.45</v>
      </c>
      <c r="M272">
        <v>10.77</v>
      </c>
      <c r="N272">
        <v>10.41</v>
      </c>
      <c r="O272">
        <v>10.36</v>
      </c>
      <c r="P272">
        <v>15.25</v>
      </c>
      <c r="Q272">
        <v>72759456</v>
      </c>
      <c r="R272">
        <v>1.48</v>
      </c>
      <c r="S272" t="s">
        <v>99</v>
      </c>
      <c r="T272" t="s">
        <v>162</v>
      </c>
      <c r="U272">
        <v>3.47</v>
      </c>
      <c r="V272">
        <v>10.59</v>
      </c>
      <c r="W272">
        <v>36359</v>
      </c>
      <c r="X272">
        <v>32340</v>
      </c>
      <c r="Y272">
        <v>1.12</v>
      </c>
      <c r="Z272">
        <v>510</v>
      </c>
      <c r="AA272">
        <v>16</v>
      </c>
      <c r="AB272" t="s">
        <v>32</v>
      </c>
      <c r="AC272">
        <v>5.61</v>
      </c>
    </row>
    <row r="273" spans="1:29">
      <c r="A273" t="str">
        <f>"000727"</f>
        <v>000727</v>
      </c>
      <c r="B273" t="s">
        <v>417</v>
      </c>
      <c r="C273">
        <v>1.64</v>
      </c>
      <c r="D273">
        <v>1.86</v>
      </c>
      <c r="E273">
        <v>0.03</v>
      </c>
      <c r="F273">
        <v>1.86</v>
      </c>
      <c r="G273">
        <v>1.87</v>
      </c>
      <c r="H273">
        <v>285074</v>
      </c>
      <c r="I273">
        <v>2915</v>
      </c>
      <c r="J273">
        <v>0</v>
      </c>
      <c r="K273">
        <v>0.97</v>
      </c>
      <c r="L273">
        <v>1.83</v>
      </c>
      <c r="M273">
        <v>1.87</v>
      </c>
      <c r="N273">
        <v>1.82</v>
      </c>
      <c r="O273">
        <v>1.83</v>
      </c>
      <c r="P273" t="s">
        <v>32</v>
      </c>
      <c r="Q273">
        <v>52843320</v>
      </c>
      <c r="R273">
        <v>1.41</v>
      </c>
      <c r="S273" t="s">
        <v>63</v>
      </c>
      <c r="T273" t="s">
        <v>87</v>
      </c>
      <c r="U273">
        <v>2.73</v>
      </c>
      <c r="V273">
        <v>1.85</v>
      </c>
      <c r="W273">
        <v>117016</v>
      </c>
      <c r="X273">
        <v>168057</v>
      </c>
      <c r="Y273">
        <v>0.7</v>
      </c>
      <c r="Z273">
        <v>914</v>
      </c>
      <c r="AA273">
        <v>36004</v>
      </c>
      <c r="AB273" t="s">
        <v>32</v>
      </c>
      <c r="AC273">
        <v>29.31</v>
      </c>
    </row>
    <row r="274" spans="1:29">
      <c r="A274" t="str">
        <f>"000728"</f>
        <v>000728</v>
      </c>
      <c r="B274" t="s">
        <v>418</v>
      </c>
      <c r="C274">
        <v>2.26</v>
      </c>
      <c r="D274">
        <v>7.23</v>
      </c>
      <c r="E274">
        <v>0.16</v>
      </c>
      <c r="F274">
        <v>7.22</v>
      </c>
      <c r="G274">
        <v>7.23</v>
      </c>
      <c r="H274">
        <v>268892</v>
      </c>
      <c r="I274">
        <v>1623</v>
      </c>
      <c r="J274">
        <v>0</v>
      </c>
      <c r="K274">
        <v>0.91</v>
      </c>
      <c r="L274">
        <v>7.06</v>
      </c>
      <c r="M274">
        <v>7.35</v>
      </c>
      <c r="N274">
        <v>7.03</v>
      </c>
      <c r="O274">
        <v>7.07</v>
      </c>
      <c r="P274">
        <v>36.56</v>
      </c>
      <c r="Q274">
        <v>193951040</v>
      </c>
      <c r="R274">
        <v>2.51</v>
      </c>
      <c r="S274" t="s">
        <v>158</v>
      </c>
      <c r="T274" t="s">
        <v>143</v>
      </c>
      <c r="U274">
        <v>4.53</v>
      </c>
      <c r="V274">
        <v>7.21</v>
      </c>
      <c r="W274">
        <v>130196</v>
      </c>
      <c r="X274">
        <v>138695</v>
      </c>
      <c r="Y274">
        <v>0.94</v>
      </c>
      <c r="Z274">
        <v>2559</v>
      </c>
      <c r="AA274">
        <v>837</v>
      </c>
      <c r="AB274" t="s">
        <v>32</v>
      </c>
      <c r="AC274">
        <v>29.46</v>
      </c>
    </row>
    <row r="275" spans="1:29">
      <c r="A275" t="str">
        <f>"000729"</f>
        <v>000729</v>
      </c>
      <c r="B275" t="s">
        <v>419</v>
      </c>
      <c r="C275">
        <v>-0.14</v>
      </c>
      <c r="D275">
        <v>7.26</v>
      </c>
      <c r="E275">
        <v>-0.01</v>
      </c>
      <c r="F275">
        <v>7.25</v>
      </c>
      <c r="G275">
        <v>7.26</v>
      </c>
      <c r="H275">
        <v>138788</v>
      </c>
      <c r="I275">
        <v>1579</v>
      </c>
      <c r="J275">
        <v>0</v>
      </c>
      <c r="K275">
        <v>0.55</v>
      </c>
      <c r="L275">
        <v>7.26</v>
      </c>
      <c r="M275">
        <v>7.33</v>
      </c>
      <c r="N275">
        <v>7.2</v>
      </c>
      <c r="O275">
        <v>7.27</v>
      </c>
      <c r="P275">
        <v>94.47</v>
      </c>
      <c r="Q275">
        <v>100617360</v>
      </c>
      <c r="R275">
        <v>1.06</v>
      </c>
      <c r="S275" t="s">
        <v>420</v>
      </c>
      <c r="T275" t="s">
        <v>45</v>
      </c>
      <c r="U275">
        <v>1.79</v>
      </c>
      <c r="V275">
        <v>7.25</v>
      </c>
      <c r="W275">
        <v>58583</v>
      </c>
      <c r="X275">
        <v>80204</v>
      </c>
      <c r="Y275">
        <v>0.73</v>
      </c>
      <c r="Z275">
        <v>689</v>
      </c>
      <c r="AA275">
        <v>4631</v>
      </c>
      <c r="AB275" t="s">
        <v>32</v>
      </c>
      <c r="AC275">
        <v>25.09</v>
      </c>
    </row>
    <row r="276" spans="1:29">
      <c r="A276" t="str">
        <f>"000731"</f>
        <v>000731</v>
      </c>
      <c r="B276" t="s">
        <v>421</v>
      </c>
      <c r="C276">
        <v>1.5</v>
      </c>
      <c r="D276">
        <v>5.4</v>
      </c>
      <c r="E276">
        <v>0.08</v>
      </c>
      <c r="F276">
        <v>5.39</v>
      </c>
      <c r="G276">
        <v>5.4</v>
      </c>
      <c r="H276">
        <v>97515</v>
      </c>
      <c r="I276">
        <v>1493</v>
      </c>
      <c r="J276">
        <v>0</v>
      </c>
      <c r="K276">
        <v>1.65</v>
      </c>
      <c r="L276">
        <v>5.32</v>
      </c>
      <c r="M276">
        <v>5.46</v>
      </c>
      <c r="N276">
        <v>5.28</v>
      </c>
      <c r="O276">
        <v>5.32</v>
      </c>
      <c r="P276">
        <v>16.74</v>
      </c>
      <c r="Q276">
        <v>52604668</v>
      </c>
      <c r="R276">
        <v>1.73</v>
      </c>
      <c r="S276" t="s">
        <v>145</v>
      </c>
      <c r="T276" t="s">
        <v>146</v>
      </c>
      <c r="U276">
        <v>3.38</v>
      </c>
      <c r="V276">
        <v>5.39</v>
      </c>
      <c r="W276">
        <v>44966</v>
      </c>
      <c r="X276">
        <v>52548</v>
      </c>
      <c r="Y276">
        <v>0.86</v>
      </c>
      <c r="Z276">
        <v>1532</v>
      </c>
      <c r="AA276">
        <v>1018</v>
      </c>
      <c r="AB276" t="s">
        <v>32</v>
      </c>
      <c r="AC276">
        <v>5.91</v>
      </c>
    </row>
    <row r="277" spans="1:29">
      <c r="A277" t="str">
        <f>"000732"</f>
        <v>000732</v>
      </c>
      <c r="B277" t="s">
        <v>422</v>
      </c>
      <c r="C277">
        <v>3.19</v>
      </c>
      <c r="D277">
        <v>18.78</v>
      </c>
      <c r="E277">
        <v>0.58</v>
      </c>
      <c r="F277">
        <v>18.77</v>
      </c>
      <c r="G277">
        <v>18.78</v>
      </c>
      <c r="H277">
        <v>184157</v>
      </c>
      <c r="I277">
        <v>2228</v>
      </c>
      <c r="J277">
        <v>0.27</v>
      </c>
      <c r="K277">
        <v>1.48</v>
      </c>
      <c r="L277">
        <v>18.44</v>
      </c>
      <c r="M277">
        <v>19.43</v>
      </c>
      <c r="N277">
        <v>18.44</v>
      </c>
      <c r="O277">
        <v>18.2</v>
      </c>
      <c r="P277">
        <v>24.57</v>
      </c>
      <c r="Q277">
        <v>346812928</v>
      </c>
      <c r="R277">
        <v>2.06</v>
      </c>
      <c r="S277" t="s">
        <v>40</v>
      </c>
      <c r="T277" t="s">
        <v>236</v>
      </c>
      <c r="U277">
        <v>5.44</v>
      </c>
      <c r="V277">
        <v>18.83</v>
      </c>
      <c r="W277">
        <v>90138</v>
      </c>
      <c r="X277">
        <v>94019</v>
      </c>
      <c r="Y277">
        <v>0.96</v>
      </c>
      <c r="Z277">
        <v>509</v>
      </c>
      <c r="AA277">
        <v>321</v>
      </c>
      <c r="AB277" t="s">
        <v>32</v>
      </c>
      <c r="AC277">
        <v>12.43</v>
      </c>
    </row>
    <row r="278" spans="1:29">
      <c r="A278" t="str">
        <f>"000733"</f>
        <v>000733</v>
      </c>
      <c r="B278" t="s">
        <v>423</v>
      </c>
      <c r="C278">
        <v>-0.35</v>
      </c>
      <c r="D278">
        <v>14.18</v>
      </c>
      <c r="E278">
        <v>-0.05</v>
      </c>
      <c r="F278">
        <v>14.18</v>
      </c>
      <c r="G278">
        <v>14.19</v>
      </c>
      <c r="H278">
        <v>84543</v>
      </c>
      <c r="I278">
        <v>818</v>
      </c>
      <c r="J278">
        <v>0.07</v>
      </c>
      <c r="K278">
        <v>1.8</v>
      </c>
      <c r="L278">
        <v>14.11</v>
      </c>
      <c r="M278">
        <v>14.33</v>
      </c>
      <c r="N278">
        <v>14.02</v>
      </c>
      <c r="O278">
        <v>14.23</v>
      </c>
      <c r="P278">
        <v>19.4</v>
      </c>
      <c r="Q278">
        <v>119774504</v>
      </c>
      <c r="R278">
        <v>1.05</v>
      </c>
      <c r="S278" t="s">
        <v>63</v>
      </c>
      <c r="T278" t="s">
        <v>253</v>
      </c>
      <c r="U278">
        <v>2.18</v>
      </c>
      <c r="V278">
        <v>14.17</v>
      </c>
      <c r="W278">
        <v>46337</v>
      </c>
      <c r="X278">
        <v>38206</v>
      </c>
      <c r="Y278">
        <v>1.21</v>
      </c>
      <c r="Z278">
        <v>664</v>
      </c>
      <c r="AA278">
        <v>170</v>
      </c>
      <c r="AB278" t="s">
        <v>32</v>
      </c>
      <c r="AC278">
        <v>4.69</v>
      </c>
    </row>
    <row r="279" spans="1:29">
      <c r="A279" t="str">
        <f>"000735"</f>
        <v>000735</v>
      </c>
      <c r="B279" t="s">
        <v>424</v>
      </c>
      <c r="C279">
        <v>1.05</v>
      </c>
      <c r="D279">
        <v>11.55</v>
      </c>
      <c r="E279">
        <v>0.12</v>
      </c>
      <c r="F279">
        <v>11.55</v>
      </c>
      <c r="G279">
        <v>11.56</v>
      </c>
      <c r="H279">
        <v>1162912</v>
      </c>
      <c r="I279">
        <v>13186</v>
      </c>
      <c r="J279">
        <v>0</v>
      </c>
      <c r="K279">
        <v>10.97</v>
      </c>
      <c r="L279">
        <v>11.4</v>
      </c>
      <c r="M279">
        <v>11.75</v>
      </c>
      <c r="N279">
        <v>11.23</v>
      </c>
      <c r="O279">
        <v>11.43</v>
      </c>
      <c r="P279">
        <v>10.03</v>
      </c>
      <c r="Q279">
        <v>1338008064</v>
      </c>
      <c r="R279">
        <v>1.28</v>
      </c>
      <c r="S279" t="s">
        <v>115</v>
      </c>
      <c r="T279" t="s">
        <v>209</v>
      </c>
      <c r="U279">
        <v>4.55</v>
      </c>
      <c r="V279">
        <v>11.51</v>
      </c>
      <c r="W279">
        <v>592751</v>
      </c>
      <c r="X279">
        <v>570161</v>
      </c>
      <c r="Y279">
        <v>1.04</v>
      </c>
      <c r="Z279">
        <v>13365</v>
      </c>
      <c r="AA279">
        <v>1819</v>
      </c>
      <c r="AB279" t="s">
        <v>32</v>
      </c>
      <c r="AC279">
        <v>10.6</v>
      </c>
    </row>
    <row r="280" spans="1:29">
      <c r="A280" t="str">
        <f>"000736"</f>
        <v>000736</v>
      </c>
      <c r="B280" t="s">
        <v>425</v>
      </c>
      <c r="C280">
        <v>1.72</v>
      </c>
      <c r="D280">
        <v>11.25</v>
      </c>
      <c r="E280">
        <v>0.19</v>
      </c>
      <c r="F280">
        <v>11.25</v>
      </c>
      <c r="G280">
        <v>11.26</v>
      </c>
      <c r="H280">
        <v>13540</v>
      </c>
      <c r="I280">
        <v>285</v>
      </c>
      <c r="J280">
        <v>-0.17</v>
      </c>
      <c r="K280">
        <v>0.3</v>
      </c>
      <c r="L280">
        <v>11.23</v>
      </c>
      <c r="M280">
        <v>11.38</v>
      </c>
      <c r="N280">
        <v>10.92</v>
      </c>
      <c r="O280">
        <v>11.06</v>
      </c>
      <c r="P280">
        <v>80.1</v>
      </c>
      <c r="Q280">
        <v>15261599</v>
      </c>
      <c r="R280">
        <v>1.08</v>
      </c>
      <c r="S280" t="s">
        <v>34</v>
      </c>
      <c r="T280" t="s">
        <v>221</v>
      </c>
      <c r="U280">
        <v>4.16</v>
      </c>
      <c r="V280">
        <v>11.27</v>
      </c>
      <c r="W280">
        <v>5456</v>
      </c>
      <c r="X280">
        <v>8083</v>
      </c>
      <c r="Y280">
        <v>0.67</v>
      </c>
      <c r="Z280">
        <v>49</v>
      </c>
      <c r="AA280">
        <v>45</v>
      </c>
      <c r="AB280" t="s">
        <v>32</v>
      </c>
      <c r="AC280">
        <v>4.46</v>
      </c>
    </row>
    <row r="281" spans="1:29">
      <c r="A281" t="str">
        <f>"000737"</f>
        <v>000737</v>
      </c>
      <c r="B281" t="s">
        <v>426</v>
      </c>
      <c r="C281">
        <v>2.55</v>
      </c>
      <c r="D281">
        <v>2.82</v>
      </c>
      <c r="E281">
        <v>0.07</v>
      </c>
      <c r="F281">
        <v>2.81</v>
      </c>
      <c r="G281">
        <v>2.82</v>
      </c>
      <c r="H281">
        <v>24711</v>
      </c>
      <c r="I281">
        <v>325</v>
      </c>
      <c r="J281">
        <v>0.36</v>
      </c>
      <c r="K281">
        <v>0.45</v>
      </c>
      <c r="L281">
        <v>2.75</v>
      </c>
      <c r="M281">
        <v>2.82</v>
      </c>
      <c r="N281">
        <v>2.74</v>
      </c>
      <c r="O281">
        <v>2.75</v>
      </c>
      <c r="P281" t="s">
        <v>32</v>
      </c>
      <c r="Q281">
        <v>6907740</v>
      </c>
      <c r="R281">
        <v>1.56</v>
      </c>
      <c r="S281" t="s">
        <v>232</v>
      </c>
      <c r="T281" t="s">
        <v>169</v>
      </c>
      <c r="U281">
        <v>2.91</v>
      </c>
      <c r="V281">
        <v>2.8</v>
      </c>
      <c r="W281">
        <v>10071</v>
      </c>
      <c r="X281">
        <v>14640</v>
      </c>
      <c r="Y281">
        <v>0.69</v>
      </c>
      <c r="Z281">
        <v>70</v>
      </c>
      <c r="AA281">
        <v>708</v>
      </c>
      <c r="AB281" t="s">
        <v>32</v>
      </c>
      <c r="AC281">
        <v>5.49</v>
      </c>
    </row>
    <row r="282" spans="1:29">
      <c r="A282" t="str">
        <f>"000738"</f>
        <v>000738</v>
      </c>
      <c r="B282" t="s">
        <v>427</v>
      </c>
      <c r="C282">
        <v>-0.2</v>
      </c>
      <c r="D282">
        <v>15.31</v>
      </c>
      <c r="E282">
        <v>-0.03</v>
      </c>
      <c r="F282">
        <v>15.31</v>
      </c>
      <c r="G282">
        <v>15.32</v>
      </c>
      <c r="H282">
        <v>170903</v>
      </c>
      <c r="I282">
        <v>3296</v>
      </c>
      <c r="J282">
        <v>0.07</v>
      </c>
      <c r="K282">
        <v>1.49</v>
      </c>
      <c r="L282">
        <v>15.45</v>
      </c>
      <c r="M282">
        <v>15.51</v>
      </c>
      <c r="N282">
        <v>15.06</v>
      </c>
      <c r="O282">
        <v>15.34</v>
      </c>
      <c r="P282">
        <v>75.42</v>
      </c>
      <c r="Q282">
        <v>261384576</v>
      </c>
      <c r="R282">
        <v>1.1</v>
      </c>
      <c r="S282" t="s">
        <v>389</v>
      </c>
      <c r="T282" t="s">
        <v>87</v>
      </c>
      <c r="U282">
        <v>2.93</v>
      </c>
      <c r="V282">
        <v>15.29</v>
      </c>
      <c r="W282">
        <v>93181</v>
      </c>
      <c r="X282">
        <v>77721</v>
      </c>
      <c r="Y282">
        <v>1.2</v>
      </c>
      <c r="Z282">
        <v>734</v>
      </c>
      <c r="AA282">
        <v>790</v>
      </c>
      <c r="AB282" t="s">
        <v>32</v>
      </c>
      <c r="AC282">
        <v>11.46</v>
      </c>
    </row>
    <row r="283" spans="1:29">
      <c r="A283" t="str">
        <f>"000739"</f>
        <v>000739</v>
      </c>
      <c r="B283" t="s">
        <v>428</v>
      </c>
      <c r="C283">
        <v>1.09</v>
      </c>
      <c r="D283">
        <v>7.4</v>
      </c>
      <c r="E283">
        <v>0.08</v>
      </c>
      <c r="F283">
        <v>7.39</v>
      </c>
      <c r="G283">
        <v>7.4</v>
      </c>
      <c r="H283">
        <v>81788</v>
      </c>
      <c r="I283">
        <v>359</v>
      </c>
      <c r="J283">
        <v>-0.12</v>
      </c>
      <c r="K283">
        <v>0.71</v>
      </c>
      <c r="L283">
        <v>7.25</v>
      </c>
      <c r="M283">
        <v>7.43</v>
      </c>
      <c r="N283">
        <v>7.09</v>
      </c>
      <c r="O283">
        <v>7.32</v>
      </c>
      <c r="P283">
        <v>32.46</v>
      </c>
      <c r="Q283">
        <v>59854632</v>
      </c>
      <c r="R283">
        <v>1.18</v>
      </c>
      <c r="S283" t="s">
        <v>142</v>
      </c>
      <c r="T283" t="s">
        <v>149</v>
      </c>
      <c r="U283">
        <v>4.64</v>
      </c>
      <c r="V283">
        <v>7.32</v>
      </c>
      <c r="W283">
        <v>40694</v>
      </c>
      <c r="X283">
        <v>41094</v>
      </c>
      <c r="Y283">
        <v>0.99</v>
      </c>
      <c r="Z283">
        <v>389</v>
      </c>
      <c r="AA283">
        <v>462</v>
      </c>
      <c r="AB283" t="s">
        <v>32</v>
      </c>
      <c r="AC283">
        <v>11.47</v>
      </c>
    </row>
    <row r="284" spans="1:29">
      <c r="A284" t="str">
        <f>"000750"</f>
        <v>000750</v>
      </c>
      <c r="B284" t="s">
        <v>429</v>
      </c>
      <c r="C284">
        <v>2.88</v>
      </c>
      <c r="D284">
        <v>3.57</v>
      </c>
      <c r="E284">
        <v>0.1</v>
      </c>
      <c r="F284">
        <v>3.57</v>
      </c>
      <c r="G284">
        <v>3.58</v>
      </c>
      <c r="H284">
        <v>433418</v>
      </c>
      <c r="I284">
        <v>4155</v>
      </c>
      <c r="J284">
        <v>-0.27</v>
      </c>
      <c r="K284">
        <v>1.03</v>
      </c>
      <c r="L284">
        <v>3.47</v>
      </c>
      <c r="M284">
        <v>3.61</v>
      </c>
      <c r="N284">
        <v>3.47</v>
      </c>
      <c r="O284">
        <v>3.47</v>
      </c>
      <c r="P284">
        <v>26.88</v>
      </c>
      <c r="Q284">
        <v>153870288</v>
      </c>
      <c r="R284">
        <v>2.57</v>
      </c>
      <c r="S284" t="s">
        <v>158</v>
      </c>
      <c r="T284" t="s">
        <v>238</v>
      </c>
      <c r="U284">
        <v>4.03</v>
      </c>
      <c r="V284">
        <v>3.55</v>
      </c>
      <c r="W284">
        <v>171638</v>
      </c>
      <c r="X284">
        <v>261780</v>
      </c>
      <c r="Y284">
        <v>0.66</v>
      </c>
      <c r="Z284">
        <v>1543</v>
      </c>
      <c r="AA284">
        <v>3447</v>
      </c>
      <c r="AB284" t="s">
        <v>32</v>
      </c>
      <c r="AC284">
        <v>42.16</v>
      </c>
    </row>
    <row r="285" spans="1:29">
      <c r="A285" t="str">
        <f>"000751"</f>
        <v>000751</v>
      </c>
      <c r="B285" t="s">
        <v>430</v>
      </c>
      <c r="C285">
        <v>2.39</v>
      </c>
      <c r="D285">
        <v>3.43</v>
      </c>
      <c r="E285">
        <v>0.08</v>
      </c>
      <c r="F285">
        <v>3.43</v>
      </c>
      <c r="G285">
        <v>3.44</v>
      </c>
      <c r="H285">
        <v>249956</v>
      </c>
      <c r="I285">
        <v>2888</v>
      </c>
      <c r="J285">
        <v>-0.57</v>
      </c>
      <c r="K285">
        <v>1.77</v>
      </c>
      <c r="L285">
        <v>3.32</v>
      </c>
      <c r="M285">
        <v>3.46</v>
      </c>
      <c r="N285">
        <v>3.31</v>
      </c>
      <c r="O285">
        <v>3.35</v>
      </c>
      <c r="P285">
        <v>35.77</v>
      </c>
      <c r="Q285">
        <v>85501352</v>
      </c>
      <c r="R285">
        <v>2.03</v>
      </c>
      <c r="S285" t="s">
        <v>113</v>
      </c>
      <c r="T285" t="s">
        <v>111</v>
      </c>
      <c r="U285">
        <v>4.48</v>
      </c>
      <c r="V285">
        <v>3.42</v>
      </c>
      <c r="W285">
        <v>106925</v>
      </c>
      <c r="X285">
        <v>143030</v>
      </c>
      <c r="Y285">
        <v>0.75</v>
      </c>
      <c r="Z285">
        <v>14676</v>
      </c>
      <c r="AA285">
        <v>651</v>
      </c>
      <c r="AB285" t="s">
        <v>32</v>
      </c>
      <c r="AC285">
        <v>14.1</v>
      </c>
    </row>
    <row r="286" spans="1:29">
      <c r="A286" t="str">
        <f>"000752"</f>
        <v>000752</v>
      </c>
      <c r="B286" t="s">
        <v>431</v>
      </c>
      <c r="C286">
        <v>0.95</v>
      </c>
      <c r="D286">
        <v>8.54</v>
      </c>
      <c r="E286">
        <v>0.08</v>
      </c>
      <c r="F286">
        <v>8.53</v>
      </c>
      <c r="G286">
        <v>8.54</v>
      </c>
      <c r="H286">
        <v>79316</v>
      </c>
      <c r="I286">
        <v>482</v>
      </c>
      <c r="J286">
        <v>0</v>
      </c>
      <c r="K286">
        <v>3.01</v>
      </c>
      <c r="L286">
        <v>8.39</v>
      </c>
      <c r="M286">
        <v>8.74</v>
      </c>
      <c r="N286">
        <v>8.33</v>
      </c>
      <c r="O286">
        <v>8.46</v>
      </c>
      <c r="P286">
        <v>168</v>
      </c>
      <c r="Q286">
        <v>67760840</v>
      </c>
      <c r="R286">
        <v>1.24</v>
      </c>
      <c r="S286" t="s">
        <v>420</v>
      </c>
      <c r="T286" t="s">
        <v>432</v>
      </c>
      <c r="U286">
        <v>4.85</v>
      </c>
      <c r="V286">
        <v>8.54</v>
      </c>
      <c r="W286">
        <v>35310</v>
      </c>
      <c r="X286">
        <v>44006</v>
      </c>
      <c r="Y286">
        <v>0.8</v>
      </c>
      <c r="Z286">
        <v>181</v>
      </c>
      <c r="AA286">
        <v>530</v>
      </c>
      <c r="AB286" t="s">
        <v>32</v>
      </c>
      <c r="AC286">
        <v>2.64</v>
      </c>
    </row>
    <row r="287" spans="1:29">
      <c r="A287" t="str">
        <f>"000753"</f>
        <v>000753</v>
      </c>
      <c r="B287" t="s">
        <v>433</v>
      </c>
      <c r="C287">
        <v>1.68</v>
      </c>
      <c r="D287">
        <v>3.03</v>
      </c>
      <c r="E287">
        <v>0.05</v>
      </c>
      <c r="F287">
        <v>3.03</v>
      </c>
      <c r="G287">
        <v>3.04</v>
      </c>
      <c r="H287">
        <v>55536</v>
      </c>
      <c r="I287">
        <v>261</v>
      </c>
      <c r="J287">
        <v>0</v>
      </c>
      <c r="K287">
        <v>0.63</v>
      </c>
      <c r="L287">
        <v>2.99</v>
      </c>
      <c r="M287">
        <v>3.04</v>
      </c>
      <c r="N287">
        <v>2.97</v>
      </c>
      <c r="O287">
        <v>2.98</v>
      </c>
      <c r="P287">
        <v>27.82</v>
      </c>
      <c r="Q287">
        <v>16762678</v>
      </c>
      <c r="R287">
        <v>1.7</v>
      </c>
      <c r="S287" t="s">
        <v>71</v>
      </c>
      <c r="T287" t="s">
        <v>236</v>
      </c>
      <c r="U287">
        <v>2.35</v>
      </c>
      <c r="V287">
        <v>3.02</v>
      </c>
      <c r="W287">
        <v>24812</v>
      </c>
      <c r="X287">
        <v>30724</v>
      </c>
      <c r="Y287">
        <v>0.81</v>
      </c>
      <c r="Z287">
        <v>335</v>
      </c>
      <c r="AA287">
        <v>2989</v>
      </c>
      <c r="AB287" t="s">
        <v>32</v>
      </c>
      <c r="AC287">
        <v>8.84</v>
      </c>
    </row>
    <row r="288" spans="1:29">
      <c r="A288" t="str">
        <f>"000755"</f>
        <v>000755</v>
      </c>
      <c r="B288" t="s">
        <v>434</v>
      </c>
      <c r="C288">
        <v>0.66</v>
      </c>
      <c r="D288">
        <v>4.58</v>
      </c>
      <c r="E288">
        <v>0.03</v>
      </c>
      <c r="F288">
        <v>4.57</v>
      </c>
      <c r="G288">
        <v>4.58</v>
      </c>
      <c r="H288">
        <v>16190</v>
      </c>
      <c r="I288">
        <v>482</v>
      </c>
      <c r="J288">
        <v>0</v>
      </c>
      <c r="K288">
        <v>0.35</v>
      </c>
      <c r="L288">
        <v>4.55</v>
      </c>
      <c r="M288">
        <v>4.61</v>
      </c>
      <c r="N288">
        <v>4.47</v>
      </c>
      <c r="O288">
        <v>4.55</v>
      </c>
      <c r="P288" t="s">
        <v>32</v>
      </c>
      <c r="Q288">
        <v>7401447</v>
      </c>
      <c r="R288">
        <v>0.42</v>
      </c>
      <c r="S288" t="s">
        <v>218</v>
      </c>
      <c r="T288" t="s">
        <v>169</v>
      </c>
      <c r="U288">
        <v>3.08</v>
      </c>
      <c r="V288">
        <v>4.57</v>
      </c>
      <c r="W288">
        <v>7478</v>
      </c>
      <c r="X288">
        <v>8711</v>
      </c>
      <c r="Y288">
        <v>0.86</v>
      </c>
      <c r="Z288">
        <v>199</v>
      </c>
      <c r="AA288">
        <v>2060</v>
      </c>
      <c r="AB288" t="s">
        <v>32</v>
      </c>
      <c r="AC288">
        <v>4.69</v>
      </c>
    </row>
    <row r="289" spans="1:29">
      <c r="A289" t="str">
        <f>"000756"</f>
        <v>000756</v>
      </c>
      <c r="B289" t="s">
        <v>435</v>
      </c>
      <c r="C289">
        <v>1.42</v>
      </c>
      <c r="D289">
        <v>10.7</v>
      </c>
      <c r="E289">
        <v>0.15</v>
      </c>
      <c r="F289">
        <v>10.69</v>
      </c>
      <c r="G289">
        <v>10.7</v>
      </c>
      <c r="H289">
        <v>53512</v>
      </c>
      <c r="I289">
        <v>659</v>
      </c>
      <c r="J289">
        <v>0.38</v>
      </c>
      <c r="K289">
        <v>1.74</v>
      </c>
      <c r="L289">
        <v>10.49</v>
      </c>
      <c r="M289">
        <v>10.77</v>
      </c>
      <c r="N289">
        <v>10.32</v>
      </c>
      <c r="O289">
        <v>10.55</v>
      </c>
      <c r="P289">
        <v>18.93</v>
      </c>
      <c r="Q289">
        <v>56610320</v>
      </c>
      <c r="R289">
        <v>1.21</v>
      </c>
      <c r="S289" t="s">
        <v>142</v>
      </c>
      <c r="T289" t="s">
        <v>162</v>
      </c>
      <c r="U289">
        <v>4.27</v>
      </c>
      <c r="V289">
        <v>10.58</v>
      </c>
      <c r="W289">
        <v>30658</v>
      </c>
      <c r="X289">
        <v>22854</v>
      </c>
      <c r="Y289">
        <v>1.34</v>
      </c>
      <c r="Z289">
        <v>256</v>
      </c>
      <c r="AA289">
        <v>374</v>
      </c>
      <c r="AB289" t="s">
        <v>32</v>
      </c>
      <c r="AC289">
        <v>3.07</v>
      </c>
    </row>
    <row r="290" spans="1:29">
      <c r="A290" t="str">
        <f>"000757"</f>
        <v>000757</v>
      </c>
      <c r="B290" t="s">
        <v>436</v>
      </c>
      <c r="C290">
        <v>0.51</v>
      </c>
      <c r="D290">
        <v>5.91</v>
      </c>
      <c r="E290">
        <v>0.03</v>
      </c>
      <c r="F290">
        <v>5.9</v>
      </c>
      <c r="G290">
        <v>5.91</v>
      </c>
      <c r="H290">
        <v>105383</v>
      </c>
      <c r="I290">
        <v>1715</v>
      </c>
      <c r="J290">
        <v>0</v>
      </c>
      <c r="K290">
        <v>2.33</v>
      </c>
      <c r="L290">
        <v>5.86</v>
      </c>
      <c r="M290">
        <v>5.93</v>
      </c>
      <c r="N290">
        <v>5.6</v>
      </c>
      <c r="O290">
        <v>5.88</v>
      </c>
      <c r="P290">
        <v>49.66</v>
      </c>
      <c r="Q290">
        <v>61673684</v>
      </c>
      <c r="R290">
        <v>1.28</v>
      </c>
      <c r="S290" t="s">
        <v>80</v>
      </c>
      <c r="T290" t="s">
        <v>146</v>
      </c>
      <c r="U290">
        <v>5.61</v>
      </c>
      <c r="V290">
        <v>5.85</v>
      </c>
      <c r="W290">
        <v>58119</v>
      </c>
      <c r="X290">
        <v>47263</v>
      </c>
      <c r="Y290">
        <v>1.23</v>
      </c>
      <c r="Z290">
        <v>1150</v>
      </c>
      <c r="AA290">
        <v>1527</v>
      </c>
      <c r="AB290" t="s">
        <v>32</v>
      </c>
      <c r="AC290">
        <v>4.52</v>
      </c>
    </row>
    <row r="291" spans="1:29">
      <c r="A291" t="str">
        <f>"000758"</f>
        <v>000758</v>
      </c>
      <c r="B291" t="s">
        <v>437</v>
      </c>
      <c r="C291">
        <v>2.69</v>
      </c>
      <c r="D291">
        <v>4.58</v>
      </c>
      <c r="E291">
        <v>0.12</v>
      </c>
      <c r="F291">
        <v>4.58</v>
      </c>
      <c r="G291">
        <v>4.59</v>
      </c>
      <c r="H291">
        <v>206053</v>
      </c>
      <c r="I291">
        <v>1053</v>
      </c>
      <c r="J291">
        <v>0</v>
      </c>
      <c r="K291">
        <v>1.05</v>
      </c>
      <c r="L291">
        <v>4.45</v>
      </c>
      <c r="M291">
        <v>4.67</v>
      </c>
      <c r="N291">
        <v>4.43</v>
      </c>
      <c r="O291">
        <v>4.46</v>
      </c>
      <c r="P291">
        <v>24.45</v>
      </c>
      <c r="Q291">
        <v>94163728</v>
      </c>
      <c r="R291">
        <v>2.57</v>
      </c>
      <c r="S291" t="s">
        <v>113</v>
      </c>
      <c r="T291" t="s">
        <v>45</v>
      </c>
      <c r="U291">
        <v>5.38</v>
      </c>
      <c r="V291">
        <v>4.57</v>
      </c>
      <c r="W291">
        <v>92082</v>
      </c>
      <c r="X291">
        <v>113970</v>
      </c>
      <c r="Y291">
        <v>0.81</v>
      </c>
      <c r="Z291">
        <v>45</v>
      </c>
      <c r="AA291">
        <v>2877</v>
      </c>
      <c r="AB291" t="s">
        <v>32</v>
      </c>
      <c r="AC291">
        <v>19.69</v>
      </c>
    </row>
    <row r="292" spans="1:29">
      <c r="A292" t="str">
        <f>"000759"</f>
        <v>000759</v>
      </c>
      <c r="B292" t="s">
        <v>438</v>
      </c>
      <c r="C292">
        <v>0.97</v>
      </c>
      <c r="D292">
        <v>7.32</v>
      </c>
      <c r="E292">
        <v>0.07</v>
      </c>
      <c r="F292">
        <v>7.32</v>
      </c>
      <c r="G292">
        <v>7.33</v>
      </c>
      <c r="H292">
        <v>34496</v>
      </c>
      <c r="I292">
        <v>422</v>
      </c>
      <c r="J292">
        <v>-0.13</v>
      </c>
      <c r="K292">
        <v>0.51</v>
      </c>
      <c r="L292">
        <v>7.27</v>
      </c>
      <c r="M292">
        <v>7.35</v>
      </c>
      <c r="N292">
        <v>7.23</v>
      </c>
      <c r="O292">
        <v>7.25</v>
      </c>
      <c r="P292">
        <v>68.72</v>
      </c>
      <c r="Q292">
        <v>25185070</v>
      </c>
      <c r="R292">
        <v>2.57</v>
      </c>
      <c r="S292" t="s">
        <v>439</v>
      </c>
      <c r="T292" t="s">
        <v>193</v>
      </c>
      <c r="U292">
        <v>1.66</v>
      </c>
      <c r="V292">
        <v>7.3</v>
      </c>
      <c r="W292">
        <v>17505</v>
      </c>
      <c r="X292">
        <v>16990</v>
      </c>
      <c r="Y292">
        <v>1.03</v>
      </c>
      <c r="Z292">
        <v>111</v>
      </c>
      <c r="AA292">
        <v>427</v>
      </c>
      <c r="AB292" t="s">
        <v>32</v>
      </c>
      <c r="AC292">
        <v>6.81</v>
      </c>
    </row>
    <row r="293" spans="1:29">
      <c r="A293" t="str">
        <f>"000760"</f>
        <v>000760</v>
      </c>
      <c r="B293" t="s">
        <v>440</v>
      </c>
      <c r="C293">
        <v>9.94</v>
      </c>
      <c r="D293">
        <v>5.09</v>
      </c>
      <c r="E293">
        <v>0.46</v>
      </c>
      <c r="F293">
        <v>5.09</v>
      </c>
      <c r="G293" t="s">
        <v>32</v>
      </c>
      <c r="H293">
        <v>1102116</v>
      </c>
      <c r="I293">
        <v>285</v>
      </c>
      <c r="J293">
        <v>0</v>
      </c>
      <c r="K293">
        <v>16.84</v>
      </c>
      <c r="L293">
        <v>4.56</v>
      </c>
      <c r="M293">
        <v>5.09</v>
      </c>
      <c r="N293">
        <v>4.4</v>
      </c>
      <c r="O293">
        <v>4.63</v>
      </c>
      <c r="P293" t="s">
        <v>32</v>
      </c>
      <c r="Q293">
        <v>541041152</v>
      </c>
      <c r="R293">
        <v>2.34</v>
      </c>
      <c r="S293" t="s">
        <v>80</v>
      </c>
      <c r="T293" t="s">
        <v>193</v>
      </c>
      <c r="U293">
        <v>14.9</v>
      </c>
      <c r="V293">
        <v>4.91</v>
      </c>
      <c r="W293">
        <v>534488</v>
      </c>
      <c r="X293">
        <v>567628</v>
      </c>
      <c r="Y293">
        <v>0.94</v>
      </c>
      <c r="Z293">
        <v>42422</v>
      </c>
      <c r="AA293">
        <v>0</v>
      </c>
      <c r="AB293" t="s">
        <v>32</v>
      </c>
      <c r="AC293">
        <v>6.54</v>
      </c>
    </row>
    <row r="294" spans="1:29">
      <c r="A294" t="str">
        <f>"000761"</f>
        <v>000761</v>
      </c>
      <c r="B294" t="s">
        <v>441</v>
      </c>
      <c r="C294">
        <v>1.93</v>
      </c>
      <c r="D294">
        <v>4.22</v>
      </c>
      <c r="E294">
        <v>0.08</v>
      </c>
      <c r="F294">
        <v>4.21</v>
      </c>
      <c r="G294">
        <v>4.22</v>
      </c>
      <c r="H294">
        <v>263843</v>
      </c>
      <c r="I294">
        <v>3024</v>
      </c>
      <c r="J294">
        <v>0</v>
      </c>
      <c r="K294">
        <v>0.96</v>
      </c>
      <c r="L294">
        <v>4.16</v>
      </c>
      <c r="M294">
        <v>4.32</v>
      </c>
      <c r="N294">
        <v>4.16</v>
      </c>
      <c r="O294">
        <v>4.14</v>
      </c>
      <c r="P294">
        <v>11.66</v>
      </c>
      <c r="Q294">
        <v>111930176</v>
      </c>
      <c r="R294">
        <v>3.21</v>
      </c>
      <c r="S294" t="s">
        <v>353</v>
      </c>
      <c r="T294" t="s">
        <v>111</v>
      </c>
      <c r="U294">
        <v>3.86</v>
      </c>
      <c r="V294">
        <v>4.24</v>
      </c>
      <c r="W294">
        <v>131150</v>
      </c>
      <c r="X294">
        <v>132693</v>
      </c>
      <c r="Y294">
        <v>0.99</v>
      </c>
      <c r="Z294">
        <v>2366</v>
      </c>
      <c r="AA294">
        <v>1220</v>
      </c>
      <c r="AB294" t="s">
        <v>32</v>
      </c>
      <c r="AC294">
        <v>27.36</v>
      </c>
    </row>
    <row r="295" spans="1:29">
      <c r="A295" t="str">
        <f>"000762"</f>
        <v>000762</v>
      </c>
      <c r="B295" t="s">
        <v>442</v>
      </c>
      <c r="C295">
        <v>2.36</v>
      </c>
      <c r="D295">
        <v>10.4</v>
      </c>
      <c r="E295">
        <v>0.24</v>
      </c>
      <c r="F295">
        <v>10.4</v>
      </c>
      <c r="G295">
        <v>10.41</v>
      </c>
      <c r="H295">
        <v>136709</v>
      </c>
      <c r="I295">
        <v>1567</v>
      </c>
      <c r="J295">
        <v>-0.09</v>
      </c>
      <c r="K295">
        <v>2.87</v>
      </c>
      <c r="L295">
        <v>10.15</v>
      </c>
      <c r="M295">
        <v>10.52</v>
      </c>
      <c r="N295">
        <v>10.06</v>
      </c>
      <c r="O295">
        <v>10.16</v>
      </c>
      <c r="P295" t="s">
        <v>32</v>
      </c>
      <c r="Q295">
        <v>141583328</v>
      </c>
      <c r="R295">
        <v>2.06</v>
      </c>
      <c r="S295" t="s">
        <v>356</v>
      </c>
      <c r="T295" t="s">
        <v>432</v>
      </c>
      <c r="U295">
        <v>4.53</v>
      </c>
      <c r="V295">
        <v>10.36</v>
      </c>
      <c r="W295">
        <v>62449</v>
      </c>
      <c r="X295">
        <v>74259</v>
      </c>
      <c r="Y295">
        <v>0.84</v>
      </c>
      <c r="Z295">
        <v>78</v>
      </c>
      <c r="AA295">
        <v>243</v>
      </c>
      <c r="AB295" t="s">
        <v>32</v>
      </c>
      <c r="AC295">
        <v>4.76</v>
      </c>
    </row>
    <row r="296" spans="1:29">
      <c r="A296" t="str">
        <f>"000766"</f>
        <v>000766</v>
      </c>
      <c r="B296" t="s">
        <v>443</v>
      </c>
      <c r="C296">
        <v>-0.26</v>
      </c>
      <c r="D296">
        <v>11.45</v>
      </c>
      <c r="E296">
        <v>-0.03</v>
      </c>
      <c r="F296">
        <v>11.45</v>
      </c>
      <c r="G296">
        <v>11.46</v>
      </c>
      <c r="H296">
        <v>35827</v>
      </c>
      <c r="I296">
        <v>3506</v>
      </c>
      <c r="J296">
        <v>0</v>
      </c>
      <c r="K296">
        <v>0.62</v>
      </c>
      <c r="L296">
        <v>11.4</v>
      </c>
      <c r="M296">
        <v>11.48</v>
      </c>
      <c r="N296">
        <v>11.31</v>
      </c>
      <c r="O296">
        <v>11.48</v>
      </c>
      <c r="P296">
        <v>47.32</v>
      </c>
      <c r="Q296">
        <v>40848020</v>
      </c>
      <c r="R296">
        <v>0.72</v>
      </c>
      <c r="S296" t="s">
        <v>195</v>
      </c>
      <c r="T296" t="s">
        <v>81</v>
      </c>
      <c r="U296">
        <v>1.48</v>
      </c>
      <c r="V296">
        <v>11.4</v>
      </c>
      <c r="W296">
        <v>17991</v>
      </c>
      <c r="X296">
        <v>17835</v>
      </c>
      <c r="Y296">
        <v>1.01</v>
      </c>
      <c r="Z296">
        <v>1493</v>
      </c>
      <c r="AA296">
        <v>634</v>
      </c>
      <c r="AB296" t="s">
        <v>32</v>
      </c>
      <c r="AC296">
        <v>5.73</v>
      </c>
    </row>
    <row r="297" spans="1:29">
      <c r="A297" t="str">
        <f>"000767"</f>
        <v>000767</v>
      </c>
      <c r="B297" t="s">
        <v>444</v>
      </c>
      <c r="C297">
        <v>0.74</v>
      </c>
      <c r="D297">
        <v>2.74</v>
      </c>
      <c r="E297">
        <v>0.02</v>
      </c>
      <c r="F297">
        <v>2.74</v>
      </c>
      <c r="G297">
        <v>2.75</v>
      </c>
      <c r="H297">
        <v>34783</v>
      </c>
      <c r="I297">
        <v>695</v>
      </c>
      <c r="J297">
        <v>-0.35</v>
      </c>
      <c r="K297">
        <v>0.12</v>
      </c>
      <c r="L297">
        <v>2.72</v>
      </c>
      <c r="M297">
        <v>2.75</v>
      </c>
      <c r="N297">
        <v>2.71</v>
      </c>
      <c r="O297">
        <v>2.72</v>
      </c>
      <c r="P297" t="s">
        <v>32</v>
      </c>
      <c r="Q297">
        <v>9504603</v>
      </c>
      <c r="R297">
        <v>1.28</v>
      </c>
      <c r="S297" t="s">
        <v>75</v>
      </c>
      <c r="T297" t="s">
        <v>169</v>
      </c>
      <c r="U297">
        <v>1.47</v>
      </c>
      <c r="V297">
        <v>2.73</v>
      </c>
      <c r="W297">
        <v>12476</v>
      </c>
      <c r="X297">
        <v>22306</v>
      </c>
      <c r="Y297">
        <v>0.56</v>
      </c>
      <c r="Z297">
        <v>387</v>
      </c>
      <c r="AA297">
        <v>1838</v>
      </c>
      <c r="AB297" t="s">
        <v>32</v>
      </c>
      <c r="AC297">
        <v>29.12</v>
      </c>
    </row>
    <row r="298" spans="1:29">
      <c r="A298" t="str">
        <f>"000768"</f>
        <v>000768</v>
      </c>
      <c r="B298" t="s">
        <v>445</v>
      </c>
      <c r="C298">
        <v>0.3</v>
      </c>
      <c r="D298">
        <v>16.83</v>
      </c>
      <c r="E298">
        <v>0.05</v>
      </c>
      <c r="F298">
        <v>16.83</v>
      </c>
      <c r="G298">
        <v>16.84</v>
      </c>
      <c r="H298">
        <v>264896</v>
      </c>
      <c r="I298">
        <v>2457</v>
      </c>
      <c r="J298">
        <v>0</v>
      </c>
      <c r="K298">
        <v>0.96</v>
      </c>
      <c r="L298">
        <v>16.96</v>
      </c>
      <c r="M298">
        <v>17.08</v>
      </c>
      <c r="N298">
        <v>16.61</v>
      </c>
      <c r="O298">
        <v>16.78</v>
      </c>
      <c r="P298">
        <v>431.29</v>
      </c>
      <c r="Q298">
        <v>447292640</v>
      </c>
      <c r="R298">
        <v>1.18</v>
      </c>
      <c r="S298" t="s">
        <v>389</v>
      </c>
      <c r="T298" t="s">
        <v>223</v>
      </c>
      <c r="U298">
        <v>2.8</v>
      </c>
      <c r="V298">
        <v>16.89</v>
      </c>
      <c r="W298">
        <v>126205</v>
      </c>
      <c r="X298">
        <v>138690</v>
      </c>
      <c r="Y298">
        <v>0.91</v>
      </c>
      <c r="Z298">
        <v>71</v>
      </c>
      <c r="AA298">
        <v>1507</v>
      </c>
      <c r="AB298" t="s">
        <v>32</v>
      </c>
      <c r="AC298">
        <v>27.69</v>
      </c>
    </row>
    <row r="299" spans="1:29">
      <c r="A299" t="str">
        <f>"000776"</f>
        <v>000776</v>
      </c>
      <c r="B299" t="s">
        <v>446</v>
      </c>
      <c r="C299">
        <v>1.94</v>
      </c>
      <c r="D299">
        <v>13.63</v>
      </c>
      <c r="E299">
        <v>0.26</v>
      </c>
      <c r="F299">
        <v>13.63</v>
      </c>
      <c r="G299">
        <v>13.64</v>
      </c>
      <c r="H299">
        <v>452694</v>
      </c>
      <c r="I299">
        <v>2195</v>
      </c>
      <c r="J299">
        <v>0</v>
      </c>
      <c r="K299">
        <v>0.76</v>
      </c>
      <c r="L299">
        <v>13.37</v>
      </c>
      <c r="M299">
        <v>13.83</v>
      </c>
      <c r="N299">
        <v>13.32</v>
      </c>
      <c r="O299">
        <v>13.37</v>
      </c>
      <c r="P299">
        <v>17.01</v>
      </c>
      <c r="Q299">
        <v>618058816</v>
      </c>
      <c r="R299">
        <v>2.63</v>
      </c>
      <c r="S299" t="s">
        <v>158</v>
      </c>
      <c r="T299" t="s">
        <v>136</v>
      </c>
      <c r="U299">
        <v>3.81</v>
      </c>
      <c r="V299">
        <v>13.65</v>
      </c>
      <c r="W299">
        <v>241400</v>
      </c>
      <c r="X299">
        <v>211293</v>
      </c>
      <c r="Y299">
        <v>1.14</v>
      </c>
      <c r="Z299">
        <v>667</v>
      </c>
      <c r="AA299">
        <v>1762</v>
      </c>
      <c r="AB299" t="s">
        <v>32</v>
      </c>
      <c r="AC299">
        <v>59.19</v>
      </c>
    </row>
    <row r="300" spans="1:29">
      <c r="A300" t="str">
        <f>"000777"</f>
        <v>000777</v>
      </c>
      <c r="B300" t="s">
        <v>447</v>
      </c>
      <c r="C300">
        <v>1.55</v>
      </c>
      <c r="D300">
        <v>11.15</v>
      </c>
      <c r="E300">
        <v>0.17</v>
      </c>
      <c r="F300">
        <v>11.14</v>
      </c>
      <c r="G300">
        <v>11.15</v>
      </c>
      <c r="H300">
        <v>101792</v>
      </c>
      <c r="I300">
        <v>823</v>
      </c>
      <c r="J300">
        <v>0.27</v>
      </c>
      <c r="K300">
        <v>2.65</v>
      </c>
      <c r="L300">
        <v>10.9</v>
      </c>
      <c r="M300">
        <v>11.34</v>
      </c>
      <c r="N300">
        <v>10.88</v>
      </c>
      <c r="O300">
        <v>10.98</v>
      </c>
      <c r="P300" t="s">
        <v>32</v>
      </c>
      <c r="Q300">
        <v>113540872</v>
      </c>
      <c r="R300">
        <v>1.25</v>
      </c>
      <c r="S300" t="s">
        <v>241</v>
      </c>
      <c r="T300" t="s">
        <v>87</v>
      </c>
      <c r="U300">
        <v>4.19</v>
      </c>
      <c r="V300">
        <v>11.15</v>
      </c>
      <c r="W300">
        <v>50204</v>
      </c>
      <c r="X300">
        <v>51587</v>
      </c>
      <c r="Y300">
        <v>0.97</v>
      </c>
      <c r="Z300">
        <v>641</v>
      </c>
      <c r="AA300">
        <v>447</v>
      </c>
      <c r="AB300" t="s">
        <v>32</v>
      </c>
      <c r="AC300">
        <v>3.83</v>
      </c>
    </row>
    <row r="301" spans="1:29">
      <c r="A301" t="str">
        <f>"000778"</f>
        <v>000778</v>
      </c>
      <c r="B301" t="s">
        <v>448</v>
      </c>
      <c r="C301">
        <v>2.26</v>
      </c>
      <c r="D301">
        <v>4.53</v>
      </c>
      <c r="E301">
        <v>0.1</v>
      </c>
      <c r="F301">
        <v>4.52</v>
      </c>
      <c r="G301">
        <v>4.53</v>
      </c>
      <c r="H301">
        <v>394677</v>
      </c>
      <c r="I301">
        <v>3113</v>
      </c>
      <c r="J301">
        <v>0</v>
      </c>
      <c r="K301">
        <v>1.01</v>
      </c>
      <c r="L301">
        <v>4.42</v>
      </c>
      <c r="M301">
        <v>4.58</v>
      </c>
      <c r="N301">
        <v>4.41</v>
      </c>
      <c r="O301">
        <v>4.43</v>
      </c>
      <c r="P301">
        <v>11.97</v>
      </c>
      <c r="Q301">
        <v>178607088</v>
      </c>
      <c r="R301">
        <v>1.56</v>
      </c>
      <c r="S301" t="s">
        <v>449</v>
      </c>
      <c r="T301" t="s">
        <v>154</v>
      </c>
      <c r="U301">
        <v>3.84</v>
      </c>
      <c r="V301">
        <v>4.53</v>
      </c>
      <c r="W301">
        <v>174793</v>
      </c>
      <c r="X301">
        <v>219884</v>
      </c>
      <c r="Y301">
        <v>0.79</v>
      </c>
      <c r="Z301">
        <v>3026</v>
      </c>
      <c r="AA301">
        <v>316</v>
      </c>
      <c r="AB301" t="s">
        <v>32</v>
      </c>
      <c r="AC301">
        <v>39.21</v>
      </c>
    </row>
    <row r="302" spans="1:29">
      <c r="A302" t="str">
        <f>"000779"</f>
        <v>000779</v>
      </c>
      <c r="B302" t="s">
        <v>450</v>
      </c>
      <c r="C302" t="s">
        <v>32</v>
      </c>
      <c r="D302">
        <v>13.47</v>
      </c>
      <c r="E302" t="s">
        <v>32</v>
      </c>
      <c r="F302" t="s">
        <v>32</v>
      </c>
      <c r="G302" t="s">
        <v>32</v>
      </c>
      <c r="H302">
        <v>0</v>
      </c>
      <c r="I302">
        <v>0</v>
      </c>
      <c r="J302" t="s">
        <v>32</v>
      </c>
      <c r="K302">
        <v>0</v>
      </c>
      <c r="L302" t="s">
        <v>32</v>
      </c>
      <c r="M302" t="s">
        <v>32</v>
      </c>
      <c r="N302" t="s">
        <v>32</v>
      </c>
      <c r="O302">
        <v>13.47</v>
      </c>
      <c r="P302">
        <v>1142.15</v>
      </c>
      <c r="Q302">
        <v>0</v>
      </c>
      <c r="R302">
        <v>0</v>
      </c>
      <c r="S302" t="s">
        <v>99</v>
      </c>
      <c r="T302" t="s">
        <v>266</v>
      </c>
      <c r="U302">
        <v>0</v>
      </c>
      <c r="V302">
        <v>13.47</v>
      </c>
      <c r="W302">
        <v>0</v>
      </c>
      <c r="X302">
        <v>0</v>
      </c>
      <c r="Y302" t="s">
        <v>32</v>
      </c>
      <c r="Z302">
        <v>0</v>
      </c>
      <c r="AA302">
        <v>0</v>
      </c>
      <c r="AB302" t="s">
        <v>32</v>
      </c>
      <c r="AC302">
        <v>1.86</v>
      </c>
    </row>
    <row r="303" spans="1:29">
      <c r="A303" t="str">
        <f>"000780"</f>
        <v>000780</v>
      </c>
      <c r="B303" t="s">
        <v>451</v>
      </c>
      <c r="C303">
        <v>2.33</v>
      </c>
      <c r="D303">
        <v>3.52</v>
      </c>
      <c r="E303">
        <v>0.08</v>
      </c>
      <c r="F303">
        <v>3.51</v>
      </c>
      <c r="G303">
        <v>3.52</v>
      </c>
      <c r="H303">
        <v>58207</v>
      </c>
      <c r="I303">
        <v>1025</v>
      </c>
      <c r="J303">
        <v>0</v>
      </c>
      <c r="K303">
        <v>0.57</v>
      </c>
      <c r="L303">
        <v>3.44</v>
      </c>
      <c r="M303">
        <v>3.53</v>
      </c>
      <c r="N303">
        <v>3.42</v>
      </c>
      <c r="O303">
        <v>3.44</v>
      </c>
      <c r="P303" t="s">
        <v>32</v>
      </c>
      <c r="Q303">
        <v>20305462</v>
      </c>
      <c r="R303">
        <v>2.07</v>
      </c>
      <c r="S303" t="s">
        <v>265</v>
      </c>
      <c r="T303" t="s">
        <v>198</v>
      </c>
      <c r="U303">
        <v>3.2</v>
      </c>
      <c r="V303">
        <v>3.49</v>
      </c>
      <c r="W303">
        <v>25054</v>
      </c>
      <c r="X303">
        <v>33152</v>
      </c>
      <c r="Y303">
        <v>0.76</v>
      </c>
      <c r="Z303">
        <v>600</v>
      </c>
      <c r="AA303">
        <v>1145</v>
      </c>
      <c r="AB303" t="s">
        <v>32</v>
      </c>
      <c r="AC303">
        <v>10.14</v>
      </c>
    </row>
    <row r="304" spans="1:29">
      <c r="A304" t="str">
        <f>"000782"</f>
        <v>000782</v>
      </c>
      <c r="B304" t="s">
        <v>452</v>
      </c>
      <c r="C304">
        <v>7.86</v>
      </c>
      <c r="D304">
        <v>6.31</v>
      </c>
      <c r="E304">
        <v>0.46</v>
      </c>
      <c r="F304">
        <v>6.31</v>
      </c>
      <c r="G304">
        <v>6.32</v>
      </c>
      <c r="H304">
        <v>55022</v>
      </c>
      <c r="I304">
        <v>3316</v>
      </c>
      <c r="J304">
        <v>0.32</v>
      </c>
      <c r="K304">
        <v>1.23</v>
      </c>
      <c r="L304">
        <v>5.85</v>
      </c>
      <c r="M304">
        <v>6.31</v>
      </c>
      <c r="N304">
        <v>5.8</v>
      </c>
      <c r="O304">
        <v>5.85</v>
      </c>
      <c r="P304">
        <v>45.65</v>
      </c>
      <c r="Q304">
        <v>33668924</v>
      </c>
      <c r="R304">
        <v>5.73</v>
      </c>
      <c r="S304" t="s">
        <v>190</v>
      </c>
      <c r="T304" t="s">
        <v>136</v>
      </c>
      <c r="U304">
        <v>8.72</v>
      </c>
      <c r="V304">
        <v>6.12</v>
      </c>
      <c r="W304">
        <v>21493</v>
      </c>
      <c r="X304">
        <v>33529</v>
      </c>
      <c r="Y304">
        <v>0.64</v>
      </c>
      <c r="Z304">
        <v>5</v>
      </c>
      <c r="AA304">
        <v>1195</v>
      </c>
      <c r="AB304" t="s">
        <v>32</v>
      </c>
      <c r="AC304">
        <v>4.46</v>
      </c>
    </row>
    <row r="305" spans="1:29">
      <c r="A305" t="str">
        <f>"000783"</f>
        <v>000783</v>
      </c>
      <c r="B305" t="s">
        <v>453</v>
      </c>
      <c r="C305">
        <v>4.53</v>
      </c>
      <c r="D305">
        <v>5.54</v>
      </c>
      <c r="E305">
        <v>0.24</v>
      </c>
      <c r="F305">
        <v>5.53</v>
      </c>
      <c r="G305">
        <v>5.54</v>
      </c>
      <c r="H305">
        <v>475865</v>
      </c>
      <c r="I305">
        <v>3228</v>
      </c>
      <c r="J305">
        <v>0.18</v>
      </c>
      <c r="K305">
        <v>0.86</v>
      </c>
      <c r="L305">
        <v>5.29</v>
      </c>
      <c r="M305">
        <v>5.59</v>
      </c>
      <c r="N305">
        <v>5.28</v>
      </c>
      <c r="O305">
        <v>5.3</v>
      </c>
      <c r="P305">
        <v>23.77</v>
      </c>
      <c r="Q305">
        <v>261039152</v>
      </c>
      <c r="R305">
        <v>3.78</v>
      </c>
      <c r="S305" t="s">
        <v>158</v>
      </c>
      <c r="T305" t="s">
        <v>193</v>
      </c>
      <c r="U305">
        <v>5.85</v>
      </c>
      <c r="V305">
        <v>5.49</v>
      </c>
      <c r="W305">
        <v>220220</v>
      </c>
      <c r="X305">
        <v>255645</v>
      </c>
      <c r="Y305">
        <v>0.86</v>
      </c>
      <c r="Z305">
        <v>2671</v>
      </c>
      <c r="AA305">
        <v>1080</v>
      </c>
      <c r="AB305" t="s">
        <v>32</v>
      </c>
      <c r="AC305">
        <v>55.29</v>
      </c>
    </row>
    <row r="306" spans="1:29">
      <c r="A306" t="str">
        <f>"000785"</f>
        <v>000785</v>
      </c>
      <c r="B306" t="s">
        <v>454</v>
      </c>
      <c r="C306">
        <v>1.49</v>
      </c>
      <c r="D306">
        <v>8.16</v>
      </c>
      <c r="E306">
        <v>0.12</v>
      </c>
      <c r="F306">
        <v>8.15</v>
      </c>
      <c r="G306">
        <v>8.16</v>
      </c>
      <c r="H306">
        <v>16829</v>
      </c>
      <c r="I306">
        <v>369</v>
      </c>
      <c r="J306">
        <v>0.25</v>
      </c>
      <c r="K306">
        <v>0.67</v>
      </c>
      <c r="L306">
        <v>8.05</v>
      </c>
      <c r="M306">
        <v>8.17</v>
      </c>
      <c r="N306">
        <v>8</v>
      </c>
      <c r="O306">
        <v>8.04</v>
      </c>
      <c r="P306">
        <v>7.44</v>
      </c>
      <c r="Q306">
        <v>13647039</v>
      </c>
      <c r="R306">
        <v>1.52</v>
      </c>
      <c r="S306" t="s">
        <v>186</v>
      </c>
      <c r="T306" t="s">
        <v>193</v>
      </c>
      <c r="U306">
        <v>2.11</v>
      </c>
      <c r="V306">
        <v>8.11</v>
      </c>
      <c r="W306">
        <v>6818</v>
      </c>
      <c r="X306">
        <v>10011</v>
      </c>
      <c r="Y306">
        <v>0.68</v>
      </c>
      <c r="Z306">
        <v>52</v>
      </c>
      <c r="AA306">
        <v>594</v>
      </c>
      <c r="AB306" t="s">
        <v>32</v>
      </c>
      <c r="AC306">
        <v>2.51</v>
      </c>
    </row>
    <row r="307" spans="1:29">
      <c r="A307" t="str">
        <f>"000786"</f>
        <v>000786</v>
      </c>
      <c r="B307" t="s">
        <v>455</v>
      </c>
      <c r="C307">
        <v>5.81</v>
      </c>
      <c r="D307">
        <v>22.03</v>
      </c>
      <c r="E307">
        <v>1.21</v>
      </c>
      <c r="F307">
        <v>22.03</v>
      </c>
      <c r="G307">
        <v>22.04</v>
      </c>
      <c r="H307">
        <v>338997</v>
      </c>
      <c r="I307">
        <v>2838</v>
      </c>
      <c r="J307">
        <v>-0.26</v>
      </c>
      <c r="K307">
        <v>2.4</v>
      </c>
      <c r="L307">
        <v>20.98</v>
      </c>
      <c r="M307">
        <v>22.48</v>
      </c>
      <c r="N307">
        <v>20.98</v>
      </c>
      <c r="O307">
        <v>20.82</v>
      </c>
      <c r="P307">
        <v>18.97</v>
      </c>
      <c r="Q307">
        <v>746327872</v>
      </c>
      <c r="R307">
        <v>2.85</v>
      </c>
      <c r="S307" t="s">
        <v>69</v>
      </c>
      <c r="T307" t="s">
        <v>45</v>
      </c>
      <c r="U307">
        <v>7.2</v>
      </c>
      <c r="V307">
        <v>22.02</v>
      </c>
      <c r="W307">
        <v>154407</v>
      </c>
      <c r="X307">
        <v>184589</v>
      </c>
      <c r="Y307">
        <v>0.84</v>
      </c>
      <c r="Z307">
        <v>281</v>
      </c>
      <c r="AA307">
        <v>873</v>
      </c>
      <c r="AB307" t="s">
        <v>32</v>
      </c>
      <c r="AC307">
        <v>14.14</v>
      </c>
    </row>
    <row r="308" spans="1:29">
      <c r="A308" t="str">
        <f>"000788"</f>
        <v>000788</v>
      </c>
      <c r="B308" t="s">
        <v>456</v>
      </c>
      <c r="C308">
        <v>2.25</v>
      </c>
      <c r="D308">
        <v>6.83</v>
      </c>
      <c r="E308">
        <v>0.15</v>
      </c>
      <c r="F308">
        <v>6.82</v>
      </c>
      <c r="G308">
        <v>6.83</v>
      </c>
      <c r="H308">
        <v>84126</v>
      </c>
      <c r="I308">
        <v>891</v>
      </c>
      <c r="J308">
        <v>-0.28</v>
      </c>
      <c r="K308">
        <v>1.47</v>
      </c>
      <c r="L308">
        <v>6.6</v>
      </c>
      <c r="M308">
        <v>6.85</v>
      </c>
      <c r="N308">
        <v>6.58</v>
      </c>
      <c r="O308">
        <v>6.68</v>
      </c>
      <c r="P308">
        <v>69.6</v>
      </c>
      <c r="Q308">
        <v>56787704</v>
      </c>
      <c r="R308">
        <v>1.2</v>
      </c>
      <c r="S308" t="s">
        <v>142</v>
      </c>
      <c r="T308" t="s">
        <v>221</v>
      </c>
      <c r="U308">
        <v>4.04</v>
      </c>
      <c r="V308">
        <v>6.75</v>
      </c>
      <c r="W308">
        <v>35919</v>
      </c>
      <c r="X308">
        <v>48207</v>
      </c>
      <c r="Y308">
        <v>0.75</v>
      </c>
      <c r="Z308">
        <v>241</v>
      </c>
      <c r="AA308">
        <v>82</v>
      </c>
      <c r="AB308" t="s">
        <v>32</v>
      </c>
      <c r="AC308">
        <v>5.72</v>
      </c>
    </row>
    <row r="309" spans="1:29">
      <c r="A309" t="str">
        <f>"000789"</f>
        <v>000789</v>
      </c>
      <c r="B309" t="s">
        <v>457</v>
      </c>
      <c r="C309">
        <v>5.59</v>
      </c>
      <c r="D309">
        <v>13.4</v>
      </c>
      <c r="E309">
        <v>0.71</v>
      </c>
      <c r="F309">
        <v>13.4</v>
      </c>
      <c r="G309">
        <v>13.41</v>
      </c>
      <c r="H309">
        <v>842585</v>
      </c>
      <c r="I309">
        <v>4376</v>
      </c>
      <c r="J309">
        <v>0.07</v>
      </c>
      <c r="K309">
        <v>13.74</v>
      </c>
      <c r="L309">
        <v>12.88</v>
      </c>
      <c r="M309">
        <v>13.67</v>
      </c>
      <c r="N309">
        <v>12.73</v>
      </c>
      <c r="O309">
        <v>12.69</v>
      </c>
      <c r="P309">
        <v>9.11</v>
      </c>
      <c r="Q309">
        <v>1106648960</v>
      </c>
      <c r="R309">
        <v>2.68</v>
      </c>
      <c r="S309" t="s">
        <v>166</v>
      </c>
      <c r="T309" t="s">
        <v>172</v>
      </c>
      <c r="U309">
        <v>7.41</v>
      </c>
      <c r="V309">
        <v>13.13</v>
      </c>
      <c r="W309">
        <v>408558</v>
      </c>
      <c r="X309">
        <v>434027</v>
      </c>
      <c r="Y309">
        <v>0.94</v>
      </c>
      <c r="Z309">
        <v>1545</v>
      </c>
      <c r="AA309">
        <v>239</v>
      </c>
      <c r="AB309" t="s">
        <v>32</v>
      </c>
      <c r="AC309">
        <v>6.13</v>
      </c>
    </row>
    <row r="310" spans="1:29">
      <c r="A310" t="str">
        <f>"000790"</f>
        <v>000790</v>
      </c>
      <c r="B310" t="s">
        <v>458</v>
      </c>
      <c r="C310">
        <v>3.24</v>
      </c>
      <c r="D310">
        <v>6.38</v>
      </c>
      <c r="E310">
        <v>0.2</v>
      </c>
      <c r="F310">
        <v>6.38</v>
      </c>
      <c r="G310">
        <v>6.39</v>
      </c>
      <c r="H310">
        <v>373783</v>
      </c>
      <c r="I310">
        <v>4324</v>
      </c>
      <c r="J310">
        <v>0</v>
      </c>
      <c r="K310">
        <v>6.67</v>
      </c>
      <c r="L310">
        <v>6.17</v>
      </c>
      <c r="M310">
        <v>6.45</v>
      </c>
      <c r="N310">
        <v>6.12</v>
      </c>
      <c r="O310">
        <v>6.18</v>
      </c>
      <c r="P310">
        <v>169.07</v>
      </c>
      <c r="Q310">
        <v>236722672</v>
      </c>
      <c r="R310">
        <v>1.07</v>
      </c>
      <c r="S310" t="s">
        <v>195</v>
      </c>
      <c r="T310" t="s">
        <v>146</v>
      </c>
      <c r="U310">
        <v>5.34</v>
      </c>
      <c r="V310">
        <v>6.33</v>
      </c>
      <c r="W310">
        <v>168475</v>
      </c>
      <c r="X310">
        <v>205308</v>
      </c>
      <c r="Y310">
        <v>0.82</v>
      </c>
      <c r="Z310">
        <v>3582</v>
      </c>
      <c r="AA310">
        <v>3122</v>
      </c>
      <c r="AB310" t="s">
        <v>32</v>
      </c>
      <c r="AC310">
        <v>5.6</v>
      </c>
    </row>
    <row r="311" spans="1:29">
      <c r="A311" t="str">
        <f>"000791"</f>
        <v>000791</v>
      </c>
      <c r="B311" t="s">
        <v>459</v>
      </c>
      <c r="C311">
        <v>0.19</v>
      </c>
      <c r="D311">
        <v>5.22</v>
      </c>
      <c r="E311">
        <v>0.01</v>
      </c>
      <c r="F311">
        <v>5.22</v>
      </c>
      <c r="G311">
        <v>5.23</v>
      </c>
      <c r="H311">
        <v>134877</v>
      </c>
      <c r="I311">
        <v>2103</v>
      </c>
      <c r="J311">
        <v>-0.18</v>
      </c>
      <c r="K311">
        <v>1.39</v>
      </c>
      <c r="L311">
        <v>5.16</v>
      </c>
      <c r="M311">
        <v>5.3</v>
      </c>
      <c r="N311">
        <v>5.12</v>
      </c>
      <c r="O311">
        <v>5.21</v>
      </c>
      <c r="P311" t="s">
        <v>32</v>
      </c>
      <c r="Q311">
        <v>70089456</v>
      </c>
      <c r="R311">
        <v>0.85</v>
      </c>
      <c r="S311" t="s">
        <v>312</v>
      </c>
      <c r="T311" t="s">
        <v>266</v>
      </c>
      <c r="U311">
        <v>3.45</v>
      </c>
      <c r="V311">
        <v>5.2</v>
      </c>
      <c r="W311">
        <v>78946</v>
      </c>
      <c r="X311">
        <v>55930</v>
      </c>
      <c r="Y311">
        <v>1.41</v>
      </c>
      <c r="Z311">
        <v>1302</v>
      </c>
      <c r="AA311">
        <v>1664</v>
      </c>
      <c r="AB311" t="s">
        <v>32</v>
      </c>
      <c r="AC311">
        <v>9.71</v>
      </c>
    </row>
    <row r="312" spans="1:29">
      <c r="A312" t="str">
        <f>"000792"</f>
        <v>000792</v>
      </c>
      <c r="B312" t="s">
        <v>460</v>
      </c>
      <c r="C312">
        <v>1.7</v>
      </c>
      <c r="D312">
        <v>8.99</v>
      </c>
      <c r="E312">
        <v>0.15</v>
      </c>
      <c r="F312">
        <v>8.98</v>
      </c>
      <c r="G312">
        <v>8.99</v>
      </c>
      <c r="H312">
        <v>223484</v>
      </c>
      <c r="I312">
        <v>1492</v>
      </c>
      <c r="J312">
        <v>0</v>
      </c>
      <c r="K312">
        <v>0.81</v>
      </c>
      <c r="L312">
        <v>8.86</v>
      </c>
      <c r="M312">
        <v>9.08</v>
      </c>
      <c r="N312">
        <v>8.81</v>
      </c>
      <c r="O312">
        <v>8.84</v>
      </c>
      <c r="P312" t="s">
        <v>32</v>
      </c>
      <c r="Q312">
        <v>200310624</v>
      </c>
      <c r="R312">
        <v>0.78</v>
      </c>
      <c r="S312" t="s">
        <v>218</v>
      </c>
      <c r="T312" t="s">
        <v>176</v>
      </c>
      <c r="U312">
        <v>3.05</v>
      </c>
      <c r="V312">
        <v>8.96</v>
      </c>
      <c r="W312">
        <v>100448</v>
      </c>
      <c r="X312">
        <v>123036</v>
      </c>
      <c r="Y312">
        <v>0.82</v>
      </c>
      <c r="Z312">
        <v>423</v>
      </c>
      <c r="AA312">
        <v>378</v>
      </c>
      <c r="AB312" t="s">
        <v>32</v>
      </c>
      <c r="AC312">
        <v>27.5</v>
      </c>
    </row>
    <row r="313" spans="1:29">
      <c r="A313" t="str">
        <f>"000793"</f>
        <v>000793</v>
      </c>
      <c r="B313" t="s">
        <v>461</v>
      </c>
      <c r="C313">
        <v>-2.24</v>
      </c>
      <c r="D313">
        <v>4.36</v>
      </c>
      <c r="E313">
        <v>-0.1</v>
      </c>
      <c r="F313">
        <v>4.36</v>
      </c>
      <c r="G313">
        <v>4.37</v>
      </c>
      <c r="H313">
        <v>1479555</v>
      </c>
      <c r="I313">
        <v>20260</v>
      </c>
      <c r="J313">
        <v>-0.22</v>
      </c>
      <c r="K313">
        <v>7.7</v>
      </c>
      <c r="L313">
        <v>4.3</v>
      </c>
      <c r="M313">
        <v>4.45</v>
      </c>
      <c r="N313">
        <v>4.23</v>
      </c>
      <c r="O313">
        <v>4.46</v>
      </c>
      <c r="P313">
        <v>103.08</v>
      </c>
      <c r="Q313">
        <v>642201344</v>
      </c>
      <c r="R313">
        <v>2.46</v>
      </c>
      <c r="S313" t="s">
        <v>211</v>
      </c>
      <c r="T313" t="s">
        <v>209</v>
      </c>
      <c r="U313">
        <v>4.93</v>
      </c>
      <c r="V313">
        <v>4.34</v>
      </c>
      <c r="W313">
        <v>679216</v>
      </c>
      <c r="X313">
        <v>800338</v>
      </c>
      <c r="Y313">
        <v>0.85</v>
      </c>
      <c r="Z313">
        <v>19102</v>
      </c>
      <c r="AA313">
        <v>6585</v>
      </c>
      <c r="AB313" t="s">
        <v>32</v>
      </c>
      <c r="AC313">
        <v>19.21</v>
      </c>
    </row>
    <row r="314" spans="1:29">
      <c r="A314" t="str">
        <f>"000795"</f>
        <v>000795</v>
      </c>
      <c r="B314" t="s">
        <v>462</v>
      </c>
      <c r="C314">
        <v>1.76</v>
      </c>
      <c r="D314">
        <v>4.62</v>
      </c>
      <c r="E314">
        <v>0.08</v>
      </c>
      <c r="F314">
        <v>4.62</v>
      </c>
      <c r="G314">
        <v>4.63</v>
      </c>
      <c r="H314">
        <v>193000</v>
      </c>
      <c r="I314">
        <v>2050</v>
      </c>
      <c r="J314">
        <v>0</v>
      </c>
      <c r="K314">
        <v>2.81</v>
      </c>
      <c r="L314">
        <v>4.52</v>
      </c>
      <c r="M314">
        <v>4.74</v>
      </c>
      <c r="N314">
        <v>4.51</v>
      </c>
      <c r="O314">
        <v>4.54</v>
      </c>
      <c r="P314">
        <v>76.25</v>
      </c>
      <c r="Q314">
        <v>89398264</v>
      </c>
      <c r="R314">
        <v>1.74</v>
      </c>
      <c r="S314" t="s">
        <v>227</v>
      </c>
      <c r="T314" t="s">
        <v>169</v>
      </c>
      <c r="U314">
        <v>5.07</v>
      </c>
      <c r="V314">
        <v>4.63</v>
      </c>
      <c r="W314">
        <v>93493</v>
      </c>
      <c r="X314">
        <v>99507</v>
      </c>
      <c r="Y314">
        <v>0.94</v>
      </c>
      <c r="Z314">
        <v>1458</v>
      </c>
      <c r="AA314">
        <v>1202</v>
      </c>
      <c r="AB314" t="s">
        <v>32</v>
      </c>
      <c r="AC314">
        <v>6.86</v>
      </c>
    </row>
    <row r="315" spans="1:29">
      <c r="A315" t="str">
        <f>"000796"</f>
        <v>000796</v>
      </c>
      <c r="B315" t="s">
        <v>463</v>
      </c>
      <c r="C315">
        <v>0.74</v>
      </c>
      <c r="D315">
        <v>9.5</v>
      </c>
      <c r="E315">
        <v>0.07</v>
      </c>
      <c r="F315">
        <v>9.49</v>
      </c>
      <c r="G315">
        <v>9.5</v>
      </c>
      <c r="H315">
        <v>68663</v>
      </c>
      <c r="I315">
        <v>491</v>
      </c>
      <c r="J315">
        <v>0.32</v>
      </c>
      <c r="K315">
        <v>2.79</v>
      </c>
      <c r="L315">
        <v>9.29</v>
      </c>
      <c r="M315">
        <v>9.65</v>
      </c>
      <c r="N315">
        <v>9.2</v>
      </c>
      <c r="O315">
        <v>9.43</v>
      </c>
      <c r="P315">
        <v>68.39</v>
      </c>
      <c r="Q315">
        <v>64969540</v>
      </c>
      <c r="R315">
        <v>1.57</v>
      </c>
      <c r="S315" t="s">
        <v>321</v>
      </c>
      <c r="T315" t="s">
        <v>223</v>
      </c>
      <c r="U315">
        <v>4.77</v>
      </c>
      <c r="V315">
        <v>9.46</v>
      </c>
      <c r="W315">
        <v>35479</v>
      </c>
      <c r="X315">
        <v>33183</v>
      </c>
      <c r="Y315">
        <v>1.07</v>
      </c>
      <c r="Z315">
        <v>276</v>
      </c>
      <c r="AA315">
        <v>210</v>
      </c>
      <c r="AB315" t="s">
        <v>32</v>
      </c>
      <c r="AC315">
        <v>2.46</v>
      </c>
    </row>
    <row r="316" spans="1:29">
      <c r="A316" t="str">
        <f>"000797"</f>
        <v>000797</v>
      </c>
      <c r="B316" t="s">
        <v>464</v>
      </c>
      <c r="C316">
        <v>4.24</v>
      </c>
      <c r="D316">
        <v>6.89</v>
      </c>
      <c r="E316">
        <v>0.28</v>
      </c>
      <c r="F316">
        <v>6.89</v>
      </c>
      <c r="G316">
        <v>6.9</v>
      </c>
      <c r="H316">
        <v>80868</v>
      </c>
      <c r="I316">
        <v>656</v>
      </c>
      <c r="J316">
        <v>0.29</v>
      </c>
      <c r="K316">
        <v>0.81</v>
      </c>
      <c r="L316">
        <v>6.62</v>
      </c>
      <c r="M316">
        <v>7.18</v>
      </c>
      <c r="N316">
        <v>6.62</v>
      </c>
      <c r="O316">
        <v>6.61</v>
      </c>
      <c r="P316">
        <v>44.91</v>
      </c>
      <c r="Q316">
        <v>56045736</v>
      </c>
      <c r="R316">
        <v>2.9</v>
      </c>
      <c r="S316" t="s">
        <v>34</v>
      </c>
      <c r="T316" t="s">
        <v>236</v>
      </c>
      <c r="U316">
        <v>8.47</v>
      </c>
      <c r="V316">
        <v>6.93</v>
      </c>
      <c r="W316">
        <v>38845</v>
      </c>
      <c r="X316">
        <v>42023</v>
      </c>
      <c r="Y316">
        <v>0.92</v>
      </c>
      <c r="Z316">
        <v>88</v>
      </c>
      <c r="AA316">
        <v>511</v>
      </c>
      <c r="AB316" t="s">
        <v>32</v>
      </c>
      <c r="AC316">
        <v>10</v>
      </c>
    </row>
    <row r="317" spans="1:29">
      <c r="A317" t="str">
        <f>"000798"</f>
        <v>000798</v>
      </c>
      <c r="B317" t="s">
        <v>465</v>
      </c>
      <c r="C317">
        <v>1.59</v>
      </c>
      <c r="D317">
        <v>6.39</v>
      </c>
      <c r="E317">
        <v>0.1</v>
      </c>
      <c r="F317">
        <v>6.39</v>
      </c>
      <c r="G317">
        <v>6.4</v>
      </c>
      <c r="H317">
        <v>18831</v>
      </c>
      <c r="I317">
        <v>100</v>
      </c>
      <c r="J317">
        <v>0.16</v>
      </c>
      <c r="K317">
        <v>0.59</v>
      </c>
      <c r="L317">
        <v>6.31</v>
      </c>
      <c r="M317">
        <v>6.4</v>
      </c>
      <c r="N317">
        <v>6.29</v>
      </c>
      <c r="O317">
        <v>6.29</v>
      </c>
      <c r="P317">
        <v>27.69</v>
      </c>
      <c r="Q317">
        <v>11980841</v>
      </c>
      <c r="R317">
        <v>1.63</v>
      </c>
      <c r="S317" t="s">
        <v>466</v>
      </c>
      <c r="T317" t="s">
        <v>45</v>
      </c>
      <c r="U317">
        <v>1.75</v>
      </c>
      <c r="V317">
        <v>6.36</v>
      </c>
      <c r="W317">
        <v>8286</v>
      </c>
      <c r="X317">
        <v>10545</v>
      </c>
      <c r="Y317">
        <v>0.79</v>
      </c>
      <c r="Z317">
        <v>579</v>
      </c>
      <c r="AA317">
        <v>241</v>
      </c>
      <c r="AB317" t="s">
        <v>32</v>
      </c>
      <c r="AC317">
        <v>3.19</v>
      </c>
    </row>
    <row r="318" spans="1:29">
      <c r="A318" t="str">
        <f>"000799"</f>
        <v>000799</v>
      </c>
      <c r="B318" t="s">
        <v>467</v>
      </c>
      <c r="C318">
        <v>3.69</v>
      </c>
      <c r="D318">
        <v>24.15</v>
      </c>
      <c r="E318">
        <v>0.86</v>
      </c>
      <c r="F318">
        <v>24.15</v>
      </c>
      <c r="G318">
        <v>24.16</v>
      </c>
      <c r="H318">
        <v>115448</v>
      </c>
      <c r="I318">
        <v>1654</v>
      </c>
      <c r="J318">
        <v>-0.03</v>
      </c>
      <c r="K318">
        <v>3.55</v>
      </c>
      <c r="L318">
        <v>23.36</v>
      </c>
      <c r="M318">
        <v>24.21</v>
      </c>
      <c r="N318">
        <v>23.21</v>
      </c>
      <c r="O318">
        <v>23.29</v>
      </c>
      <c r="P318">
        <v>31.37</v>
      </c>
      <c r="Q318">
        <v>275332928</v>
      </c>
      <c r="R318">
        <v>1.32</v>
      </c>
      <c r="S318" t="s">
        <v>285</v>
      </c>
      <c r="T318" t="s">
        <v>152</v>
      </c>
      <c r="U318">
        <v>4.29</v>
      </c>
      <c r="V318">
        <v>23.85</v>
      </c>
      <c r="W318">
        <v>53587</v>
      </c>
      <c r="X318">
        <v>61861</v>
      </c>
      <c r="Y318">
        <v>0.87</v>
      </c>
      <c r="Z318">
        <v>505</v>
      </c>
      <c r="AA318">
        <v>161</v>
      </c>
      <c r="AB318" t="s">
        <v>32</v>
      </c>
      <c r="AC318">
        <v>3.25</v>
      </c>
    </row>
    <row r="319" spans="1:29">
      <c r="A319" t="str">
        <f>"000800"</f>
        <v>000800</v>
      </c>
      <c r="B319" t="s">
        <v>468</v>
      </c>
      <c r="C319">
        <v>2.67</v>
      </c>
      <c r="D319">
        <v>7.7</v>
      </c>
      <c r="E319">
        <v>0.2</v>
      </c>
      <c r="F319">
        <v>7.69</v>
      </c>
      <c r="G319">
        <v>7.7</v>
      </c>
      <c r="H319">
        <v>134676</v>
      </c>
      <c r="I319">
        <v>1237</v>
      </c>
      <c r="J319">
        <v>0</v>
      </c>
      <c r="K319">
        <v>0.95</v>
      </c>
      <c r="L319">
        <v>7.53</v>
      </c>
      <c r="M319">
        <v>7.77</v>
      </c>
      <c r="N319">
        <v>7.45</v>
      </c>
      <c r="O319">
        <v>7.5</v>
      </c>
      <c r="P319">
        <v>59.99</v>
      </c>
      <c r="Q319">
        <v>102698408</v>
      </c>
      <c r="R319">
        <v>1.22</v>
      </c>
      <c r="S319" t="s">
        <v>262</v>
      </c>
      <c r="T319" t="s">
        <v>81</v>
      </c>
      <c r="U319">
        <v>4.27</v>
      </c>
      <c r="V319">
        <v>7.63</v>
      </c>
      <c r="W319">
        <v>59656</v>
      </c>
      <c r="X319">
        <v>75019</v>
      </c>
      <c r="Y319">
        <v>0.8</v>
      </c>
      <c r="Z319">
        <v>2088</v>
      </c>
      <c r="AA319">
        <v>166</v>
      </c>
      <c r="AB319" t="s">
        <v>32</v>
      </c>
      <c r="AC319">
        <v>14.12</v>
      </c>
    </row>
    <row r="320" spans="1:29">
      <c r="A320" t="str">
        <f>"000801"</f>
        <v>000801</v>
      </c>
      <c r="B320" t="s">
        <v>469</v>
      </c>
      <c r="C320">
        <v>7.08</v>
      </c>
      <c r="D320">
        <v>4.99</v>
      </c>
      <c r="E320">
        <v>0.33</v>
      </c>
      <c r="F320">
        <v>4.98</v>
      </c>
      <c r="G320">
        <v>4.99</v>
      </c>
      <c r="H320">
        <v>250848</v>
      </c>
      <c r="I320">
        <v>2308</v>
      </c>
      <c r="J320">
        <v>-0.19</v>
      </c>
      <c r="K320">
        <v>2.45</v>
      </c>
      <c r="L320">
        <v>4.64</v>
      </c>
      <c r="M320">
        <v>5.13</v>
      </c>
      <c r="N320">
        <v>4.59</v>
      </c>
      <c r="O320">
        <v>4.66</v>
      </c>
      <c r="P320">
        <v>303.89</v>
      </c>
      <c r="Q320">
        <v>124508536</v>
      </c>
      <c r="R320">
        <v>3.38</v>
      </c>
      <c r="S320" t="s">
        <v>119</v>
      </c>
      <c r="T320" t="s">
        <v>146</v>
      </c>
      <c r="U320">
        <v>11.59</v>
      </c>
      <c r="V320">
        <v>4.96</v>
      </c>
      <c r="W320">
        <v>156241</v>
      </c>
      <c r="X320">
        <v>94607</v>
      </c>
      <c r="Y320">
        <v>1.65</v>
      </c>
      <c r="Z320">
        <v>1554</v>
      </c>
      <c r="AA320">
        <v>928</v>
      </c>
      <c r="AB320" t="s">
        <v>32</v>
      </c>
      <c r="AC320">
        <v>10.23</v>
      </c>
    </row>
    <row r="321" spans="1:29">
      <c r="A321" t="str">
        <f>"000802"</f>
        <v>000802</v>
      </c>
      <c r="B321" t="s">
        <v>470</v>
      </c>
      <c r="C321">
        <v>-0.24</v>
      </c>
      <c r="D321">
        <v>12.24</v>
      </c>
      <c r="E321">
        <v>-0.03</v>
      </c>
      <c r="F321">
        <v>12.23</v>
      </c>
      <c r="G321">
        <v>12.24</v>
      </c>
      <c r="H321">
        <v>203015</v>
      </c>
      <c r="I321">
        <v>7014</v>
      </c>
      <c r="J321">
        <v>-0.15</v>
      </c>
      <c r="K321">
        <v>5.27</v>
      </c>
      <c r="L321">
        <v>12.16</v>
      </c>
      <c r="M321">
        <v>12.47</v>
      </c>
      <c r="N321">
        <v>12.04</v>
      </c>
      <c r="O321">
        <v>12.27</v>
      </c>
      <c r="P321">
        <v>173.52</v>
      </c>
      <c r="Q321">
        <v>249309968</v>
      </c>
      <c r="R321">
        <v>0.81</v>
      </c>
      <c r="S321" t="s">
        <v>148</v>
      </c>
      <c r="T321" t="s">
        <v>45</v>
      </c>
      <c r="U321">
        <v>3.5</v>
      </c>
      <c r="V321">
        <v>12.28</v>
      </c>
      <c r="W321">
        <v>103475</v>
      </c>
      <c r="X321">
        <v>99540</v>
      </c>
      <c r="Y321">
        <v>1.04</v>
      </c>
      <c r="Z321">
        <v>1203</v>
      </c>
      <c r="AA321">
        <v>1125</v>
      </c>
      <c r="AB321" t="s">
        <v>32</v>
      </c>
      <c r="AC321">
        <v>3.85</v>
      </c>
    </row>
    <row r="322" spans="1:29">
      <c r="A322" t="str">
        <f>"000803"</f>
        <v>000803</v>
      </c>
      <c r="B322" t="s">
        <v>471</v>
      </c>
      <c r="C322">
        <v>1.03</v>
      </c>
      <c r="D322">
        <v>13.68</v>
      </c>
      <c r="E322">
        <v>0.14</v>
      </c>
      <c r="F322">
        <v>13.67</v>
      </c>
      <c r="G322">
        <v>13.68</v>
      </c>
      <c r="H322">
        <v>2220</v>
      </c>
      <c r="I322">
        <v>88</v>
      </c>
      <c r="J322">
        <v>0.81</v>
      </c>
      <c r="K322">
        <v>0.17</v>
      </c>
      <c r="L322">
        <v>13.53</v>
      </c>
      <c r="M322">
        <v>13.83</v>
      </c>
      <c r="N322">
        <v>13.31</v>
      </c>
      <c r="O322">
        <v>13.54</v>
      </c>
      <c r="P322" t="s">
        <v>32</v>
      </c>
      <c r="Q322">
        <v>3026797</v>
      </c>
      <c r="R322">
        <v>0.84</v>
      </c>
      <c r="S322" t="s">
        <v>99</v>
      </c>
      <c r="T322" t="s">
        <v>146</v>
      </c>
      <c r="U322">
        <v>3.84</v>
      </c>
      <c r="V322">
        <v>13.63</v>
      </c>
      <c r="W322">
        <v>958</v>
      </c>
      <c r="X322">
        <v>1262</v>
      </c>
      <c r="Y322">
        <v>0.76</v>
      </c>
      <c r="Z322">
        <v>60</v>
      </c>
      <c r="AA322">
        <v>68</v>
      </c>
      <c r="AB322" t="s">
        <v>32</v>
      </c>
      <c r="AC322">
        <v>1.28</v>
      </c>
    </row>
    <row r="323" spans="1:29">
      <c r="A323" t="str">
        <f>"000806"</f>
        <v>000806</v>
      </c>
      <c r="B323" t="s">
        <v>472</v>
      </c>
      <c r="C323">
        <v>10.13</v>
      </c>
      <c r="D323">
        <v>4.13</v>
      </c>
      <c r="E323">
        <v>0.38</v>
      </c>
      <c r="F323">
        <v>4.13</v>
      </c>
      <c r="G323" t="s">
        <v>32</v>
      </c>
      <c r="H323">
        <v>193817</v>
      </c>
      <c r="I323">
        <v>490</v>
      </c>
      <c r="J323">
        <v>0</v>
      </c>
      <c r="K323">
        <v>2.77</v>
      </c>
      <c r="L323">
        <v>3.77</v>
      </c>
      <c r="M323">
        <v>4.13</v>
      </c>
      <c r="N323">
        <v>3.75</v>
      </c>
      <c r="O323">
        <v>3.75</v>
      </c>
      <c r="P323" t="s">
        <v>32</v>
      </c>
      <c r="Q323">
        <v>76999784</v>
      </c>
      <c r="R323">
        <v>1.3</v>
      </c>
      <c r="S323" t="s">
        <v>36</v>
      </c>
      <c r="T323" t="s">
        <v>238</v>
      </c>
      <c r="U323">
        <v>10.13</v>
      </c>
      <c r="V323">
        <v>3.97</v>
      </c>
      <c r="W323">
        <v>102849</v>
      </c>
      <c r="X323">
        <v>90967</v>
      </c>
      <c r="Y323">
        <v>1.13</v>
      </c>
      <c r="Z323">
        <v>53079</v>
      </c>
      <c r="AA323">
        <v>0</v>
      </c>
      <c r="AB323" t="s">
        <v>32</v>
      </c>
      <c r="AC323">
        <v>6.98</v>
      </c>
    </row>
    <row r="324" spans="1:29">
      <c r="A324" t="str">
        <f>"000807"</f>
        <v>000807</v>
      </c>
      <c r="B324" t="s">
        <v>473</v>
      </c>
      <c r="C324">
        <v>10.04</v>
      </c>
      <c r="D324">
        <v>5.7</v>
      </c>
      <c r="E324">
        <v>0.52</v>
      </c>
      <c r="F324">
        <v>5.7</v>
      </c>
      <c r="G324" t="s">
        <v>32</v>
      </c>
      <c r="H324">
        <v>1676046</v>
      </c>
      <c r="I324">
        <v>6338</v>
      </c>
      <c r="J324">
        <v>0</v>
      </c>
      <c r="K324">
        <v>6.9</v>
      </c>
      <c r="L324">
        <v>5.15</v>
      </c>
      <c r="M324">
        <v>5.7</v>
      </c>
      <c r="N324">
        <v>5.15</v>
      </c>
      <c r="O324">
        <v>5.18</v>
      </c>
      <c r="P324" t="s">
        <v>32</v>
      </c>
      <c r="Q324">
        <v>928136512</v>
      </c>
      <c r="R324">
        <v>4.39</v>
      </c>
      <c r="S324" t="s">
        <v>324</v>
      </c>
      <c r="T324" t="s">
        <v>250</v>
      </c>
      <c r="U324">
        <v>10.62</v>
      </c>
      <c r="V324">
        <v>5.54</v>
      </c>
      <c r="W324">
        <v>791498</v>
      </c>
      <c r="X324">
        <v>884547</v>
      </c>
      <c r="Y324">
        <v>0.89</v>
      </c>
      <c r="Z324">
        <v>1812</v>
      </c>
      <c r="AA324">
        <v>0</v>
      </c>
      <c r="AB324" t="s">
        <v>32</v>
      </c>
      <c r="AC324">
        <v>24.3</v>
      </c>
    </row>
    <row r="325" spans="1:29">
      <c r="A325" t="str">
        <f>"000809"</f>
        <v>000809</v>
      </c>
      <c r="B325" t="s">
        <v>474</v>
      </c>
      <c r="C325">
        <v>1.8</v>
      </c>
      <c r="D325">
        <v>2.83</v>
      </c>
      <c r="E325">
        <v>0.05</v>
      </c>
      <c r="F325">
        <v>2.82</v>
      </c>
      <c r="G325">
        <v>2.83</v>
      </c>
      <c r="H325">
        <v>51755</v>
      </c>
      <c r="I325">
        <v>242</v>
      </c>
      <c r="J325">
        <v>0</v>
      </c>
      <c r="K325">
        <v>0.63</v>
      </c>
      <c r="L325">
        <v>2.77</v>
      </c>
      <c r="M325">
        <v>2.84</v>
      </c>
      <c r="N325">
        <v>2.77</v>
      </c>
      <c r="O325">
        <v>2.78</v>
      </c>
      <c r="P325">
        <v>19.51</v>
      </c>
      <c r="Q325">
        <v>14579839</v>
      </c>
      <c r="R325">
        <v>1.65</v>
      </c>
      <c r="S325" t="s">
        <v>40</v>
      </c>
      <c r="T325" t="s">
        <v>111</v>
      </c>
      <c r="U325">
        <v>2.52</v>
      </c>
      <c r="V325">
        <v>2.82</v>
      </c>
      <c r="W325">
        <v>21904</v>
      </c>
      <c r="X325">
        <v>29851</v>
      </c>
      <c r="Y325">
        <v>0.73</v>
      </c>
      <c r="Z325">
        <v>808</v>
      </c>
      <c r="AA325">
        <v>1109</v>
      </c>
      <c r="AB325" t="s">
        <v>32</v>
      </c>
      <c r="AC325">
        <v>8.25</v>
      </c>
    </row>
    <row r="326" spans="1:29">
      <c r="A326" t="str">
        <f>"000810"</f>
        <v>000810</v>
      </c>
      <c r="B326" t="s">
        <v>475</v>
      </c>
      <c r="C326">
        <v>1.24</v>
      </c>
      <c r="D326">
        <v>9.83</v>
      </c>
      <c r="E326">
        <v>0.12</v>
      </c>
      <c r="F326">
        <v>9.83</v>
      </c>
      <c r="G326">
        <v>9.84</v>
      </c>
      <c r="H326">
        <v>165065</v>
      </c>
      <c r="I326">
        <v>2074</v>
      </c>
      <c r="J326">
        <v>-0.09</v>
      </c>
      <c r="K326">
        <v>1.72</v>
      </c>
      <c r="L326">
        <v>9.63</v>
      </c>
      <c r="M326">
        <v>9.97</v>
      </c>
      <c r="N326">
        <v>9.62</v>
      </c>
      <c r="O326">
        <v>9.71</v>
      </c>
      <c r="P326">
        <v>38.98</v>
      </c>
      <c r="Q326">
        <v>162139504</v>
      </c>
      <c r="R326">
        <v>1</v>
      </c>
      <c r="S326" t="s">
        <v>55</v>
      </c>
      <c r="T326" t="s">
        <v>146</v>
      </c>
      <c r="U326">
        <v>3.6</v>
      </c>
      <c r="V326">
        <v>9.82</v>
      </c>
      <c r="W326">
        <v>78335</v>
      </c>
      <c r="X326">
        <v>86730</v>
      </c>
      <c r="Y326">
        <v>0.9</v>
      </c>
      <c r="Z326">
        <v>1531</v>
      </c>
      <c r="AA326">
        <v>1042</v>
      </c>
      <c r="AB326" t="s">
        <v>32</v>
      </c>
      <c r="AC326">
        <v>9.6</v>
      </c>
    </row>
    <row r="327" spans="1:29">
      <c r="A327" t="str">
        <f>"000811"</f>
        <v>000811</v>
      </c>
      <c r="B327" t="s">
        <v>476</v>
      </c>
      <c r="C327">
        <v>3.48</v>
      </c>
      <c r="D327">
        <v>5.06</v>
      </c>
      <c r="E327">
        <v>0.17</v>
      </c>
      <c r="F327">
        <v>5.05</v>
      </c>
      <c r="G327">
        <v>5.06</v>
      </c>
      <c r="H327">
        <v>61603</v>
      </c>
      <c r="I327">
        <v>586</v>
      </c>
      <c r="J327">
        <v>0</v>
      </c>
      <c r="K327">
        <v>1.02</v>
      </c>
      <c r="L327">
        <v>4.86</v>
      </c>
      <c r="M327">
        <v>5.15</v>
      </c>
      <c r="N327">
        <v>4.86</v>
      </c>
      <c r="O327">
        <v>4.89</v>
      </c>
      <c r="P327" t="s">
        <v>32</v>
      </c>
      <c r="Q327">
        <v>30903788</v>
      </c>
      <c r="R327">
        <v>2.38</v>
      </c>
      <c r="S327" t="s">
        <v>151</v>
      </c>
      <c r="T327" t="s">
        <v>162</v>
      </c>
      <c r="U327">
        <v>5.93</v>
      </c>
      <c r="V327">
        <v>5.02</v>
      </c>
      <c r="W327">
        <v>26035</v>
      </c>
      <c r="X327">
        <v>35568</v>
      </c>
      <c r="Y327">
        <v>0.73</v>
      </c>
      <c r="Z327">
        <v>153</v>
      </c>
      <c r="AA327">
        <v>405</v>
      </c>
      <c r="AB327" t="s">
        <v>32</v>
      </c>
      <c r="AC327">
        <v>6.05</v>
      </c>
    </row>
    <row r="328" spans="1:29">
      <c r="A328" t="str">
        <f>"000812"</f>
        <v>000812</v>
      </c>
      <c r="B328" t="s">
        <v>477</v>
      </c>
      <c r="C328">
        <v>2.22</v>
      </c>
      <c r="D328">
        <v>3.69</v>
      </c>
      <c r="E328">
        <v>0.08</v>
      </c>
      <c r="F328">
        <v>3.69</v>
      </c>
      <c r="G328">
        <v>3.7</v>
      </c>
      <c r="H328">
        <v>234099</v>
      </c>
      <c r="I328">
        <v>2460</v>
      </c>
      <c r="J328">
        <v>0.27</v>
      </c>
      <c r="K328">
        <v>3.5</v>
      </c>
      <c r="L328">
        <v>3.61</v>
      </c>
      <c r="M328">
        <v>3.78</v>
      </c>
      <c r="N328">
        <v>3.58</v>
      </c>
      <c r="O328">
        <v>3.61</v>
      </c>
      <c r="P328">
        <v>58.33</v>
      </c>
      <c r="Q328">
        <v>86344656</v>
      </c>
      <c r="R328">
        <v>1.27</v>
      </c>
      <c r="S328" t="s">
        <v>91</v>
      </c>
      <c r="T328" t="s">
        <v>223</v>
      </c>
      <c r="U328">
        <v>5.54</v>
      </c>
      <c r="V328">
        <v>3.69</v>
      </c>
      <c r="W328">
        <v>115102</v>
      </c>
      <c r="X328">
        <v>118996</v>
      </c>
      <c r="Y328">
        <v>0.97</v>
      </c>
      <c r="Z328">
        <v>2913</v>
      </c>
      <c r="AA328">
        <v>4685</v>
      </c>
      <c r="AB328" t="s">
        <v>32</v>
      </c>
      <c r="AC328">
        <v>6.69</v>
      </c>
    </row>
    <row r="329" spans="1:29">
      <c r="A329" t="str">
        <f>"000813"</f>
        <v>000813</v>
      </c>
      <c r="B329" t="s">
        <v>478</v>
      </c>
      <c r="C329">
        <v>1.83</v>
      </c>
      <c r="D329">
        <v>8.33</v>
      </c>
      <c r="E329">
        <v>0.15</v>
      </c>
      <c r="F329">
        <v>8.3</v>
      </c>
      <c r="G329">
        <v>8.33</v>
      </c>
      <c r="H329">
        <v>41906</v>
      </c>
      <c r="I329">
        <v>231</v>
      </c>
      <c r="J329">
        <v>-0.11</v>
      </c>
      <c r="K329">
        <v>0.39</v>
      </c>
      <c r="L329">
        <v>8.2</v>
      </c>
      <c r="M329">
        <v>8.35</v>
      </c>
      <c r="N329">
        <v>8.16</v>
      </c>
      <c r="O329">
        <v>8.18</v>
      </c>
      <c r="P329">
        <v>26.24</v>
      </c>
      <c r="Q329">
        <v>34776416</v>
      </c>
      <c r="R329">
        <v>1.3</v>
      </c>
      <c r="S329" t="s">
        <v>142</v>
      </c>
      <c r="T329" t="s">
        <v>156</v>
      </c>
      <c r="U329">
        <v>2.32</v>
      </c>
      <c r="V329">
        <v>8.3</v>
      </c>
      <c r="W329">
        <v>11315</v>
      </c>
      <c r="X329">
        <v>30590</v>
      </c>
      <c r="Y329">
        <v>0.37</v>
      </c>
      <c r="Z329">
        <v>101</v>
      </c>
      <c r="AA329">
        <v>432</v>
      </c>
      <c r="AB329" t="s">
        <v>32</v>
      </c>
      <c r="AC329">
        <v>10.81</v>
      </c>
    </row>
    <row r="330" spans="1:29">
      <c r="A330" t="str">
        <f>"000815"</f>
        <v>000815</v>
      </c>
      <c r="B330" t="s">
        <v>479</v>
      </c>
      <c r="C330">
        <v>1.81</v>
      </c>
      <c r="D330">
        <v>8.45</v>
      </c>
      <c r="E330">
        <v>0.15</v>
      </c>
      <c r="F330">
        <v>8.45</v>
      </c>
      <c r="G330">
        <v>8.46</v>
      </c>
      <c r="H330">
        <v>20371</v>
      </c>
      <c r="I330">
        <v>670</v>
      </c>
      <c r="J330">
        <v>0.72</v>
      </c>
      <c r="K330">
        <v>0.64</v>
      </c>
      <c r="L330">
        <v>8.36</v>
      </c>
      <c r="M330">
        <v>8.46</v>
      </c>
      <c r="N330">
        <v>8.17</v>
      </c>
      <c r="O330">
        <v>8.3</v>
      </c>
      <c r="P330">
        <v>163.24</v>
      </c>
      <c r="Q330">
        <v>17069972</v>
      </c>
      <c r="R330">
        <v>1.25</v>
      </c>
      <c r="S330" t="s">
        <v>204</v>
      </c>
      <c r="T330" t="s">
        <v>273</v>
      </c>
      <c r="U330">
        <v>3.49</v>
      </c>
      <c r="V330">
        <v>8.38</v>
      </c>
      <c r="W330">
        <v>8645</v>
      </c>
      <c r="X330">
        <v>11725</v>
      </c>
      <c r="Y330">
        <v>0.74</v>
      </c>
      <c r="Z330">
        <v>65</v>
      </c>
      <c r="AA330">
        <v>151</v>
      </c>
      <c r="AB330" t="s">
        <v>32</v>
      </c>
      <c r="AC330">
        <v>3.17</v>
      </c>
    </row>
    <row r="331" spans="1:29">
      <c r="A331" t="str">
        <f>"000816"</f>
        <v>000816</v>
      </c>
      <c r="B331" t="s">
        <v>480</v>
      </c>
      <c r="C331">
        <v>1.31</v>
      </c>
      <c r="D331">
        <v>1.55</v>
      </c>
      <c r="E331">
        <v>0.02</v>
      </c>
      <c r="F331">
        <v>1.55</v>
      </c>
      <c r="G331">
        <v>1.56</v>
      </c>
      <c r="H331">
        <v>175791</v>
      </c>
      <c r="I331">
        <v>3092</v>
      </c>
      <c r="J331">
        <v>-0.63</v>
      </c>
      <c r="K331">
        <v>1.32</v>
      </c>
      <c r="L331">
        <v>1.52</v>
      </c>
      <c r="M331">
        <v>1.56</v>
      </c>
      <c r="N331">
        <v>1.52</v>
      </c>
      <c r="O331">
        <v>1.53</v>
      </c>
      <c r="P331" t="s">
        <v>32</v>
      </c>
      <c r="Q331">
        <v>27154832</v>
      </c>
      <c r="R331">
        <v>1.46</v>
      </c>
      <c r="S331" t="s">
        <v>481</v>
      </c>
      <c r="T331" t="s">
        <v>87</v>
      </c>
      <c r="U331">
        <v>2.61</v>
      </c>
      <c r="V331">
        <v>1.54</v>
      </c>
      <c r="W331">
        <v>86900</v>
      </c>
      <c r="X331">
        <v>88890</v>
      </c>
      <c r="Y331">
        <v>0.98</v>
      </c>
      <c r="Z331">
        <v>6783</v>
      </c>
      <c r="AA331">
        <v>28853</v>
      </c>
      <c r="AB331" t="s">
        <v>32</v>
      </c>
      <c r="AC331">
        <v>13.36</v>
      </c>
    </row>
    <row r="332" spans="1:29">
      <c r="A332" t="str">
        <f>"000818"</f>
        <v>000818</v>
      </c>
      <c r="B332" t="s">
        <v>482</v>
      </c>
      <c r="C332">
        <v>0.41</v>
      </c>
      <c r="D332">
        <v>12.39</v>
      </c>
      <c r="E332">
        <v>0.05</v>
      </c>
      <c r="F332">
        <v>12.39</v>
      </c>
      <c r="G332">
        <v>12.4</v>
      </c>
      <c r="H332">
        <v>86759</v>
      </c>
      <c r="I332">
        <v>2670</v>
      </c>
      <c r="J332">
        <v>0.16</v>
      </c>
      <c r="K332">
        <v>1.26</v>
      </c>
      <c r="L332">
        <v>12.31</v>
      </c>
      <c r="M332">
        <v>12.42</v>
      </c>
      <c r="N332">
        <v>12.28</v>
      </c>
      <c r="O332">
        <v>12.34</v>
      </c>
      <c r="P332">
        <v>17.78</v>
      </c>
      <c r="Q332">
        <v>107295472</v>
      </c>
      <c r="R332">
        <v>0.8</v>
      </c>
      <c r="S332" t="s">
        <v>218</v>
      </c>
      <c r="T332" t="s">
        <v>111</v>
      </c>
      <c r="U332">
        <v>1.13</v>
      </c>
      <c r="V332">
        <v>12.37</v>
      </c>
      <c r="W332">
        <v>47565</v>
      </c>
      <c r="X332">
        <v>39194</v>
      </c>
      <c r="Y332">
        <v>1.21</v>
      </c>
      <c r="Z332">
        <v>2521</v>
      </c>
      <c r="AA332">
        <v>1265</v>
      </c>
      <c r="AB332" t="s">
        <v>32</v>
      </c>
      <c r="AC332">
        <v>6.9</v>
      </c>
    </row>
    <row r="333" spans="1:29">
      <c r="A333" t="str">
        <f>"000819"</f>
        <v>000819</v>
      </c>
      <c r="B333" t="s">
        <v>483</v>
      </c>
      <c r="C333">
        <v>2.24</v>
      </c>
      <c r="D333">
        <v>9.59</v>
      </c>
      <c r="E333">
        <v>0.21</v>
      </c>
      <c r="F333">
        <v>9.58</v>
      </c>
      <c r="G333">
        <v>9.59</v>
      </c>
      <c r="H333">
        <v>21159</v>
      </c>
      <c r="I333">
        <v>163</v>
      </c>
      <c r="J333">
        <v>0</v>
      </c>
      <c r="K333">
        <v>0.78</v>
      </c>
      <c r="L333">
        <v>9.37</v>
      </c>
      <c r="M333">
        <v>9.66</v>
      </c>
      <c r="N333">
        <v>9.31</v>
      </c>
      <c r="O333">
        <v>9.38</v>
      </c>
      <c r="P333">
        <v>68.08</v>
      </c>
      <c r="Q333">
        <v>20182106</v>
      </c>
      <c r="R333">
        <v>1.09</v>
      </c>
      <c r="S333" t="s">
        <v>110</v>
      </c>
      <c r="T333" t="s">
        <v>152</v>
      </c>
      <c r="U333">
        <v>3.73</v>
      </c>
      <c r="V333">
        <v>9.54</v>
      </c>
      <c r="W333">
        <v>8349</v>
      </c>
      <c r="X333">
        <v>12810</v>
      </c>
      <c r="Y333">
        <v>0.65</v>
      </c>
      <c r="Z333">
        <v>107</v>
      </c>
      <c r="AA333">
        <v>245</v>
      </c>
      <c r="AB333" t="s">
        <v>32</v>
      </c>
      <c r="AC333">
        <v>2.71</v>
      </c>
    </row>
    <row r="334" spans="1:29">
      <c r="A334" t="str">
        <f>"000820"</f>
        <v>000820</v>
      </c>
      <c r="B334" t="s">
        <v>484</v>
      </c>
      <c r="C334">
        <v>10.01</v>
      </c>
      <c r="D334">
        <v>9.23</v>
      </c>
      <c r="E334">
        <v>0.84</v>
      </c>
      <c r="F334">
        <v>9.23</v>
      </c>
      <c r="G334" t="s">
        <v>32</v>
      </c>
      <c r="H334">
        <v>404886</v>
      </c>
      <c r="I334">
        <v>374</v>
      </c>
      <c r="J334">
        <v>0</v>
      </c>
      <c r="K334">
        <v>14.08</v>
      </c>
      <c r="L334">
        <v>8.28</v>
      </c>
      <c r="M334">
        <v>9.23</v>
      </c>
      <c r="N334">
        <v>8.19</v>
      </c>
      <c r="O334">
        <v>8.39</v>
      </c>
      <c r="P334" t="s">
        <v>32</v>
      </c>
      <c r="Q334">
        <v>357721344</v>
      </c>
      <c r="R334">
        <v>1.34</v>
      </c>
      <c r="S334" t="s">
        <v>86</v>
      </c>
      <c r="T334" t="s">
        <v>111</v>
      </c>
      <c r="U334">
        <v>12.4</v>
      </c>
      <c r="V334">
        <v>8.84</v>
      </c>
      <c r="W334">
        <v>220198</v>
      </c>
      <c r="X334">
        <v>184687</v>
      </c>
      <c r="Y334">
        <v>1.19</v>
      </c>
      <c r="Z334">
        <v>26131</v>
      </c>
      <c r="AA334">
        <v>0</v>
      </c>
      <c r="AB334" t="s">
        <v>32</v>
      </c>
      <c r="AC334">
        <v>2.88</v>
      </c>
    </row>
    <row r="335" spans="1:29">
      <c r="A335" t="str">
        <f>"000821"</f>
        <v>000821</v>
      </c>
      <c r="B335" t="s">
        <v>485</v>
      </c>
      <c r="C335">
        <v>1.95</v>
      </c>
      <c r="D335">
        <v>9.93</v>
      </c>
      <c r="E335">
        <v>0.19</v>
      </c>
      <c r="F335">
        <v>9.93</v>
      </c>
      <c r="G335">
        <v>9.94</v>
      </c>
      <c r="H335">
        <v>47522</v>
      </c>
      <c r="I335">
        <v>437</v>
      </c>
      <c r="J335">
        <v>-0.09</v>
      </c>
      <c r="K335">
        <v>1.08</v>
      </c>
      <c r="L335">
        <v>9.79</v>
      </c>
      <c r="M335">
        <v>9.97</v>
      </c>
      <c r="N335">
        <v>9.66</v>
      </c>
      <c r="O335">
        <v>9.74</v>
      </c>
      <c r="P335">
        <v>32.07</v>
      </c>
      <c r="Q335">
        <v>46793988</v>
      </c>
      <c r="R335">
        <v>1.34</v>
      </c>
      <c r="S335" t="s">
        <v>93</v>
      </c>
      <c r="T335" t="s">
        <v>193</v>
      </c>
      <c r="U335">
        <v>3.18</v>
      </c>
      <c r="V335">
        <v>9.85</v>
      </c>
      <c r="W335">
        <v>23167</v>
      </c>
      <c r="X335">
        <v>24355</v>
      </c>
      <c r="Y335">
        <v>0.95</v>
      </c>
      <c r="Z335">
        <v>5</v>
      </c>
      <c r="AA335">
        <v>668</v>
      </c>
      <c r="AB335" t="s">
        <v>32</v>
      </c>
      <c r="AC335">
        <v>4.41</v>
      </c>
    </row>
    <row r="336" spans="1:29">
      <c r="A336" t="str">
        <f>"000822"</f>
        <v>000822</v>
      </c>
      <c r="B336" t="s">
        <v>486</v>
      </c>
      <c r="C336">
        <v>2.77</v>
      </c>
      <c r="D336">
        <v>6.67</v>
      </c>
      <c r="E336">
        <v>0.18</v>
      </c>
      <c r="F336">
        <v>6.67</v>
      </c>
      <c r="G336">
        <v>6.68</v>
      </c>
      <c r="H336">
        <v>218715</v>
      </c>
      <c r="I336">
        <v>1565</v>
      </c>
      <c r="J336">
        <v>0</v>
      </c>
      <c r="K336">
        <v>2.44</v>
      </c>
      <c r="L336">
        <v>6.49</v>
      </c>
      <c r="M336">
        <v>6.83</v>
      </c>
      <c r="N336">
        <v>6.46</v>
      </c>
      <c r="O336">
        <v>6.49</v>
      </c>
      <c r="P336">
        <v>10.51</v>
      </c>
      <c r="Q336">
        <v>146257616</v>
      </c>
      <c r="R336">
        <v>2.45</v>
      </c>
      <c r="S336" t="s">
        <v>218</v>
      </c>
      <c r="T336" t="s">
        <v>162</v>
      </c>
      <c r="U336">
        <v>5.7</v>
      </c>
      <c r="V336">
        <v>6.69</v>
      </c>
      <c r="W336">
        <v>112763</v>
      </c>
      <c r="X336">
        <v>105951</v>
      </c>
      <c r="Y336">
        <v>1.06</v>
      </c>
      <c r="Z336">
        <v>733</v>
      </c>
      <c r="AA336">
        <v>988</v>
      </c>
      <c r="AB336" t="s">
        <v>32</v>
      </c>
      <c r="AC336">
        <v>8.95</v>
      </c>
    </row>
    <row r="337" spans="1:29">
      <c r="A337" t="str">
        <f>"000823"</f>
        <v>000823</v>
      </c>
      <c r="B337" t="s">
        <v>487</v>
      </c>
      <c r="C337">
        <v>1.99</v>
      </c>
      <c r="D337">
        <v>8.22</v>
      </c>
      <c r="E337">
        <v>0.16</v>
      </c>
      <c r="F337">
        <v>8.21</v>
      </c>
      <c r="G337">
        <v>8.22</v>
      </c>
      <c r="H337">
        <v>333226</v>
      </c>
      <c r="I337">
        <v>2868</v>
      </c>
      <c r="J337">
        <v>-0.11</v>
      </c>
      <c r="K337">
        <v>6.21</v>
      </c>
      <c r="L337">
        <v>8</v>
      </c>
      <c r="M337">
        <v>8.43</v>
      </c>
      <c r="N337">
        <v>7.9</v>
      </c>
      <c r="O337">
        <v>8.06</v>
      </c>
      <c r="P337">
        <v>515.57</v>
      </c>
      <c r="Q337">
        <v>271851680</v>
      </c>
      <c r="R337">
        <v>0.99</v>
      </c>
      <c r="S337" t="s">
        <v>63</v>
      </c>
      <c r="T337" t="s">
        <v>136</v>
      </c>
      <c r="U337">
        <v>6.58</v>
      </c>
      <c r="V337">
        <v>8.16</v>
      </c>
      <c r="W337">
        <v>158011</v>
      </c>
      <c r="X337">
        <v>175215</v>
      </c>
      <c r="Y337">
        <v>0.9</v>
      </c>
      <c r="Z337">
        <v>2188</v>
      </c>
      <c r="AA337">
        <v>262</v>
      </c>
      <c r="AB337" t="s">
        <v>32</v>
      </c>
      <c r="AC337">
        <v>5.37</v>
      </c>
    </row>
    <row r="338" spans="1:29">
      <c r="A338" t="str">
        <f>"000825"</f>
        <v>000825</v>
      </c>
      <c r="B338" t="s">
        <v>488</v>
      </c>
      <c r="C338" t="s">
        <v>32</v>
      </c>
      <c r="D338">
        <v>5.76</v>
      </c>
      <c r="E338" t="s">
        <v>32</v>
      </c>
      <c r="F338" t="s">
        <v>32</v>
      </c>
      <c r="G338" t="s">
        <v>32</v>
      </c>
      <c r="H338">
        <v>0</v>
      </c>
      <c r="I338">
        <v>0</v>
      </c>
      <c r="J338" t="s">
        <v>32</v>
      </c>
      <c r="K338">
        <v>0</v>
      </c>
      <c r="L338" t="s">
        <v>32</v>
      </c>
      <c r="M338" t="s">
        <v>32</v>
      </c>
      <c r="N338" t="s">
        <v>32</v>
      </c>
      <c r="O338">
        <v>5.76</v>
      </c>
      <c r="P338">
        <v>5.62</v>
      </c>
      <c r="Q338">
        <v>0</v>
      </c>
      <c r="R338">
        <v>0</v>
      </c>
      <c r="S338" t="s">
        <v>398</v>
      </c>
      <c r="T338" t="s">
        <v>169</v>
      </c>
      <c r="U338">
        <v>0</v>
      </c>
      <c r="V338">
        <v>5.76</v>
      </c>
      <c r="W338">
        <v>0</v>
      </c>
      <c r="X338">
        <v>0</v>
      </c>
      <c r="Y338" t="s">
        <v>32</v>
      </c>
      <c r="Z338">
        <v>0</v>
      </c>
      <c r="AA338">
        <v>0</v>
      </c>
      <c r="AB338" t="s">
        <v>32</v>
      </c>
      <c r="AC338">
        <v>20.8</v>
      </c>
    </row>
    <row r="339" spans="1:29">
      <c r="A339" t="str">
        <f>"000826"</f>
        <v>000826</v>
      </c>
      <c r="B339" t="s">
        <v>489</v>
      </c>
      <c r="C339">
        <v>4.29</v>
      </c>
      <c r="D339">
        <v>17.99</v>
      </c>
      <c r="E339">
        <v>0.74</v>
      </c>
      <c r="F339">
        <v>17.99</v>
      </c>
      <c r="G339">
        <v>18</v>
      </c>
      <c r="H339">
        <v>203163</v>
      </c>
      <c r="I339">
        <v>2186</v>
      </c>
      <c r="J339">
        <v>0.17</v>
      </c>
      <c r="K339">
        <v>1.71</v>
      </c>
      <c r="L339">
        <v>17.33</v>
      </c>
      <c r="M339">
        <v>18.1</v>
      </c>
      <c r="N339">
        <v>17.31</v>
      </c>
      <c r="O339">
        <v>17.25</v>
      </c>
      <c r="P339">
        <v>21.39</v>
      </c>
      <c r="Q339">
        <v>360952224</v>
      </c>
      <c r="R339">
        <v>1.92</v>
      </c>
      <c r="S339" t="s">
        <v>86</v>
      </c>
      <c r="T339" t="s">
        <v>193</v>
      </c>
      <c r="U339">
        <v>4.58</v>
      </c>
      <c r="V339">
        <v>17.77</v>
      </c>
      <c r="W339">
        <v>96532</v>
      </c>
      <c r="X339">
        <v>106630</v>
      </c>
      <c r="Y339">
        <v>0.91</v>
      </c>
      <c r="Z339">
        <v>34</v>
      </c>
      <c r="AA339">
        <v>500</v>
      </c>
      <c r="AB339" t="s">
        <v>32</v>
      </c>
      <c r="AC339">
        <v>11.88</v>
      </c>
    </row>
    <row r="340" spans="1:29">
      <c r="A340" t="str">
        <f>"000828"</f>
        <v>000828</v>
      </c>
      <c r="B340" t="s">
        <v>490</v>
      </c>
      <c r="C340">
        <v>1.97</v>
      </c>
      <c r="D340">
        <v>8.3</v>
      </c>
      <c r="E340">
        <v>0.16</v>
      </c>
      <c r="F340">
        <v>8.3</v>
      </c>
      <c r="G340">
        <v>8.31</v>
      </c>
      <c r="H340">
        <v>34973</v>
      </c>
      <c r="I340">
        <v>58</v>
      </c>
      <c r="J340">
        <v>0</v>
      </c>
      <c r="K340">
        <v>0.34</v>
      </c>
      <c r="L340">
        <v>8.14</v>
      </c>
      <c r="M340">
        <v>8.33</v>
      </c>
      <c r="N340">
        <v>8.13</v>
      </c>
      <c r="O340">
        <v>8.14</v>
      </c>
      <c r="P340">
        <v>9.71</v>
      </c>
      <c r="Q340">
        <v>28933908</v>
      </c>
      <c r="R340">
        <v>2.86</v>
      </c>
      <c r="S340" t="s">
        <v>201</v>
      </c>
      <c r="T340" t="s">
        <v>136</v>
      </c>
      <c r="U340">
        <v>2.46</v>
      </c>
      <c r="V340">
        <v>8.27</v>
      </c>
      <c r="W340">
        <v>14304</v>
      </c>
      <c r="X340">
        <v>20669</v>
      </c>
      <c r="Y340">
        <v>0.69</v>
      </c>
      <c r="Z340">
        <v>160</v>
      </c>
      <c r="AA340">
        <v>921</v>
      </c>
      <c r="AB340" t="s">
        <v>32</v>
      </c>
      <c r="AC340">
        <v>10.4</v>
      </c>
    </row>
    <row r="341" spans="1:29">
      <c r="A341" t="str">
        <f>"000829"</f>
        <v>000829</v>
      </c>
      <c r="B341" t="s">
        <v>491</v>
      </c>
      <c r="C341">
        <v>3.25</v>
      </c>
      <c r="D341">
        <v>7.95</v>
      </c>
      <c r="E341">
        <v>0.25</v>
      </c>
      <c r="F341">
        <v>7.92</v>
      </c>
      <c r="G341">
        <v>7.95</v>
      </c>
      <c r="H341">
        <v>69845</v>
      </c>
      <c r="I341">
        <v>1200</v>
      </c>
      <c r="J341">
        <v>0.63</v>
      </c>
      <c r="K341">
        <v>0.73</v>
      </c>
      <c r="L341">
        <v>7.71</v>
      </c>
      <c r="M341">
        <v>8.09</v>
      </c>
      <c r="N341">
        <v>7.7</v>
      </c>
      <c r="O341">
        <v>7.7</v>
      </c>
      <c r="P341">
        <v>525.69</v>
      </c>
      <c r="Q341">
        <v>55198984</v>
      </c>
      <c r="R341">
        <v>2.29</v>
      </c>
      <c r="S341" t="s">
        <v>73</v>
      </c>
      <c r="T341" t="s">
        <v>172</v>
      </c>
      <c r="U341">
        <v>5.06</v>
      </c>
      <c r="V341">
        <v>7.9</v>
      </c>
      <c r="W341">
        <v>28342</v>
      </c>
      <c r="X341">
        <v>41503</v>
      </c>
      <c r="Y341">
        <v>0.68</v>
      </c>
      <c r="Z341">
        <v>37</v>
      </c>
      <c r="AA341">
        <v>249</v>
      </c>
      <c r="AB341" t="s">
        <v>32</v>
      </c>
      <c r="AC341">
        <v>9.54</v>
      </c>
    </row>
    <row r="342" spans="1:29">
      <c r="A342" t="str">
        <f>"000830"</f>
        <v>000830</v>
      </c>
      <c r="B342" t="s">
        <v>492</v>
      </c>
      <c r="C342">
        <v>-0.49</v>
      </c>
      <c r="D342">
        <v>18.29</v>
      </c>
      <c r="E342">
        <v>-0.09</v>
      </c>
      <c r="F342">
        <v>18.28</v>
      </c>
      <c r="G342">
        <v>18.29</v>
      </c>
      <c r="H342">
        <v>729153</v>
      </c>
      <c r="I342">
        <v>7785</v>
      </c>
      <c r="J342">
        <v>-0.1</v>
      </c>
      <c r="K342">
        <v>4.98</v>
      </c>
      <c r="L342">
        <v>18.36</v>
      </c>
      <c r="M342">
        <v>18.9</v>
      </c>
      <c r="N342">
        <v>18.2</v>
      </c>
      <c r="O342">
        <v>18.38</v>
      </c>
      <c r="P342">
        <v>8.2</v>
      </c>
      <c r="Q342">
        <v>1349817728</v>
      </c>
      <c r="R342">
        <v>1.96</v>
      </c>
      <c r="S342" t="s">
        <v>145</v>
      </c>
      <c r="T342" t="s">
        <v>162</v>
      </c>
      <c r="U342">
        <v>3.81</v>
      </c>
      <c r="V342">
        <v>18.51</v>
      </c>
      <c r="W342">
        <v>380101</v>
      </c>
      <c r="X342">
        <v>349051</v>
      </c>
      <c r="Y342">
        <v>1.09</v>
      </c>
      <c r="Z342">
        <v>3629</v>
      </c>
      <c r="AA342">
        <v>181</v>
      </c>
      <c r="AB342" t="s">
        <v>32</v>
      </c>
      <c r="AC342">
        <v>14.64</v>
      </c>
    </row>
    <row r="343" spans="1:29">
      <c r="A343" t="str">
        <f>"000831"</f>
        <v>000831</v>
      </c>
      <c r="B343" t="s">
        <v>493</v>
      </c>
      <c r="C343">
        <v>1.77</v>
      </c>
      <c r="D343">
        <v>11.48</v>
      </c>
      <c r="E343">
        <v>0.2</v>
      </c>
      <c r="F343">
        <v>11.47</v>
      </c>
      <c r="G343">
        <v>11.48</v>
      </c>
      <c r="H343">
        <v>270191</v>
      </c>
      <c r="I343">
        <v>2365</v>
      </c>
      <c r="J343">
        <v>0.26</v>
      </c>
      <c r="K343">
        <v>2.75</v>
      </c>
      <c r="L343">
        <v>11.25</v>
      </c>
      <c r="M343">
        <v>11.62</v>
      </c>
      <c r="N343">
        <v>11.2</v>
      </c>
      <c r="O343">
        <v>11.28</v>
      </c>
      <c r="P343">
        <v>103.56</v>
      </c>
      <c r="Q343">
        <v>309006784</v>
      </c>
      <c r="R343">
        <v>1.67</v>
      </c>
      <c r="S343" t="s">
        <v>356</v>
      </c>
      <c r="T343" t="s">
        <v>169</v>
      </c>
      <c r="U343">
        <v>3.72</v>
      </c>
      <c r="V343">
        <v>11.44</v>
      </c>
      <c r="W343">
        <v>135984</v>
      </c>
      <c r="X343">
        <v>134207</v>
      </c>
      <c r="Y343">
        <v>1.01</v>
      </c>
      <c r="Z343">
        <v>307</v>
      </c>
      <c r="AA343">
        <v>932</v>
      </c>
      <c r="AB343" t="s">
        <v>32</v>
      </c>
      <c r="AC343">
        <v>9.81</v>
      </c>
    </row>
    <row r="344" spans="1:29">
      <c r="A344" t="str">
        <f>"000833"</f>
        <v>000833</v>
      </c>
      <c r="B344" t="s">
        <v>494</v>
      </c>
      <c r="C344">
        <v>3.4</v>
      </c>
      <c r="D344">
        <v>5.48</v>
      </c>
      <c r="E344">
        <v>0.18</v>
      </c>
      <c r="F344">
        <v>5.47</v>
      </c>
      <c r="G344">
        <v>5.48</v>
      </c>
      <c r="H344">
        <v>51670</v>
      </c>
      <c r="I344">
        <v>554</v>
      </c>
      <c r="J344">
        <v>0</v>
      </c>
      <c r="K344">
        <v>1.37</v>
      </c>
      <c r="L344">
        <v>5.36</v>
      </c>
      <c r="M344">
        <v>5.55</v>
      </c>
      <c r="N344">
        <v>5.35</v>
      </c>
      <c r="O344">
        <v>5.3</v>
      </c>
      <c r="P344">
        <v>29.23</v>
      </c>
      <c r="Q344">
        <v>28344486</v>
      </c>
      <c r="R344">
        <v>1.59</v>
      </c>
      <c r="S344" t="s">
        <v>204</v>
      </c>
      <c r="T344" t="s">
        <v>238</v>
      </c>
      <c r="U344">
        <v>3.77</v>
      </c>
      <c r="V344">
        <v>5.49</v>
      </c>
      <c r="W344">
        <v>24456</v>
      </c>
      <c r="X344">
        <v>27213</v>
      </c>
      <c r="Y344">
        <v>0.9</v>
      </c>
      <c r="Z344">
        <v>481</v>
      </c>
      <c r="AA344">
        <v>91</v>
      </c>
      <c r="AB344" t="s">
        <v>32</v>
      </c>
      <c r="AC344">
        <v>3.78</v>
      </c>
    </row>
    <row r="345" spans="1:29">
      <c r="A345" t="str">
        <f>"000835"</f>
        <v>000835</v>
      </c>
      <c r="B345" t="s">
        <v>495</v>
      </c>
      <c r="C345">
        <v>1.88</v>
      </c>
      <c r="D345">
        <v>4.89</v>
      </c>
      <c r="E345">
        <v>0.09</v>
      </c>
      <c r="F345">
        <v>4.88</v>
      </c>
      <c r="G345">
        <v>4.89</v>
      </c>
      <c r="H345">
        <v>33319</v>
      </c>
      <c r="I345">
        <v>464</v>
      </c>
      <c r="J345">
        <v>0</v>
      </c>
      <c r="K345">
        <v>1.1</v>
      </c>
      <c r="L345">
        <v>4.78</v>
      </c>
      <c r="M345">
        <v>4.9</v>
      </c>
      <c r="N345">
        <v>4.77</v>
      </c>
      <c r="O345">
        <v>4.8</v>
      </c>
      <c r="P345" t="s">
        <v>32</v>
      </c>
      <c r="Q345">
        <v>16151041</v>
      </c>
      <c r="R345">
        <v>1.39</v>
      </c>
      <c r="S345" t="s">
        <v>148</v>
      </c>
      <c r="T345" t="s">
        <v>146</v>
      </c>
      <c r="U345">
        <v>2.71</v>
      </c>
      <c r="V345">
        <v>4.85</v>
      </c>
      <c r="W345">
        <v>13060</v>
      </c>
      <c r="X345">
        <v>20259</v>
      </c>
      <c r="Y345">
        <v>0.64</v>
      </c>
      <c r="Z345">
        <v>350</v>
      </c>
      <c r="AA345">
        <v>340</v>
      </c>
      <c r="AB345" t="s">
        <v>32</v>
      </c>
      <c r="AC345">
        <v>3.03</v>
      </c>
    </row>
    <row r="346" spans="1:29">
      <c r="A346" t="str">
        <f>"000836"</f>
        <v>000836</v>
      </c>
      <c r="B346" t="s">
        <v>496</v>
      </c>
      <c r="C346">
        <v>0.69</v>
      </c>
      <c r="D346">
        <v>4.38</v>
      </c>
      <c r="E346">
        <v>0.03</v>
      </c>
      <c r="F346">
        <v>4.38</v>
      </c>
      <c r="G346">
        <v>4.39</v>
      </c>
      <c r="H346">
        <v>135657</v>
      </c>
      <c r="I346">
        <v>4340</v>
      </c>
      <c r="J346">
        <v>0.23</v>
      </c>
      <c r="K346">
        <v>1.12</v>
      </c>
      <c r="L346">
        <v>4.33</v>
      </c>
      <c r="M346">
        <v>4.41</v>
      </c>
      <c r="N346">
        <v>4.33</v>
      </c>
      <c r="O346">
        <v>4.35</v>
      </c>
      <c r="P346">
        <v>63.18</v>
      </c>
      <c r="Q346">
        <v>59376772</v>
      </c>
      <c r="R346">
        <v>0.8</v>
      </c>
      <c r="S346" t="s">
        <v>119</v>
      </c>
      <c r="T346" t="s">
        <v>248</v>
      </c>
      <c r="U346">
        <v>1.84</v>
      </c>
      <c r="V346">
        <v>4.38</v>
      </c>
      <c r="W346">
        <v>71962</v>
      </c>
      <c r="X346">
        <v>63694</v>
      </c>
      <c r="Y346">
        <v>1.13</v>
      </c>
      <c r="Z346">
        <v>745</v>
      </c>
      <c r="AA346">
        <v>1973</v>
      </c>
      <c r="AB346" t="s">
        <v>32</v>
      </c>
      <c r="AC346">
        <v>12.08</v>
      </c>
    </row>
    <row r="347" spans="1:29">
      <c r="A347" t="str">
        <f>"000837"</f>
        <v>000837</v>
      </c>
      <c r="B347" t="s">
        <v>497</v>
      </c>
      <c r="C347">
        <v>1.83</v>
      </c>
      <c r="D347">
        <v>5.02</v>
      </c>
      <c r="E347">
        <v>0.09</v>
      </c>
      <c r="F347">
        <v>5.01</v>
      </c>
      <c r="G347">
        <v>5.02</v>
      </c>
      <c r="H347">
        <v>60260</v>
      </c>
      <c r="I347">
        <v>1439</v>
      </c>
      <c r="J347">
        <v>0</v>
      </c>
      <c r="K347">
        <v>1.03</v>
      </c>
      <c r="L347">
        <v>4.95</v>
      </c>
      <c r="M347">
        <v>5.06</v>
      </c>
      <c r="N347">
        <v>4.91</v>
      </c>
      <c r="O347">
        <v>4.93</v>
      </c>
      <c r="P347">
        <v>206.27</v>
      </c>
      <c r="Q347">
        <v>30120690</v>
      </c>
      <c r="R347">
        <v>1.69</v>
      </c>
      <c r="S347" t="s">
        <v>179</v>
      </c>
      <c r="T347" t="s">
        <v>223</v>
      </c>
      <c r="U347">
        <v>3.04</v>
      </c>
      <c r="V347">
        <v>5</v>
      </c>
      <c r="W347">
        <v>23942</v>
      </c>
      <c r="X347">
        <v>36318</v>
      </c>
      <c r="Y347">
        <v>0.66</v>
      </c>
      <c r="Z347">
        <v>729</v>
      </c>
      <c r="AA347">
        <v>118</v>
      </c>
      <c r="AB347" t="s">
        <v>32</v>
      </c>
      <c r="AC347">
        <v>5.83</v>
      </c>
    </row>
    <row r="348" spans="1:29">
      <c r="A348" t="str">
        <f>"000838"</f>
        <v>000838</v>
      </c>
      <c r="B348" t="s">
        <v>498</v>
      </c>
      <c r="C348">
        <v>0.51</v>
      </c>
      <c r="D348">
        <v>3.98</v>
      </c>
      <c r="E348">
        <v>0.02</v>
      </c>
      <c r="F348">
        <v>3.98</v>
      </c>
      <c r="G348">
        <v>3.99</v>
      </c>
      <c r="H348">
        <v>40589</v>
      </c>
      <c r="I348">
        <v>504</v>
      </c>
      <c r="J348">
        <v>-0.24</v>
      </c>
      <c r="K348">
        <v>0.64</v>
      </c>
      <c r="L348">
        <v>3.95</v>
      </c>
      <c r="M348">
        <v>4.01</v>
      </c>
      <c r="N348">
        <v>3.93</v>
      </c>
      <c r="O348">
        <v>3.96</v>
      </c>
      <c r="P348">
        <v>80.29</v>
      </c>
      <c r="Q348">
        <v>16194115</v>
      </c>
      <c r="R348">
        <v>1.78</v>
      </c>
      <c r="S348" t="s">
        <v>40</v>
      </c>
      <c r="T348" t="s">
        <v>45</v>
      </c>
      <c r="U348">
        <v>2.02</v>
      </c>
      <c r="V348">
        <v>3.99</v>
      </c>
      <c r="W348">
        <v>16938</v>
      </c>
      <c r="X348">
        <v>23650</v>
      </c>
      <c r="Y348">
        <v>0.72</v>
      </c>
      <c r="Z348">
        <v>1484</v>
      </c>
      <c r="AA348">
        <v>879</v>
      </c>
      <c r="AB348" t="s">
        <v>32</v>
      </c>
      <c r="AC348">
        <v>6.32</v>
      </c>
    </row>
    <row r="349" spans="1:29">
      <c r="A349" t="str">
        <f>"000839"</f>
        <v>000839</v>
      </c>
      <c r="B349" t="s">
        <v>499</v>
      </c>
      <c r="C349">
        <v>2.77</v>
      </c>
      <c r="D349">
        <v>4.83</v>
      </c>
      <c r="E349">
        <v>0.13</v>
      </c>
      <c r="F349">
        <v>4.82</v>
      </c>
      <c r="G349">
        <v>4.83</v>
      </c>
      <c r="H349">
        <v>563636</v>
      </c>
      <c r="I349">
        <v>9221</v>
      </c>
      <c r="J349">
        <v>0</v>
      </c>
      <c r="K349">
        <v>1.44</v>
      </c>
      <c r="L349">
        <v>4.73</v>
      </c>
      <c r="M349">
        <v>4.87</v>
      </c>
      <c r="N349">
        <v>4.69</v>
      </c>
      <c r="O349">
        <v>4.7</v>
      </c>
      <c r="P349">
        <v>106.37</v>
      </c>
      <c r="Q349">
        <v>271048096</v>
      </c>
      <c r="R349">
        <v>1.67</v>
      </c>
      <c r="S349" t="s">
        <v>47</v>
      </c>
      <c r="T349" t="s">
        <v>45</v>
      </c>
      <c r="U349">
        <v>3.83</v>
      </c>
      <c r="V349">
        <v>4.81</v>
      </c>
      <c r="W349">
        <v>227788</v>
      </c>
      <c r="X349">
        <v>335847</v>
      </c>
      <c r="Y349">
        <v>0.68</v>
      </c>
      <c r="Z349">
        <v>4707</v>
      </c>
      <c r="AA349">
        <v>8072</v>
      </c>
      <c r="AB349" t="s">
        <v>32</v>
      </c>
      <c r="AC349">
        <v>39.19</v>
      </c>
    </row>
    <row r="350" spans="1:29">
      <c r="A350" t="str">
        <f>"000848"</f>
        <v>000848</v>
      </c>
      <c r="B350" t="s">
        <v>500</v>
      </c>
      <c r="C350">
        <v>2.88</v>
      </c>
      <c r="D350">
        <v>10.37</v>
      </c>
      <c r="E350">
        <v>0.29</v>
      </c>
      <c r="F350">
        <v>10.36</v>
      </c>
      <c r="G350">
        <v>10.37</v>
      </c>
      <c r="H350">
        <v>117532</v>
      </c>
      <c r="I350">
        <v>2131</v>
      </c>
      <c r="J350">
        <v>0.1</v>
      </c>
      <c r="K350">
        <v>1.2</v>
      </c>
      <c r="L350">
        <v>10.06</v>
      </c>
      <c r="M350">
        <v>10.37</v>
      </c>
      <c r="N350">
        <v>10</v>
      </c>
      <c r="O350">
        <v>10.08</v>
      </c>
      <c r="P350">
        <v>11.6</v>
      </c>
      <c r="Q350">
        <v>120157832</v>
      </c>
      <c r="R350">
        <v>1.08</v>
      </c>
      <c r="S350" t="s">
        <v>61</v>
      </c>
      <c r="T350" t="s">
        <v>154</v>
      </c>
      <c r="U350">
        <v>3.67</v>
      </c>
      <c r="V350">
        <v>10.22</v>
      </c>
      <c r="W350">
        <v>53352</v>
      </c>
      <c r="X350">
        <v>64179</v>
      </c>
      <c r="Y350">
        <v>0.83</v>
      </c>
      <c r="Z350">
        <v>789</v>
      </c>
      <c r="AA350">
        <v>796</v>
      </c>
      <c r="AB350" t="s">
        <v>32</v>
      </c>
      <c r="AC350">
        <v>9.78</v>
      </c>
    </row>
    <row r="351" spans="1:29">
      <c r="A351" t="str">
        <f>"000850"</f>
        <v>000850</v>
      </c>
      <c r="B351" t="s">
        <v>501</v>
      </c>
      <c r="C351">
        <v>1.87</v>
      </c>
      <c r="D351">
        <v>3.81</v>
      </c>
      <c r="E351">
        <v>0.07</v>
      </c>
      <c r="F351">
        <v>3.81</v>
      </c>
      <c r="G351">
        <v>3.82</v>
      </c>
      <c r="H351">
        <v>95302</v>
      </c>
      <c r="I351">
        <v>1172</v>
      </c>
      <c r="J351">
        <v>0.26</v>
      </c>
      <c r="K351">
        <v>1.01</v>
      </c>
      <c r="L351">
        <v>3.72</v>
      </c>
      <c r="M351">
        <v>3.82</v>
      </c>
      <c r="N351">
        <v>3.72</v>
      </c>
      <c r="O351">
        <v>3.74</v>
      </c>
      <c r="P351">
        <v>9.75</v>
      </c>
      <c r="Q351">
        <v>36073840</v>
      </c>
      <c r="R351">
        <v>1.46</v>
      </c>
      <c r="S351" t="s">
        <v>99</v>
      </c>
      <c r="T351" t="s">
        <v>143</v>
      </c>
      <c r="U351">
        <v>2.67</v>
      </c>
      <c r="V351">
        <v>3.79</v>
      </c>
      <c r="W351">
        <v>44966</v>
      </c>
      <c r="X351">
        <v>50335</v>
      </c>
      <c r="Y351">
        <v>0.89</v>
      </c>
      <c r="Z351">
        <v>164</v>
      </c>
      <c r="AA351">
        <v>3171</v>
      </c>
      <c r="AB351" t="s">
        <v>32</v>
      </c>
      <c r="AC351">
        <v>9.43</v>
      </c>
    </row>
    <row r="352" spans="1:29">
      <c r="A352" t="str">
        <f>"000851"</f>
        <v>000851</v>
      </c>
      <c r="B352" t="s">
        <v>502</v>
      </c>
      <c r="C352">
        <v>1.62</v>
      </c>
      <c r="D352">
        <v>5.01</v>
      </c>
      <c r="E352">
        <v>0.08</v>
      </c>
      <c r="F352">
        <v>5</v>
      </c>
      <c r="G352">
        <v>5.01</v>
      </c>
      <c r="H352">
        <v>128643</v>
      </c>
      <c r="I352">
        <v>1468</v>
      </c>
      <c r="J352">
        <v>0</v>
      </c>
      <c r="K352">
        <v>1.55</v>
      </c>
      <c r="L352">
        <v>4.95</v>
      </c>
      <c r="M352">
        <v>5.05</v>
      </c>
      <c r="N352">
        <v>4.88</v>
      </c>
      <c r="O352">
        <v>4.93</v>
      </c>
      <c r="P352">
        <v>1518.78</v>
      </c>
      <c r="Q352">
        <v>64164380</v>
      </c>
      <c r="R352">
        <v>1.41</v>
      </c>
      <c r="S352" t="s">
        <v>270</v>
      </c>
      <c r="T352" t="s">
        <v>253</v>
      </c>
      <c r="U352">
        <v>3.45</v>
      </c>
      <c r="V352">
        <v>4.99</v>
      </c>
      <c r="W352">
        <v>59659</v>
      </c>
      <c r="X352">
        <v>68983</v>
      </c>
      <c r="Y352">
        <v>0.86</v>
      </c>
      <c r="Z352">
        <v>2052</v>
      </c>
      <c r="AA352">
        <v>154</v>
      </c>
      <c r="AB352" t="s">
        <v>32</v>
      </c>
      <c r="AC352">
        <v>8.28</v>
      </c>
    </row>
    <row r="353" spans="1:29">
      <c r="A353" t="str">
        <f>"000852"</f>
        <v>000852</v>
      </c>
      <c r="B353" t="s">
        <v>503</v>
      </c>
      <c r="C353">
        <v>2.51</v>
      </c>
      <c r="D353">
        <v>7.36</v>
      </c>
      <c r="E353">
        <v>0.18</v>
      </c>
      <c r="F353">
        <v>7.36</v>
      </c>
      <c r="G353">
        <v>7.37</v>
      </c>
      <c r="H353">
        <v>95601</v>
      </c>
      <c r="I353">
        <v>765</v>
      </c>
      <c r="J353">
        <v>0</v>
      </c>
      <c r="K353">
        <v>1.6</v>
      </c>
      <c r="L353">
        <v>7.19</v>
      </c>
      <c r="M353">
        <v>7.54</v>
      </c>
      <c r="N353">
        <v>7.15</v>
      </c>
      <c r="O353">
        <v>7.18</v>
      </c>
      <c r="P353" t="s">
        <v>32</v>
      </c>
      <c r="Q353">
        <v>70452184</v>
      </c>
      <c r="R353">
        <v>1.97</v>
      </c>
      <c r="S353" t="s">
        <v>504</v>
      </c>
      <c r="T353" t="s">
        <v>193</v>
      </c>
      <c r="U353">
        <v>5.43</v>
      </c>
      <c r="V353">
        <v>7.37</v>
      </c>
      <c r="W353">
        <v>42687</v>
      </c>
      <c r="X353">
        <v>52914</v>
      </c>
      <c r="Y353">
        <v>0.81</v>
      </c>
      <c r="Z353">
        <v>1078</v>
      </c>
      <c r="AA353">
        <v>564</v>
      </c>
      <c r="AB353" t="s">
        <v>32</v>
      </c>
      <c r="AC353">
        <v>5.98</v>
      </c>
    </row>
    <row r="354" spans="1:29">
      <c r="A354" t="str">
        <f>"000856"</f>
        <v>000856</v>
      </c>
      <c r="B354" t="s">
        <v>505</v>
      </c>
      <c r="C354">
        <v>2.92</v>
      </c>
      <c r="D354">
        <v>13.39</v>
      </c>
      <c r="E354">
        <v>0.38</v>
      </c>
      <c r="F354">
        <v>13.38</v>
      </c>
      <c r="G354">
        <v>13.39</v>
      </c>
      <c r="H354">
        <v>134559</v>
      </c>
      <c r="I354">
        <v>1874</v>
      </c>
      <c r="J354">
        <v>0.15</v>
      </c>
      <c r="K354">
        <v>5.93</v>
      </c>
      <c r="L354">
        <v>13.14</v>
      </c>
      <c r="M354">
        <v>13.58</v>
      </c>
      <c r="N354">
        <v>13.02</v>
      </c>
      <c r="O354">
        <v>13.01</v>
      </c>
      <c r="P354">
        <v>926.23</v>
      </c>
      <c r="Q354">
        <v>180164272</v>
      </c>
      <c r="R354">
        <v>2.08</v>
      </c>
      <c r="S354" t="s">
        <v>241</v>
      </c>
      <c r="T354" t="s">
        <v>154</v>
      </c>
      <c r="U354">
        <v>4.3</v>
      </c>
      <c r="V354">
        <v>13.39</v>
      </c>
      <c r="W354">
        <v>59317</v>
      </c>
      <c r="X354">
        <v>75241</v>
      </c>
      <c r="Y354">
        <v>0.79</v>
      </c>
      <c r="Z354">
        <v>700</v>
      </c>
      <c r="AA354">
        <v>648</v>
      </c>
      <c r="AB354" t="s">
        <v>32</v>
      </c>
      <c r="AC354">
        <v>2.27</v>
      </c>
    </row>
    <row r="355" spans="1:29">
      <c r="A355" t="str">
        <f>"000858"</f>
        <v>000858</v>
      </c>
      <c r="B355" t="s">
        <v>506</v>
      </c>
      <c r="C355">
        <v>4.03</v>
      </c>
      <c r="D355">
        <v>75.03</v>
      </c>
      <c r="E355">
        <v>2.91</v>
      </c>
      <c r="F355">
        <v>75.02</v>
      </c>
      <c r="G355">
        <v>75.03</v>
      </c>
      <c r="H355">
        <v>379244</v>
      </c>
      <c r="I355">
        <v>4097</v>
      </c>
      <c r="J355">
        <v>0.04</v>
      </c>
      <c r="K355">
        <v>1</v>
      </c>
      <c r="L355">
        <v>72.25</v>
      </c>
      <c r="M355">
        <v>75.14</v>
      </c>
      <c r="N355">
        <v>71.58</v>
      </c>
      <c r="O355">
        <v>72.12</v>
      </c>
      <c r="P355">
        <v>14.65</v>
      </c>
      <c r="Q355">
        <v>2798512640</v>
      </c>
      <c r="R355">
        <v>1.81</v>
      </c>
      <c r="S355" t="s">
        <v>285</v>
      </c>
      <c r="T355" t="s">
        <v>146</v>
      </c>
      <c r="U355">
        <v>4.94</v>
      </c>
      <c r="V355">
        <v>73.79</v>
      </c>
      <c r="W355">
        <v>168863</v>
      </c>
      <c r="X355">
        <v>210381</v>
      </c>
      <c r="Y355">
        <v>0.8</v>
      </c>
      <c r="Z355">
        <v>76</v>
      </c>
      <c r="AA355">
        <v>5144</v>
      </c>
      <c r="AB355" t="s">
        <v>32</v>
      </c>
      <c r="AC355">
        <v>37.96</v>
      </c>
    </row>
    <row r="356" spans="1:29">
      <c r="A356" t="str">
        <f>"000859"</f>
        <v>000859</v>
      </c>
      <c r="B356" t="s">
        <v>507</v>
      </c>
      <c r="C356">
        <v>1.3</v>
      </c>
      <c r="D356">
        <v>3.11</v>
      </c>
      <c r="E356">
        <v>0.04</v>
      </c>
      <c r="F356">
        <v>3.1</v>
      </c>
      <c r="G356">
        <v>3.11</v>
      </c>
      <c r="H356">
        <v>40440</v>
      </c>
      <c r="I356">
        <v>629</v>
      </c>
      <c r="J356">
        <v>0</v>
      </c>
      <c r="K356">
        <v>0.55</v>
      </c>
      <c r="L356">
        <v>3.06</v>
      </c>
      <c r="M356">
        <v>3.13</v>
      </c>
      <c r="N356">
        <v>3.04</v>
      </c>
      <c r="O356">
        <v>3.07</v>
      </c>
      <c r="P356">
        <v>196.03</v>
      </c>
      <c r="Q356">
        <v>12542626</v>
      </c>
      <c r="R356">
        <v>0.87</v>
      </c>
      <c r="S356" t="s">
        <v>508</v>
      </c>
      <c r="T356" t="s">
        <v>143</v>
      </c>
      <c r="U356">
        <v>2.93</v>
      </c>
      <c r="V356">
        <v>3.1</v>
      </c>
      <c r="W356">
        <v>18983</v>
      </c>
      <c r="X356">
        <v>21456</v>
      </c>
      <c r="Y356">
        <v>0.88</v>
      </c>
      <c r="Z356">
        <v>1483</v>
      </c>
      <c r="AA356">
        <v>145</v>
      </c>
      <c r="AB356" t="s">
        <v>32</v>
      </c>
      <c r="AC356">
        <v>7.39</v>
      </c>
    </row>
    <row r="357" spans="1:29">
      <c r="A357" t="str">
        <f>"000860"</f>
        <v>000860</v>
      </c>
      <c r="B357" t="s">
        <v>509</v>
      </c>
      <c r="C357">
        <v>10</v>
      </c>
      <c r="D357">
        <v>43.33</v>
      </c>
      <c r="E357">
        <v>3.94</v>
      </c>
      <c r="F357">
        <v>43.33</v>
      </c>
      <c r="G357" t="s">
        <v>32</v>
      </c>
      <c r="H357">
        <v>241357</v>
      </c>
      <c r="I357">
        <v>791</v>
      </c>
      <c r="J357">
        <v>0.05</v>
      </c>
      <c r="K357">
        <v>4.23</v>
      </c>
      <c r="L357">
        <v>39.66</v>
      </c>
      <c r="M357">
        <v>43.33</v>
      </c>
      <c r="N357">
        <v>38.76</v>
      </c>
      <c r="O357">
        <v>39.39</v>
      </c>
      <c r="P357">
        <v>16.9</v>
      </c>
      <c r="Q357">
        <v>998353600</v>
      </c>
      <c r="R357">
        <v>1.72</v>
      </c>
      <c r="S357" t="s">
        <v>285</v>
      </c>
      <c r="T357" t="s">
        <v>45</v>
      </c>
      <c r="U357">
        <v>11.6</v>
      </c>
      <c r="V357">
        <v>41.36</v>
      </c>
      <c r="W357">
        <v>111968</v>
      </c>
      <c r="X357">
        <v>129389</v>
      </c>
      <c r="Y357">
        <v>0.87</v>
      </c>
      <c r="Z357">
        <v>1081</v>
      </c>
      <c r="AA357">
        <v>0</v>
      </c>
      <c r="AB357" t="s">
        <v>32</v>
      </c>
      <c r="AC357">
        <v>5.71</v>
      </c>
    </row>
    <row r="358" spans="1:29">
      <c r="A358" t="str">
        <f>"000861"</f>
        <v>000861</v>
      </c>
      <c r="B358" t="s">
        <v>510</v>
      </c>
      <c r="C358">
        <v>0.82</v>
      </c>
      <c r="D358">
        <v>2.46</v>
      </c>
      <c r="E358">
        <v>0.02</v>
      </c>
      <c r="F358">
        <v>2.46</v>
      </c>
      <c r="G358">
        <v>2.47</v>
      </c>
      <c r="H358">
        <v>70610</v>
      </c>
      <c r="I358">
        <v>1544</v>
      </c>
      <c r="J358">
        <v>0</v>
      </c>
      <c r="K358">
        <v>0.38</v>
      </c>
      <c r="L358">
        <v>2.43</v>
      </c>
      <c r="M358">
        <v>2.48</v>
      </c>
      <c r="N358">
        <v>2.43</v>
      </c>
      <c r="O358">
        <v>2.44</v>
      </c>
      <c r="P358">
        <v>38.76</v>
      </c>
      <c r="Q358">
        <v>17382528</v>
      </c>
      <c r="R358">
        <v>1.51</v>
      </c>
      <c r="S358" t="s">
        <v>38</v>
      </c>
      <c r="T358" t="s">
        <v>136</v>
      </c>
      <c r="U358">
        <v>2.05</v>
      </c>
      <c r="V358">
        <v>2.46</v>
      </c>
      <c r="W358">
        <v>37951</v>
      </c>
      <c r="X358">
        <v>32658</v>
      </c>
      <c r="Y358">
        <v>1.16</v>
      </c>
      <c r="Z358">
        <v>2830</v>
      </c>
      <c r="AA358">
        <v>7529</v>
      </c>
      <c r="AB358" t="s">
        <v>32</v>
      </c>
      <c r="AC358">
        <v>18.72</v>
      </c>
    </row>
    <row r="359" spans="1:29">
      <c r="A359" t="str">
        <f>"000862"</f>
        <v>000862</v>
      </c>
      <c r="B359" t="s">
        <v>511</v>
      </c>
      <c r="C359">
        <v>2.13</v>
      </c>
      <c r="D359">
        <v>3.35</v>
      </c>
      <c r="E359">
        <v>0.07</v>
      </c>
      <c r="F359">
        <v>3.35</v>
      </c>
      <c r="G359">
        <v>3.36</v>
      </c>
      <c r="H359">
        <v>77996</v>
      </c>
      <c r="I359">
        <v>1562</v>
      </c>
      <c r="J359">
        <v>0</v>
      </c>
      <c r="K359">
        <v>1.56</v>
      </c>
      <c r="L359">
        <v>3.31</v>
      </c>
      <c r="M359">
        <v>3.38</v>
      </c>
      <c r="N359">
        <v>3.26</v>
      </c>
      <c r="O359">
        <v>3.28</v>
      </c>
      <c r="P359">
        <v>45.17</v>
      </c>
      <c r="Q359">
        <v>25947036</v>
      </c>
      <c r="R359">
        <v>1.72</v>
      </c>
      <c r="S359" t="s">
        <v>95</v>
      </c>
      <c r="T359" t="s">
        <v>273</v>
      </c>
      <c r="U359">
        <v>3.66</v>
      </c>
      <c r="V359">
        <v>3.33</v>
      </c>
      <c r="W359">
        <v>34223</v>
      </c>
      <c r="X359">
        <v>43773</v>
      </c>
      <c r="Y359">
        <v>0.78</v>
      </c>
      <c r="Z359">
        <v>395</v>
      </c>
      <c r="AA359">
        <v>1167</v>
      </c>
      <c r="AB359" t="s">
        <v>32</v>
      </c>
      <c r="AC359">
        <v>5.01</v>
      </c>
    </row>
    <row r="360" spans="1:29">
      <c r="A360" t="str">
        <f>"000863"</f>
        <v>000863</v>
      </c>
      <c r="B360" t="s">
        <v>512</v>
      </c>
      <c r="C360">
        <v>0.86</v>
      </c>
      <c r="D360">
        <v>4.69</v>
      </c>
      <c r="E360">
        <v>0.04</v>
      </c>
      <c r="F360">
        <v>4.68</v>
      </c>
      <c r="G360">
        <v>4.69</v>
      </c>
      <c r="H360">
        <v>24427</v>
      </c>
      <c r="I360">
        <v>226</v>
      </c>
      <c r="J360">
        <v>-0.2</v>
      </c>
      <c r="K360">
        <v>0.27</v>
      </c>
      <c r="L360">
        <v>4.63</v>
      </c>
      <c r="M360">
        <v>4.78</v>
      </c>
      <c r="N360">
        <v>4.6</v>
      </c>
      <c r="O360">
        <v>4.65</v>
      </c>
      <c r="P360" t="s">
        <v>32</v>
      </c>
      <c r="Q360">
        <v>11461705</v>
      </c>
      <c r="R360">
        <v>1.21</v>
      </c>
      <c r="S360" t="s">
        <v>40</v>
      </c>
      <c r="T360" t="s">
        <v>366</v>
      </c>
      <c r="U360">
        <v>3.87</v>
      </c>
      <c r="V360">
        <v>4.69</v>
      </c>
      <c r="W360">
        <v>11881</v>
      </c>
      <c r="X360">
        <v>12546</v>
      </c>
      <c r="Y360">
        <v>0.95</v>
      </c>
      <c r="Z360">
        <v>546</v>
      </c>
      <c r="AA360">
        <v>382</v>
      </c>
      <c r="AB360" t="s">
        <v>32</v>
      </c>
      <c r="AC360">
        <v>9.17</v>
      </c>
    </row>
    <row r="361" spans="1:29">
      <c r="A361" t="str">
        <f>"000868"</f>
        <v>000868</v>
      </c>
      <c r="B361" t="s">
        <v>513</v>
      </c>
      <c r="C361">
        <v>2.11</v>
      </c>
      <c r="D361">
        <v>5.33</v>
      </c>
      <c r="E361">
        <v>0.11</v>
      </c>
      <c r="F361">
        <v>5.32</v>
      </c>
      <c r="G361">
        <v>5.33</v>
      </c>
      <c r="H361">
        <v>400719</v>
      </c>
      <c r="I361">
        <v>3907</v>
      </c>
      <c r="J361">
        <v>-0.18</v>
      </c>
      <c r="K361">
        <v>5.76</v>
      </c>
      <c r="L361">
        <v>5.17</v>
      </c>
      <c r="M361">
        <v>5.49</v>
      </c>
      <c r="N361">
        <v>5.17</v>
      </c>
      <c r="O361">
        <v>5.22</v>
      </c>
      <c r="P361" t="s">
        <v>32</v>
      </c>
      <c r="Q361">
        <v>214214256</v>
      </c>
      <c r="R361">
        <v>0.92</v>
      </c>
      <c r="S361" t="s">
        <v>262</v>
      </c>
      <c r="T361" t="s">
        <v>143</v>
      </c>
      <c r="U361">
        <v>6.13</v>
      </c>
      <c r="V361">
        <v>5.35</v>
      </c>
      <c r="W361">
        <v>189697</v>
      </c>
      <c r="X361">
        <v>211021</v>
      </c>
      <c r="Y361">
        <v>0.9</v>
      </c>
      <c r="Z361">
        <v>1775</v>
      </c>
      <c r="AA361">
        <v>3151</v>
      </c>
      <c r="AB361" t="s">
        <v>32</v>
      </c>
      <c r="AC361">
        <v>6.96</v>
      </c>
    </row>
    <row r="362" spans="1:29">
      <c r="A362" t="str">
        <f>"000869"</f>
        <v>000869</v>
      </c>
      <c r="B362" t="s">
        <v>514</v>
      </c>
      <c r="C362">
        <v>0.44</v>
      </c>
      <c r="D362">
        <v>41.18</v>
      </c>
      <c r="E362">
        <v>0.18</v>
      </c>
      <c r="F362">
        <v>41.17</v>
      </c>
      <c r="G362">
        <v>41.18</v>
      </c>
      <c r="H362">
        <v>20710</v>
      </c>
      <c r="I362">
        <v>427</v>
      </c>
      <c r="J362">
        <v>-0.01</v>
      </c>
      <c r="K362">
        <v>0.46</v>
      </c>
      <c r="L362">
        <v>40.86</v>
      </c>
      <c r="M362">
        <v>41.5</v>
      </c>
      <c r="N362">
        <v>40.2</v>
      </c>
      <c r="O362">
        <v>41</v>
      </c>
      <c r="P362">
        <v>14.72</v>
      </c>
      <c r="Q362">
        <v>85082648</v>
      </c>
      <c r="R362">
        <v>1.39</v>
      </c>
      <c r="S362" t="s">
        <v>272</v>
      </c>
      <c r="T362" t="s">
        <v>162</v>
      </c>
      <c r="U362">
        <v>3.17</v>
      </c>
      <c r="V362">
        <v>41.08</v>
      </c>
      <c r="W362">
        <v>10933</v>
      </c>
      <c r="X362">
        <v>9777</v>
      </c>
      <c r="Y362">
        <v>1.12</v>
      </c>
      <c r="Z362">
        <v>16</v>
      </c>
      <c r="AA362">
        <v>241</v>
      </c>
      <c r="AB362" t="s">
        <v>32</v>
      </c>
      <c r="AC362">
        <v>4.53</v>
      </c>
    </row>
    <row r="363" spans="1:29">
      <c r="A363" t="str">
        <f>"000875"</f>
        <v>000875</v>
      </c>
      <c r="B363" t="s">
        <v>515</v>
      </c>
      <c r="C363">
        <v>1.68</v>
      </c>
      <c r="D363">
        <v>3.03</v>
      </c>
      <c r="E363">
        <v>0.05</v>
      </c>
      <c r="F363">
        <v>3.02</v>
      </c>
      <c r="G363">
        <v>3.03</v>
      </c>
      <c r="H363">
        <v>180773</v>
      </c>
      <c r="I363">
        <v>4580</v>
      </c>
      <c r="J363">
        <v>0.33</v>
      </c>
      <c r="K363">
        <v>0.92</v>
      </c>
      <c r="L363">
        <v>2.97</v>
      </c>
      <c r="M363">
        <v>3.04</v>
      </c>
      <c r="N363">
        <v>2.97</v>
      </c>
      <c r="O363">
        <v>2.98</v>
      </c>
      <c r="P363">
        <v>11.64</v>
      </c>
      <c r="Q363">
        <v>54346300</v>
      </c>
      <c r="R363">
        <v>1.39</v>
      </c>
      <c r="S363" t="s">
        <v>75</v>
      </c>
      <c r="T363" t="s">
        <v>81</v>
      </c>
      <c r="U363">
        <v>2.35</v>
      </c>
      <c r="V363">
        <v>3.01</v>
      </c>
      <c r="W363">
        <v>60075</v>
      </c>
      <c r="X363">
        <v>120697</v>
      </c>
      <c r="Y363">
        <v>0.5</v>
      </c>
      <c r="Z363">
        <v>4328</v>
      </c>
      <c r="AA363">
        <v>2825</v>
      </c>
      <c r="AB363" t="s">
        <v>32</v>
      </c>
      <c r="AC363">
        <v>19.54</v>
      </c>
    </row>
    <row r="364" spans="1:29">
      <c r="A364" t="str">
        <f>"000876"</f>
        <v>000876</v>
      </c>
      <c r="B364" t="s">
        <v>516</v>
      </c>
      <c r="C364">
        <v>0.92</v>
      </c>
      <c r="D364">
        <v>6.57</v>
      </c>
      <c r="E364">
        <v>0.06</v>
      </c>
      <c r="F364">
        <v>6.57</v>
      </c>
      <c r="G364">
        <v>6.58</v>
      </c>
      <c r="H364">
        <v>130654</v>
      </c>
      <c r="I364">
        <v>861</v>
      </c>
      <c r="J364">
        <v>0.15</v>
      </c>
      <c r="K364">
        <v>0.31</v>
      </c>
      <c r="L364">
        <v>6.51</v>
      </c>
      <c r="M364">
        <v>6.59</v>
      </c>
      <c r="N364">
        <v>6.46</v>
      </c>
      <c r="O364">
        <v>6.51</v>
      </c>
      <c r="P364">
        <v>11.47</v>
      </c>
      <c r="Q364">
        <v>85646760</v>
      </c>
      <c r="R364">
        <v>1.68</v>
      </c>
      <c r="S364" t="s">
        <v>102</v>
      </c>
      <c r="T364" t="s">
        <v>146</v>
      </c>
      <c r="U364">
        <v>2</v>
      </c>
      <c r="V364">
        <v>6.56</v>
      </c>
      <c r="W364">
        <v>70394</v>
      </c>
      <c r="X364">
        <v>60260</v>
      </c>
      <c r="Y364">
        <v>1.17</v>
      </c>
      <c r="Z364">
        <v>1003</v>
      </c>
      <c r="AA364">
        <v>4191</v>
      </c>
      <c r="AB364" t="s">
        <v>32</v>
      </c>
      <c r="AC364">
        <v>41.77</v>
      </c>
    </row>
    <row r="365" spans="1:29">
      <c r="A365" t="str">
        <f>"000877"</f>
        <v>000877</v>
      </c>
      <c r="B365" t="s">
        <v>517</v>
      </c>
      <c r="C365">
        <v>7.95</v>
      </c>
      <c r="D365">
        <v>8.01</v>
      </c>
      <c r="E365">
        <v>0.59</v>
      </c>
      <c r="F365">
        <v>8</v>
      </c>
      <c r="G365">
        <v>8.01</v>
      </c>
      <c r="H365">
        <v>523379</v>
      </c>
      <c r="I365">
        <v>5931</v>
      </c>
      <c r="J365">
        <v>-0.36</v>
      </c>
      <c r="K365">
        <v>5.95</v>
      </c>
      <c r="L365">
        <v>7.48</v>
      </c>
      <c r="M365">
        <v>8.07</v>
      </c>
      <c r="N365">
        <v>7.48</v>
      </c>
      <c r="O365">
        <v>7.42</v>
      </c>
      <c r="P365" t="s">
        <v>32</v>
      </c>
      <c r="Q365">
        <v>408491392</v>
      </c>
      <c r="R365">
        <v>3.7</v>
      </c>
      <c r="S365" t="s">
        <v>166</v>
      </c>
      <c r="T365" t="s">
        <v>156</v>
      </c>
      <c r="U365">
        <v>7.95</v>
      </c>
      <c r="V365">
        <v>7.8</v>
      </c>
      <c r="W365">
        <v>248235</v>
      </c>
      <c r="X365">
        <v>275143</v>
      </c>
      <c r="Y365">
        <v>0.9</v>
      </c>
      <c r="Z365">
        <v>2104</v>
      </c>
      <c r="AA365">
        <v>592</v>
      </c>
      <c r="AB365" t="s">
        <v>32</v>
      </c>
      <c r="AC365">
        <v>8.8</v>
      </c>
    </row>
    <row r="366" spans="1:29">
      <c r="A366" t="str">
        <f>"000878"</f>
        <v>000878</v>
      </c>
      <c r="B366" t="s">
        <v>518</v>
      </c>
      <c r="C366">
        <v>3.19</v>
      </c>
      <c r="D366">
        <v>9.71</v>
      </c>
      <c r="E366">
        <v>0.3</v>
      </c>
      <c r="F366">
        <v>9.71</v>
      </c>
      <c r="G366">
        <v>9.72</v>
      </c>
      <c r="H366">
        <v>200375</v>
      </c>
      <c r="I366">
        <v>1667</v>
      </c>
      <c r="J366">
        <v>-0.2</v>
      </c>
      <c r="K366">
        <v>1.41</v>
      </c>
      <c r="L366">
        <v>9.37</v>
      </c>
      <c r="M366">
        <v>9.85</v>
      </c>
      <c r="N366">
        <v>9.35</v>
      </c>
      <c r="O366">
        <v>9.41</v>
      </c>
      <c r="P366">
        <v>29.19</v>
      </c>
      <c r="Q366">
        <v>194424736</v>
      </c>
      <c r="R366">
        <v>2.83</v>
      </c>
      <c r="S366" t="s">
        <v>340</v>
      </c>
      <c r="T366" t="s">
        <v>250</v>
      </c>
      <c r="U366">
        <v>5.31</v>
      </c>
      <c r="V366">
        <v>9.7</v>
      </c>
      <c r="W366">
        <v>89743</v>
      </c>
      <c r="X366">
        <v>110631</v>
      </c>
      <c r="Y366">
        <v>0.81</v>
      </c>
      <c r="Z366">
        <v>833</v>
      </c>
      <c r="AA366">
        <v>618</v>
      </c>
      <c r="AB366" t="s">
        <v>32</v>
      </c>
      <c r="AC366">
        <v>14.16</v>
      </c>
    </row>
    <row r="367" spans="1:29">
      <c r="A367" t="str">
        <f>"000880"</f>
        <v>000880</v>
      </c>
      <c r="B367" t="s">
        <v>519</v>
      </c>
      <c r="C367">
        <v>3.74</v>
      </c>
      <c r="D367">
        <v>8.04</v>
      </c>
      <c r="E367">
        <v>0.29</v>
      </c>
      <c r="F367">
        <v>8.04</v>
      </c>
      <c r="G367">
        <v>8.05</v>
      </c>
      <c r="H367">
        <v>20692</v>
      </c>
      <c r="I367">
        <v>268</v>
      </c>
      <c r="J367">
        <v>0.37</v>
      </c>
      <c r="K367">
        <v>1.53</v>
      </c>
      <c r="L367">
        <v>7.75</v>
      </c>
      <c r="M367">
        <v>8.2</v>
      </c>
      <c r="N367">
        <v>7.73</v>
      </c>
      <c r="O367">
        <v>7.75</v>
      </c>
      <c r="P367">
        <v>31.71</v>
      </c>
      <c r="Q367">
        <v>16583889</v>
      </c>
      <c r="R367">
        <v>2.87</v>
      </c>
      <c r="S367" t="s">
        <v>241</v>
      </c>
      <c r="T367" t="s">
        <v>162</v>
      </c>
      <c r="U367">
        <v>6.06</v>
      </c>
      <c r="V367">
        <v>8.01</v>
      </c>
      <c r="W367">
        <v>10751</v>
      </c>
      <c r="X367">
        <v>9941</v>
      </c>
      <c r="Y367">
        <v>1.08</v>
      </c>
      <c r="Z367">
        <v>79</v>
      </c>
      <c r="AA367">
        <v>125</v>
      </c>
      <c r="AB367" t="s">
        <v>32</v>
      </c>
      <c r="AC367">
        <v>1.35</v>
      </c>
    </row>
    <row r="368" spans="1:29">
      <c r="A368" t="str">
        <f>"000881"</f>
        <v>000881</v>
      </c>
      <c r="B368" t="s">
        <v>520</v>
      </c>
      <c r="C368">
        <v>1.83</v>
      </c>
      <c r="D368">
        <v>9.45</v>
      </c>
      <c r="E368">
        <v>0.17</v>
      </c>
      <c r="F368">
        <v>9.44</v>
      </c>
      <c r="G368">
        <v>9.45</v>
      </c>
      <c r="H368">
        <v>22250</v>
      </c>
      <c r="I368">
        <v>202</v>
      </c>
      <c r="J368">
        <v>0.11</v>
      </c>
      <c r="K368">
        <v>0.72</v>
      </c>
      <c r="L368">
        <v>9.29</v>
      </c>
      <c r="M368">
        <v>9.65</v>
      </c>
      <c r="N368">
        <v>9.25</v>
      </c>
      <c r="O368">
        <v>9.28</v>
      </c>
      <c r="P368">
        <v>95.18</v>
      </c>
      <c r="Q368">
        <v>21092456</v>
      </c>
      <c r="R368">
        <v>1.31</v>
      </c>
      <c r="S368" t="s">
        <v>47</v>
      </c>
      <c r="T368" t="s">
        <v>111</v>
      </c>
      <c r="U368">
        <v>4.31</v>
      </c>
      <c r="V368">
        <v>9.48</v>
      </c>
      <c r="W368">
        <v>9964</v>
      </c>
      <c r="X368">
        <v>12286</v>
      </c>
      <c r="Y368">
        <v>0.81</v>
      </c>
      <c r="Z368">
        <v>373</v>
      </c>
      <c r="AA368">
        <v>674</v>
      </c>
      <c r="AB368" t="s">
        <v>32</v>
      </c>
      <c r="AC368">
        <v>3.08</v>
      </c>
    </row>
    <row r="369" spans="1:29">
      <c r="A369" t="str">
        <f>"000882"</f>
        <v>000882</v>
      </c>
      <c r="B369" t="s">
        <v>521</v>
      </c>
      <c r="C369">
        <v>1.52</v>
      </c>
      <c r="D369">
        <v>2.67</v>
      </c>
      <c r="E369">
        <v>0.04</v>
      </c>
      <c r="F369">
        <v>2.67</v>
      </c>
      <c r="G369">
        <v>2.68</v>
      </c>
      <c r="H369">
        <v>136537</v>
      </c>
      <c r="I369">
        <v>2316</v>
      </c>
      <c r="J369">
        <v>-0.36</v>
      </c>
      <c r="K369">
        <v>0.55</v>
      </c>
      <c r="L369">
        <v>2.63</v>
      </c>
      <c r="M369">
        <v>2.69</v>
      </c>
      <c r="N369">
        <v>2.62</v>
      </c>
      <c r="O369">
        <v>2.63</v>
      </c>
      <c r="P369">
        <v>309.55</v>
      </c>
      <c r="Q369">
        <v>36414124</v>
      </c>
      <c r="R369">
        <v>2.21</v>
      </c>
      <c r="S369" t="s">
        <v>186</v>
      </c>
      <c r="T369" t="s">
        <v>45</v>
      </c>
      <c r="U369">
        <v>2.66</v>
      </c>
      <c r="V369">
        <v>2.67</v>
      </c>
      <c r="W369">
        <v>55922</v>
      </c>
      <c r="X369">
        <v>80614</v>
      </c>
      <c r="Y369">
        <v>0.69</v>
      </c>
      <c r="Z369">
        <v>1591</v>
      </c>
      <c r="AA369">
        <v>3775</v>
      </c>
      <c r="AB369" t="s">
        <v>32</v>
      </c>
      <c r="AC369">
        <v>24.82</v>
      </c>
    </row>
    <row r="370" spans="1:29">
      <c r="A370" t="str">
        <f>"000883"</f>
        <v>000883</v>
      </c>
      <c r="B370" t="s">
        <v>522</v>
      </c>
      <c r="C370">
        <v>1.16</v>
      </c>
      <c r="D370">
        <v>4.35</v>
      </c>
      <c r="E370">
        <v>0.05</v>
      </c>
      <c r="F370">
        <v>4.34</v>
      </c>
      <c r="G370">
        <v>4.35</v>
      </c>
      <c r="H370">
        <v>93120</v>
      </c>
      <c r="I370">
        <v>619</v>
      </c>
      <c r="J370">
        <v>0.23</v>
      </c>
      <c r="K370">
        <v>0.17</v>
      </c>
      <c r="L370">
        <v>4.29</v>
      </c>
      <c r="M370">
        <v>4.36</v>
      </c>
      <c r="N370">
        <v>4.28</v>
      </c>
      <c r="O370">
        <v>4.3</v>
      </c>
      <c r="P370">
        <v>9.92</v>
      </c>
      <c r="Q370">
        <v>40397032</v>
      </c>
      <c r="R370">
        <v>1.37</v>
      </c>
      <c r="S370" t="s">
        <v>75</v>
      </c>
      <c r="T370" t="s">
        <v>193</v>
      </c>
      <c r="U370">
        <v>1.86</v>
      </c>
      <c r="V370">
        <v>4.34</v>
      </c>
      <c r="W370">
        <v>30659</v>
      </c>
      <c r="X370">
        <v>62460</v>
      </c>
      <c r="Y370">
        <v>0.49</v>
      </c>
      <c r="Z370">
        <v>1675</v>
      </c>
      <c r="AA370">
        <v>1690</v>
      </c>
      <c r="AB370" t="s">
        <v>32</v>
      </c>
      <c r="AC370">
        <v>53.46</v>
      </c>
    </row>
    <row r="371" spans="1:29">
      <c r="A371" t="str">
        <f>"000885"</f>
        <v>000885</v>
      </c>
      <c r="B371" t="s">
        <v>523</v>
      </c>
      <c r="C371">
        <v>5.37</v>
      </c>
      <c r="D371">
        <v>11.38</v>
      </c>
      <c r="E371">
        <v>0.58</v>
      </c>
      <c r="F371">
        <v>11.38</v>
      </c>
      <c r="G371">
        <v>11.39</v>
      </c>
      <c r="H371">
        <v>161788</v>
      </c>
      <c r="I371">
        <v>1747</v>
      </c>
      <c r="J371">
        <v>0.26</v>
      </c>
      <c r="K371">
        <v>3.26</v>
      </c>
      <c r="L371">
        <v>10.78</v>
      </c>
      <c r="M371">
        <v>11.44</v>
      </c>
      <c r="N371">
        <v>10.72</v>
      </c>
      <c r="O371">
        <v>10.8</v>
      </c>
      <c r="P371">
        <v>10.98</v>
      </c>
      <c r="Q371">
        <v>181482336</v>
      </c>
      <c r="R371">
        <v>2.69</v>
      </c>
      <c r="S371" t="s">
        <v>166</v>
      </c>
      <c r="T371" t="s">
        <v>164</v>
      </c>
      <c r="U371">
        <v>6.67</v>
      </c>
      <c r="V371">
        <v>11.22</v>
      </c>
      <c r="W371">
        <v>76243</v>
      </c>
      <c r="X371">
        <v>85545</v>
      </c>
      <c r="Y371">
        <v>0.89</v>
      </c>
      <c r="Z371">
        <v>1132</v>
      </c>
      <c r="AA371">
        <v>629</v>
      </c>
      <c r="AB371" t="s">
        <v>32</v>
      </c>
      <c r="AC371">
        <v>4.96</v>
      </c>
    </row>
    <row r="372" spans="1:29">
      <c r="A372" t="str">
        <f>"000886"</f>
        <v>000886</v>
      </c>
      <c r="B372" t="s">
        <v>524</v>
      </c>
      <c r="C372">
        <v>4.04</v>
      </c>
      <c r="D372">
        <v>4.64</v>
      </c>
      <c r="E372">
        <v>0.18</v>
      </c>
      <c r="F372">
        <v>4.63</v>
      </c>
      <c r="G372">
        <v>4.64</v>
      </c>
      <c r="H372">
        <v>196886</v>
      </c>
      <c r="I372">
        <v>4367</v>
      </c>
      <c r="J372">
        <v>0.22</v>
      </c>
      <c r="K372">
        <v>2.04</v>
      </c>
      <c r="L372">
        <v>4.46</v>
      </c>
      <c r="M372">
        <v>4.66</v>
      </c>
      <c r="N372">
        <v>4.43</v>
      </c>
      <c r="O372">
        <v>4.46</v>
      </c>
      <c r="P372">
        <v>33.32</v>
      </c>
      <c r="Q372">
        <v>90101648</v>
      </c>
      <c r="R372">
        <v>1.8</v>
      </c>
      <c r="S372" t="s">
        <v>201</v>
      </c>
      <c r="T372" t="s">
        <v>209</v>
      </c>
      <c r="U372">
        <v>5.16</v>
      </c>
      <c r="V372">
        <v>4.58</v>
      </c>
      <c r="W372">
        <v>71167</v>
      </c>
      <c r="X372">
        <v>125719</v>
      </c>
      <c r="Y372">
        <v>0.57</v>
      </c>
      <c r="Z372">
        <v>1783</v>
      </c>
      <c r="AA372">
        <v>1802</v>
      </c>
      <c r="AB372" t="s">
        <v>32</v>
      </c>
      <c r="AC372">
        <v>9.65</v>
      </c>
    </row>
    <row r="373" spans="1:29">
      <c r="A373" t="str">
        <f>"000887"</f>
        <v>000887</v>
      </c>
      <c r="B373" t="s">
        <v>525</v>
      </c>
      <c r="C373">
        <v>2.97</v>
      </c>
      <c r="D373">
        <v>14.58</v>
      </c>
      <c r="E373">
        <v>0.42</v>
      </c>
      <c r="F373">
        <v>14.57</v>
      </c>
      <c r="G373">
        <v>14.58</v>
      </c>
      <c r="H373">
        <v>89233</v>
      </c>
      <c r="I373">
        <v>477</v>
      </c>
      <c r="J373">
        <v>0.14</v>
      </c>
      <c r="K373">
        <v>0.73</v>
      </c>
      <c r="L373">
        <v>14.18</v>
      </c>
      <c r="M373">
        <v>14.67</v>
      </c>
      <c r="N373">
        <v>14.18</v>
      </c>
      <c r="O373">
        <v>14.16</v>
      </c>
      <c r="P373">
        <v>11.94</v>
      </c>
      <c r="Q373">
        <v>128927768</v>
      </c>
      <c r="R373">
        <v>1.82</v>
      </c>
      <c r="S373" t="s">
        <v>526</v>
      </c>
      <c r="T373" t="s">
        <v>143</v>
      </c>
      <c r="U373">
        <v>3.46</v>
      </c>
      <c r="V373">
        <v>14.45</v>
      </c>
      <c r="W373">
        <v>37826</v>
      </c>
      <c r="X373">
        <v>51407</v>
      </c>
      <c r="Y373">
        <v>0.74</v>
      </c>
      <c r="Z373">
        <v>83</v>
      </c>
      <c r="AA373">
        <v>490</v>
      </c>
      <c r="AB373" t="s">
        <v>32</v>
      </c>
      <c r="AC373">
        <v>12.19</v>
      </c>
    </row>
    <row r="374" spans="1:29">
      <c r="A374" t="str">
        <f>"000888"</f>
        <v>000888</v>
      </c>
      <c r="B374" t="s">
        <v>527</v>
      </c>
      <c r="C374">
        <v>1.53</v>
      </c>
      <c r="D374">
        <v>7.98</v>
      </c>
      <c r="E374">
        <v>0.12</v>
      </c>
      <c r="F374">
        <v>7.97</v>
      </c>
      <c r="G374">
        <v>7.98</v>
      </c>
      <c r="H374">
        <v>59710</v>
      </c>
      <c r="I374">
        <v>554</v>
      </c>
      <c r="J374">
        <v>0.13</v>
      </c>
      <c r="K374">
        <v>1.13</v>
      </c>
      <c r="L374">
        <v>7.85</v>
      </c>
      <c r="M374">
        <v>8.03</v>
      </c>
      <c r="N374">
        <v>7.85</v>
      </c>
      <c r="O374">
        <v>7.86</v>
      </c>
      <c r="P374">
        <v>57.16</v>
      </c>
      <c r="Q374">
        <v>47452164</v>
      </c>
      <c r="R374">
        <v>1.49</v>
      </c>
      <c r="S374" t="s">
        <v>124</v>
      </c>
      <c r="T374" t="s">
        <v>146</v>
      </c>
      <c r="U374">
        <v>2.29</v>
      </c>
      <c r="V374">
        <v>7.95</v>
      </c>
      <c r="W374">
        <v>33554</v>
      </c>
      <c r="X374">
        <v>26155</v>
      </c>
      <c r="Y374">
        <v>1.28</v>
      </c>
      <c r="Z374">
        <v>518</v>
      </c>
      <c r="AA374">
        <v>1237</v>
      </c>
      <c r="AB374" t="s">
        <v>32</v>
      </c>
      <c r="AC374">
        <v>5.27</v>
      </c>
    </row>
    <row r="375" spans="1:29">
      <c r="A375" t="str">
        <f>"000889"</f>
        <v>000889</v>
      </c>
      <c r="B375" t="s">
        <v>528</v>
      </c>
      <c r="C375">
        <v>0.24</v>
      </c>
      <c r="D375">
        <v>12.29</v>
      </c>
      <c r="E375">
        <v>0.03</v>
      </c>
      <c r="F375">
        <v>12.29</v>
      </c>
      <c r="G375">
        <v>12.32</v>
      </c>
      <c r="H375">
        <v>10801</v>
      </c>
      <c r="I375">
        <v>405</v>
      </c>
      <c r="J375">
        <v>-0.31</v>
      </c>
      <c r="K375">
        <v>0.17</v>
      </c>
      <c r="L375">
        <v>12.29</v>
      </c>
      <c r="M375">
        <v>12.46</v>
      </c>
      <c r="N375">
        <v>12.25</v>
      </c>
      <c r="O375">
        <v>12.26</v>
      </c>
      <c r="P375">
        <v>29.19</v>
      </c>
      <c r="Q375">
        <v>13348600</v>
      </c>
      <c r="R375">
        <v>0.7</v>
      </c>
      <c r="S375" t="s">
        <v>119</v>
      </c>
      <c r="T375" t="s">
        <v>154</v>
      </c>
      <c r="U375">
        <v>1.71</v>
      </c>
      <c r="V375">
        <v>12.36</v>
      </c>
      <c r="W375">
        <v>5401</v>
      </c>
      <c r="X375">
        <v>5399</v>
      </c>
      <c r="Y375">
        <v>1</v>
      </c>
      <c r="Z375">
        <v>55</v>
      </c>
      <c r="AA375">
        <v>14</v>
      </c>
      <c r="AB375" t="s">
        <v>32</v>
      </c>
      <c r="AC375">
        <v>6.22</v>
      </c>
    </row>
    <row r="376" spans="1:29">
      <c r="A376" t="str">
        <f>"000890"</f>
        <v>000890</v>
      </c>
      <c r="B376" t="s">
        <v>529</v>
      </c>
      <c r="C376">
        <v>2.51</v>
      </c>
      <c r="D376">
        <v>5.3</v>
      </c>
      <c r="E376">
        <v>0.13</v>
      </c>
      <c r="F376">
        <v>5.29</v>
      </c>
      <c r="G376">
        <v>5.3</v>
      </c>
      <c r="H376">
        <v>40434</v>
      </c>
      <c r="I376">
        <v>400</v>
      </c>
      <c r="J376">
        <v>0</v>
      </c>
      <c r="K376">
        <v>1.07</v>
      </c>
      <c r="L376">
        <v>5.15</v>
      </c>
      <c r="M376">
        <v>5.32</v>
      </c>
      <c r="N376">
        <v>5.12</v>
      </c>
      <c r="O376">
        <v>5.17</v>
      </c>
      <c r="P376">
        <v>76.67</v>
      </c>
      <c r="Q376">
        <v>21213254</v>
      </c>
      <c r="R376">
        <v>1.53</v>
      </c>
      <c r="S376" t="s">
        <v>449</v>
      </c>
      <c r="T376" t="s">
        <v>87</v>
      </c>
      <c r="U376">
        <v>3.87</v>
      </c>
      <c r="V376">
        <v>5.25</v>
      </c>
      <c r="W376">
        <v>14877</v>
      </c>
      <c r="X376">
        <v>25556</v>
      </c>
      <c r="Y376">
        <v>0.58</v>
      </c>
      <c r="Z376">
        <v>8</v>
      </c>
      <c r="AA376">
        <v>726</v>
      </c>
      <c r="AB376" t="s">
        <v>32</v>
      </c>
      <c r="AC376">
        <v>3.8</v>
      </c>
    </row>
    <row r="377" spans="1:29">
      <c r="A377" t="str">
        <f>"000892"</f>
        <v>000892</v>
      </c>
      <c r="B377" t="s">
        <v>530</v>
      </c>
      <c r="C377">
        <v>0</v>
      </c>
      <c r="D377">
        <v>5.21</v>
      </c>
      <c r="E377">
        <v>0</v>
      </c>
      <c r="F377">
        <v>5.2</v>
      </c>
      <c r="G377">
        <v>5.21</v>
      </c>
      <c r="H377">
        <v>42273</v>
      </c>
      <c r="I377">
        <v>585</v>
      </c>
      <c r="J377">
        <v>-0.18</v>
      </c>
      <c r="K377">
        <v>0.82</v>
      </c>
      <c r="L377">
        <v>5.16</v>
      </c>
      <c r="M377">
        <v>5.27</v>
      </c>
      <c r="N377">
        <v>5.16</v>
      </c>
      <c r="O377">
        <v>5.21</v>
      </c>
      <c r="P377">
        <v>151.91</v>
      </c>
      <c r="Q377">
        <v>22034798</v>
      </c>
      <c r="R377">
        <v>1.02</v>
      </c>
      <c r="S377" t="s">
        <v>148</v>
      </c>
      <c r="T377" t="s">
        <v>221</v>
      </c>
      <c r="U377">
        <v>2.11</v>
      </c>
      <c r="V377">
        <v>5.21</v>
      </c>
      <c r="W377">
        <v>24866</v>
      </c>
      <c r="X377">
        <v>17407</v>
      </c>
      <c r="Y377">
        <v>1.43</v>
      </c>
      <c r="Z377">
        <v>1067</v>
      </c>
      <c r="AA377">
        <v>571</v>
      </c>
      <c r="AB377" t="s">
        <v>32</v>
      </c>
      <c r="AC377">
        <v>5.17</v>
      </c>
    </row>
    <row r="378" spans="1:29">
      <c r="A378" t="str">
        <f>"000893"</f>
        <v>000893</v>
      </c>
      <c r="B378" t="s">
        <v>531</v>
      </c>
      <c r="C378">
        <v>-0.54</v>
      </c>
      <c r="D378">
        <v>3.69</v>
      </c>
      <c r="E378">
        <v>-0.02</v>
      </c>
      <c r="F378">
        <v>3.68</v>
      </c>
      <c r="G378">
        <v>3.69</v>
      </c>
      <c r="H378">
        <v>28159</v>
      </c>
      <c r="I378">
        <v>733</v>
      </c>
      <c r="J378">
        <v>0</v>
      </c>
      <c r="K378">
        <v>0.7</v>
      </c>
      <c r="L378">
        <v>3.52</v>
      </c>
      <c r="M378">
        <v>3.72</v>
      </c>
      <c r="N378">
        <v>3.52</v>
      </c>
      <c r="O378">
        <v>3.71</v>
      </c>
      <c r="P378" t="s">
        <v>32</v>
      </c>
      <c r="Q378">
        <v>10255787</v>
      </c>
      <c r="R378">
        <v>0.97</v>
      </c>
      <c r="S378" t="s">
        <v>213</v>
      </c>
      <c r="T378" t="s">
        <v>136</v>
      </c>
      <c r="U378">
        <v>5.39</v>
      </c>
      <c r="V378">
        <v>3.64</v>
      </c>
      <c r="W378">
        <v>11512</v>
      </c>
      <c r="X378">
        <v>16646</v>
      </c>
      <c r="Y378">
        <v>0.69</v>
      </c>
      <c r="Z378">
        <v>303</v>
      </c>
      <c r="AA378">
        <v>417</v>
      </c>
      <c r="AB378" t="s">
        <v>32</v>
      </c>
      <c r="AC378">
        <v>4.01</v>
      </c>
    </row>
    <row r="379" spans="1:29">
      <c r="A379" t="str">
        <f>"000895"</f>
        <v>000895</v>
      </c>
      <c r="B379" t="s">
        <v>532</v>
      </c>
      <c r="C379">
        <v>0.96</v>
      </c>
      <c r="D379">
        <v>26.39</v>
      </c>
      <c r="E379">
        <v>0.25</v>
      </c>
      <c r="F379">
        <v>26.38</v>
      </c>
      <c r="G379">
        <v>26.39</v>
      </c>
      <c r="H379">
        <v>81513</v>
      </c>
      <c r="I379">
        <v>1281</v>
      </c>
      <c r="J379">
        <v>-0.03</v>
      </c>
      <c r="K379">
        <v>0.25</v>
      </c>
      <c r="L379">
        <v>26.03</v>
      </c>
      <c r="M379">
        <v>26.77</v>
      </c>
      <c r="N379">
        <v>26</v>
      </c>
      <c r="O379">
        <v>26.14</v>
      </c>
      <c r="P379">
        <v>20.46</v>
      </c>
      <c r="Q379">
        <v>215360672</v>
      </c>
      <c r="R379">
        <v>1.41</v>
      </c>
      <c r="S379" t="s">
        <v>213</v>
      </c>
      <c r="T379" t="s">
        <v>164</v>
      </c>
      <c r="U379">
        <v>2.95</v>
      </c>
      <c r="V379">
        <v>26.42</v>
      </c>
      <c r="W379">
        <v>36257</v>
      </c>
      <c r="X379">
        <v>45256</v>
      </c>
      <c r="Y379">
        <v>0.8</v>
      </c>
      <c r="Z379">
        <v>30</v>
      </c>
      <c r="AA379">
        <v>409</v>
      </c>
      <c r="AB379" t="s">
        <v>32</v>
      </c>
      <c r="AC379">
        <v>32.99</v>
      </c>
    </row>
    <row r="380" spans="1:29">
      <c r="A380" t="str">
        <f>"000897"</f>
        <v>000897</v>
      </c>
      <c r="B380" t="s">
        <v>533</v>
      </c>
      <c r="C380">
        <v>2.19</v>
      </c>
      <c r="D380">
        <v>2.33</v>
      </c>
      <c r="E380">
        <v>0.05</v>
      </c>
      <c r="F380">
        <v>2.33</v>
      </c>
      <c r="G380">
        <v>2.34</v>
      </c>
      <c r="H380">
        <v>90615</v>
      </c>
      <c r="I380">
        <v>523</v>
      </c>
      <c r="J380">
        <v>0</v>
      </c>
      <c r="K380">
        <v>0.56</v>
      </c>
      <c r="L380">
        <v>2.29</v>
      </c>
      <c r="M380">
        <v>2.34</v>
      </c>
      <c r="N380">
        <v>2.27</v>
      </c>
      <c r="O380">
        <v>2.28</v>
      </c>
      <c r="P380" t="s">
        <v>32</v>
      </c>
      <c r="Q380">
        <v>21010220</v>
      </c>
      <c r="R380">
        <v>1.76</v>
      </c>
      <c r="S380" t="s">
        <v>40</v>
      </c>
      <c r="T380" t="s">
        <v>248</v>
      </c>
      <c r="U380">
        <v>3.07</v>
      </c>
      <c r="V380">
        <v>2.32</v>
      </c>
      <c r="W380">
        <v>33684</v>
      </c>
      <c r="X380">
        <v>56930</v>
      </c>
      <c r="Y380">
        <v>0.59</v>
      </c>
      <c r="Z380">
        <v>2835</v>
      </c>
      <c r="AA380">
        <v>6789</v>
      </c>
      <c r="AB380" t="s">
        <v>32</v>
      </c>
      <c r="AC380">
        <v>16.17</v>
      </c>
    </row>
    <row r="381" spans="1:29">
      <c r="A381" t="str">
        <f>"000898"</f>
        <v>000898</v>
      </c>
      <c r="B381" t="s">
        <v>534</v>
      </c>
      <c r="C381">
        <v>2.9</v>
      </c>
      <c r="D381">
        <v>6.39</v>
      </c>
      <c r="E381">
        <v>0.18</v>
      </c>
      <c r="F381">
        <v>6.38</v>
      </c>
      <c r="G381">
        <v>6.39</v>
      </c>
      <c r="H381">
        <v>447017</v>
      </c>
      <c r="I381">
        <v>2047</v>
      </c>
      <c r="J381">
        <v>0</v>
      </c>
      <c r="K381">
        <v>0.73</v>
      </c>
      <c r="L381">
        <v>6.31</v>
      </c>
      <c r="M381">
        <v>6.58</v>
      </c>
      <c r="N381">
        <v>6.31</v>
      </c>
      <c r="O381">
        <v>6.21</v>
      </c>
      <c r="P381">
        <v>7.27</v>
      </c>
      <c r="Q381">
        <v>287846336</v>
      </c>
      <c r="R381">
        <v>1.81</v>
      </c>
      <c r="S381" t="s">
        <v>353</v>
      </c>
      <c r="T381" t="s">
        <v>111</v>
      </c>
      <c r="U381">
        <v>4.35</v>
      </c>
      <c r="V381">
        <v>6.44</v>
      </c>
      <c r="W381">
        <v>214899</v>
      </c>
      <c r="X381">
        <v>232118</v>
      </c>
      <c r="Y381">
        <v>0.93</v>
      </c>
      <c r="Z381">
        <v>1855</v>
      </c>
      <c r="AA381">
        <v>779</v>
      </c>
      <c r="AB381" t="s">
        <v>32</v>
      </c>
      <c r="AC381">
        <v>61.49</v>
      </c>
    </row>
    <row r="382" spans="1:29">
      <c r="A382" t="str">
        <f>"000899"</f>
        <v>000899</v>
      </c>
      <c r="B382" t="s">
        <v>535</v>
      </c>
      <c r="C382">
        <v>0.71</v>
      </c>
      <c r="D382">
        <v>4.27</v>
      </c>
      <c r="E382">
        <v>0.03</v>
      </c>
      <c r="F382">
        <v>4.27</v>
      </c>
      <c r="G382">
        <v>4.28</v>
      </c>
      <c r="H382">
        <v>24511</v>
      </c>
      <c r="I382">
        <v>332</v>
      </c>
      <c r="J382">
        <v>0</v>
      </c>
      <c r="K382">
        <v>0.38</v>
      </c>
      <c r="L382">
        <v>4.24</v>
      </c>
      <c r="M382">
        <v>4.28</v>
      </c>
      <c r="N382">
        <v>4.2</v>
      </c>
      <c r="O382">
        <v>4.24</v>
      </c>
      <c r="P382">
        <v>46.06</v>
      </c>
      <c r="Q382">
        <v>10424534</v>
      </c>
      <c r="R382">
        <v>1.65</v>
      </c>
      <c r="S382" t="s">
        <v>75</v>
      </c>
      <c r="T382" t="s">
        <v>172</v>
      </c>
      <c r="U382">
        <v>1.89</v>
      </c>
      <c r="V382">
        <v>4.25</v>
      </c>
      <c r="W382">
        <v>12351</v>
      </c>
      <c r="X382">
        <v>12160</v>
      </c>
      <c r="Y382">
        <v>1.02</v>
      </c>
      <c r="Z382">
        <v>48</v>
      </c>
      <c r="AA382">
        <v>1471</v>
      </c>
      <c r="AB382" t="s">
        <v>32</v>
      </c>
      <c r="AC382">
        <v>6.47</v>
      </c>
    </row>
    <row r="383" spans="1:29">
      <c r="A383" t="str">
        <f>"000900"</f>
        <v>000900</v>
      </c>
      <c r="B383" t="s">
        <v>536</v>
      </c>
      <c r="C383">
        <v>2.12</v>
      </c>
      <c r="D383">
        <v>4.33</v>
      </c>
      <c r="E383">
        <v>0.09</v>
      </c>
      <c r="F383">
        <v>4.32</v>
      </c>
      <c r="G383">
        <v>4.33</v>
      </c>
      <c r="H383">
        <v>169308</v>
      </c>
      <c r="I383">
        <v>2047</v>
      </c>
      <c r="J383">
        <v>0</v>
      </c>
      <c r="K383">
        <v>1.12</v>
      </c>
      <c r="L383">
        <v>4.23</v>
      </c>
      <c r="M383">
        <v>4.37</v>
      </c>
      <c r="N383">
        <v>4.21</v>
      </c>
      <c r="O383">
        <v>4.24</v>
      </c>
      <c r="P383">
        <v>6.51</v>
      </c>
      <c r="Q383">
        <v>73088112</v>
      </c>
      <c r="R383">
        <v>2.5</v>
      </c>
      <c r="S383" t="s">
        <v>201</v>
      </c>
      <c r="T383" t="s">
        <v>152</v>
      </c>
      <c r="U383">
        <v>3.77</v>
      </c>
      <c r="V383">
        <v>4.32</v>
      </c>
      <c r="W383">
        <v>90609</v>
      </c>
      <c r="X383">
        <v>78699</v>
      </c>
      <c r="Y383">
        <v>1.15</v>
      </c>
      <c r="Z383">
        <v>4632</v>
      </c>
      <c r="AA383">
        <v>640</v>
      </c>
      <c r="AB383" t="s">
        <v>32</v>
      </c>
      <c r="AC383">
        <v>15.17</v>
      </c>
    </row>
    <row r="384" spans="1:29">
      <c r="A384" t="str">
        <f>"000901"</f>
        <v>000901</v>
      </c>
      <c r="B384" t="s">
        <v>537</v>
      </c>
      <c r="C384">
        <v>0.62</v>
      </c>
      <c r="D384">
        <v>11.29</v>
      </c>
      <c r="E384">
        <v>0.07</v>
      </c>
      <c r="F384">
        <v>11.28</v>
      </c>
      <c r="G384">
        <v>11.29</v>
      </c>
      <c r="H384">
        <v>114649</v>
      </c>
      <c r="I384">
        <v>1885</v>
      </c>
      <c r="J384">
        <v>0.18</v>
      </c>
      <c r="K384">
        <v>2.02</v>
      </c>
      <c r="L384">
        <v>11.1</v>
      </c>
      <c r="M384">
        <v>11.3</v>
      </c>
      <c r="N384">
        <v>11.04</v>
      </c>
      <c r="O384">
        <v>11.22</v>
      </c>
      <c r="P384" t="s">
        <v>32</v>
      </c>
      <c r="Q384">
        <v>128217456</v>
      </c>
      <c r="R384">
        <v>1.13</v>
      </c>
      <c r="S384" t="s">
        <v>389</v>
      </c>
      <c r="T384" t="s">
        <v>297</v>
      </c>
      <c r="U384">
        <v>2.32</v>
      </c>
      <c r="V384">
        <v>11.18</v>
      </c>
      <c r="W384">
        <v>57338</v>
      </c>
      <c r="X384">
        <v>57311</v>
      </c>
      <c r="Y384">
        <v>1</v>
      </c>
      <c r="Z384">
        <v>242</v>
      </c>
      <c r="AA384">
        <v>797</v>
      </c>
      <c r="AB384" t="s">
        <v>32</v>
      </c>
      <c r="AC384">
        <v>5.67</v>
      </c>
    </row>
    <row r="385" spans="1:29">
      <c r="A385" t="str">
        <f>"000902"</f>
        <v>000902</v>
      </c>
      <c r="B385" t="s">
        <v>538</v>
      </c>
      <c r="C385">
        <v>1.15</v>
      </c>
      <c r="D385">
        <v>8.83</v>
      </c>
      <c r="E385">
        <v>0.1</v>
      </c>
      <c r="F385">
        <v>8.83</v>
      </c>
      <c r="G385">
        <v>8.84</v>
      </c>
      <c r="H385">
        <v>81711</v>
      </c>
      <c r="I385">
        <v>453</v>
      </c>
      <c r="J385">
        <v>-0.1</v>
      </c>
      <c r="K385">
        <v>0.7</v>
      </c>
      <c r="L385">
        <v>8.76</v>
      </c>
      <c r="M385">
        <v>8.9</v>
      </c>
      <c r="N385">
        <v>8.71</v>
      </c>
      <c r="O385">
        <v>8.73</v>
      </c>
      <c r="P385">
        <v>10.28</v>
      </c>
      <c r="Q385">
        <v>72217176</v>
      </c>
      <c r="R385">
        <v>1</v>
      </c>
      <c r="S385" t="s">
        <v>145</v>
      </c>
      <c r="T385" t="s">
        <v>193</v>
      </c>
      <c r="U385">
        <v>2.18</v>
      </c>
      <c r="V385">
        <v>8.84</v>
      </c>
      <c r="W385">
        <v>39073</v>
      </c>
      <c r="X385">
        <v>42637</v>
      </c>
      <c r="Y385">
        <v>0.92</v>
      </c>
      <c r="Z385">
        <v>1917</v>
      </c>
      <c r="AA385">
        <v>1219</v>
      </c>
      <c r="AB385" t="s">
        <v>32</v>
      </c>
      <c r="AC385">
        <v>11.68</v>
      </c>
    </row>
    <row r="386" spans="1:29">
      <c r="A386" t="str">
        <f>"000903"</f>
        <v>000903</v>
      </c>
      <c r="B386" t="s">
        <v>539</v>
      </c>
      <c r="C386">
        <v>2.33</v>
      </c>
      <c r="D386">
        <v>2.64</v>
      </c>
      <c r="E386">
        <v>0.06</v>
      </c>
      <c r="F386">
        <v>2.64</v>
      </c>
      <c r="G386">
        <v>2.65</v>
      </c>
      <c r="H386">
        <v>94550</v>
      </c>
      <c r="I386">
        <v>775</v>
      </c>
      <c r="J386">
        <v>0.38</v>
      </c>
      <c r="K386">
        <v>0.54</v>
      </c>
      <c r="L386">
        <v>2.59</v>
      </c>
      <c r="M386">
        <v>2.64</v>
      </c>
      <c r="N386">
        <v>2.58</v>
      </c>
      <c r="O386">
        <v>2.58</v>
      </c>
      <c r="P386">
        <v>10.31</v>
      </c>
      <c r="Q386">
        <v>24796610</v>
      </c>
      <c r="R386">
        <v>1.71</v>
      </c>
      <c r="S386" t="s">
        <v>241</v>
      </c>
      <c r="T386" t="s">
        <v>250</v>
      </c>
      <c r="U386">
        <v>2.33</v>
      </c>
      <c r="V386">
        <v>2.62</v>
      </c>
      <c r="W386">
        <v>41100</v>
      </c>
      <c r="X386">
        <v>53450</v>
      </c>
      <c r="Y386">
        <v>0.77</v>
      </c>
      <c r="Z386">
        <v>570</v>
      </c>
      <c r="AA386">
        <v>6877</v>
      </c>
      <c r="AB386" t="s">
        <v>32</v>
      </c>
      <c r="AC386">
        <v>17.41</v>
      </c>
    </row>
    <row r="387" spans="1:29">
      <c r="A387" t="str">
        <f>"000905"</f>
        <v>000905</v>
      </c>
      <c r="B387" t="s">
        <v>540</v>
      </c>
      <c r="C387">
        <v>2.2</v>
      </c>
      <c r="D387">
        <v>7.89</v>
      </c>
      <c r="E387">
        <v>0.17</v>
      </c>
      <c r="F387">
        <v>7.88</v>
      </c>
      <c r="G387">
        <v>7.89</v>
      </c>
      <c r="H387">
        <v>56990</v>
      </c>
      <c r="I387">
        <v>474</v>
      </c>
      <c r="J387">
        <v>0.25</v>
      </c>
      <c r="K387">
        <v>1.07</v>
      </c>
      <c r="L387">
        <v>7.7</v>
      </c>
      <c r="M387">
        <v>7.97</v>
      </c>
      <c r="N387">
        <v>7.66</v>
      </c>
      <c r="O387">
        <v>7.72</v>
      </c>
      <c r="P387">
        <v>88.24</v>
      </c>
      <c r="Q387">
        <v>44719700</v>
      </c>
      <c r="R387">
        <v>1.71</v>
      </c>
      <c r="S387" t="s">
        <v>67</v>
      </c>
      <c r="T387" t="s">
        <v>236</v>
      </c>
      <c r="U387">
        <v>4.02</v>
      </c>
      <c r="V387">
        <v>7.85</v>
      </c>
      <c r="W387">
        <v>24741</v>
      </c>
      <c r="X387">
        <v>32249</v>
      </c>
      <c r="Y387">
        <v>0.77</v>
      </c>
      <c r="Z387">
        <v>6</v>
      </c>
      <c r="AA387">
        <v>547</v>
      </c>
      <c r="AB387" t="s">
        <v>32</v>
      </c>
      <c r="AC387">
        <v>5.31</v>
      </c>
    </row>
    <row r="388" spans="1:29">
      <c r="A388" t="str">
        <f>"000906"</f>
        <v>000906</v>
      </c>
      <c r="B388" t="s">
        <v>541</v>
      </c>
      <c r="C388">
        <v>1.96</v>
      </c>
      <c r="D388">
        <v>5.19</v>
      </c>
      <c r="E388">
        <v>0.1</v>
      </c>
      <c r="F388">
        <v>5.18</v>
      </c>
      <c r="G388">
        <v>5.19</v>
      </c>
      <c r="H388">
        <v>33155</v>
      </c>
      <c r="I388">
        <v>463</v>
      </c>
      <c r="J388">
        <v>0</v>
      </c>
      <c r="K388">
        <v>0.6</v>
      </c>
      <c r="L388">
        <v>5.1</v>
      </c>
      <c r="M388">
        <v>5.21</v>
      </c>
      <c r="N388">
        <v>5.1</v>
      </c>
      <c r="O388">
        <v>5.09</v>
      </c>
      <c r="P388">
        <v>15.34</v>
      </c>
      <c r="Q388">
        <v>17141772</v>
      </c>
      <c r="R388">
        <v>1.41</v>
      </c>
      <c r="S388" t="s">
        <v>117</v>
      </c>
      <c r="T388" t="s">
        <v>152</v>
      </c>
      <c r="U388">
        <v>2.16</v>
      </c>
      <c r="V388">
        <v>5.17</v>
      </c>
      <c r="W388">
        <v>15043</v>
      </c>
      <c r="X388">
        <v>18112</v>
      </c>
      <c r="Y388">
        <v>0.83</v>
      </c>
      <c r="Z388">
        <v>438</v>
      </c>
      <c r="AA388">
        <v>425</v>
      </c>
      <c r="AB388" t="s">
        <v>32</v>
      </c>
      <c r="AC388">
        <v>5.56</v>
      </c>
    </row>
    <row r="389" spans="1:29">
      <c r="A389" t="str">
        <f>"000908"</f>
        <v>000908</v>
      </c>
      <c r="B389" t="s">
        <v>542</v>
      </c>
      <c r="C389">
        <v>2.8</v>
      </c>
      <c r="D389">
        <v>4.4</v>
      </c>
      <c r="E389">
        <v>0.12</v>
      </c>
      <c r="F389">
        <v>4.39</v>
      </c>
      <c r="G389">
        <v>4.4</v>
      </c>
      <c r="H389">
        <v>58756</v>
      </c>
      <c r="I389">
        <v>1998</v>
      </c>
      <c r="J389">
        <v>0.23</v>
      </c>
      <c r="K389">
        <v>0.77</v>
      </c>
      <c r="L389">
        <v>4.24</v>
      </c>
      <c r="M389">
        <v>4.4</v>
      </c>
      <c r="N389">
        <v>4.23</v>
      </c>
      <c r="O389">
        <v>4.28</v>
      </c>
      <c r="P389">
        <v>63.94</v>
      </c>
      <c r="Q389">
        <v>25473642</v>
      </c>
      <c r="R389">
        <v>1.19</v>
      </c>
      <c r="S389" t="s">
        <v>142</v>
      </c>
      <c r="T389" t="s">
        <v>152</v>
      </c>
      <c r="U389">
        <v>3.97</v>
      </c>
      <c r="V389">
        <v>4.34</v>
      </c>
      <c r="W389">
        <v>20877</v>
      </c>
      <c r="X389">
        <v>37879</v>
      </c>
      <c r="Y389">
        <v>0.55</v>
      </c>
      <c r="Z389">
        <v>384</v>
      </c>
      <c r="AA389">
        <v>1700</v>
      </c>
      <c r="AB389" t="s">
        <v>32</v>
      </c>
      <c r="AC389">
        <v>7.67</v>
      </c>
    </row>
    <row r="390" spans="1:29">
      <c r="A390" t="str">
        <f>"000909"</f>
        <v>000909</v>
      </c>
      <c r="B390" t="s">
        <v>543</v>
      </c>
      <c r="C390">
        <v>1.8</v>
      </c>
      <c r="D390">
        <v>7.91</v>
      </c>
      <c r="E390">
        <v>0.14</v>
      </c>
      <c r="F390">
        <v>7.9</v>
      </c>
      <c r="G390">
        <v>7.91</v>
      </c>
      <c r="H390">
        <v>13985</v>
      </c>
      <c r="I390">
        <v>168</v>
      </c>
      <c r="J390">
        <v>0.13</v>
      </c>
      <c r="K390">
        <v>0.45</v>
      </c>
      <c r="L390">
        <v>7.8</v>
      </c>
      <c r="M390">
        <v>7.95</v>
      </c>
      <c r="N390">
        <v>7.73</v>
      </c>
      <c r="O390">
        <v>7.77</v>
      </c>
      <c r="P390">
        <v>107.14</v>
      </c>
      <c r="Q390">
        <v>11007119</v>
      </c>
      <c r="R390">
        <v>1.88</v>
      </c>
      <c r="S390" t="s">
        <v>47</v>
      </c>
      <c r="T390" t="s">
        <v>149</v>
      </c>
      <c r="U390">
        <v>2.83</v>
      </c>
      <c r="V390">
        <v>7.87</v>
      </c>
      <c r="W390">
        <v>5966</v>
      </c>
      <c r="X390">
        <v>8019</v>
      </c>
      <c r="Y390">
        <v>0.74</v>
      </c>
      <c r="Z390">
        <v>175</v>
      </c>
      <c r="AA390">
        <v>108</v>
      </c>
      <c r="AB390" t="s">
        <v>32</v>
      </c>
      <c r="AC390">
        <v>3.11</v>
      </c>
    </row>
    <row r="391" spans="1:29">
      <c r="A391" t="str">
        <f>"000910"</f>
        <v>000910</v>
      </c>
      <c r="B391" t="s">
        <v>544</v>
      </c>
      <c r="C391">
        <v>10</v>
      </c>
      <c r="D391">
        <v>14.52</v>
      </c>
      <c r="E391">
        <v>1.32</v>
      </c>
      <c r="F391">
        <v>14.52</v>
      </c>
      <c r="G391" t="s">
        <v>32</v>
      </c>
      <c r="H391">
        <v>106455</v>
      </c>
      <c r="I391">
        <v>164</v>
      </c>
      <c r="J391">
        <v>0</v>
      </c>
      <c r="K391">
        <v>2.01</v>
      </c>
      <c r="L391">
        <v>13.08</v>
      </c>
      <c r="M391">
        <v>14.52</v>
      </c>
      <c r="N391">
        <v>13.03</v>
      </c>
      <c r="O391">
        <v>13.2</v>
      </c>
      <c r="P391">
        <v>35.05</v>
      </c>
      <c r="Q391">
        <v>147363136</v>
      </c>
      <c r="R391">
        <v>2.08</v>
      </c>
      <c r="S391" t="s">
        <v>545</v>
      </c>
      <c r="T391" t="s">
        <v>87</v>
      </c>
      <c r="U391">
        <v>11.29</v>
      </c>
      <c r="V391">
        <v>13.84</v>
      </c>
      <c r="W391">
        <v>49191</v>
      </c>
      <c r="X391">
        <v>57263</v>
      </c>
      <c r="Y391">
        <v>0.86</v>
      </c>
      <c r="Z391">
        <v>3227</v>
      </c>
      <c r="AA391">
        <v>0</v>
      </c>
      <c r="AB391" t="s">
        <v>32</v>
      </c>
      <c r="AC391">
        <v>5.29</v>
      </c>
    </row>
    <row r="392" spans="1:29">
      <c r="A392" t="str">
        <f>"000911"</f>
        <v>000911</v>
      </c>
      <c r="B392" t="s">
        <v>546</v>
      </c>
      <c r="C392">
        <v>0.51</v>
      </c>
      <c r="D392">
        <v>5.87</v>
      </c>
      <c r="E392">
        <v>0.03</v>
      </c>
      <c r="F392">
        <v>5.86</v>
      </c>
      <c r="G392">
        <v>5.87</v>
      </c>
      <c r="H392">
        <v>47137</v>
      </c>
      <c r="I392">
        <v>1016</v>
      </c>
      <c r="J392">
        <v>0.17</v>
      </c>
      <c r="K392">
        <v>1.45</v>
      </c>
      <c r="L392">
        <v>5.81</v>
      </c>
      <c r="M392">
        <v>6.03</v>
      </c>
      <c r="N392">
        <v>5.78</v>
      </c>
      <c r="O392">
        <v>5.84</v>
      </c>
      <c r="P392" t="s">
        <v>32</v>
      </c>
      <c r="Q392">
        <v>27704986</v>
      </c>
      <c r="R392">
        <v>0.73</v>
      </c>
      <c r="S392" t="s">
        <v>213</v>
      </c>
      <c r="T392" t="s">
        <v>238</v>
      </c>
      <c r="U392">
        <v>4.28</v>
      </c>
      <c r="V392">
        <v>5.88</v>
      </c>
      <c r="W392">
        <v>27616</v>
      </c>
      <c r="X392">
        <v>19520</v>
      </c>
      <c r="Y392">
        <v>1.41</v>
      </c>
      <c r="Z392">
        <v>280</v>
      </c>
      <c r="AA392">
        <v>546</v>
      </c>
      <c r="AB392" t="s">
        <v>32</v>
      </c>
      <c r="AC392">
        <v>3.24</v>
      </c>
    </row>
    <row r="393" spans="1:29">
      <c r="A393" t="str">
        <f>"000912"</f>
        <v>000912</v>
      </c>
      <c r="B393" t="s">
        <v>547</v>
      </c>
      <c r="C393" t="s">
        <v>32</v>
      </c>
      <c r="D393">
        <v>6.79</v>
      </c>
      <c r="E393" t="s">
        <v>32</v>
      </c>
      <c r="F393" t="s">
        <v>32</v>
      </c>
      <c r="G393" t="s">
        <v>32</v>
      </c>
      <c r="H393">
        <v>0</v>
      </c>
      <c r="I393">
        <v>0</v>
      </c>
      <c r="J393" t="s">
        <v>32</v>
      </c>
      <c r="K393">
        <v>0</v>
      </c>
      <c r="L393" t="s">
        <v>32</v>
      </c>
      <c r="M393" t="s">
        <v>32</v>
      </c>
      <c r="N393" t="s">
        <v>32</v>
      </c>
      <c r="O393">
        <v>6.79</v>
      </c>
      <c r="P393">
        <v>11.37</v>
      </c>
      <c r="Q393">
        <v>0</v>
      </c>
      <c r="R393">
        <v>0</v>
      </c>
      <c r="S393" t="s">
        <v>145</v>
      </c>
      <c r="T393" t="s">
        <v>146</v>
      </c>
      <c r="U393">
        <v>0</v>
      </c>
      <c r="V393">
        <v>6.79</v>
      </c>
      <c r="W393">
        <v>0</v>
      </c>
      <c r="X393">
        <v>0</v>
      </c>
      <c r="Y393" t="s">
        <v>32</v>
      </c>
      <c r="Z393">
        <v>0</v>
      </c>
      <c r="AA393">
        <v>0</v>
      </c>
      <c r="AB393" t="s">
        <v>32</v>
      </c>
      <c r="AC393">
        <v>5.85</v>
      </c>
    </row>
    <row r="394" spans="1:29">
      <c r="A394" t="str">
        <f>"000913"</f>
        <v>000913</v>
      </c>
      <c r="B394" t="s">
        <v>548</v>
      </c>
      <c r="C394">
        <v>0.91</v>
      </c>
      <c r="D394">
        <v>11.06</v>
      </c>
      <c r="E394">
        <v>0.1</v>
      </c>
      <c r="F394">
        <v>11.06</v>
      </c>
      <c r="G394">
        <v>11.08</v>
      </c>
      <c r="H394">
        <v>25104</v>
      </c>
      <c r="I394">
        <v>341</v>
      </c>
      <c r="J394">
        <v>0.36</v>
      </c>
      <c r="K394">
        <v>0.55</v>
      </c>
      <c r="L394">
        <v>10.92</v>
      </c>
      <c r="M394">
        <v>11.14</v>
      </c>
      <c r="N394">
        <v>10.9</v>
      </c>
      <c r="O394">
        <v>10.96</v>
      </c>
      <c r="P394">
        <v>61.77</v>
      </c>
      <c r="Q394">
        <v>27684476</v>
      </c>
      <c r="R394">
        <v>1.77</v>
      </c>
      <c r="S394" t="s">
        <v>549</v>
      </c>
      <c r="T394" t="s">
        <v>149</v>
      </c>
      <c r="U394">
        <v>2.19</v>
      </c>
      <c r="V394">
        <v>11.03</v>
      </c>
      <c r="W394">
        <v>14781</v>
      </c>
      <c r="X394">
        <v>10323</v>
      </c>
      <c r="Y394">
        <v>1.43</v>
      </c>
      <c r="Z394">
        <v>110</v>
      </c>
      <c r="AA394">
        <v>158</v>
      </c>
      <c r="AB394" t="s">
        <v>32</v>
      </c>
      <c r="AC394">
        <v>4.54</v>
      </c>
    </row>
    <row r="395" spans="1:29">
      <c r="A395" t="str">
        <f>"000915"</f>
        <v>000915</v>
      </c>
      <c r="B395" t="s">
        <v>550</v>
      </c>
      <c r="C395">
        <v>5.59</v>
      </c>
      <c r="D395">
        <v>18.89</v>
      </c>
      <c r="E395">
        <v>1</v>
      </c>
      <c r="F395">
        <v>18.89</v>
      </c>
      <c r="G395">
        <v>18.9</v>
      </c>
      <c r="H395">
        <v>66039</v>
      </c>
      <c r="I395">
        <v>511</v>
      </c>
      <c r="J395">
        <v>0.11</v>
      </c>
      <c r="K395">
        <v>2.83</v>
      </c>
      <c r="L395">
        <v>17.81</v>
      </c>
      <c r="M395">
        <v>19.14</v>
      </c>
      <c r="N395">
        <v>17.75</v>
      </c>
      <c r="O395">
        <v>17.89</v>
      </c>
      <c r="P395">
        <v>14.97</v>
      </c>
      <c r="Q395">
        <v>122512192</v>
      </c>
      <c r="R395">
        <v>2.05</v>
      </c>
      <c r="S395" t="s">
        <v>142</v>
      </c>
      <c r="T395" t="s">
        <v>162</v>
      </c>
      <c r="U395">
        <v>7.77</v>
      </c>
      <c r="V395">
        <v>18.55</v>
      </c>
      <c r="W395">
        <v>27555</v>
      </c>
      <c r="X395">
        <v>38483</v>
      </c>
      <c r="Y395">
        <v>0.72</v>
      </c>
      <c r="Z395">
        <v>165</v>
      </c>
      <c r="AA395">
        <v>501</v>
      </c>
      <c r="AB395" t="s">
        <v>32</v>
      </c>
      <c r="AC395">
        <v>2.33</v>
      </c>
    </row>
    <row r="396" spans="1:29">
      <c r="A396" t="str">
        <f>"000917"</f>
        <v>000917</v>
      </c>
      <c r="B396" t="s">
        <v>551</v>
      </c>
      <c r="C396">
        <v>3.04</v>
      </c>
      <c r="D396">
        <v>5.76</v>
      </c>
      <c r="E396">
        <v>0.17</v>
      </c>
      <c r="F396">
        <v>5.76</v>
      </c>
      <c r="G396">
        <v>5.77</v>
      </c>
      <c r="H396">
        <v>110498</v>
      </c>
      <c r="I396">
        <v>4372</v>
      </c>
      <c r="J396">
        <v>0.35</v>
      </c>
      <c r="K396">
        <v>0.85</v>
      </c>
      <c r="L396">
        <v>5.6</v>
      </c>
      <c r="M396">
        <v>5.76</v>
      </c>
      <c r="N396">
        <v>5.59</v>
      </c>
      <c r="O396">
        <v>5.59</v>
      </c>
      <c r="P396" t="s">
        <v>32</v>
      </c>
      <c r="Q396">
        <v>62836872</v>
      </c>
      <c r="R396">
        <v>1.63</v>
      </c>
      <c r="S396" t="s">
        <v>148</v>
      </c>
      <c r="T396" t="s">
        <v>152</v>
      </c>
      <c r="U396">
        <v>3.04</v>
      </c>
      <c r="V396">
        <v>5.69</v>
      </c>
      <c r="W396">
        <v>48705</v>
      </c>
      <c r="X396">
        <v>61793</v>
      </c>
      <c r="Y396">
        <v>0.79</v>
      </c>
      <c r="Z396">
        <v>133</v>
      </c>
      <c r="AA396">
        <v>1762</v>
      </c>
      <c r="AB396" t="s">
        <v>32</v>
      </c>
      <c r="AC396">
        <v>12.95</v>
      </c>
    </row>
    <row r="397" spans="1:29">
      <c r="A397" t="str">
        <f>"000918"</f>
        <v>000918</v>
      </c>
      <c r="B397" t="s">
        <v>552</v>
      </c>
      <c r="C397">
        <v>1.19</v>
      </c>
      <c r="D397">
        <v>5.09</v>
      </c>
      <c r="E397">
        <v>0.06</v>
      </c>
      <c r="F397">
        <v>5.07</v>
      </c>
      <c r="G397">
        <v>5.09</v>
      </c>
      <c r="H397">
        <v>83793</v>
      </c>
      <c r="I397">
        <v>1351</v>
      </c>
      <c r="J397">
        <v>0.59</v>
      </c>
      <c r="K397">
        <v>0.46</v>
      </c>
      <c r="L397">
        <v>5</v>
      </c>
      <c r="M397">
        <v>5.12</v>
      </c>
      <c r="N397">
        <v>4.97</v>
      </c>
      <c r="O397">
        <v>5.03</v>
      </c>
      <c r="P397" t="s">
        <v>32</v>
      </c>
      <c r="Q397">
        <v>42390388</v>
      </c>
      <c r="R397">
        <v>1.16</v>
      </c>
      <c r="S397" t="s">
        <v>34</v>
      </c>
      <c r="T397" t="s">
        <v>149</v>
      </c>
      <c r="U397">
        <v>2.98</v>
      </c>
      <c r="V397">
        <v>5.06</v>
      </c>
      <c r="W397">
        <v>38324</v>
      </c>
      <c r="X397">
        <v>45468</v>
      </c>
      <c r="Y397">
        <v>0.84</v>
      </c>
      <c r="Z397">
        <v>184</v>
      </c>
      <c r="AA397">
        <v>175</v>
      </c>
      <c r="AB397" t="s">
        <v>32</v>
      </c>
      <c r="AC397">
        <v>18.04</v>
      </c>
    </row>
    <row r="398" spans="1:29">
      <c r="A398" t="str">
        <f>"000919"</f>
        <v>000919</v>
      </c>
      <c r="B398" t="s">
        <v>553</v>
      </c>
      <c r="C398">
        <v>1.6</v>
      </c>
      <c r="D398">
        <v>7.6</v>
      </c>
      <c r="E398">
        <v>0.12</v>
      </c>
      <c r="F398">
        <v>7.6</v>
      </c>
      <c r="G398">
        <v>7.61</v>
      </c>
      <c r="H398">
        <v>20007</v>
      </c>
      <c r="I398">
        <v>322</v>
      </c>
      <c r="J398">
        <v>0</v>
      </c>
      <c r="K398">
        <v>0.4</v>
      </c>
      <c r="L398">
        <v>7.47</v>
      </c>
      <c r="M398">
        <v>7.62</v>
      </c>
      <c r="N398">
        <v>7.44</v>
      </c>
      <c r="O398">
        <v>7.48</v>
      </c>
      <c r="P398">
        <v>20.33</v>
      </c>
      <c r="Q398">
        <v>15139811</v>
      </c>
      <c r="R398">
        <v>1.39</v>
      </c>
      <c r="S398" t="s">
        <v>142</v>
      </c>
      <c r="T398" t="s">
        <v>87</v>
      </c>
      <c r="U398">
        <v>2.41</v>
      </c>
      <c r="V398">
        <v>7.57</v>
      </c>
      <c r="W398">
        <v>8267</v>
      </c>
      <c r="X398">
        <v>11740</v>
      </c>
      <c r="Y398">
        <v>0.7</v>
      </c>
      <c r="Z398">
        <v>243</v>
      </c>
      <c r="AA398">
        <v>326</v>
      </c>
      <c r="AB398" t="s">
        <v>32</v>
      </c>
      <c r="AC398">
        <v>5.03</v>
      </c>
    </row>
    <row r="399" spans="1:29">
      <c r="A399" t="str">
        <f>"000920"</f>
        <v>000920</v>
      </c>
      <c r="B399" t="s">
        <v>554</v>
      </c>
      <c r="C399">
        <v>1.57</v>
      </c>
      <c r="D399">
        <v>6.48</v>
      </c>
      <c r="E399">
        <v>0.1</v>
      </c>
      <c r="F399">
        <v>6.48</v>
      </c>
      <c r="G399">
        <v>6.49</v>
      </c>
      <c r="H399">
        <v>28341</v>
      </c>
      <c r="I399">
        <v>461</v>
      </c>
      <c r="J399">
        <v>0</v>
      </c>
      <c r="K399">
        <v>0.67</v>
      </c>
      <c r="L399">
        <v>6.35</v>
      </c>
      <c r="M399">
        <v>6.5</v>
      </c>
      <c r="N399">
        <v>6.35</v>
      </c>
      <c r="O399">
        <v>6.38</v>
      </c>
      <c r="P399">
        <v>62.52</v>
      </c>
      <c r="Q399">
        <v>18295976</v>
      </c>
      <c r="R399">
        <v>0.73</v>
      </c>
      <c r="S399" t="s">
        <v>86</v>
      </c>
      <c r="T399" t="s">
        <v>253</v>
      </c>
      <c r="U399">
        <v>2.35</v>
      </c>
      <c r="V399">
        <v>6.46</v>
      </c>
      <c r="W399">
        <v>13599</v>
      </c>
      <c r="X399">
        <v>14741</v>
      </c>
      <c r="Y399">
        <v>0.92</v>
      </c>
      <c r="Z399">
        <v>626</v>
      </c>
      <c r="AA399">
        <v>960</v>
      </c>
      <c r="AB399" t="s">
        <v>32</v>
      </c>
      <c r="AC399">
        <v>4.22</v>
      </c>
    </row>
    <row r="400" spans="1:29">
      <c r="A400" t="str">
        <f>"000921"</f>
        <v>000921</v>
      </c>
      <c r="B400" t="s">
        <v>555</v>
      </c>
      <c r="C400">
        <v>3.44</v>
      </c>
      <c r="D400">
        <v>9.32</v>
      </c>
      <c r="E400">
        <v>0.31</v>
      </c>
      <c r="F400">
        <v>9.31</v>
      </c>
      <c r="G400">
        <v>9.32</v>
      </c>
      <c r="H400">
        <v>100966</v>
      </c>
      <c r="I400">
        <v>1278</v>
      </c>
      <c r="J400">
        <v>0</v>
      </c>
      <c r="K400">
        <v>1.12</v>
      </c>
      <c r="L400">
        <v>9.02</v>
      </c>
      <c r="M400">
        <v>9.33</v>
      </c>
      <c r="N400">
        <v>9.02</v>
      </c>
      <c r="O400">
        <v>9.01</v>
      </c>
      <c r="P400">
        <v>11.03</v>
      </c>
      <c r="Q400">
        <v>93263896</v>
      </c>
      <c r="R400">
        <v>2.25</v>
      </c>
      <c r="S400" t="s">
        <v>55</v>
      </c>
      <c r="T400" t="s">
        <v>136</v>
      </c>
      <c r="U400">
        <v>3.44</v>
      </c>
      <c r="V400">
        <v>9.24</v>
      </c>
      <c r="W400">
        <v>38596</v>
      </c>
      <c r="X400">
        <v>62369</v>
      </c>
      <c r="Y400">
        <v>0.62</v>
      </c>
      <c r="Z400">
        <v>223</v>
      </c>
      <c r="AA400">
        <v>1216</v>
      </c>
      <c r="AB400" t="s">
        <v>32</v>
      </c>
      <c r="AC400">
        <v>9.02</v>
      </c>
    </row>
    <row r="401" spans="1:29">
      <c r="A401" t="str">
        <f>"000922"</f>
        <v>000922</v>
      </c>
      <c r="B401" t="s">
        <v>556</v>
      </c>
      <c r="C401">
        <v>0.44</v>
      </c>
      <c r="D401">
        <v>6.86</v>
      </c>
      <c r="E401">
        <v>0.03</v>
      </c>
      <c r="F401">
        <v>6.86</v>
      </c>
      <c r="G401">
        <v>6.87</v>
      </c>
      <c r="H401">
        <v>24429</v>
      </c>
      <c r="I401">
        <v>152</v>
      </c>
      <c r="J401">
        <v>0</v>
      </c>
      <c r="K401">
        <v>0.5</v>
      </c>
      <c r="L401">
        <v>6.82</v>
      </c>
      <c r="M401">
        <v>6.92</v>
      </c>
      <c r="N401">
        <v>6.75</v>
      </c>
      <c r="O401">
        <v>6.83</v>
      </c>
      <c r="P401">
        <v>16.23</v>
      </c>
      <c r="Q401">
        <v>16682045</v>
      </c>
      <c r="R401">
        <v>1.2</v>
      </c>
      <c r="S401" t="s">
        <v>104</v>
      </c>
      <c r="T401" t="s">
        <v>297</v>
      </c>
      <c r="U401">
        <v>2.49</v>
      </c>
      <c r="V401">
        <v>6.83</v>
      </c>
      <c r="W401">
        <v>12718</v>
      </c>
      <c r="X401">
        <v>11711</v>
      </c>
      <c r="Y401">
        <v>1.09</v>
      </c>
      <c r="Z401">
        <v>209</v>
      </c>
      <c r="AA401">
        <v>171</v>
      </c>
      <c r="AB401" t="s">
        <v>32</v>
      </c>
      <c r="AC401">
        <v>4.85</v>
      </c>
    </row>
    <row r="402" spans="1:29">
      <c r="A402" t="str">
        <f>"000923"</f>
        <v>000923</v>
      </c>
      <c r="B402" t="s">
        <v>557</v>
      </c>
      <c r="C402">
        <v>3.33</v>
      </c>
      <c r="D402">
        <v>14.58</v>
      </c>
      <c r="E402">
        <v>0.47</v>
      </c>
      <c r="F402">
        <v>14.57</v>
      </c>
      <c r="G402">
        <v>14.58</v>
      </c>
      <c r="H402">
        <v>58546</v>
      </c>
      <c r="I402">
        <v>787</v>
      </c>
      <c r="J402">
        <v>0.14</v>
      </c>
      <c r="K402">
        <v>2.96</v>
      </c>
      <c r="L402">
        <v>14.06</v>
      </c>
      <c r="M402">
        <v>14.8</v>
      </c>
      <c r="N402">
        <v>14.06</v>
      </c>
      <c r="O402">
        <v>14.11</v>
      </c>
      <c r="P402">
        <v>70.97</v>
      </c>
      <c r="Q402">
        <v>84829664</v>
      </c>
      <c r="R402">
        <v>2.22</v>
      </c>
      <c r="S402" t="s">
        <v>340</v>
      </c>
      <c r="T402" t="s">
        <v>154</v>
      </c>
      <c r="U402">
        <v>5.24</v>
      </c>
      <c r="V402">
        <v>14.49</v>
      </c>
      <c r="W402">
        <v>28985</v>
      </c>
      <c r="X402">
        <v>29560</v>
      </c>
      <c r="Y402">
        <v>0.98</v>
      </c>
      <c r="Z402">
        <v>87</v>
      </c>
      <c r="AA402">
        <v>313</v>
      </c>
      <c r="AB402" t="s">
        <v>32</v>
      </c>
      <c r="AC402">
        <v>1.98</v>
      </c>
    </row>
    <row r="403" spans="1:29">
      <c r="A403" t="str">
        <f>"000925"</f>
        <v>000925</v>
      </c>
      <c r="B403" t="s">
        <v>558</v>
      </c>
      <c r="C403">
        <v>2.05</v>
      </c>
      <c r="D403">
        <v>6.48</v>
      </c>
      <c r="E403">
        <v>0.13</v>
      </c>
      <c r="F403">
        <v>6.48</v>
      </c>
      <c r="G403">
        <v>6.49</v>
      </c>
      <c r="H403">
        <v>76041</v>
      </c>
      <c r="I403">
        <v>682</v>
      </c>
      <c r="J403">
        <v>-0.14</v>
      </c>
      <c r="K403">
        <v>1.66</v>
      </c>
      <c r="L403">
        <v>6.35</v>
      </c>
      <c r="M403">
        <v>6.62</v>
      </c>
      <c r="N403">
        <v>6.33</v>
      </c>
      <c r="O403">
        <v>6.35</v>
      </c>
      <c r="P403">
        <v>940.53</v>
      </c>
      <c r="Q403">
        <v>49521468</v>
      </c>
      <c r="R403">
        <v>1.97</v>
      </c>
      <c r="S403" t="s">
        <v>171</v>
      </c>
      <c r="T403" t="s">
        <v>149</v>
      </c>
      <c r="U403">
        <v>4.57</v>
      </c>
      <c r="V403">
        <v>6.51</v>
      </c>
      <c r="W403">
        <v>40574</v>
      </c>
      <c r="X403">
        <v>35467</v>
      </c>
      <c r="Y403">
        <v>1.14</v>
      </c>
      <c r="Z403">
        <v>985</v>
      </c>
      <c r="AA403">
        <v>506</v>
      </c>
      <c r="AB403" t="s">
        <v>32</v>
      </c>
      <c r="AC403">
        <v>4.57</v>
      </c>
    </row>
    <row r="404" spans="1:29">
      <c r="A404" t="str">
        <f>"000926"</f>
        <v>000926</v>
      </c>
      <c r="B404" t="s">
        <v>559</v>
      </c>
      <c r="C404">
        <v>2.75</v>
      </c>
      <c r="D404">
        <v>7.1</v>
      </c>
      <c r="E404">
        <v>0.19</v>
      </c>
      <c r="F404">
        <v>7.1</v>
      </c>
      <c r="G404">
        <v>7.11</v>
      </c>
      <c r="H404">
        <v>155482</v>
      </c>
      <c r="I404">
        <v>1590</v>
      </c>
      <c r="J404">
        <v>0.28</v>
      </c>
      <c r="K404">
        <v>1.64</v>
      </c>
      <c r="L404">
        <v>6.9</v>
      </c>
      <c r="M404">
        <v>7.11</v>
      </c>
      <c r="N404">
        <v>6.9</v>
      </c>
      <c r="O404">
        <v>6.91</v>
      </c>
      <c r="P404">
        <v>7.46</v>
      </c>
      <c r="Q404">
        <v>109741704</v>
      </c>
      <c r="R404">
        <v>2.37</v>
      </c>
      <c r="S404" t="s">
        <v>40</v>
      </c>
      <c r="T404" t="s">
        <v>193</v>
      </c>
      <c r="U404">
        <v>3.04</v>
      </c>
      <c r="V404">
        <v>7.06</v>
      </c>
      <c r="W404">
        <v>78670</v>
      </c>
      <c r="X404">
        <v>76811</v>
      </c>
      <c r="Y404">
        <v>1.02</v>
      </c>
      <c r="Z404">
        <v>214</v>
      </c>
      <c r="AA404">
        <v>2409</v>
      </c>
      <c r="AB404" t="s">
        <v>32</v>
      </c>
      <c r="AC404">
        <v>9.48</v>
      </c>
    </row>
    <row r="405" spans="1:29">
      <c r="A405" t="str">
        <f>"000927"</f>
        <v>000927</v>
      </c>
      <c r="B405" t="s">
        <v>560</v>
      </c>
      <c r="C405">
        <v>1.64</v>
      </c>
      <c r="D405">
        <v>3.72</v>
      </c>
      <c r="E405">
        <v>0.06</v>
      </c>
      <c r="F405">
        <v>3.72</v>
      </c>
      <c r="G405">
        <v>3.73</v>
      </c>
      <c r="H405">
        <v>87546</v>
      </c>
      <c r="I405">
        <v>1366</v>
      </c>
      <c r="J405">
        <v>0</v>
      </c>
      <c r="K405">
        <v>0.55</v>
      </c>
      <c r="L405">
        <v>3.68</v>
      </c>
      <c r="M405">
        <v>3.75</v>
      </c>
      <c r="N405">
        <v>3.62</v>
      </c>
      <c r="O405">
        <v>3.66</v>
      </c>
      <c r="P405" t="s">
        <v>32</v>
      </c>
      <c r="Q405">
        <v>32366520</v>
      </c>
      <c r="R405">
        <v>1.3</v>
      </c>
      <c r="S405" t="s">
        <v>262</v>
      </c>
      <c r="T405" t="s">
        <v>248</v>
      </c>
      <c r="U405">
        <v>3.55</v>
      </c>
      <c r="V405">
        <v>3.7</v>
      </c>
      <c r="W405">
        <v>40968</v>
      </c>
      <c r="X405">
        <v>46578</v>
      </c>
      <c r="Y405">
        <v>0.88</v>
      </c>
      <c r="Z405">
        <v>1155</v>
      </c>
      <c r="AA405">
        <v>1759</v>
      </c>
      <c r="AB405" t="s">
        <v>32</v>
      </c>
      <c r="AC405">
        <v>15.95</v>
      </c>
    </row>
    <row r="406" spans="1:29">
      <c r="A406" t="str">
        <f>"000928"</f>
        <v>000928</v>
      </c>
      <c r="B406" t="s">
        <v>561</v>
      </c>
      <c r="C406">
        <v>0.72</v>
      </c>
      <c r="D406">
        <v>5.6</v>
      </c>
      <c r="E406">
        <v>0.04</v>
      </c>
      <c r="F406">
        <v>5.6</v>
      </c>
      <c r="G406">
        <v>5.61</v>
      </c>
      <c r="H406">
        <v>469368</v>
      </c>
      <c r="I406">
        <v>4142</v>
      </c>
      <c r="J406">
        <v>-0.17</v>
      </c>
      <c r="K406">
        <v>6.32</v>
      </c>
      <c r="L406">
        <v>5.58</v>
      </c>
      <c r="M406">
        <v>5.78</v>
      </c>
      <c r="N406">
        <v>5.54</v>
      </c>
      <c r="O406">
        <v>5.56</v>
      </c>
      <c r="P406">
        <v>19.13</v>
      </c>
      <c r="Q406">
        <v>265616688</v>
      </c>
      <c r="R406">
        <v>1.76</v>
      </c>
      <c r="S406" t="s">
        <v>49</v>
      </c>
      <c r="T406" t="s">
        <v>81</v>
      </c>
      <c r="U406">
        <v>4.32</v>
      </c>
      <c r="V406">
        <v>5.66</v>
      </c>
      <c r="W406">
        <v>251047</v>
      </c>
      <c r="X406">
        <v>218320</v>
      </c>
      <c r="Y406">
        <v>1.15</v>
      </c>
      <c r="Z406">
        <v>2200</v>
      </c>
      <c r="AA406">
        <v>913</v>
      </c>
      <c r="AB406" t="s">
        <v>32</v>
      </c>
      <c r="AC406">
        <v>7.43</v>
      </c>
    </row>
    <row r="407" spans="1:29">
      <c r="A407" t="str">
        <f>"000929"</f>
        <v>000929</v>
      </c>
      <c r="B407" t="s">
        <v>562</v>
      </c>
      <c r="C407">
        <v>1.78</v>
      </c>
      <c r="D407">
        <v>6.85</v>
      </c>
      <c r="E407">
        <v>0.12</v>
      </c>
      <c r="F407">
        <v>6.85</v>
      </c>
      <c r="G407">
        <v>6.86</v>
      </c>
      <c r="H407">
        <v>17131</v>
      </c>
      <c r="I407">
        <v>330</v>
      </c>
      <c r="J407">
        <v>-0.14</v>
      </c>
      <c r="K407">
        <v>0.92</v>
      </c>
      <c r="L407">
        <v>6.73</v>
      </c>
      <c r="M407">
        <v>6.89</v>
      </c>
      <c r="N407">
        <v>6.69</v>
      </c>
      <c r="O407">
        <v>6.73</v>
      </c>
      <c r="P407" t="s">
        <v>32</v>
      </c>
      <c r="Q407">
        <v>11672909</v>
      </c>
      <c r="R407">
        <v>1.25</v>
      </c>
      <c r="S407" t="s">
        <v>420</v>
      </c>
      <c r="T407" t="s">
        <v>266</v>
      </c>
      <c r="U407">
        <v>2.97</v>
      </c>
      <c r="V407">
        <v>6.81</v>
      </c>
      <c r="W407">
        <v>7273</v>
      </c>
      <c r="X407">
        <v>9857</v>
      </c>
      <c r="Y407">
        <v>0.74</v>
      </c>
      <c r="Z407">
        <v>163</v>
      </c>
      <c r="AA407">
        <v>48</v>
      </c>
      <c r="AB407" t="s">
        <v>32</v>
      </c>
      <c r="AC407">
        <v>1.86</v>
      </c>
    </row>
    <row r="408" spans="1:29">
      <c r="A408" t="str">
        <f>"000930"</f>
        <v>000930</v>
      </c>
      <c r="B408" t="s">
        <v>563</v>
      </c>
      <c r="C408">
        <v>1.72</v>
      </c>
      <c r="D408">
        <v>10.08</v>
      </c>
      <c r="E408">
        <v>0.17</v>
      </c>
      <c r="F408">
        <v>10.07</v>
      </c>
      <c r="G408">
        <v>10.08</v>
      </c>
      <c r="H408">
        <v>213239</v>
      </c>
      <c r="I408">
        <v>2143</v>
      </c>
      <c r="J408">
        <v>0</v>
      </c>
      <c r="K408">
        <v>2.21</v>
      </c>
      <c r="L408">
        <v>9.91</v>
      </c>
      <c r="M408">
        <v>10.23</v>
      </c>
      <c r="N408">
        <v>9.84</v>
      </c>
      <c r="O408">
        <v>9.91</v>
      </c>
      <c r="P408">
        <v>47.89</v>
      </c>
      <c r="Q408">
        <v>214693264</v>
      </c>
      <c r="R408">
        <v>1.24</v>
      </c>
      <c r="S408" t="s">
        <v>115</v>
      </c>
      <c r="T408" t="s">
        <v>143</v>
      </c>
      <c r="U408">
        <v>3.94</v>
      </c>
      <c r="V408">
        <v>10.07</v>
      </c>
      <c r="W408">
        <v>105237</v>
      </c>
      <c r="X408">
        <v>108002</v>
      </c>
      <c r="Y408">
        <v>0.97</v>
      </c>
      <c r="Z408">
        <v>1626</v>
      </c>
      <c r="AA408">
        <v>1504</v>
      </c>
      <c r="AB408" t="s">
        <v>32</v>
      </c>
      <c r="AC408">
        <v>9.64</v>
      </c>
    </row>
    <row r="409" spans="1:29">
      <c r="A409" t="str">
        <f>"000931"</f>
        <v>000931</v>
      </c>
      <c r="B409" t="s">
        <v>564</v>
      </c>
      <c r="C409">
        <v>1.51</v>
      </c>
      <c r="D409">
        <v>5.39</v>
      </c>
      <c r="E409">
        <v>0.08</v>
      </c>
      <c r="F409">
        <v>5.39</v>
      </c>
      <c r="G409">
        <v>5.4</v>
      </c>
      <c r="H409">
        <v>42676</v>
      </c>
      <c r="I409">
        <v>797</v>
      </c>
      <c r="J409">
        <v>0.19</v>
      </c>
      <c r="K409">
        <v>0.61</v>
      </c>
      <c r="L409">
        <v>5.3</v>
      </c>
      <c r="M409">
        <v>5.42</v>
      </c>
      <c r="N409">
        <v>5.28</v>
      </c>
      <c r="O409">
        <v>5.31</v>
      </c>
      <c r="P409">
        <v>125.94</v>
      </c>
      <c r="Q409">
        <v>22950740</v>
      </c>
      <c r="R409">
        <v>1.25</v>
      </c>
      <c r="S409" t="s">
        <v>40</v>
      </c>
      <c r="T409" t="s">
        <v>45</v>
      </c>
      <c r="U409">
        <v>2.64</v>
      </c>
      <c r="V409">
        <v>5.38</v>
      </c>
      <c r="W409">
        <v>16891</v>
      </c>
      <c r="X409">
        <v>25785</v>
      </c>
      <c r="Y409">
        <v>0.66</v>
      </c>
      <c r="Z409">
        <v>574</v>
      </c>
      <c r="AA409">
        <v>554</v>
      </c>
      <c r="AB409" t="s">
        <v>32</v>
      </c>
      <c r="AC409">
        <v>7.02</v>
      </c>
    </row>
    <row r="410" spans="1:29">
      <c r="A410" t="str">
        <f>"000932"</f>
        <v>000932</v>
      </c>
      <c r="B410" t="s">
        <v>565</v>
      </c>
      <c r="C410">
        <v>3.26</v>
      </c>
      <c r="D410">
        <v>9.49</v>
      </c>
      <c r="E410">
        <v>0.3</v>
      </c>
      <c r="F410">
        <v>9.49</v>
      </c>
      <c r="G410">
        <v>9.5</v>
      </c>
      <c r="H410">
        <v>1807888</v>
      </c>
      <c r="I410">
        <v>23836</v>
      </c>
      <c r="J410">
        <v>0.11</v>
      </c>
      <c r="K410">
        <v>6</v>
      </c>
      <c r="L410">
        <v>9.45</v>
      </c>
      <c r="M410">
        <v>10.08</v>
      </c>
      <c r="N410">
        <v>9.33</v>
      </c>
      <c r="O410">
        <v>9.19</v>
      </c>
      <c r="P410">
        <v>4.66</v>
      </c>
      <c r="Q410">
        <v>1749030912</v>
      </c>
      <c r="R410">
        <v>2.07</v>
      </c>
      <c r="S410" t="s">
        <v>353</v>
      </c>
      <c r="T410" t="s">
        <v>152</v>
      </c>
      <c r="U410">
        <v>8.16</v>
      </c>
      <c r="V410">
        <v>9.67</v>
      </c>
      <c r="W410">
        <v>970235</v>
      </c>
      <c r="X410">
        <v>837652</v>
      </c>
      <c r="Y410">
        <v>1.16</v>
      </c>
      <c r="Z410">
        <v>734</v>
      </c>
      <c r="AA410">
        <v>3177</v>
      </c>
      <c r="AB410" t="s">
        <v>32</v>
      </c>
      <c r="AC410">
        <v>30.15</v>
      </c>
    </row>
    <row r="411" spans="1:29">
      <c r="A411" t="str">
        <f>"000933"</f>
        <v>000933</v>
      </c>
      <c r="B411" t="s">
        <v>566</v>
      </c>
      <c r="C411">
        <v>10.06</v>
      </c>
      <c r="D411">
        <v>5.25</v>
      </c>
      <c r="E411">
        <v>0.48</v>
      </c>
      <c r="F411">
        <v>5.25</v>
      </c>
      <c r="G411" t="s">
        <v>32</v>
      </c>
      <c r="H411">
        <v>976990</v>
      </c>
      <c r="I411">
        <v>509</v>
      </c>
      <c r="J411">
        <v>0</v>
      </c>
      <c r="K411">
        <v>5.14</v>
      </c>
      <c r="L411">
        <v>4.9</v>
      </c>
      <c r="M411">
        <v>5.25</v>
      </c>
      <c r="N411">
        <v>4.9</v>
      </c>
      <c r="O411">
        <v>4.77</v>
      </c>
      <c r="P411">
        <v>36.27</v>
      </c>
      <c r="Q411">
        <v>494814464</v>
      </c>
      <c r="R411">
        <v>3.46</v>
      </c>
      <c r="S411" t="s">
        <v>265</v>
      </c>
      <c r="T411" t="s">
        <v>164</v>
      </c>
      <c r="U411">
        <v>7.34</v>
      </c>
      <c r="V411">
        <v>5.06</v>
      </c>
      <c r="W411">
        <v>454359</v>
      </c>
      <c r="X411">
        <v>522630</v>
      </c>
      <c r="Y411">
        <v>0.87</v>
      </c>
      <c r="Z411">
        <v>110115</v>
      </c>
      <c r="AA411">
        <v>0</v>
      </c>
      <c r="AB411" t="s">
        <v>32</v>
      </c>
      <c r="AC411">
        <v>19</v>
      </c>
    </row>
    <row r="412" spans="1:29">
      <c r="A412" t="str">
        <f>"000935"</f>
        <v>000935</v>
      </c>
      <c r="B412" t="s">
        <v>567</v>
      </c>
      <c r="C412">
        <v>3.55</v>
      </c>
      <c r="D412">
        <v>17.49</v>
      </c>
      <c r="E412">
        <v>0.6</v>
      </c>
      <c r="F412">
        <v>17.49</v>
      </c>
      <c r="G412">
        <v>17.5</v>
      </c>
      <c r="H412">
        <v>176786</v>
      </c>
      <c r="I412">
        <v>1906</v>
      </c>
      <c r="J412">
        <v>0.06</v>
      </c>
      <c r="K412">
        <v>2.32</v>
      </c>
      <c r="L412">
        <v>16.92</v>
      </c>
      <c r="M412">
        <v>17.7</v>
      </c>
      <c r="N412">
        <v>16.89</v>
      </c>
      <c r="O412">
        <v>16.89</v>
      </c>
      <c r="P412">
        <v>34.02</v>
      </c>
      <c r="Q412">
        <v>306425408</v>
      </c>
      <c r="R412">
        <v>1.82</v>
      </c>
      <c r="S412" t="s">
        <v>166</v>
      </c>
      <c r="T412" t="s">
        <v>146</v>
      </c>
      <c r="U412">
        <v>4.8</v>
      </c>
      <c r="V412">
        <v>17.33</v>
      </c>
      <c r="W412">
        <v>84604</v>
      </c>
      <c r="X412">
        <v>92181</v>
      </c>
      <c r="Y412">
        <v>0.92</v>
      </c>
      <c r="Z412">
        <v>1570</v>
      </c>
      <c r="AA412">
        <v>1086</v>
      </c>
      <c r="AB412" t="s">
        <v>32</v>
      </c>
      <c r="AC412">
        <v>7.63</v>
      </c>
    </row>
    <row r="413" spans="1:29">
      <c r="A413" t="str">
        <f>"000936"</f>
        <v>000936</v>
      </c>
      <c r="B413" t="s">
        <v>568</v>
      </c>
      <c r="C413">
        <v>2.97</v>
      </c>
      <c r="D413">
        <v>6.25</v>
      </c>
      <c r="E413">
        <v>0.18</v>
      </c>
      <c r="F413">
        <v>6.25</v>
      </c>
      <c r="G413">
        <v>6.26</v>
      </c>
      <c r="H413">
        <v>148644</v>
      </c>
      <c r="I413">
        <v>1670</v>
      </c>
      <c r="J413">
        <v>-0.15</v>
      </c>
      <c r="K413">
        <v>1.99</v>
      </c>
      <c r="L413">
        <v>6.15</v>
      </c>
      <c r="M413">
        <v>6.39</v>
      </c>
      <c r="N413">
        <v>6.04</v>
      </c>
      <c r="O413">
        <v>6.07</v>
      </c>
      <c r="P413">
        <v>108.66</v>
      </c>
      <c r="Q413">
        <v>92338928</v>
      </c>
      <c r="R413">
        <v>2.38</v>
      </c>
      <c r="S413" t="s">
        <v>190</v>
      </c>
      <c r="T413" t="s">
        <v>87</v>
      </c>
      <c r="U413">
        <v>5.77</v>
      </c>
      <c r="V413">
        <v>6.21</v>
      </c>
      <c r="W413">
        <v>61041</v>
      </c>
      <c r="X413">
        <v>87602</v>
      </c>
      <c r="Y413">
        <v>0.7</v>
      </c>
      <c r="Z413">
        <v>182</v>
      </c>
      <c r="AA413">
        <v>513</v>
      </c>
      <c r="AB413" t="s">
        <v>32</v>
      </c>
      <c r="AC413">
        <v>7.48</v>
      </c>
    </row>
    <row r="414" spans="1:29">
      <c r="A414" t="str">
        <f>"000937"</f>
        <v>000937</v>
      </c>
      <c r="B414" t="s">
        <v>569</v>
      </c>
      <c r="C414">
        <v>2.17</v>
      </c>
      <c r="D414">
        <v>4.24</v>
      </c>
      <c r="E414">
        <v>0.09</v>
      </c>
      <c r="F414">
        <v>4.24</v>
      </c>
      <c r="G414">
        <v>4.25</v>
      </c>
      <c r="H414">
        <v>250075</v>
      </c>
      <c r="I414">
        <v>1333</v>
      </c>
      <c r="J414">
        <v>0.24</v>
      </c>
      <c r="K414">
        <v>0.86</v>
      </c>
      <c r="L414">
        <v>4.17</v>
      </c>
      <c r="M414">
        <v>4.27</v>
      </c>
      <c r="N414">
        <v>4.13</v>
      </c>
      <c r="O414">
        <v>4.15</v>
      </c>
      <c r="P414">
        <v>13.04</v>
      </c>
      <c r="Q414">
        <v>105407560</v>
      </c>
      <c r="R414">
        <v>2.85</v>
      </c>
      <c r="S414" t="s">
        <v>265</v>
      </c>
      <c r="T414" t="s">
        <v>154</v>
      </c>
      <c r="U414">
        <v>3.37</v>
      </c>
      <c r="V414">
        <v>4.22</v>
      </c>
      <c r="W414">
        <v>105282</v>
      </c>
      <c r="X414">
        <v>144793</v>
      </c>
      <c r="Y414">
        <v>0.73</v>
      </c>
      <c r="Z414">
        <v>754</v>
      </c>
      <c r="AA414">
        <v>1702</v>
      </c>
      <c r="AB414" t="s">
        <v>32</v>
      </c>
      <c r="AC414">
        <v>29.07</v>
      </c>
    </row>
    <row r="415" spans="1:29">
      <c r="A415" t="str">
        <f>"000938"</f>
        <v>000938</v>
      </c>
      <c r="B415" t="s">
        <v>570</v>
      </c>
      <c r="C415">
        <v>0.15</v>
      </c>
      <c r="D415">
        <v>46.9</v>
      </c>
      <c r="E415">
        <v>0.07</v>
      </c>
      <c r="F415">
        <v>46.89</v>
      </c>
      <c r="G415">
        <v>46.9</v>
      </c>
      <c r="H415">
        <v>79727</v>
      </c>
      <c r="I415">
        <v>381</v>
      </c>
      <c r="J415">
        <v>0</v>
      </c>
      <c r="K415">
        <v>2.76</v>
      </c>
      <c r="L415">
        <v>46.9</v>
      </c>
      <c r="M415">
        <v>48.5</v>
      </c>
      <c r="N415">
        <v>46.1</v>
      </c>
      <c r="O415">
        <v>46.83</v>
      </c>
      <c r="P415">
        <v>68.82</v>
      </c>
      <c r="Q415">
        <v>376219136</v>
      </c>
      <c r="R415">
        <v>1.31</v>
      </c>
      <c r="S415" t="s">
        <v>270</v>
      </c>
      <c r="T415" t="s">
        <v>45</v>
      </c>
      <c r="U415">
        <v>5.12</v>
      </c>
      <c r="V415">
        <v>47.19</v>
      </c>
      <c r="W415">
        <v>41985</v>
      </c>
      <c r="X415">
        <v>37741</v>
      </c>
      <c r="Y415">
        <v>1.11</v>
      </c>
      <c r="Z415">
        <v>467</v>
      </c>
      <c r="AA415">
        <v>176</v>
      </c>
      <c r="AB415" t="s">
        <v>32</v>
      </c>
      <c r="AC415">
        <v>2.89</v>
      </c>
    </row>
    <row r="416" spans="1:29">
      <c r="A416" t="str">
        <f>"000939"</f>
        <v>000939</v>
      </c>
      <c r="B416" t="s">
        <v>571</v>
      </c>
      <c r="C416">
        <v>-5</v>
      </c>
      <c r="D416">
        <v>2.09</v>
      </c>
      <c r="E416">
        <v>-0.11</v>
      </c>
      <c r="F416" t="s">
        <v>32</v>
      </c>
      <c r="G416">
        <v>2.09</v>
      </c>
      <c r="H416">
        <v>3107</v>
      </c>
      <c r="I416">
        <v>77</v>
      </c>
      <c r="J416">
        <v>0</v>
      </c>
      <c r="K416">
        <v>0.01</v>
      </c>
      <c r="L416">
        <v>2.09</v>
      </c>
      <c r="M416">
        <v>2.09</v>
      </c>
      <c r="N416">
        <v>2.09</v>
      </c>
      <c r="O416">
        <v>2.2</v>
      </c>
      <c r="P416" t="s">
        <v>32</v>
      </c>
      <c r="Q416">
        <v>649363</v>
      </c>
      <c r="R416">
        <v>2.59</v>
      </c>
      <c r="S416" t="s">
        <v>95</v>
      </c>
      <c r="T416" t="s">
        <v>193</v>
      </c>
      <c r="U416">
        <v>0</v>
      </c>
      <c r="V416">
        <v>2.09</v>
      </c>
      <c r="W416">
        <v>126</v>
      </c>
      <c r="X416">
        <v>2981</v>
      </c>
      <c r="Y416">
        <v>0.04</v>
      </c>
      <c r="Z416">
        <v>0</v>
      </c>
      <c r="AA416">
        <v>2001497</v>
      </c>
      <c r="AB416" t="s">
        <v>32</v>
      </c>
      <c r="AC416">
        <v>30.38</v>
      </c>
    </row>
    <row r="417" spans="1:29">
      <c r="A417" t="str">
        <f>"000948"</f>
        <v>000948</v>
      </c>
      <c r="B417" t="s">
        <v>572</v>
      </c>
      <c r="C417">
        <v>2.28</v>
      </c>
      <c r="D417">
        <v>10.31</v>
      </c>
      <c r="E417">
        <v>0.23</v>
      </c>
      <c r="F417">
        <v>10.31</v>
      </c>
      <c r="G417">
        <v>10.32</v>
      </c>
      <c r="H417">
        <v>16687</v>
      </c>
      <c r="I417">
        <v>623</v>
      </c>
      <c r="J417">
        <v>0.1</v>
      </c>
      <c r="K417">
        <v>0.68</v>
      </c>
      <c r="L417">
        <v>10.08</v>
      </c>
      <c r="M417">
        <v>10.32</v>
      </c>
      <c r="N417">
        <v>10.05</v>
      </c>
      <c r="O417">
        <v>10.08</v>
      </c>
      <c r="P417" t="s">
        <v>32</v>
      </c>
      <c r="Q417">
        <v>17049266</v>
      </c>
      <c r="R417">
        <v>2.58</v>
      </c>
      <c r="S417" t="s">
        <v>270</v>
      </c>
      <c r="T417" t="s">
        <v>250</v>
      </c>
      <c r="U417">
        <v>2.68</v>
      </c>
      <c r="V417">
        <v>10.22</v>
      </c>
      <c r="W417">
        <v>5561</v>
      </c>
      <c r="X417">
        <v>11125</v>
      </c>
      <c r="Y417">
        <v>0.5</v>
      </c>
      <c r="Z417">
        <v>376</v>
      </c>
      <c r="AA417">
        <v>609</v>
      </c>
      <c r="AB417" t="s">
        <v>32</v>
      </c>
      <c r="AC417">
        <v>2.46</v>
      </c>
    </row>
    <row r="418" spans="1:29">
      <c r="A418" t="str">
        <f>"000949"</f>
        <v>000949</v>
      </c>
      <c r="B418" t="s">
        <v>573</v>
      </c>
      <c r="C418">
        <v>2.35</v>
      </c>
      <c r="D418">
        <v>3.05</v>
      </c>
      <c r="E418">
        <v>0.07</v>
      </c>
      <c r="F418">
        <v>3.04</v>
      </c>
      <c r="G418">
        <v>3.05</v>
      </c>
      <c r="H418">
        <v>45305</v>
      </c>
      <c r="I418">
        <v>570</v>
      </c>
      <c r="J418">
        <v>0.33</v>
      </c>
      <c r="K418">
        <v>0.37</v>
      </c>
      <c r="L418">
        <v>2.97</v>
      </c>
      <c r="M418">
        <v>3.06</v>
      </c>
      <c r="N418">
        <v>2.97</v>
      </c>
      <c r="O418">
        <v>2.98</v>
      </c>
      <c r="P418">
        <v>416.31</v>
      </c>
      <c r="Q418">
        <v>13700493</v>
      </c>
      <c r="R418">
        <v>2.45</v>
      </c>
      <c r="S418" t="s">
        <v>190</v>
      </c>
      <c r="T418" t="s">
        <v>164</v>
      </c>
      <c r="U418">
        <v>3.02</v>
      </c>
      <c r="V418">
        <v>3.02</v>
      </c>
      <c r="W418">
        <v>19016</v>
      </c>
      <c r="X418">
        <v>26288</v>
      </c>
      <c r="Y418">
        <v>0.72</v>
      </c>
      <c r="Z418">
        <v>209</v>
      </c>
      <c r="AA418">
        <v>2044</v>
      </c>
      <c r="AB418" t="s">
        <v>32</v>
      </c>
      <c r="AC418">
        <v>12.2</v>
      </c>
    </row>
    <row r="419" spans="1:29">
      <c r="A419" t="str">
        <f>"000951"</f>
        <v>000951</v>
      </c>
      <c r="B419" t="s">
        <v>574</v>
      </c>
      <c r="C419">
        <v>4.3</v>
      </c>
      <c r="D419">
        <v>12.37</v>
      </c>
      <c r="E419">
        <v>0.51</v>
      </c>
      <c r="F419">
        <v>12.36</v>
      </c>
      <c r="G419">
        <v>12.37</v>
      </c>
      <c r="H419">
        <v>116169</v>
      </c>
      <c r="I419">
        <v>689</v>
      </c>
      <c r="J419">
        <v>0</v>
      </c>
      <c r="K419">
        <v>1.73</v>
      </c>
      <c r="L419">
        <v>11.93</v>
      </c>
      <c r="M419">
        <v>12.6</v>
      </c>
      <c r="N419">
        <v>11.93</v>
      </c>
      <c r="O419">
        <v>11.86</v>
      </c>
      <c r="P419">
        <v>10.72</v>
      </c>
      <c r="Q419">
        <v>143256528</v>
      </c>
      <c r="R419">
        <v>3.18</v>
      </c>
      <c r="S419" t="s">
        <v>262</v>
      </c>
      <c r="T419" t="s">
        <v>162</v>
      </c>
      <c r="U419">
        <v>5.65</v>
      </c>
      <c r="V419">
        <v>12.33</v>
      </c>
      <c r="W419">
        <v>49574</v>
      </c>
      <c r="X419">
        <v>66595</v>
      </c>
      <c r="Y419">
        <v>0.74</v>
      </c>
      <c r="Z419">
        <v>511</v>
      </c>
      <c r="AA419">
        <v>92</v>
      </c>
      <c r="AB419" t="s">
        <v>32</v>
      </c>
      <c r="AC419">
        <v>6.71</v>
      </c>
    </row>
    <row r="420" spans="1:29">
      <c r="A420" t="str">
        <f>"000952"</f>
        <v>000952</v>
      </c>
      <c r="B420" t="s">
        <v>575</v>
      </c>
      <c r="C420">
        <v>3.35</v>
      </c>
      <c r="D420">
        <v>13.56</v>
      </c>
      <c r="E420">
        <v>0.44</v>
      </c>
      <c r="F420">
        <v>13.55</v>
      </c>
      <c r="G420">
        <v>13.56</v>
      </c>
      <c r="H420">
        <v>65373</v>
      </c>
      <c r="I420">
        <v>1149</v>
      </c>
      <c r="J420">
        <v>0.07</v>
      </c>
      <c r="K420">
        <v>2.6</v>
      </c>
      <c r="L420">
        <v>13.03</v>
      </c>
      <c r="M420">
        <v>13.57</v>
      </c>
      <c r="N420">
        <v>13.01</v>
      </c>
      <c r="O420">
        <v>13.12</v>
      </c>
      <c r="P420">
        <v>10.05</v>
      </c>
      <c r="Q420">
        <v>87467192</v>
      </c>
      <c r="R420">
        <v>1.11</v>
      </c>
      <c r="S420" t="s">
        <v>142</v>
      </c>
      <c r="T420" t="s">
        <v>193</v>
      </c>
      <c r="U420">
        <v>4.27</v>
      </c>
      <c r="V420">
        <v>13.38</v>
      </c>
      <c r="W420">
        <v>26644</v>
      </c>
      <c r="X420">
        <v>38728</v>
      </c>
      <c r="Y420">
        <v>0.69</v>
      </c>
      <c r="Z420">
        <v>58</v>
      </c>
      <c r="AA420">
        <v>319</v>
      </c>
      <c r="AB420" t="s">
        <v>32</v>
      </c>
      <c r="AC420">
        <v>2.52</v>
      </c>
    </row>
    <row r="421" spans="1:29">
      <c r="A421" t="str">
        <f>"000953"</f>
        <v>000953</v>
      </c>
      <c r="B421" t="s">
        <v>576</v>
      </c>
      <c r="C421">
        <v>0</v>
      </c>
      <c r="D421">
        <v>5.41</v>
      </c>
      <c r="E421">
        <v>0</v>
      </c>
      <c r="F421">
        <v>5.39</v>
      </c>
      <c r="G421">
        <v>5.41</v>
      </c>
      <c r="H421">
        <v>18859</v>
      </c>
      <c r="I421">
        <v>311</v>
      </c>
      <c r="J421">
        <v>0.19</v>
      </c>
      <c r="K421">
        <v>0.64</v>
      </c>
      <c r="L421">
        <v>5.37</v>
      </c>
      <c r="M421">
        <v>5.55</v>
      </c>
      <c r="N421">
        <v>5.33</v>
      </c>
      <c r="O421">
        <v>5.41</v>
      </c>
      <c r="P421" t="s">
        <v>32</v>
      </c>
      <c r="Q421">
        <v>10183761</v>
      </c>
      <c r="R421">
        <v>1.4</v>
      </c>
      <c r="S421" t="s">
        <v>145</v>
      </c>
      <c r="T421" t="s">
        <v>238</v>
      </c>
      <c r="U421">
        <v>4.07</v>
      </c>
      <c r="V421">
        <v>5.4</v>
      </c>
      <c r="W421">
        <v>10719</v>
      </c>
      <c r="X421">
        <v>8140</v>
      </c>
      <c r="Y421">
        <v>1.32</v>
      </c>
      <c r="Z421">
        <v>10</v>
      </c>
      <c r="AA421">
        <v>634</v>
      </c>
      <c r="AB421" t="s">
        <v>32</v>
      </c>
      <c r="AC421">
        <v>2.94</v>
      </c>
    </row>
    <row r="422" spans="1:29">
      <c r="A422" t="str">
        <f>"000955"</f>
        <v>000955</v>
      </c>
      <c r="B422" t="s">
        <v>577</v>
      </c>
      <c r="C422">
        <v>9.95</v>
      </c>
      <c r="D422">
        <v>4.86</v>
      </c>
      <c r="E422">
        <v>0.44</v>
      </c>
      <c r="F422">
        <v>4.86</v>
      </c>
      <c r="G422" t="s">
        <v>32</v>
      </c>
      <c r="H422">
        <v>12475</v>
      </c>
      <c r="I422">
        <v>117</v>
      </c>
      <c r="J422">
        <v>0</v>
      </c>
      <c r="K422">
        <v>0.23</v>
      </c>
      <c r="L422">
        <v>4.86</v>
      </c>
      <c r="M422">
        <v>4.86</v>
      </c>
      <c r="N422">
        <v>4.86</v>
      </c>
      <c r="O422">
        <v>4.42</v>
      </c>
      <c r="P422" t="s">
        <v>32</v>
      </c>
      <c r="Q422">
        <v>6062850</v>
      </c>
      <c r="R422">
        <v>0.18</v>
      </c>
      <c r="S422" t="s">
        <v>99</v>
      </c>
      <c r="T422" t="s">
        <v>209</v>
      </c>
      <c r="U422">
        <v>0</v>
      </c>
      <c r="V422">
        <v>4.86</v>
      </c>
      <c r="W422">
        <v>10775</v>
      </c>
      <c r="X422">
        <v>1700</v>
      </c>
      <c r="Y422">
        <v>6.34</v>
      </c>
      <c r="Z422">
        <v>201500</v>
      </c>
      <c r="AA422">
        <v>0</v>
      </c>
      <c r="AB422" t="s">
        <v>32</v>
      </c>
      <c r="AC422">
        <v>5.38</v>
      </c>
    </row>
    <row r="423" spans="1:29">
      <c r="A423" t="str">
        <f>"000957"</f>
        <v>000957</v>
      </c>
      <c r="B423" t="s">
        <v>578</v>
      </c>
      <c r="C423">
        <v>2.41</v>
      </c>
      <c r="D423">
        <v>6.8</v>
      </c>
      <c r="E423">
        <v>0.16</v>
      </c>
      <c r="F423">
        <v>6.8</v>
      </c>
      <c r="G423">
        <v>6.81</v>
      </c>
      <c r="H423">
        <v>82158</v>
      </c>
      <c r="I423">
        <v>895</v>
      </c>
      <c r="J423">
        <v>-0.14</v>
      </c>
      <c r="K423">
        <v>1.72</v>
      </c>
      <c r="L423">
        <v>6.74</v>
      </c>
      <c r="M423">
        <v>6.88</v>
      </c>
      <c r="N423">
        <v>6.67</v>
      </c>
      <c r="O423">
        <v>6.64</v>
      </c>
      <c r="P423">
        <v>840.3</v>
      </c>
      <c r="Q423">
        <v>55723768</v>
      </c>
      <c r="R423">
        <v>1.29</v>
      </c>
      <c r="S423" t="s">
        <v>262</v>
      </c>
      <c r="T423" t="s">
        <v>162</v>
      </c>
      <c r="U423">
        <v>3.16</v>
      </c>
      <c r="V423">
        <v>6.78</v>
      </c>
      <c r="W423">
        <v>33620</v>
      </c>
      <c r="X423">
        <v>48537</v>
      </c>
      <c r="Y423">
        <v>0.69</v>
      </c>
      <c r="Z423">
        <v>1764</v>
      </c>
      <c r="AA423">
        <v>299</v>
      </c>
      <c r="AB423" t="s">
        <v>32</v>
      </c>
      <c r="AC423">
        <v>4.77</v>
      </c>
    </row>
    <row r="424" spans="1:29">
      <c r="A424" t="str">
        <f>"000958"</f>
        <v>000958</v>
      </c>
      <c r="B424" t="s">
        <v>579</v>
      </c>
      <c r="C424">
        <v>2.82</v>
      </c>
      <c r="D424">
        <v>3.64</v>
      </c>
      <c r="E424">
        <v>0.1</v>
      </c>
      <c r="F424">
        <v>3.64</v>
      </c>
      <c r="G424">
        <v>3.65</v>
      </c>
      <c r="H424">
        <v>122824</v>
      </c>
      <c r="I424">
        <v>615</v>
      </c>
      <c r="J424">
        <v>0</v>
      </c>
      <c r="K424">
        <v>1.84</v>
      </c>
      <c r="L424">
        <v>3.55</v>
      </c>
      <c r="M424">
        <v>3.66</v>
      </c>
      <c r="N424">
        <v>3.53</v>
      </c>
      <c r="O424">
        <v>3.54</v>
      </c>
      <c r="P424">
        <v>10.44</v>
      </c>
      <c r="Q424">
        <v>44430848</v>
      </c>
      <c r="R424">
        <v>1.66</v>
      </c>
      <c r="S424" t="s">
        <v>75</v>
      </c>
      <c r="T424" t="s">
        <v>154</v>
      </c>
      <c r="U424">
        <v>3.67</v>
      </c>
      <c r="V424">
        <v>3.62</v>
      </c>
      <c r="W424">
        <v>46063</v>
      </c>
      <c r="X424">
        <v>76760</v>
      </c>
      <c r="Y424">
        <v>0.6</v>
      </c>
      <c r="Z424">
        <v>1198</v>
      </c>
      <c r="AA424">
        <v>3325</v>
      </c>
      <c r="AB424" t="s">
        <v>32</v>
      </c>
      <c r="AC424">
        <v>6.66</v>
      </c>
    </row>
    <row r="425" spans="1:29">
      <c r="A425" t="str">
        <f>"000959"</f>
        <v>000959</v>
      </c>
      <c r="B425" t="s">
        <v>580</v>
      </c>
      <c r="C425">
        <v>2.45</v>
      </c>
      <c r="D425">
        <v>4.18</v>
      </c>
      <c r="E425">
        <v>0.1</v>
      </c>
      <c r="F425">
        <v>4.18</v>
      </c>
      <c r="G425">
        <v>4.19</v>
      </c>
      <c r="H425">
        <v>331632</v>
      </c>
      <c r="I425">
        <v>1656</v>
      </c>
      <c r="J425">
        <v>0</v>
      </c>
      <c r="K425">
        <v>1.12</v>
      </c>
      <c r="L425">
        <v>4.12</v>
      </c>
      <c r="M425">
        <v>4.35</v>
      </c>
      <c r="N425">
        <v>4.12</v>
      </c>
      <c r="O425">
        <v>4.08</v>
      </c>
      <c r="P425">
        <v>10.96</v>
      </c>
      <c r="Q425">
        <v>140319984</v>
      </c>
      <c r="R425">
        <v>2.51</v>
      </c>
      <c r="S425" t="s">
        <v>353</v>
      </c>
      <c r="T425" t="s">
        <v>45</v>
      </c>
      <c r="U425">
        <v>5.64</v>
      </c>
      <c r="V425">
        <v>4.23</v>
      </c>
      <c r="W425">
        <v>172564</v>
      </c>
      <c r="X425">
        <v>159068</v>
      </c>
      <c r="Y425">
        <v>1.08</v>
      </c>
      <c r="Z425">
        <v>3824</v>
      </c>
      <c r="AA425">
        <v>1561</v>
      </c>
      <c r="AB425" t="s">
        <v>32</v>
      </c>
      <c r="AC425">
        <v>29.67</v>
      </c>
    </row>
    <row r="426" spans="1:29">
      <c r="A426" t="str">
        <f>"000960"</f>
        <v>000960</v>
      </c>
      <c r="B426" t="s">
        <v>581</v>
      </c>
      <c r="C426">
        <v>2.3</v>
      </c>
      <c r="D426">
        <v>11.56</v>
      </c>
      <c r="E426">
        <v>0.26</v>
      </c>
      <c r="F426">
        <v>11.55</v>
      </c>
      <c r="G426">
        <v>11.56</v>
      </c>
      <c r="H426">
        <v>237046</v>
      </c>
      <c r="I426">
        <v>1291</v>
      </c>
      <c r="J426">
        <v>0</v>
      </c>
      <c r="K426">
        <v>1.96</v>
      </c>
      <c r="L426">
        <v>11.23</v>
      </c>
      <c r="M426">
        <v>11.73</v>
      </c>
      <c r="N426">
        <v>11.22</v>
      </c>
      <c r="O426">
        <v>11.3</v>
      </c>
      <c r="P426">
        <v>27.45</v>
      </c>
      <c r="Q426">
        <v>273486528</v>
      </c>
      <c r="R426">
        <v>1.83</v>
      </c>
      <c r="S426" t="s">
        <v>356</v>
      </c>
      <c r="T426" t="s">
        <v>250</v>
      </c>
      <c r="U426">
        <v>4.51</v>
      </c>
      <c r="V426">
        <v>11.54</v>
      </c>
      <c r="W426">
        <v>117377</v>
      </c>
      <c r="X426">
        <v>119669</v>
      </c>
      <c r="Y426">
        <v>0.98</v>
      </c>
      <c r="Z426">
        <v>1586</v>
      </c>
      <c r="AA426">
        <v>3765</v>
      </c>
      <c r="AB426" t="s">
        <v>32</v>
      </c>
      <c r="AC426">
        <v>12.09</v>
      </c>
    </row>
    <row r="427" spans="1:29">
      <c r="A427" t="str">
        <f>"000961"</f>
        <v>000961</v>
      </c>
      <c r="B427" t="s">
        <v>582</v>
      </c>
      <c r="C427">
        <v>1.53</v>
      </c>
      <c r="D427">
        <v>5.98</v>
      </c>
      <c r="E427">
        <v>0.09</v>
      </c>
      <c r="F427">
        <v>5.97</v>
      </c>
      <c r="G427">
        <v>5.98</v>
      </c>
      <c r="H427">
        <v>400598</v>
      </c>
      <c r="I427">
        <v>5635</v>
      </c>
      <c r="J427">
        <v>0.17</v>
      </c>
      <c r="K427">
        <v>1.08</v>
      </c>
      <c r="L427">
        <v>5.95</v>
      </c>
      <c r="M427">
        <v>6.24</v>
      </c>
      <c r="N427">
        <v>5.92</v>
      </c>
      <c r="O427">
        <v>5.89</v>
      </c>
      <c r="P427">
        <v>14.61</v>
      </c>
      <c r="Q427">
        <v>242512912</v>
      </c>
      <c r="R427">
        <v>1.29</v>
      </c>
      <c r="S427" t="s">
        <v>49</v>
      </c>
      <c r="T427" t="s">
        <v>87</v>
      </c>
      <c r="U427">
        <v>5.43</v>
      </c>
      <c r="V427">
        <v>6.05</v>
      </c>
      <c r="W427">
        <v>210996</v>
      </c>
      <c r="X427">
        <v>189602</v>
      </c>
      <c r="Y427">
        <v>1.11</v>
      </c>
      <c r="Z427">
        <v>363</v>
      </c>
      <c r="AA427">
        <v>3018</v>
      </c>
      <c r="AB427" t="s">
        <v>32</v>
      </c>
      <c r="AC427">
        <v>37</v>
      </c>
    </row>
    <row r="428" spans="1:29">
      <c r="A428" t="str">
        <f>"000962"</f>
        <v>000962</v>
      </c>
      <c r="B428" t="s">
        <v>583</v>
      </c>
      <c r="C428">
        <v>9.98</v>
      </c>
      <c r="D428">
        <v>6.72</v>
      </c>
      <c r="E428">
        <v>0.61</v>
      </c>
      <c r="F428">
        <v>6.72</v>
      </c>
      <c r="G428" t="s">
        <v>32</v>
      </c>
      <c r="H428">
        <v>93629</v>
      </c>
      <c r="I428">
        <v>185</v>
      </c>
      <c r="J428">
        <v>0</v>
      </c>
      <c r="K428">
        <v>2.12</v>
      </c>
      <c r="L428">
        <v>6.5</v>
      </c>
      <c r="M428">
        <v>6.72</v>
      </c>
      <c r="N428">
        <v>6.5</v>
      </c>
      <c r="O428">
        <v>6.11</v>
      </c>
      <c r="P428" t="s">
        <v>32</v>
      </c>
      <c r="Q428">
        <v>62652492</v>
      </c>
      <c r="R428">
        <v>1.34</v>
      </c>
      <c r="S428" t="s">
        <v>356</v>
      </c>
      <c r="T428" t="s">
        <v>273</v>
      </c>
      <c r="U428">
        <v>3.6</v>
      </c>
      <c r="V428">
        <v>6.69</v>
      </c>
      <c r="W428">
        <v>72043</v>
      </c>
      <c r="X428">
        <v>21585</v>
      </c>
      <c r="Y428">
        <v>3.34</v>
      </c>
      <c r="Z428">
        <v>30271</v>
      </c>
      <c r="AA428">
        <v>0</v>
      </c>
      <c r="AB428" t="s">
        <v>32</v>
      </c>
      <c r="AC428">
        <v>4.41</v>
      </c>
    </row>
    <row r="429" spans="1:29">
      <c r="A429" t="str">
        <f>"000963"</f>
        <v>000963</v>
      </c>
      <c r="B429" t="s">
        <v>584</v>
      </c>
      <c r="C429">
        <v>0</v>
      </c>
      <c r="D429">
        <v>46.56</v>
      </c>
      <c r="E429">
        <v>0</v>
      </c>
      <c r="F429">
        <v>46.55</v>
      </c>
      <c r="G429">
        <v>46.56</v>
      </c>
      <c r="H429">
        <v>124901</v>
      </c>
      <c r="I429">
        <v>648</v>
      </c>
      <c r="J429">
        <v>0.02</v>
      </c>
      <c r="K429">
        <v>0.96</v>
      </c>
      <c r="L429">
        <v>45.85</v>
      </c>
      <c r="M429">
        <v>47.68</v>
      </c>
      <c r="N429">
        <v>45.38</v>
      </c>
      <c r="O429">
        <v>46.56</v>
      </c>
      <c r="P429">
        <v>25.75</v>
      </c>
      <c r="Q429">
        <v>583244608</v>
      </c>
      <c r="R429">
        <v>1.43</v>
      </c>
      <c r="S429" t="s">
        <v>142</v>
      </c>
      <c r="T429" t="s">
        <v>149</v>
      </c>
      <c r="U429">
        <v>4.94</v>
      </c>
      <c r="V429">
        <v>46.7</v>
      </c>
      <c r="W429">
        <v>61536</v>
      </c>
      <c r="X429">
        <v>63365</v>
      </c>
      <c r="Y429">
        <v>0.97</v>
      </c>
      <c r="Z429">
        <v>222</v>
      </c>
      <c r="AA429">
        <v>1635</v>
      </c>
      <c r="AB429" t="s">
        <v>32</v>
      </c>
      <c r="AC429">
        <v>13.02</v>
      </c>
    </row>
    <row r="430" spans="1:29">
      <c r="A430" t="str">
        <f>"000965"</f>
        <v>000965</v>
      </c>
      <c r="B430" t="s">
        <v>585</v>
      </c>
      <c r="C430">
        <v>3.24</v>
      </c>
      <c r="D430">
        <v>4.46</v>
      </c>
      <c r="E430">
        <v>0.14</v>
      </c>
      <c r="F430">
        <v>4.45</v>
      </c>
      <c r="G430">
        <v>4.46</v>
      </c>
      <c r="H430">
        <v>114392</v>
      </c>
      <c r="I430">
        <v>2698</v>
      </c>
      <c r="J430">
        <v>0.22</v>
      </c>
      <c r="K430">
        <v>1.03</v>
      </c>
      <c r="L430">
        <v>4.34</v>
      </c>
      <c r="M430">
        <v>4.47</v>
      </c>
      <c r="N430">
        <v>4.32</v>
      </c>
      <c r="O430">
        <v>4.32</v>
      </c>
      <c r="P430">
        <v>5.27</v>
      </c>
      <c r="Q430">
        <v>50630240</v>
      </c>
      <c r="R430">
        <v>2.46</v>
      </c>
      <c r="S430" t="s">
        <v>40</v>
      </c>
      <c r="T430" t="s">
        <v>248</v>
      </c>
      <c r="U430">
        <v>3.47</v>
      </c>
      <c r="V430">
        <v>4.43</v>
      </c>
      <c r="W430">
        <v>50517</v>
      </c>
      <c r="X430">
        <v>63875</v>
      </c>
      <c r="Y430">
        <v>0.79</v>
      </c>
      <c r="Z430">
        <v>617</v>
      </c>
      <c r="AA430">
        <v>1227</v>
      </c>
      <c r="AB430" t="s">
        <v>32</v>
      </c>
      <c r="AC430">
        <v>11.1</v>
      </c>
    </row>
    <row r="431" spans="1:29">
      <c r="A431" t="str">
        <f>"000966"</f>
        <v>000966</v>
      </c>
      <c r="B431" t="s">
        <v>586</v>
      </c>
      <c r="C431">
        <v>1.72</v>
      </c>
      <c r="D431">
        <v>2.95</v>
      </c>
      <c r="E431">
        <v>0.05</v>
      </c>
      <c r="F431">
        <v>2.94</v>
      </c>
      <c r="G431">
        <v>2.95</v>
      </c>
      <c r="H431">
        <v>60161</v>
      </c>
      <c r="I431">
        <v>4330</v>
      </c>
      <c r="J431">
        <v>0.34</v>
      </c>
      <c r="K431">
        <v>0.54</v>
      </c>
      <c r="L431">
        <v>2.9</v>
      </c>
      <c r="M431">
        <v>2.95</v>
      </c>
      <c r="N431">
        <v>2.89</v>
      </c>
      <c r="O431">
        <v>2.9</v>
      </c>
      <c r="P431">
        <v>15.58</v>
      </c>
      <c r="Q431">
        <v>17640486</v>
      </c>
      <c r="R431">
        <v>1.22</v>
      </c>
      <c r="S431" t="s">
        <v>75</v>
      </c>
      <c r="T431" t="s">
        <v>193</v>
      </c>
      <c r="U431">
        <v>2.07</v>
      </c>
      <c r="V431">
        <v>2.93</v>
      </c>
      <c r="W431">
        <v>28145</v>
      </c>
      <c r="X431">
        <v>32015</v>
      </c>
      <c r="Y431">
        <v>0.88</v>
      </c>
      <c r="Z431">
        <v>2057</v>
      </c>
      <c r="AA431">
        <v>1600</v>
      </c>
      <c r="AB431" t="s">
        <v>32</v>
      </c>
      <c r="AC431">
        <v>11.08</v>
      </c>
    </row>
    <row r="432" spans="1:29">
      <c r="A432" t="str">
        <f>"000967"</f>
        <v>000967</v>
      </c>
      <c r="B432" t="s">
        <v>587</v>
      </c>
      <c r="C432" t="s">
        <v>32</v>
      </c>
      <c r="D432">
        <v>8.7</v>
      </c>
      <c r="E432" t="s">
        <v>32</v>
      </c>
      <c r="F432" t="s">
        <v>32</v>
      </c>
      <c r="G432" t="s">
        <v>32</v>
      </c>
      <c r="H432">
        <v>0</v>
      </c>
      <c r="I432">
        <v>0</v>
      </c>
      <c r="J432" t="s">
        <v>32</v>
      </c>
      <c r="K432">
        <v>0</v>
      </c>
      <c r="L432" t="s">
        <v>32</v>
      </c>
      <c r="M432" t="s">
        <v>32</v>
      </c>
      <c r="N432" t="s">
        <v>32</v>
      </c>
      <c r="O432">
        <v>8.7</v>
      </c>
      <c r="P432">
        <v>28</v>
      </c>
      <c r="Q432">
        <v>0</v>
      </c>
      <c r="R432">
        <v>0</v>
      </c>
      <c r="S432" t="s">
        <v>86</v>
      </c>
      <c r="T432" t="s">
        <v>149</v>
      </c>
      <c r="U432">
        <v>0</v>
      </c>
      <c r="V432">
        <v>8.7</v>
      </c>
      <c r="W432">
        <v>0</v>
      </c>
      <c r="X432">
        <v>0</v>
      </c>
      <c r="Y432" t="s">
        <v>32</v>
      </c>
      <c r="Z432">
        <v>0</v>
      </c>
      <c r="AA432">
        <v>0</v>
      </c>
      <c r="AB432" t="s">
        <v>32</v>
      </c>
      <c r="AC432">
        <v>7.44</v>
      </c>
    </row>
    <row r="433" spans="1:29">
      <c r="A433" t="str">
        <f>"000968"</f>
        <v>000968</v>
      </c>
      <c r="B433" t="s">
        <v>588</v>
      </c>
      <c r="C433">
        <v>-0.18</v>
      </c>
      <c r="D433">
        <v>11.26</v>
      </c>
      <c r="E433">
        <v>-0.02</v>
      </c>
      <c r="F433">
        <v>11.26</v>
      </c>
      <c r="G433">
        <v>11.27</v>
      </c>
      <c r="H433">
        <v>60639</v>
      </c>
      <c r="I433">
        <v>338</v>
      </c>
      <c r="J433">
        <v>0.09</v>
      </c>
      <c r="K433">
        <v>1.18</v>
      </c>
      <c r="L433">
        <v>11.26</v>
      </c>
      <c r="M433">
        <v>11.44</v>
      </c>
      <c r="N433">
        <v>11.09</v>
      </c>
      <c r="O433">
        <v>11.28</v>
      </c>
      <c r="P433">
        <v>24.89</v>
      </c>
      <c r="Q433">
        <v>68354560</v>
      </c>
      <c r="R433">
        <v>1.11</v>
      </c>
      <c r="S433" t="s">
        <v>265</v>
      </c>
      <c r="T433" t="s">
        <v>169</v>
      </c>
      <c r="U433">
        <v>3.1</v>
      </c>
      <c r="V433">
        <v>11.27</v>
      </c>
      <c r="W433">
        <v>32211</v>
      </c>
      <c r="X433">
        <v>28427</v>
      </c>
      <c r="Y433">
        <v>1.13</v>
      </c>
      <c r="Z433">
        <v>473</v>
      </c>
      <c r="AA433">
        <v>141</v>
      </c>
      <c r="AB433" t="s">
        <v>32</v>
      </c>
      <c r="AC433">
        <v>5.14</v>
      </c>
    </row>
    <row r="434" spans="1:29">
      <c r="A434" t="str">
        <f>"000969"</f>
        <v>000969</v>
      </c>
      <c r="B434" t="s">
        <v>589</v>
      </c>
      <c r="C434">
        <v>1.47</v>
      </c>
      <c r="D434">
        <v>6.23</v>
      </c>
      <c r="E434">
        <v>0.09</v>
      </c>
      <c r="F434">
        <v>6.23</v>
      </c>
      <c r="G434">
        <v>6.24</v>
      </c>
      <c r="H434">
        <v>63850</v>
      </c>
      <c r="I434">
        <v>767</v>
      </c>
      <c r="J434">
        <v>-0.15</v>
      </c>
      <c r="K434">
        <v>0.7</v>
      </c>
      <c r="L434">
        <v>6.12</v>
      </c>
      <c r="M434">
        <v>6.26</v>
      </c>
      <c r="N434">
        <v>6.1</v>
      </c>
      <c r="O434">
        <v>6.14</v>
      </c>
      <c r="P434">
        <v>164.91</v>
      </c>
      <c r="Q434">
        <v>39655864</v>
      </c>
      <c r="R434">
        <v>1.53</v>
      </c>
      <c r="S434" t="s">
        <v>449</v>
      </c>
      <c r="T434" t="s">
        <v>45</v>
      </c>
      <c r="U434">
        <v>2.61</v>
      </c>
      <c r="V434">
        <v>6.21</v>
      </c>
      <c r="W434">
        <v>32184</v>
      </c>
      <c r="X434">
        <v>31666</v>
      </c>
      <c r="Y434">
        <v>1.02</v>
      </c>
      <c r="Z434">
        <v>198</v>
      </c>
      <c r="AA434">
        <v>274</v>
      </c>
      <c r="AB434" t="s">
        <v>32</v>
      </c>
      <c r="AC434">
        <v>9.06</v>
      </c>
    </row>
    <row r="435" spans="1:29">
      <c r="A435" t="str">
        <f>"000970"</f>
        <v>000970</v>
      </c>
      <c r="B435" t="s">
        <v>590</v>
      </c>
      <c r="C435">
        <v>0.99</v>
      </c>
      <c r="D435">
        <v>10.21</v>
      </c>
      <c r="E435">
        <v>0.1</v>
      </c>
      <c r="F435">
        <v>10.21</v>
      </c>
      <c r="G435">
        <v>10.22</v>
      </c>
      <c r="H435">
        <v>180565</v>
      </c>
      <c r="I435">
        <v>1685</v>
      </c>
      <c r="J435">
        <v>0</v>
      </c>
      <c r="K435">
        <v>1.7</v>
      </c>
      <c r="L435">
        <v>10.11</v>
      </c>
      <c r="M435">
        <v>10.39</v>
      </c>
      <c r="N435">
        <v>10.01</v>
      </c>
      <c r="O435">
        <v>10.11</v>
      </c>
      <c r="P435">
        <v>64.44</v>
      </c>
      <c r="Q435">
        <v>184703376</v>
      </c>
      <c r="R435">
        <v>1.38</v>
      </c>
      <c r="S435" t="s">
        <v>63</v>
      </c>
      <c r="T435" t="s">
        <v>45</v>
      </c>
      <c r="U435">
        <v>3.76</v>
      </c>
      <c r="V435">
        <v>10.23</v>
      </c>
      <c r="W435">
        <v>86698</v>
      </c>
      <c r="X435">
        <v>93866</v>
      </c>
      <c r="Y435">
        <v>0.92</v>
      </c>
      <c r="Z435">
        <v>289</v>
      </c>
      <c r="AA435">
        <v>213</v>
      </c>
      <c r="AB435" t="s">
        <v>32</v>
      </c>
      <c r="AC435">
        <v>10.65</v>
      </c>
    </row>
    <row r="436" spans="1:29">
      <c r="A436" t="str">
        <f>"000971"</f>
        <v>000971</v>
      </c>
      <c r="B436" t="s">
        <v>591</v>
      </c>
      <c r="C436">
        <v>2.33</v>
      </c>
      <c r="D436">
        <v>3.96</v>
      </c>
      <c r="E436">
        <v>0.09</v>
      </c>
      <c r="F436">
        <v>3.95</v>
      </c>
      <c r="G436">
        <v>3.96</v>
      </c>
      <c r="H436">
        <v>98215</v>
      </c>
      <c r="I436">
        <v>1221</v>
      </c>
      <c r="J436">
        <v>0</v>
      </c>
      <c r="K436">
        <v>1.66</v>
      </c>
      <c r="L436">
        <v>3.83</v>
      </c>
      <c r="M436">
        <v>4</v>
      </c>
      <c r="N436">
        <v>3.79</v>
      </c>
      <c r="O436">
        <v>3.87</v>
      </c>
      <c r="P436">
        <v>57.93</v>
      </c>
      <c r="Q436">
        <v>38569192</v>
      </c>
      <c r="R436">
        <v>0.9</v>
      </c>
      <c r="S436" t="s">
        <v>316</v>
      </c>
      <c r="T436" t="s">
        <v>193</v>
      </c>
      <c r="U436">
        <v>5.43</v>
      </c>
      <c r="V436">
        <v>3.93</v>
      </c>
      <c r="W436">
        <v>38142</v>
      </c>
      <c r="X436">
        <v>60072</v>
      </c>
      <c r="Y436">
        <v>0.63</v>
      </c>
      <c r="Z436">
        <v>434</v>
      </c>
      <c r="AA436">
        <v>1250</v>
      </c>
      <c r="AB436" t="s">
        <v>32</v>
      </c>
      <c r="AC436">
        <v>5.91</v>
      </c>
    </row>
    <row r="437" spans="1:29">
      <c r="A437" t="str">
        <f>"000972"</f>
        <v>000972</v>
      </c>
      <c r="B437" t="s">
        <v>592</v>
      </c>
      <c r="C437" t="s">
        <v>32</v>
      </c>
      <c r="D437">
        <v>3.65</v>
      </c>
      <c r="E437" t="s">
        <v>32</v>
      </c>
      <c r="F437" t="s">
        <v>32</v>
      </c>
      <c r="G437" t="s">
        <v>32</v>
      </c>
      <c r="H437">
        <v>0</v>
      </c>
      <c r="I437">
        <v>0</v>
      </c>
      <c r="J437" t="s">
        <v>32</v>
      </c>
      <c r="K437">
        <v>0</v>
      </c>
      <c r="L437" t="s">
        <v>32</v>
      </c>
      <c r="M437" t="s">
        <v>32</v>
      </c>
      <c r="N437" t="s">
        <v>32</v>
      </c>
      <c r="O437">
        <v>3.65</v>
      </c>
      <c r="P437" t="s">
        <v>32</v>
      </c>
      <c r="Q437">
        <v>0</v>
      </c>
      <c r="R437">
        <v>0</v>
      </c>
      <c r="S437" t="s">
        <v>213</v>
      </c>
      <c r="T437" t="s">
        <v>156</v>
      </c>
      <c r="U437">
        <v>0</v>
      </c>
      <c r="V437">
        <v>3.65</v>
      </c>
      <c r="W437">
        <v>0</v>
      </c>
      <c r="X437">
        <v>0</v>
      </c>
      <c r="Y437" t="s">
        <v>32</v>
      </c>
      <c r="Z437">
        <v>0</v>
      </c>
      <c r="AA437">
        <v>0</v>
      </c>
      <c r="AB437" t="s">
        <v>32</v>
      </c>
      <c r="AC437">
        <v>7.71</v>
      </c>
    </row>
    <row r="438" spans="1:29">
      <c r="A438" t="str">
        <f>"000973"</f>
        <v>000973</v>
      </c>
      <c r="B438" t="s">
        <v>593</v>
      </c>
      <c r="C438">
        <v>0.96</v>
      </c>
      <c r="D438">
        <v>4.22</v>
      </c>
      <c r="E438">
        <v>0.04</v>
      </c>
      <c r="F438">
        <v>4.22</v>
      </c>
      <c r="G438">
        <v>4.23</v>
      </c>
      <c r="H438">
        <v>134344</v>
      </c>
      <c r="I438">
        <v>2478</v>
      </c>
      <c r="J438">
        <v>-0.23</v>
      </c>
      <c r="K438">
        <v>1.39</v>
      </c>
      <c r="L438">
        <v>4.17</v>
      </c>
      <c r="M438">
        <v>4.26</v>
      </c>
      <c r="N438">
        <v>4.15</v>
      </c>
      <c r="O438">
        <v>4.18</v>
      </c>
      <c r="P438">
        <v>65.59</v>
      </c>
      <c r="Q438">
        <v>56659348</v>
      </c>
      <c r="R438">
        <v>1.17</v>
      </c>
      <c r="S438" t="s">
        <v>508</v>
      </c>
      <c r="T438" t="s">
        <v>136</v>
      </c>
      <c r="U438">
        <v>2.63</v>
      </c>
      <c r="V438">
        <v>4.22</v>
      </c>
      <c r="W438">
        <v>63315</v>
      </c>
      <c r="X438">
        <v>71028</v>
      </c>
      <c r="Y438">
        <v>0.89</v>
      </c>
      <c r="Z438">
        <v>1101</v>
      </c>
      <c r="AA438">
        <v>1328</v>
      </c>
      <c r="AB438" t="s">
        <v>32</v>
      </c>
      <c r="AC438">
        <v>9.67</v>
      </c>
    </row>
    <row r="439" spans="1:29">
      <c r="A439" t="str">
        <f>"000975"</f>
        <v>000975</v>
      </c>
      <c r="B439" t="s">
        <v>594</v>
      </c>
      <c r="C439">
        <v>4.02</v>
      </c>
      <c r="D439">
        <v>9.58</v>
      </c>
      <c r="E439">
        <v>0.37</v>
      </c>
      <c r="F439">
        <v>9.57</v>
      </c>
      <c r="G439">
        <v>9.58</v>
      </c>
      <c r="H439">
        <v>84809</v>
      </c>
      <c r="I439">
        <v>340</v>
      </c>
      <c r="J439">
        <v>0.21</v>
      </c>
      <c r="K439">
        <v>0.69</v>
      </c>
      <c r="L439">
        <v>9.21</v>
      </c>
      <c r="M439">
        <v>9.62</v>
      </c>
      <c r="N439">
        <v>9.16</v>
      </c>
      <c r="O439">
        <v>9.21</v>
      </c>
      <c r="P439">
        <v>40.81</v>
      </c>
      <c r="Q439">
        <v>80445768</v>
      </c>
      <c r="R439">
        <v>1.24</v>
      </c>
      <c r="S439" t="s">
        <v>113</v>
      </c>
      <c r="T439" t="s">
        <v>198</v>
      </c>
      <c r="U439">
        <v>4.99</v>
      </c>
      <c r="V439">
        <v>9.49</v>
      </c>
      <c r="W439">
        <v>22522</v>
      </c>
      <c r="X439">
        <v>62286</v>
      </c>
      <c r="Y439">
        <v>0.36</v>
      </c>
      <c r="Z439">
        <v>51</v>
      </c>
      <c r="AA439">
        <v>206</v>
      </c>
      <c r="AB439" t="s">
        <v>32</v>
      </c>
      <c r="AC439">
        <v>12.29</v>
      </c>
    </row>
    <row r="440" spans="1:29">
      <c r="A440" t="str">
        <f>"000976"</f>
        <v>000976</v>
      </c>
      <c r="B440" t="s">
        <v>595</v>
      </c>
      <c r="C440">
        <v>1.33</v>
      </c>
      <c r="D440">
        <v>5.34</v>
      </c>
      <c r="E440">
        <v>0.07</v>
      </c>
      <c r="F440">
        <v>5.34</v>
      </c>
      <c r="G440">
        <v>5.35</v>
      </c>
      <c r="H440">
        <v>104574</v>
      </c>
      <c r="I440">
        <v>556</v>
      </c>
      <c r="J440">
        <v>0.19</v>
      </c>
      <c r="K440">
        <v>1.78</v>
      </c>
      <c r="L440">
        <v>5.34</v>
      </c>
      <c r="M440">
        <v>5.44</v>
      </c>
      <c r="N440">
        <v>5.26</v>
      </c>
      <c r="O440">
        <v>5.27</v>
      </c>
      <c r="P440">
        <v>99.5</v>
      </c>
      <c r="Q440">
        <v>55964600</v>
      </c>
      <c r="R440">
        <v>1.69</v>
      </c>
      <c r="S440" t="s">
        <v>44</v>
      </c>
      <c r="T440" t="s">
        <v>136</v>
      </c>
      <c r="U440">
        <v>3.42</v>
      </c>
      <c r="V440">
        <v>5.35</v>
      </c>
      <c r="W440">
        <v>55743</v>
      </c>
      <c r="X440">
        <v>48830</v>
      </c>
      <c r="Y440">
        <v>1.14</v>
      </c>
      <c r="Z440">
        <v>358</v>
      </c>
      <c r="AA440">
        <v>654</v>
      </c>
      <c r="AB440" t="s">
        <v>32</v>
      </c>
      <c r="AC440">
        <v>5.87</v>
      </c>
    </row>
    <row r="441" spans="1:29">
      <c r="A441" t="str">
        <f>"000977"</f>
        <v>000977</v>
      </c>
      <c r="B441" t="s">
        <v>596</v>
      </c>
      <c r="C441">
        <v>0.36</v>
      </c>
      <c r="D441">
        <v>27.65</v>
      </c>
      <c r="E441">
        <v>0.1</v>
      </c>
      <c r="F441">
        <v>27.65</v>
      </c>
      <c r="G441">
        <v>27.66</v>
      </c>
      <c r="H441">
        <v>618163</v>
      </c>
      <c r="I441">
        <v>8973</v>
      </c>
      <c r="J441">
        <v>0.07</v>
      </c>
      <c r="K441">
        <v>4.81</v>
      </c>
      <c r="L441">
        <v>27.5</v>
      </c>
      <c r="M441">
        <v>27.95</v>
      </c>
      <c r="N441">
        <v>26.62</v>
      </c>
      <c r="O441">
        <v>27.55</v>
      </c>
      <c r="P441">
        <v>162.11</v>
      </c>
      <c r="Q441">
        <v>1692452992</v>
      </c>
      <c r="R441">
        <v>1.16</v>
      </c>
      <c r="S441" t="s">
        <v>65</v>
      </c>
      <c r="T441" t="s">
        <v>162</v>
      </c>
      <c r="U441">
        <v>4.83</v>
      </c>
      <c r="V441">
        <v>27.38</v>
      </c>
      <c r="W441">
        <v>298366</v>
      </c>
      <c r="X441">
        <v>319796</v>
      </c>
      <c r="Y441">
        <v>0.93</v>
      </c>
      <c r="Z441">
        <v>2005</v>
      </c>
      <c r="AA441">
        <v>685</v>
      </c>
      <c r="AB441" t="s">
        <v>32</v>
      </c>
      <c r="AC441">
        <v>12.84</v>
      </c>
    </row>
    <row r="442" spans="1:29">
      <c r="A442" t="str">
        <f>"000978"</f>
        <v>000978</v>
      </c>
      <c r="B442" t="s">
        <v>597</v>
      </c>
      <c r="C442">
        <v>1.51</v>
      </c>
      <c r="D442">
        <v>6.07</v>
      </c>
      <c r="E442">
        <v>0.09</v>
      </c>
      <c r="F442">
        <v>6.07</v>
      </c>
      <c r="G442">
        <v>6.08</v>
      </c>
      <c r="H442">
        <v>24768</v>
      </c>
      <c r="I442">
        <v>328</v>
      </c>
      <c r="J442">
        <v>-0.15</v>
      </c>
      <c r="K442">
        <v>0.69</v>
      </c>
      <c r="L442">
        <v>5.97</v>
      </c>
      <c r="M442">
        <v>6.09</v>
      </c>
      <c r="N442">
        <v>5.94</v>
      </c>
      <c r="O442">
        <v>5.98</v>
      </c>
      <c r="P442" t="s">
        <v>32</v>
      </c>
      <c r="Q442">
        <v>14967762</v>
      </c>
      <c r="R442">
        <v>1.52</v>
      </c>
      <c r="S442" t="s">
        <v>124</v>
      </c>
      <c r="T442" t="s">
        <v>238</v>
      </c>
      <c r="U442">
        <v>2.51</v>
      </c>
      <c r="V442">
        <v>6.04</v>
      </c>
      <c r="W442">
        <v>12057</v>
      </c>
      <c r="X442">
        <v>12710</v>
      </c>
      <c r="Y442">
        <v>0.95</v>
      </c>
      <c r="Z442">
        <v>1139</v>
      </c>
      <c r="AA442">
        <v>810</v>
      </c>
      <c r="AB442" t="s">
        <v>32</v>
      </c>
      <c r="AC442">
        <v>3.6</v>
      </c>
    </row>
    <row r="443" spans="1:29">
      <c r="A443" t="str">
        <f>"000979"</f>
        <v>000979</v>
      </c>
      <c r="B443" t="s">
        <v>598</v>
      </c>
      <c r="C443">
        <v>1.94</v>
      </c>
      <c r="D443">
        <v>1.05</v>
      </c>
      <c r="E443">
        <v>0.02</v>
      </c>
      <c r="F443">
        <v>1.05</v>
      </c>
      <c r="G443">
        <v>1.06</v>
      </c>
      <c r="H443">
        <v>1148789</v>
      </c>
      <c r="I443">
        <v>10329</v>
      </c>
      <c r="J443">
        <v>-0.93</v>
      </c>
      <c r="K443">
        <v>1.37</v>
      </c>
      <c r="L443">
        <v>1.03</v>
      </c>
      <c r="M443">
        <v>1.07</v>
      </c>
      <c r="N443">
        <v>1.02</v>
      </c>
      <c r="O443">
        <v>1.03</v>
      </c>
      <c r="P443" t="s">
        <v>32</v>
      </c>
      <c r="Q443">
        <v>120274888</v>
      </c>
      <c r="R443">
        <v>1.9</v>
      </c>
      <c r="S443" t="s">
        <v>40</v>
      </c>
      <c r="T443" t="s">
        <v>143</v>
      </c>
      <c r="U443">
        <v>4.85</v>
      </c>
      <c r="V443">
        <v>1.05</v>
      </c>
      <c r="W443">
        <v>414616</v>
      </c>
      <c r="X443">
        <v>734172</v>
      </c>
      <c r="Y443">
        <v>0.56</v>
      </c>
      <c r="Z443">
        <v>33862</v>
      </c>
      <c r="AA443">
        <v>139222</v>
      </c>
      <c r="AB443" t="s">
        <v>32</v>
      </c>
      <c r="AC443">
        <v>83.89</v>
      </c>
    </row>
    <row r="444" spans="1:29">
      <c r="A444" t="str">
        <f>"000980"</f>
        <v>000980</v>
      </c>
      <c r="B444" t="s">
        <v>599</v>
      </c>
      <c r="C444">
        <v>1.71</v>
      </c>
      <c r="D444">
        <v>7.15</v>
      </c>
      <c r="E444">
        <v>0.12</v>
      </c>
      <c r="F444">
        <v>7.14</v>
      </c>
      <c r="G444">
        <v>7.15</v>
      </c>
      <c r="H444">
        <v>88008</v>
      </c>
      <c r="I444">
        <v>1983</v>
      </c>
      <c r="J444">
        <v>0.14</v>
      </c>
      <c r="K444">
        <v>0.81</v>
      </c>
      <c r="L444">
        <v>7.03</v>
      </c>
      <c r="M444">
        <v>7.16</v>
      </c>
      <c r="N444">
        <v>7</v>
      </c>
      <c r="O444">
        <v>7.03</v>
      </c>
      <c r="P444">
        <v>25.84</v>
      </c>
      <c r="Q444">
        <v>62619072</v>
      </c>
      <c r="R444">
        <v>1.69</v>
      </c>
      <c r="S444" t="s">
        <v>80</v>
      </c>
      <c r="T444" t="s">
        <v>143</v>
      </c>
      <c r="U444">
        <v>2.28</v>
      </c>
      <c r="V444">
        <v>7.12</v>
      </c>
      <c r="W444">
        <v>38880</v>
      </c>
      <c r="X444">
        <v>49127</v>
      </c>
      <c r="Y444">
        <v>0.79</v>
      </c>
      <c r="Z444">
        <v>524</v>
      </c>
      <c r="AA444">
        <v>1463</v>
      </c>
      <c r="AB444" t="s">
        <v>32</v>
      </c>
      <c r="AC444">
        <v>10.9</v>
      </c>
    </row>
    <row r="445" spans="1:29">
      <c r="A445" t="str">
        <f>"000981"</f>
        <v>000981</v>
      </c>
      <c r="B445" t="s">
        <v>600</v>
      </c>
      <c r="C445">
        <v>1.2</v>
      </c>
      <c r="D445">
        <v>7.61</v>
      </c>
      <c r="E445">
        <v>0.09</v>
      </c>
      <c r="F445">
        <v>7.61</v>
      </c>
      <c r="G445">
        <v>7.62</v>
      </c>
      <c r="H445">
        <v>129608</v>
      </c>
      <c r="I445">
        <v>1625</v>
      </c>
      <c r="J445">
        <v>-0.25</v>
      </c>
      <c r="K445">
        <v>0.5</v>
      </c>
      <c r="L445">
        <v>7.5</v>
      </c>
      <c r="M445">
        <v>7.72</v>
      </c>
      <c r="N445">
        <v>7.5</v>
      </c>
      <c r="O445">
        <v>7.52</v>
      </c>
      <c r="P445">
        <v>17.7</v>
      </c>
      <c r="Q445">
        <v>98961560</v>
      </c>
      <c r="R445">
        <v>0.75</v>
      </c>
      <c r="S445" t="s">
        <v>40</v>
      </c>
      <c r="T445" t="s">
        <v>266</v>
      </c>
      <c r="U445">
        <v>2.93</v>
      </c>
      <c r="V445">
        <v>7.64</v>
      </c>
      <c r="W445">
        <v>67452</v>
      </c>
      <c r="X445">
        <v>62155</v>
      </c>
      <c r="Y445">
        <v>1.09</v>
      </c>
      <c r="Z445">
        <v>28</v>
      </c>
      <c r="AA445">
        <v>1304</v>
      </c>
      <c r="AB445" t="s">
        <v>32</v>
      </c>
      <c r="AC445">
        <v>25.74</v>
      </c>
    </row>
    <row r="446" spans="1:29">
      <c r="A446" t="str">
        <f>"000982"</f>
        <v>000982</v>
      </c>
      <c r="B446" t="s">
        <v>601</v>
      </c>
      <c r="C446">
        <v>1.32</v>
      </c>
      <c r="D446">
        <v>1.53</v>
      </c>
      <c r="E446">
        <v>0.02</v>
      </c>
      <c r="F446">
        <v>1.53</v>
      </c>
      <c r="G446">
        <v>1.54</v>
      </c>
      <c r="H446">
        <v>72220</v>
      </c>
      <c r="I446">
        <v>4733</v>
      </c>
      <c r="J446">
        <v>-0.64</v>
      </c>
      <c r="K446">
        <v>0.4</v>
      </c>
      <c r="L446">
        <v>1.5</v>
      </c>
      <c r="M446">
        <v>1.54</v>
      </c>
      <c r="N446">
        <v>1.5</v>
      </c>
      <c r="O446">
        <v>1.51</v>
      </c>
      <c r="P446" t="s">
        <v>32</v>
      </c>
      <c r="Q446">
        <v>11007019</v>
      </c>
      <c r="R446">
        <v>1.02</v>
      </c>
      <c r="S446" t="s">
        <v>99</v>
      </c>
      <c r="T446" t="s">
        <v>273</v>
      </c>
      <c r="U446">
        <v>2.65</v>
      </c>
      <c r="V446">
        <v>1.52</v>
      </c>
      <c r="W446">
        <v>26090</v>
      </c>
      <c r="X446">
        <v>46130</v>
      </c>
      <c r="Y446">
        <v>0.57</v>
      </c>
      <c r="Z446">
        <v>1293</v>
      </c>
      <c r="AA446">
        <v>9122</v>
      </c>
      <c r="AB446" t="s">
        <v>32</v>
      </c>
      <c r="AC446">
        <v>18.05</v>
      </c>
    </row>
    <row r="447" spans="1:29">
      <c r="A447" t="str">
        <f>"000983"</f>
        <v>000983</v>
      </c>
      <c r="B447" t="s">
        <v>602</v>
      </c>
      <c r="C447">
        <v>2.67</v>
      </c>
      <c r="D447">
        <v>6.91</v>
      </c>
      <c r="E447">
        <v>0.18</v>
      </c>
      <c r="F447">
        <v>6.9</v>
      </c>
      <c r="G447">
        <v>6.91</v>
      </c>
      <c r="H447">
        <v>373308</v>
      </c>
      <c r="I447">
        <v>3076</v>
      </c>
      <c r="J447">
        <v>0.14</v>
      </c>
      <c r="K447">
        <v>1.18</v>
      </c>
      <c r="L447">
        <v>6.74</v>
      </c>
      <c r="M447">
        <v>6.93</v>
      </c>
      <c r="N447">
        <v>6.68</v>
      </c>
      <c r="O447">
        <v>6.73</v>
      </c>
      <c r="P447">
        <v>10.6</v>
      </c>
      <c r="Q447">
        <v>256026336</v>
      </c>
      <c r="R447">
        <v>2.37</v>
      </c>
      <c r="S447" t="s">
        <v>265</v>
      </c>
      <c r="T447" t="s">
        <v>169</v>
      </c>
      <c r="U447">
        <v>3.71</v>
      </c>
      <c r="V447">
        <v>6.86</v>
      </c>
      <c r="W447">
        <v>173271</v>
      </c>
      <c r="X447">
        <v>200036</v>
      </c>
      <c r="Y447">
        <v>0.87</v>
      </c>
      <c r="Z447">
        <v>1189</v>
      </c>
      <c r="AA447">
        <v>894</v>
      </c>
      <c r="AB447" t="s">
        <v>32</v>
      </c>
      <c r="AC447">
        <v>31.51</v>
      </c>
    </row>
    <row r="448" spans="1:29">
      <c r="A448" t="str">
        <f>"000985"</f>
        <v>000985</v>
      </c>
      <c r="B448" t="s">
        <v>603</v>
      </c>
      <c r="C448">
        <v>1.14</v>
      </c>
      <c r="D448">
        <v>13.34</v>
      </c>
      <c r="E448">
        <v>0.15</v>
      </c>
      <c r="F448">
        <v>13.3</v>
      </c>
      <c r="G448">
        <v>13.34</v>
      </c>
      <c r="H448">
        <v>10539</v>
      </c>
      <c r="I448">
        <v>130</v>
      </c>
      <c r="J448">
        <v>0.08</v>
      </c>
      <c r="K448">
        <v>0.81</v>
      </c>
      <c r="L448">
        <v>13.52</v>
      </c>
      <c r="M448">
        <v>13.95</v>
      </c>
      <c r="N448">
        <v>13.27</v>
      </c>
      <c r="O448">
        <v>13.19</v>
      </c>
      <c r="P448" t="s">
        <v>32</v>
      </c>
      <c r="Q448">
        <v>14173139</v>
      </c>
      <c r="R448">
        <v>1.83</v>
      </c>
      <c r="S448" t="s">
        <v>218</v>
      </c>
      <c r="T448" t="s">
        <v>297</v>
      </c>
      <c r="U448">
        <v>5.16</v>
      </c>
      <c r="V448">
        <v>13.45</v>
      </c>
      <c r="W448">
        <v>6556</v>
      </c>
      <c r="X448">
        <v>3982</v>
      </c>
      <c r="Y448">
        <v>1.65</v>
      </c>
      <c r="Z448">
        <v>32</v>
      </c>
      <c r="AA448">
        <v>39</v>
      </c>
      <c r="AB448" t="s">
        <v>32</v>
      </c>
      <c r="AC448">
        <v>1.3</v>
      </c>
    </row>
    <row r="449" spans="1:29">
      <c r="A449" t="str">
        <f>"000987"</f>
        <v>000987</v>
      </c>
      <c r="B449" t="s">
        <v>604</v>
      </c>
      <c r="C449">
        <v>2.27</v>
      </c>
      <c r="D449">
        <v>7.67</v>
      </c>
      <c r="E449">
        <v>0.17</v>
      </c>
      <c r="F449">
        <v>7.65</v>
      </c>
      <c r="G449">
        <v>7.67</v>
      </c>
      <c r="H449">
        <v>49318</v>
      </c>
      <c r="I449">
        <v>507</v>
      </c>
      <c r="J449">
        <v>0.13</v>
      </c>
      <c r="K449">
        <v>0.92</v>
      </c>
      <c r="L449">
        <v>7.49</v>
      </c>
      <c r="M449">
        <v>7.79</v>
      </c>
      <c r="N449">
        <v>7.43</v>
      </c>
      <c r="O449">
        <v>7.5</v>
      </c>
      <c r="P449">
        <v>38.39</v>
      </c>
      <c r="Q449">
        <v>37761440</v>
      </c>
      <c r="R449">
        <v>1.56</v>
      </c>
      <c r="S449" t="s">
        <v>183</v>
      </c>
      <c r="T449" t="s">
        <v>136</v>
      </c>
      <c r="U449">
        <v>4.8</v>
      </c>
      <c r="V449">
        <v>7.66</v>
      </c>
      <c r="W449">
        <v>25030</v>
      </c>
      <c r="X449">
        <v>24288</v>
      </c>
      <c r="Y449">
        <v>1.03</v>
      </c>
      <c r="Z449">
        <v>21</v>
      </c>
      <c r="AA449">
        <v>499</v>
      </c>
      <c r="AB449" t="s">
        <v>32</v>
      </c>
      <c r="AC449">
        <v>5.38</v>
      </c>
    </row>
    <row r="450" spans="1:29">
      <c r="A450" t="str">
        <f>"000988"</f>
        <v>000988</v>
      </c>
      <c r="B450" t="s">
        <v>605</v>
      </c>
      <c r="C450">
        <v>0.66</v>
      </c>
      <c r="D450">
        <v>15.34</v>
      </c>
      <c r="E450">
        <v>0.1</v>
      </c>
      <c r="F450">
        <v>15.33</v>
      </c>
      <c r="G450">
        <v>15.34</v>
      </c>
      <c r="H450">
        <v>144135</v>
      </c>
      <c r="I450">
        <v>983</v>
      </c>
      <c r="J450">
        <v>0</v>
      </c>
      <c r="K450">
        <v>1.62</v>
      </c>
      <c r="L450">
        <v>15.25</v>
      </c>
      <c r="M450">
        <v>15.42</v>
      </c>
      <c r="N450">
        <v>15.1</v>
      </c>
      <c r="O450">
        <v>15.24</v>
      </c>
      <c r="P450">
        <v>63.48</v>
      </c>
      <c r="Q450">
        <v>220867248</v>
      </c>
      <c r="R450">
        <v>1.39</v>
      </c>
      <c r="S450" t="s">
        <v>606</v>
      </c>
      <c r="T450" t="s">
        <v>193</v>
      </c>
      <c r="U450">
        <v>2.1</v>
      </c>
      <c r="V450">
        <v>15.32</v>
      </c>
      <c r="W450">
        <v>69492</v>
      </c>
      <c r="X450">
        <v>74642</v>
      </c>
      <c r="Y450">
        <v>0.93</v>
      </c>
      <c r="Z450">
        <v>150</v>
      </c>
      <c r="AA450">
        <v>548</v>
      </c>
      <c r="AB450" t="s">
        <v>32</v>
      </c>
      <c r="AC450">
        <v>8.91</v>
      </c>
    </row>
    <row r="451" spans="1:29">
      <c r="A451" t="str">
        <f>"000989"</f>
        <v>000989</v>
      </c>
      <c r="B451" t="s">
        <v>607</v>
      </c>
      <c r="C451">
        <v>0.68</v>
      </c>
      <c r="D451">
        <v>17.64</v>
      </c>
      <c r="E451">
        <v>0.12</v>
      </c>
      <c r="F451">
        <v>17.64</v>
      </c>
      <c r="G451">
        <v>17.65</v>
      </c>
      <c r="H451">
        <v>18536</v>
      </c>
      <c r="I451">
        <v>416</v>
      </c>
      <c r="J451">
        <v>0.06</v>
      </c>
      <c r="K451">
        <v>0.38</v>
      </c>
      <c r="L451">
        <v>17.5</v>
      </c>
      <c r="M451">
        <v>17.8</v>
      </c>
      <c r="N451">
        <v>17.22</v>
      </c>
      <c r="O451">
        <v>17.52</v>
      </c>
      <c r="P451">
        <v>26.94</v>
      </c>
      <c r="Q451">
        <v>32538196</v>
      </c>
      <c r="R451">
        <v>1.27</v>
      </c>
      <c r="S451" t="s">
        <v>195</v>
      </c>
      <c r="T451" t="s">
        <v>152</v>
      </c>
      <c r="U451">
        <v>3.31</v>
      </c>
      <c r="V451">
        <v>17.55</v>
      </c>
      <c r="W451">
        <v>9735</v>
      </c>
      <c r="X451">
        <v>8801</v>
      </c>
      <c r="Y451">
        <v>1.11</v>
      </c>
      <c r="Z451">
        <v>242</v>
      </c>
      <c r="AA451">
        <v>36</v>
      </c>
      <c r="AB451" t="s">
        <v>32</v>
      </c>
      <c r="AC451">
        <v>4.9</v>
      </c>
    </row>
    <row r="452" spans="1:29">
      <c r="A452" t="str">
        <f>"000990"</f>
        <v>000990</v>
      </c>
      <c r="B452" t="s">
        <v>608</v>
      </c>
      <c r="C452">
        <v>0</v>
      </c>
      <c r="D452">
        <v>14.47</v>
      </c>
      <c r="E452">
        <v>0</v>
      </c>
      <c r="F452">
        <v>14.47</v>
      </c>
      <c r="G452">
        <v>14.49</v>
      </c>
      <c r="H452">
        <v>17834</v>
      </c>
      <c r="I452">
        <v>376</v>
      </c>
      <c r="J452">
        <v>-0.13</v>
      </c>
      <c r="K452">
        <v>0.46</v>
      </c>
      <c r="L452">
        <v>14.53</v>
      </c>
      <c r="M452">
        <v>14.59</v>
      </c>
      <c r="N452">
        <v>14.4</v>
      </c>
      <c r="O452">
        <v>14.47</v>
      </c>
      <c r="P452">
        <v>38.4</v>
      </c>
      <c r="Q452">
        <v>25836170</v>
      </c>
      <c r="R452">
        <v>0.98</v>
      </c>
      <c r="S452" t="s">
        <v>218</v>
      </c>
      <c r="T452" t="s">
        <v>172</v>
      </c>
      <c r="U452">
        <v>1.31</v>
      </c>
      <c r="V452">
        <v>14.49</v>
      </c>
      <c r="W452">
        <v>7336</v>
      </c>
      <c r="X452">
        <v>10498</v>
      </c>
      <c r="Y452">
        <v>0.7</v>
      </c>
      <c r="Z452">
        <v>376</v>
      </c>
      <c r="AA452">
        <v>68</v>
      </c>
      <c r="AB452" t="s">
        <v>32</v>
      </c>
      <c r="AC452">
        <v>3.88</v>
      </c>
    </row>
    <row r="453" spans="1:29">
      <c r="A453" t="str">
        <f>"000993"</f>
        <v>000993</v>
      </c>
      <c r="B453" t="s">
        <v>609</v>
      </c>
      <c r="C453">
        <v>3.58</v>
      </c>
      <c r="D453">
        <v>5.78</v>
      </c>
      <c r="E453">
        <v>0.2</v>
      </c>
      <c r="F453">
        <v>5.78</v>
      </c>
      <c r="G453">
        <v>5.79</v>
      </c>
      <c r="H453">
        <v>59103</v>
      </c>
      <c r="I453">
        <v>705</v>
      </c>
      <c r="J453">
        <v>-0.16</v>
      </c>
      <c r="K453">
        <v>1.58</v>
      </c>
      <c r="L453">
        <v>5.55</v>
      </c>
      <c r="M453">
        <v>5.99</v>
      </c>
      <c r="N453">
        <v>5.55</v>
      </c>
      <c r="O453">
        <v>5.58</v>
      </c>
      <c r="P453" t="s">
        <v>32</v>
      </c>
      <c r="Q453">
        <v>34047584</v>
      </c>
      <c r="R453">
        <v>3</v>
      </c>
      <c r="S453" t="s">
        <v>312</v>
      </c>
      <c r="T453" t="s">
        <v>236</v>
      </c>
      <c r="U453">
        <v>7.89</v>
      </c>
      <c r="V453">
        <v>5.76</v>
      </c>
      <c r="W453">
        <v>28062</v>
      </c>
      <c r="X453">
        <v>31040</v>
      </c>
      <c r="Y453">
        <v>0.9</v>
      </c>
      <c r="Z453">
        <v>253</v>
      </c>
      <c r="AA453">
        <v>749</v>
      </c>
      <c r="AB453" t="s">
        <v>32</v>
      </c>
      <c r="AC453">
        <v>3.73</v>
      </c>
    </row>
    <row r="454" spans="1:29">
      <c r="A454" t="str">
        <f>"000995"</f>
        <v>000995</v>
      </c>
      <c r="B454" t="s">
        <v>610</v>
      </c>
      <c r="C454">
        <v>-0.29</v>
      </c>
      <c r="D454">
        <v>6.88</v>
      </c>
      <c r="E454">
        <v>-0.02</v>
      </c>
      <c r="F454">
        <v>6.87</v>
      </c>
      <c r="G454">
        <v>6.88</v>
      </c>
      <c r="H454">
        <v>8737</v>
      </c>
      <c r="I454">
        <v>221</v>
      </c>
      <c r="J454">
        <v>0</v>
      </c>
      <c r="K454">
        <v>0.49</v>
      </c>
      <c r="L454">
        <v>6.9</v>
      </c>
      <c r="M454">
        <v>6.92</v>
      </c>
      <c r="N454">
        <v>6.8</v>
      </c>
      <c r="O454">
        <v>6.9</v>
      </c>
      <c r="P454" t="s">
        <v>32</v>
      </c>
      <c r="Q454">
        <v>6000046</v>
      </c>
      <c r="R454">
        <v>0.89</v>
      </c>
      <c r="S454" t="s">
        <v>285</v>
      </c>
      <c r="T454" t="s">
        <v>266</v>
      </c>
      <c r="U454">
        <v>1.74</v>
      </c>
      <c r="V454">
        <v>6.87</v>
      </c>
      <c r="W454">
        <v>5071</v>
      </c>
      <c r="X454">
        <v>3666</v>
      </c>
      <c r="Y454">
        <v>1.38</v>
      </c>
      <c r="Z454">
        <v>46</v>
      </c>
      <c r="AA454">
        <v>45</v>
      </c>
      <c r="AB454" t="s">
        <v>32</v>
      </c>
      <c r="AC454">
        <v>1.77</v>
      </c>
    </row>
    <row r="455" spans="1:29">
      <c r="A455" t="str">
        <f>"000996"</f>
        <v>000996</v>
      </c>
      <c r="B455" t="s">
        <v>611</v>
      </c>
      <c r="C455">
        <v>3.26</v>
      </c>
      <c r="D455">
        <v>10.46</v>
      </c>
      <c r="E455">
        <v>0.33</v>
      </c>
      <c r="F455">
        <v>10.46</v>
      </c>
      <c r="G455">
        <v>10.47</v>
      </c>
      <c r="H455">
        <v>365710</v>
      </c>
      <c r="I455">
        <v>3436</v>
      </c>
      <c r="J455">
        <v>-0.28</v>
      </c>
      <c r="K455">
        <v>10.6</v>
      </c>
      <c r="L455">
        <v>10.2</v>
      </c>
      <c r="M455">
        <v>10.95</v>
      </c>
      <c r="N455">
        <v>10.15</v>
      </c>
      <c r="O455">
        <v>10.13</v>
      </c>
      <c r="P455">
        <v>190.33</v>
      </c>
      <c r="Q455">
        <v>384791328</v>
      </c>
      <c r="R455">
        <v>3.94</v>
      </c>
      <c r="S455" t="s">
        <v>71</v>
      </c>
      <c r="T455" t="s">
        <v>45</v>
      </c>
      <c r="U455">
        <v>7.9</v>
      </c>
      <c r="V455">
        <v>10.52</v>
      </c>
      <c r="W455">
        <v>173523</v>
      </c>
      <c r="X455">
        <v>192186</v>
      </c>
      <c r="Y455">
        <v>0.9</v>
      </c>
      <c r="Z455">
        <v>17</v>
      </c>
      <c r="AA455">
        <v>748</v>
      </c>
      <c r="AB455" t="s">
        <v>32</v>
      </c>
      <c r="AC455">
        <v>3.45</v>
      </c>
    </row>
    <row r="456" spans="1:29">
      <c r="A456" t="str">
        <f>"000997"</f>
        <v>000997</v>
      </c>
      <c r="B456" t="s">
        <v>612</v>
      </c>
      <c r="C456">
        <v>1.06</v>
      </c>
      <c r="D456">
        <v>16.23</v>
      </c>
      <c r="E456">
        <v>0.17</v>
      </c>
      <c r="F456">
        <v>16.22</v>
      </c>
      <c r="G456">
        <v>16.23</v>
      </c>
      <c r="H456">
        <v>210857</v>
      </c>
      <c r="I456">
        <v>962</v>
      </c>
      <c r="J456">
        <v>0</v>
      </c>
      <c r="K456">
        <v>2.26</v>
      </c>
      <c r="L456">
        <v>16.9</v>
      </c>
      <c r="M456">
        <v>17.18</v>
      </c>
      <c r="N456">
        <v>16.21</v>
      </c>
      <c r="O456">
        <v>16.06</v>
      </c>
      <c r="P456">
        <v>21.09</v>
      </c>
      <c r="Q456">
        <v>348251712</v>
      </c>
      <c r="R456">
        <v>2.78</v>
      </c>
      <c r="S456" t="s">
        <v>270</v>
      </c>
      <c r="T456" t="s">
        <v>236</v>
      </c>
      <c r="U456">
        <v>6.04</v>
      </c>
      <c r="V456">
        <v>16.52</v>
      </c>
      <c r="W456">
        <v>105521</v>
      </c>
      <c r="X456">
        <v>105336</v>
      </c>
      <c r="Y456">
        <v>1</v>
      </c>
      <c r="Z456">
        <v>148</v>
      </c>
      <c r="AA456">
        <v>551</v>
      </c>
      <c r="AB456" t="s">
        <v>32</v>
      </c>
      <c r="AC456">
        <v>9.31</v>
      </c>
    </row>
    <row r="457" spans="1:29">
      <c r="A457" t="str">
        <f>"000998"</f>
        <v>000998</v>
      </c>
      <c r="B457" t="s">
        <v>613</v>
      </c>
      <c r="C457">
        <v>0.58</v>
      </c>
      <c r="D457">
        <v>19.23</v>
      </c>
      <c r="E457">
        <v>0.11</v>
      </c>
      <c r="F457">
        <v>19.22</v>
      </c>
      <c r="G457">
        <v>19.23</v>
      </c>
      <c r="H457">
        <v>91239</v>
      </c>
      <c r="I457">
        <v>822</v>
      </c>
      <c r="J457">
        <v>0</v>
      </c>
      <c r="K457">
        <v>0.96</v>
      </c>
      <c r="L457">
        <v>18.99</v>
      </c>
      <c r="M457">
        <v>19.43</v>
      </c>
      <c r="N457">
        <v>18.85</v>
      </c>
      <c r="O457">
        <v>19.12</v>
      </c>
      <c r="P457">
        <v>26.86</v>
      </c>
      <c r="Q457">
        <v>174873808</v>
      </c>
      <c r="R457">
        <v>1.38</v>
      </c>
      <c r="S457" t="s">
        <v>404</v>
      </c>
      <c r="T457" t="s">
        <v>152</v>
      </c>
      <c r="U457">
        <v>3.03</v>
      </c>
      <c r="V457">
        <v>19.17</v>
      </c>
      <c r="W457">
        <v>48787</v>
      </c>
      <c r="X457">
        <v>42451</v>
      </c>
      <c r="Y457">
        <v>1.15</v>
      </c>
      <c r="Z457">
        <v>110</v>
      </c>
      <c r="AA457">
        <v>52</v>
      </c>
      <c r="AB457" t="s">
        <v>32</v>
      </c>
      <c r="AC457">
        <v>9.53</v>
      </c>
    </row>
    <row r="458" spans="1:29">
      <c r="A458" t="str">
        <f>"000999"</f>
        <v>000999</v>
      </c>
      <c r="B458" t="s">
        <v>614</v>
      </c>
      <c r="C458">
        <v>1.05</v>
      </c>
      <c r="D458">
        <v>26.98</v>
      </c>
      <c r="E458">
        <v>0.28</v>
      </c>
      <c r="F458">
        <v>26.97</v>
      </c>
      <c r="G458">
        <v>26.98</v>
      </c>
      <c r="H458">
        <v>62433</v>
      </c>
      <c r="I458">
        <v>266</v>
      </c>
      <c r="J458">
        <v>0</v>
      </c>
      <c r="K458">
        <v>0.64</v>
      </c>
      <c r="L458">
        <v>26.59</v>
      </c>
      <c r="M458">
        <v>27.2</v>
      </c>
      <c r="N458">
        <v>26.34</v>
      </c>
      <c r="O458">
        <v>26.7</v>
      </c>
      <c r="P458">
        <v>15.61</v>
      </c>
      <c r="Q458">
        <v>167892800</v>
      </c>
      <c r="R458">
        <v>1.4</v>
      </c>
      <c r="S458" t="s">
        <v>195</v>
      </c>
      <c r="T458" t="s">
        <v>31</v>
      </c>
      <c r="U458">
        <v>3.22</v>
      </c>
      <c r="V458">
        <v>26.89</v>
      </c>
      <c r="W458">
        <v>22474</v>
      </c>
      <c r="X458">
        <v>39958</v>
      </c>
      <c r="Y458">
        <v>0.56</v>
      </c>
      <c r="Z458">
        <v>82</v>
      </c>
      <c r="AA458">
        <v>202</v>
      </c>
      <c r="AB458" t="s">
        <v>32</v>
      </c>
      <c r="AC458">
        <v>9.78</v>
      </c>
    </row>
    <row r="459" spans="1:29">
      <c r="A459" t="str">
        <f>"001696"</f>
        <v>001696</v>
      </c>
      <c r="B459" t="s">
        <v>615</v>
      </c>
      <c r="C459">
        <v>0.82</v>
      </c>
      <c r="D459">
        <v>4.91</v>
      </c>
      <c r="E459">
        <v>0.04</v>
      </c>
      <c r="F459">
        <v>4.91</v>
      </c>
      <c r="G459">
        <v>4.92</v>
      </c>
      <c r="H459">
        <v>50978</v>
      </c>
      <c r="I459">
        <v>410</v>
      </c>
      <c r="J459">
        <v>0.2</v>
      </c>
      <c r="K459">
        <v>0.57</v>
      </c>
      <c r="L459">
        <v>4.85</v>
      </c>
      <c r="M459">
        <v>4.93</v>
      </c>
      <c r="N459">
        <v>4.85</v>
      </c>
      <c r="O459">
        <v>4.87</v>
      </c>
      <c r="P459">
        <v>23.46</v>
      </c>
      <c r="Q459">
        <v>24965854</v>
      </c>
      <c r="R459">
        <v>1.5</v>
      </c>
      <c r="S459" t="s">
        <v>549</v>
      </c>
      <c r="T459" t="s">
        <v>221</v>
      </c>
      <c r="U459">
        <v>1.64</v>
      </c>
      <c r="V459">
        <v>4.9</v>
      </c>
      <c r="W459">
        <v>26696</v>
      </c>
      <c r="X459">
        <v>24281</v>
      </c>
      <c r="Y459">
        <v>1.1</v>
      </c>
      <c r="Z459">
        <v>138</v>
      </c>
      <c r="AA459">
        <v>763</v>
      </c>
      <c r="AB459" t="s">
        <v>32</v>
      </c>
      <c r="AC459">
        <v>8.92</v>
      </c>
    </row>
    <row r="460" spans="1:29">
      <c r="A460" t="str">
        <f>"001896"</f>
        <v>001896</v>
      </c>
      <c r="B460" t="s">
        <v>616</v>
      </c>
      <c r="C460">
        <v>2.5</v>
      </c>
      <c r="D460">
        <v>3.69</v>
      </c>
      <c r="E460">
        <v>0.09</v>
      </c>
      <c r="F460">
        <v>3.68</v>
      </c>
      <c r="G460">
        <v>3.69</v>
      </c>
      <c r="H460">
        <v>58101</v>
      </c>
      <c r="I460">
        <v>743</v>
      </c>
      <c r="J460">
        <v>-0.26</v>
      </c>
      <c r="K460">
        <v>0.63</v>
      </c>
      <c r="L460">
        <v>3.61</v>
      </c>
      <c r="M460">
        <v>3.7</v>
      </c>
      <c r="N460">
        <v>3.6</v>
      </c>
      <c r="O460">
        <v>3.6</v>
      </c>
      <c r="P460" t="s">
        <v>32</v>
      </c>
      <c r="Q460">
        <v>21184886</v>
      </c>
      <c r="R460">
        <v>1.26</v>
      </c>
      <c r="S460" t="s">
        <v>75</v>
      </c>
      <c r="T460" t="s">
        <v>164</v>
      </c>
      <c r="U460">
        <v>2.78</v>
      </c>
      <c r="V460">
        <v>3.65</v>
      </c>
      <c r="W460">
        <v>22979</v>
      </c>
      <c r="X460">
        <v>35122</v>
      </c>
      <c r="Y460">
        <v>0.65</v>
      </c>
      <c r="Z460">
        <v>81</v>
      </c>
      <c r="AA460">
        <v>165</v>
      </c>
      <c r="AB460" t="s">
        <v>32</v>
      </c>
      <c r="AC460">
        <v>9.3</v>
      </c>
    </row>
    <row r="461" spans="1:29">
      <c r="A461" t="str">
        <f>"001965"</f>
        <v>001965</v>
      </c>
      <c r="B461" t="s">
        <v>617</v>
      </c>
      <c r="C461">
        <v>3.37</v>
      </c>
      <c r="D461">
        <v>8.59</v>
      </c>
      <c r="E461">
        <v>0.28</v>
      </c>
      <c r="F461">
        <v>8.58</v>
      </c>
      <c r="G461">
        <v>8.59</v>
      </c>
      <c r="H461">
        <v>107912</v>
      </c>
      <c r="I461">
        <v>942</v>
      </c>
      <c r="J461">
        <v>-0.11</v>
      </c>
      <c r="K461">
        <v>1.95</v>
      </c>
      <c r="L461">
        <v>8.32</v>
      </c>
      <c r="M461">
        <v>8.98</v>
      </c>
      <c r="N461">
        <v>8.27</v>
      </c>
      <c r="O461">
        <v>8.31</v>
      </c>
      <c r="P461">
        <v>15.1</v>
      </c>
      <c r="Q461">
        <v>93166944</v>
      </c>
      <c r="R461">
        <v>3.19</v>
      </c>
      <c r="S461" t="s">
        <v>201</v>
      </c>
      <c r="T461" t="s">
        <v>45</v>
      </c>
      <c r="U461">
        <v>8.54</v>
      </c>
      <c r="V461">
        <v>8.63</v>
      </c>
      <c r="W461">
        <v>52396</v>
      </c>
      <c r="X461">
        <v>55515</v>
      </c>
      <c r="Y461">
        <v>0.94</v>
      </c>
      <c r="Z461">
        <v>284</v>
      </c>
      <c r="AA461">
        <v>629</v>
      </c>
      <c r="AB461" t="s">
        <v>32</v>
      </c>
      <c r="AC461">
        <v>5.55</v>
      </c>
    </row>
    <row r="462" spans="1:29">
      <c r="A462" t="str">
        <f>"001979"</f>
        <v>001979</v>
      </c>
      <c r="B462" t="s">
        <v>618</v>
      </c>
      <c r="C462">
        <v>2.64</v>
      </c>
      <c r="D462">
        <v>18.63</v>
      </c>
      <c r="E462">
        <v>0.48</v>
      </c>
      <c r="F462">
        <v>18.63</v>
      </c>
      <c r="G462">
        <v>18.64</v>
      </c>
      <c r="H462">
        <v>433154</v>
      </c>
      <c r="I462">
        <v>2432</v>
      </c>
      <c r="J462">
        <v>0.05</v>
      </c>
      <c r="K462">
        <v>2.28</v>
      </c>
      <c r="L462">
        <v>18.28</v>
      </c>
      <c r="M462">
        <v>19</v>
      </c>
      <c r="N462">
        <v>18.26</v>
      </c>
      <c r="O462">
        <v>18.15</v>
      </c>
      <c r="P462">
        <v>6.37</v>
      </c>
      <c r="Q462">
        <v>813872768</v>
      </c>
      <c r="R462">
        <v>1.45</v>
      </c>
      <c r="S462" t="s">
        <v>34</v>
      </c>
      <c r="T462" t="s">
        <v>31</v>
      </c>
      <c r="U462">
        <v>4.08</v>
      </c>
      <c r="V462">
        <v>18.79</v>
      </c>
      <c r="W462">
        <v>237317</v>
      </c>
      <c r="X462">
        <v>195837</v>
      </c>
      <c r="Y462">
        <v>1.21</v>
      </c>
      <c r="Z462">
        <v>55</v>
      </c>
      <c r="AA462">
        <v>25</v>
      </c>
      <c r="AB462" t="s">
        <v>32</v>
      </c>
      <c r="AC462">
        <v>19</v>
      </c>
    </row>
    <row r="463" spans="1:29">
      <c r="A463" t="str">
        <f>"002001"</f>
        <v>002001</v>
      </c>
      <c r="B463" t="s">
        <v>619</v>
      </c>
      <c r="C463">
        <v>1.96</v>
      </c>
      <c r="D463">
        <v>17.69</v>
      </c>
      <c r="E463">
        <v>0.34</v>
      </c>
      <c r="F463">
        <v>17.69</v>
      </c>
      <c r="G463">
        <v>17.7</v>
      </c>
      <c r="H463">
        <v>328555</v>
      </c>
      <c r="I463">
        <v>3069</v>
      </c>
      <c r="J463">
        <v>0.23</v>
      </c>
      <c r="K463">
        <v>1.8</v>
      </c>
      <c r="L463">
        <v>17.33</v>
      </c>
      <c r="M463">
        <v>17.88</v>
      </c>
      <c r="N463">
        <v>17.16</v>
      </c>
      <c r="O463">
        <v>17.35</v>
      </c>
      <c r="P463">
        <v>6.36</v>
      </c>
      <c r="Q463">
        <v>579543040</v>
      </c>
      <c r="R463">
        <v>1.51</v>
      </c>
      <c r="S463" t="s">
        <v>142</v>
      </c>
      <c r="T463" t="s">
        <v>149</v>
      </c>
      <c r="U463">
        <v>4.15</v>
      </c>
      <c r="V463">
        <v>17.64</v>
      </c>
      <c r="W463">
        <v>153300</v>
      </c>
      <c r="X463">
        <v>175254</v>
      </c>
      <c r="Y463">
        <v>0.87</v>
      </c>
      <c r="Z463">
        <v>170</v>
      </c>
      <c r="AA463">
        <v>950</v>
      </c>
      <c r="AB463" t="s">
        <v>32</v>
      </c>
      <c r="AC463">
        <v>18.24</v>
      </c>
    </row>
    <row r="464" spans="1:29">
      <c r="A464" t="str">
        <f>"002002"</f>
        <v>002002</v>
      </c>
      <c r="B464" t="s">
        <v>620</v>
      </c>
      <c r="C464">
        <v>3.17</v>
      </c>
      <c r="D464">
        <v>3.58</v>
      </c>
      <c r="E464">
        <v>0.11</v>
      </c>
      <c r="F464">
        <v>3.57</v>
      </c>
      <c r="G464">
        <v>3.58</v>
      </c>
      <c r="H464">
        <v>627910</v>
      </c>
      <c r="I464">
        <v>7535</v>
      </c>
      <c r="J464">
        <v>0</v>
      </c>
      <c r="K464">
        <v>2.6</v>
      </c>
      <c r="L464">
        <v>3.47</v>
      </c>
      <c r="M464">
        <v>3.64</v>
      </c>
      <c r="N464">
        <v>3.46</v>
      </c>
      <c r="O464">
        <v>3.47</v>
      </c>
      <c r="P464">
        <v>9.18</v>
      </c>
      <c r="Q464">
        <v>223834752</v>
      </c>
      <c r="R464">
        <v>1.04</v>
      </c>
      <c r="S464" t="s">
        <v>218</v>
      </c>
      <c r="T464" t="s">
        <v>87</v>
      </c>
      <c r="U464">
        <v>5.19</v>
      </c>
      <c r="V464">
        <v>3.56</v>
      </c>
      <c r="W464">
        <v>285502</v>
      </c>
      <c r="X464">
        <v>342408</v>
      </c>
      <c r="Y464">
        <v>0.83</v>
      </c>
      <c r="Z464">
        <v>8174</v>
      </c>
      <c r="AA464">
        <v>7132</v>
      </c>
      <c r="AB464" t="s">
        <v>32</v>
      </c>
      <c r="AC464">
        <v>24.14</v>
      </c>
    </row>
    <row r="465" spans="1:29">
      <c r="A465" t="str">
        <f>"002003"</f>
        <v>002003</v>
      </c>
      <c r="B465" t="s">
        <v>621</v>
      </c>
      <c r="C465">
        <v>0.7</v>
      </c>
      <c r="D465">
        <v>8.59</v>
      </c>
      <c r="E465">
        <v>0.06</v>
      </c>
      <c r="F465">
        <v>8.59</v>
      </c>
      <c r="G465">
        <v>8.6</v>
      </c>
      <c r="H465">
        <v>25269</v>
      </c>
      <c r="I465">
        <v>214</v>
      </c>
      <c r="J465">
        <v>-0.11</v>
      </c>
      <c r="K465">
        <v>0.41</v>
      </c>
      <c r="L465">
        <v>8.56</v>
      </c>
      <c r="M465">
        <v>8.6</v>
      </c>
      <c r="N465">
        <v>8.51</v>
      </c>
      <c r="O465">
        <v>8.53</v>
      </c>
      <c r="P465">
        <v>99.75</v>
      </c>
      <c r="Q465">
        <v>21626604</v>
      </c>
      <c r="R465">
        <v>0.73</v>
      </c>
      <c r="S465" t="s">
        <v>622</v>
      </c>
      <c r="T465" t="s">
        <v>149</v>
      </c>
      <c r="U465">
        <v>1.06</v>
      </c>
      <c r="V465">
        <v>8.56</v>
      </c>
      <c r="W465">
        <v>16449</v>
      </c>
      <c r="X465">
        <v>8820</v>
      </c>
      <c r="Y465">
        <v>1.86</v>
      </c>
      <c r="Z465">
        <v>559</v>
      </c>
      <c r="AA465">
        <v>487</v>
      </c>
      <c r="AB465" t="s">
        <v>32</v>
      </c>
      <c r="AC465">
        <v>6.22</v>
      </c>
    </row>
    <row r="466" spans="1:29">
      <c r="A466" t="str">
        <f>"002004"</f>
        <v>002004</v>
      </c>
      <c r="B466" t="s">
        <v>623</v>
      </c>
      <c r="C466">
        <v>1.3</v>
      </c>
      <c r="D466">
        <v>5.45</v>
      </c>
      <c r="E466">
        <v>0.07</v>
      </c>
      <c r="F466">
        <v>5.44</v>
      </c>
      <c r="G466">
        <v>5.45</v>
      </c>
      <c r="H466">
        <v>56468</v>
      </c>
      <c r="I466">
        <v>736</v>
      </c>
      <c r="J466">
        <v>0.18</v>
      </c>
      <c r="K466">
        <v>0.33</v>
      </c>
      <c r="L466">
        <v>5.39</v>
      </c>
      <c r="M466">
        <v>5.46</v>
      </c>
      <c r="N466">
        <v>5.35</v>
      </c>
      <c r="O466">
        <v>5.38</v>
      </c>
      <c r="P466">
        <v>28.86</v>
      </c>
      <c r="Q466">
        <v>30647704</v>
      </c>
      <c r="R466">
        <v>0.96</v>
      </c>
      <c r="S466" t="s">
        <v>142</v>
      </c>
      <c r="T466" t="s">
        <v>221</v>
      </c>
      <c r="U466">
        <v>2.04</v>
      </c>
      <c r="V466">
        <v>5.43</v>
      </c>
      <c r="W466">
        <v>17022</v>
      </c>
      <c r="X466">
        <v>39445</v>
      </c>
      <c r="Y466">
        <v>0.43</v>
      </c>
      <c r="Z466">
        <v>124</v>
      </c>
      <c r="AA466">
        <v>2054</v>
      </c>
      <c r="AB466" t="s">
        <v>32</v>
      </c>
      <c r="AC466">
        <v>17.28</v>
      </c>
    </row>
    <row r="467" spans="1:29">
      <c r="A467" t="str">
        <f>"002005"</f>
        <v>002005</v>
      </c>
      <c r="B467" t="s">
        <v>624</v>
      </c>
      <c r="C467">
        <v>1.54</v>
      </c>
      <c r="D467">
        <v>3.3</v>
      </c>
      <c r="E467">
        <v>0.05</v>
      </c>
      <c r="F467">
        <v>3.29</v>
      </c>
      <c r="G467">
        <v>3.3</v>
      </c>
      <c r="H467">
        <v>132987</v>
      </c>
      <c r="I467">
        <v>2117</v>
      </c>
      <c r="J467">
        <v>0</v>
      </c>
      <c r="K467">
        <v>1.05</v>
      </c>
      <c r="L467">
        <v>3.23</v>
      </c>
      <c r="M467">
        <v>3.31</v>
      </c>
      <c r="N467">
        <v>3.23</v>
      </c>
      <c r="O467">
        <v>3.25</v>
      </c>
      <c r="P467">
        <v>484.57</v>
      </c>
      <c r="Q467">
        <v>43609992</v>
      </c>
      <c r="R467">
        <v>1.68</v>
      </c>
      <c r="S467" t="s">
        <v>55</v>
      </c>
      <c r="T467" t="s">
        <v>136</v>
      </c>
      <c r="U467">
        <v>2.46</v>
      </c>
      <c r="V467">
        <v>3.28</v>
      </c>
      <c r="W467">
        <v>60494</v>
      </c>
      <c r="X467">
        <v>72492</v>
      </c>
      <c r="Y467">
        <v>0.83</v>
      </c>
      <c r="Z467">
        <v>2150</v>
      </c>
      <c r="AA467">
        <v>5213</v>
      </c>
      <c r="AB467" t="s">
        <v>32</v>
      </c>
      <c r="AC467">
        <v>12.66</v>
      </c>
    </row>
    <row r="468" spans="1:29">
      <c r="A468" t="str">
        <f>"002006"</f>
        <v>002006</v>
      </c>
      <c r="B468" t="s">
        <v>625</v>
      </c>
      <c r="C468">
        <v>-0.18</v>
      </c>
      <c r="D468">
        <v>5.69</v>
      </c>
      <c r="E468">
        <v>-0.01</v>
      </c>
      <c r="F468">
        <v>5.69</v>
      </c>
      <c r="G468">
        <v>5.7</v>
      </c>
      <c r="H468">
        <v>35290</v>
      </c>
      <c r="I468">
        <v>234</v>
      </c>
      <c r="J468">
        <v>0</v>
      </c>
      <c r="K468">
        <v>0.78</v>
      </c>
      <c r="L468">
        <v>5.71</v>
      </c>
      <c r="M468">
        <v>5.76</v>
      </c>
      <c r="N468">
        <v>5.64</v>
      </c>
      <c r="O468">
        <v>5.7</v>
      </c>
      <c r="P468">
        <v>53.27</v>
      </c>
      <c r="Q468">
        <v>20146652</v>
      </c>
      <c r="R468">
        <v>1.07</v>
      </c>
      <c r="S468" t="s">
        <v>171</v>
      </c>
      <c r="T468" t="s">
        <v>149</v>
      </c>
      <c r="U468">
        <v>2.11</v>
      </c>
      <c r="V468">
        <v>5.71</v>
      </c>
      <c r="W468">
        <v>21877</v>
      </c>
      <c r="X468">
        <v>13412</v>
      </c>
      <c r="Y468">
        <v>1.63</v>
      </c>
      <c r="Z468">
        <v>297</v>
      </c>
      <c r="AA468">
        <v>415</v>
      </c>
      <c r="AB468" t="s">
        <v>32</v>
      </c>
      <c r="AC468">
        <v>4.55</v>
      </c>
    </row>
    <row r="469" spans="1:29">
      <c r="A469" t="str">
        <f>"002007"</f>
        <v>002007</v>
      </c>
      <c r="B469" t="s">
        <v>626</v>
      </c>
      <c r="C469">
        <v>3.51</v>
      </c>
      <c r="D469">
        <v>32.42</v>
      </c>
      <c r="E469">
        <v>1.1</v>
      </c>
      <c r="F469">
        <v>32.41</v>
      </c>
      <c r="G469">
        <v>32.42</v>
      </c>
      <c r="H469">
        <v>406025</v>
      </c>
      <c r="I469">
        <v>2213</v>
      </c>
      <c r="J469">
        <v>-0.17</v>
      </c>
      <c r="K469">
        <v>5.06</v>
      </c>
      <c r="L469">
        <v>31.5</v>
      </c>
      <c r="M469">
        <v>33.31</v>
      </c>
      <c r="N469">
        <v>31.49</v>
      </c>
      <c r="O469">
        <v>31.32</v>
      </c>
      <c r="P469">
        <v>36.36</v>
      </c>
      <c r="Q469">
        <v>1310646400</v>
      </c>
      <c r="R469">
        <v>2.22</v>
      </c>
      <c r="S469" t="s">
        <v>36</v>
      </c>
      <c r="T469" t="s">
        <v>164</v>
      </c>
      <c r="U469">
        <v>5.81</v>
      </c>
      <c r="V469">
        <v>32.28</v>
      </c>
      <c r="W469">
        <v>217260</v>
      </c>
      <c r="X469">
        <v>188764</v>
      </c>
      <c r="Y469">
        <v>1.15</v>
      </c>
      <c r="Z469">
        <v>49</v>
      </c>
      <c r="AA469">
        <v>2175</v>
      </c>
      <c r="AB469" t="s">
        <v>32</v>
      </c>
      <c r="AC469">
        <v>8.03</v>
      </c>
    </row>
    <row r="470" spans="1:29">
      <c r="A470" t="str">
        <f>"002008"</f>
        <v>002008</v>
      </c>
      <c r="B470" t="s">
        <v>627</v>
      </c>
      <c r="C470">
        <v>0.24</v>
      </c>
      <c r="D470">
        <v>50.88</v>
      </c>
      <c r="E470">
        <v>0.12</v>
      </c>
      <c r="F470">
        <v>50.87</v>
      </c>
      <c r="G470">
        <v>50.88</v>
      </c>
      <c r="H470">
        <v>154084</v>
      </c>
      <c r="I470">
        <v>1302</v>
      </c>
      <c r="J470">
        <v>0.14</v>
      </c>
      <c r="K470">
        <v>1.55</v>
      </c>
      <c r="L470">
        <v>51.58</v>
      </c>
      <c r="M470">
        <v>51.78</v>
      </c>
      <c r="N470">
        <v>50.63</v>
      </c>
      <c r="O470">
        <v>50.76</v>
      </c>
      <c r="P470">
        <v>37.24</v>
      </c>
      <c r="Q470">
        <v>786132608</v>
      </c>
      <c r="R470">
        <v>1.05</v>
      </c>
      <c r="S470" t="s">
        <v>606</v>
      </c>
      <c r="T470" t="s">
        <v>31</v>
      </c>
      <c r="U470">
        <v>2.27</v>
      </c>
      <c r="V470">
        <v>51.02</v>
      </c>
      <c r="W470">
        <v>82554</v>
      </c>
      <c r="X470">
        <v>71530</v>
      </c>
      <c r="Y470">
        <v>1.15</v>
      </c>
      <c r="Z470">
        <v>88</v>
      </c>
      <c r="AA470">
        <v>1399</v>
      </c>
      <c r="AB470" t="s">
        <v>32</v>
      </c>
      <c r="AC470">
        <v>9.93</v>
      </c>
    </row>
    <row r="471" spans="1:29">
      <c r="A471" t="str">
        <f>"002009"</f>
        <v>002009</v>
      </c>
      <c r="B471" t="s">
        <v>628</v>
      </c>
      <c r="C471">
        <v>1.07</v>
      </c>
      <c r="D471">
        <v>12.31</v>
      </c>
      <c r="E471">
        <v>0.13</v>
      </c>
      <c r="F471">
        <v>12.3</v>
      </c>
      <c r="G471">
        <v>12.31</v>
      </c>
      <c r="H471">
        <v>47493</v>
      </c>
      <c r="I471">
        <v>362</v>
      </c>
      <c r="J471">
        <v>0</v>
      </c>
      <c r="K471">
        <v>1.75</v>
      </c>
      <c r="L471">
        <v>12.13</v>
      </c>
      <c r="M471">
        <v>12.48</v>
      </c>
      <c r="N471">
        <v>12.1</v>
      </c>
      <c r="O471">
        <v>12.18</v>
      </c>
      <c r="P471">
        <v>15.98</v>
      </c>
      <c r="Q471">
        <v>58460312</v>
      </c>
      <c r="R471">
        <v>1.38</v>
      </c>
      <c r="S471" t="s">
        <v>151</v>
      </c>
      <c r="T471" t="s">
        <v>87</v>
      </c>
      <c r="U471">
        <v>3.12</v>
      </c>
      <c r="V471">
        <v>12.31</v>
      </c>
      <c r="W471">
        <v>21778</v>
      </c>
      <c r="X471">
        <v>25714</v>
      </c>
      <c r="Y471">
        <v>0.85</v>
      </c>
      <c r="Z471">
        <v>124</v>
      </c>
      <c r="AA471">
        <v>40</v>
      </c>
      <c r="AB471" t="s">
        <v>32</v>
      </c>
      <c r="AC471">
        <v>2.71</v>
      </c>
    </row>
    <row r="472" spans="1:29">
      <c r="A472" t="str">
        <f>"002010"</f>
        <v>002010</v>
      </c>
      <c r="B472" t="s">
        <v>629</v>
      </c>
      <c r="C472">
        <v>4.05</v>
      </c>
      <c r="D472">
        <v>11.55</v>
      </c>
      <c r="E472">
        <v>0.45</v>
      </c>
      <c r="F472">
        <v>11.55</v>
      </c>
      <c r="G472">
        <v>11.56</v>
      </c>
      <c r="H472">
        <v>53058</v>
      </c>
      <c r="I472">
        <v>754</v>
      </c>
      <c r="J472">
        <v>-0.16</v>
      </c>
      <c r="K472">
        <v>1.29</v>
      </c>
      <c r="L472">
        <v>11</v>
      </c>
      <c r="M472">
        <v>11.6</v>
      </c>
      <c r="N472">
        <v>11</v>
      </c>
      <c r="O472">
        <v>11.1</v>
      </c>
      <c r="P472">
        <v>94.36</v>
      </c>
      <c r="Q472">
        <v>60136048</v>
      </c>
      <c r="R472">
        <v>1.46</v>
      </c>
      <c r="S472" t="s">
        <v>281</v>
      </c>
      <c r="T472" t="s">
        <v>149</v>
      </c>
      <c r="U472">
        <v>5.41</v>
      </c>
      <c r="V472">
        <v>11.33</v>
      </c>
      <c r="W472">
        <v>22138</v>
      </c>
      <c r="X472">
        <v>30920</v>
      </c>
      <c r="Y472">
        <v>0.72</v>
      </c>
      <c r="Z472">
        <v>90</v>
      </c>
      <c r="AA472">
        <v>276</v>
      </c>
      <c r="AB472" t="s">
        <v>32</v>
      </c>
      <c r="AC472">
        <v>4.13</v>
      </c>
    </row>
    <row r="473" spans="1:29">
      <c r="A473" t="str">
        <f>"002011"</f>
        <v>002011</v>
      </c>
      <c r="B473" t="s">
        <v>630</v>
      </c>
      <c r="C473" t="s">
        <v>32</v>
      </c>
      <c r="D473">
        <v>6.4</v>
      </c>
      <c r="E473" t="s">
        <v>32</v>
      </c>
      <c r="F473" t="s">
        <v>32</v>
      </c>
      <c r="G473" t="s">
        <v>32</v>
      </c>
      <c r="H473">
        <v>0</v>
      </c>
      <c r="I473">
        <v>0</v>
      </c>
      <c r="J473" t="s">
        <v>32</v>
      </c>
      <c r="K473">
        <v>0</v>
      </c>
      <c r="L473" t="s">
        <v>32</v>
      </c>
      <c r="M473" t="s">
        <v>32</v>
      </c>
      <c r="N473" t="s">
        <v>32</v>
      </c>
      <c r="O473">
        <v>6.4</v>
      </c>
      <c r="P473">
        <v>36.41</v>
      </c>
      <c r="Q473">
        <v>0</v>
      </c>
      <c r="R473">
        <v>0</v>
      </c>
      <c r="S473" t="s">
        <v>151</v>
      </c>
      <c r="T473" t="s">
        <v>149</v>
      </c>
      <c r="U473">
        <v>0</v>
      </c>
      <c r="V473">
        <v>6.4</v>
      </c>
      <c r="W473">
        <v>0</v>
      </c>
      <c r="X473">
        <v>0</v>
      </c>
      <c r="Y473" t="s">
        <v>32</v>
      </c>
      <c r="Z473">
        <v>0</v>
      </c>
      <c r="AA473">
        <v>0</v>
      </c>
      <c r="AB473" t="s">
        <v>32</v>
      </c>
      <c r="AC473">
        <v>8.4</v>
      </c>
    </row>
    <row r="474" spans="1:29">
      <c r="A474" t="str">
        <f>"002012"</f>
        <v>002012</v>
      </c>
      <c r="B474" t="s">
        <v>631</v>
      </c>
      <c r="C474">
        <v>-0.71</v>
      </c>
      <c r="D474">
        <v>5.56</v>
      </c>
      <c r="E474">
        <v>-0.04</v>
      </c>
      <c r="F474">
        <v>5.56</v>
      </c>
      <c r="G474">
        <v>5.57</v>
      </c>
      <c r="H474">
        <v>179727</v>
      </c>
      <c r="I474">
        <v>2530</v>
      </c>
      <c r="J474">
        <v>0</v>
      </c>
      <c r="K474">
        <v>3.84</v>
      </c>
      <c r="L474">
        <v>5.63</v>
      </c>
      <c r="M474">
        <v>5.63</v>
      </c>
      <c r="N474">
        <v>5.49</v>
      </c>
      <c r="O474">
        <v>5.6</v>
      </c>
      <c r="P474">
        <v>118.97</v>
      </c>
      <c r="Q474">
        <v>100029408</v>
      </c>
      <c r="R474">
        <v>0.78</v>
      </c>
      <c r="S474" t="s">
        <v>204</v>
      </c>
      <c r="T474" t="s">
        <v>149</v>
      </c>
      <c r="U474">
        <v>2.5</v>
      </c>
      <c r="V474">
        <v>5.57</v>
      </c>
      <c r="W474">
        <v>101263</v>
      </c>
      <c r="X474">
        <v>78463</v>
      </c>
      <c r="Y474">
        <v>1.29</v>
      </c>
      <c r="Z474">
        <v>777</v>
      </c>
      <c r="AA474">
        <v>568</v>
      </c>
      <c r="AB474" t="s">
        <v>32</v>
      </c>
      <c r="AC474">
        <v>4.68</v>
      </c>
    </row>
    <row r="475" spans="1:29">
      <c r="A475" t="str">
        <f>"002013"</f>
        <v>002013</v>
      </c>
      <c r="B475" t="s">
        <v>632</v>
      </c>
      <c r="C475">
        <v>2.42</v>
      </c>
      <c r="D475">
        <v>8.9</v>
      </c>
      <c r="E475">
        <v>0.21</v>
      </c>
      <c r="F475">
        <v>8.9</v>
      </c>
      <c r="G475">
        <v>8.91</v>
      </c>
      <c r="H475">
        <v>504660</v>
      </c>
      <c r="I475">
        <v>5746</v>
      </c>
      <c r="J475">
        <v>-0.33</v>
      </c>
      <c r="K475">
        <v>1.61</v>
      </c>
      <c r="L475">
        <v>8.72</v>
      </c>
      <c r="M475">
        <v>9.09</v>
      </c>
      <c r="N475">
        <v>8.65</v>
      </c>
      <c r="O475">
        <v>8.69</v>
      </c>
      <c r="P475">
        <v>623.63</v>
      </c>
      <c r="Q475">
        <v>448711328</v>
      </c>
      <c r="R475">
        <v>2.23</v>
      </c>
      <c r="S475" t="s">
        <v>389</v>
      </c>
      <c r="T475" t="s">
        <v>193</v>
      </c>
      <c r="U475">
        <v>5.06</v>
      </c>
      <c r="V475">
        <v>8.89</v>
      </c>
      <c r="W475">
        <v>225710</v>
      </c>
      <c r="X475">
        <v>278949</v>
      </c>
      <c r="Y475">
        <v>0.81</v>
      </c>
      <c r="Z475">
        <v>123</v>
      </c>
      <c r="AA475">
        <v>37</v>
      </c>
      <c r="AB475" t="s">
        <v>32</v>
      </c>
      <c r="AC475">
        <v>31.43</v>
      </c>
    </row>
    <row r="476" spans="1:29">
      <c r="A476" t="str">
        <f>"002014"</f>
        <v>002014</v>
      </c>
      <c r="B476" t="s">
        <v>633</v>
      </c>
      <c r="C476">
        <v>1.04</v>
      </c>
      <c r="D476">
        <v>6.79</v>
      </c>
      <c r="E476">
        <v>0.07</v>
      </c>
      <c r="F476">
        <v>6.78</v>
      </c>
      <c r="G476">
        <v>6.79</v>
      </c>
      <c r="H476">
        <v>12778</v>
      </c>
      <c r="I476">
        <v>40</v>
      </c>
      <c r="J476">
        <v>0.15</v>
      </c>
      <c r="K476">
        <v>0.26</v>
      </c>
      <c r="L476">
        <v>6.68</v>
      </c>
      <c r="M476">
        <v>6.8</v>
      </c>
      <c r="N476">
        <v>6.65</v>
      </c>
      <c r="O476">
        <v>6.72</v>
      </c>
      <c r="P476">
        <v>19.93</v>
      </c>
      <c r="Q476">
        <v>8607089</v>
      </c>
      <c r="R476">
        <v>2.22</v>
      </c>
      <c r="S476" t="s">
        <v>508</v>
      </c>
      <c r="T476" t="s">
        <v>143</v>
      </c>
      <c r="U476">
        <v>2.23</v>
      </c>
      <c r="V476">
        <v>6.74</v>
      </c>
      <c r="W476">
        <v>5316</v>
      </c>
      <c r="X476">
        <v>7461</v>
      </c>
      <c r="Y476">
        <v>0.71</v>
      </c>
      <c r="Z476">
        <v>54</v>
      </c>
      <c r="AA476">
        <v>123</v>
      </c>
      <c r="AB476" t="s">
        <v>32</v>
      </c>
      <c r="AC476">
        <v>4.85</v>
      </c>
    </row>
    <row r="477" spans="1:29">
      <c r="A477" t="str">
        <f>"002015"</f>
        <v>002015</v>
      </c>
      <c r="B477" t="s">
        <v>634</v>
      </c>
      <c r="C477">
        <v>1.13</v>
      </c>
      <c r="D477">
        <v>5.35</v>
      </c>
      <c r="E477">
        <v>0.06</v>
      </c>
      <c r="F477">
        <v>5.34</v>
      </c>
      <c r="G477">
        <v>5.35</v>
      </c>
      <c r="H477">
        <v>11778</v>
      </c>
      <c r="I477">
        <v>481</v>
      </c>
      <c r="J477">
        <v>-0.18</v>
      </c>
      <c r="K477">
        <v>0.29</v>
      </c>
      <c r="L477">
        <v>5.29</v>
      </c>
      <c r="M477">
        <v>5.39</v>
      </c>
      <c r="N477">
        <v>5.27</v>
      </c>
      <c r="O477">
        <v>5.29</v>
      </c>
      <c r="P477" t="s">
        <v>32</v>
      </c>
      <c r="Q477">
        <v>6303416</v>
      </c>
      <c r="R477">
        <v>1.09</v>
      </c>
      <c r="S477" t="s">
        <v>190</v>
      </c>
      <c r="T477" t="s">
        <v>87</v>
      </c>
      <c r="U477">
        <v>2.27</v>
      </c>
      <c r="V477">
        <v>5.35</v>
      </c>
      <c r="W477">
        <v>4697</v>
      </c>
      <c r="X477">
        <v>7080</v>
      </c>
      <c r="Y477">
        <v>0.66</v>
      </c>
      <c r="Z477">
        <v>391</v>
      </c>
      <c r="AA477">
        <v>13</v>
      </c>
      <c r="AB477" t="s">
        <v>32</v>
      </c>
      <c r="AC477">
        <v>4.01</v>
      </c>
    </row>
    <row r="478" spans="1:29">
      <c r="A478" t="str">
        <f>"002016"</f>
        <v>002016</v>
      </c>
      <c r="B478" t="s">
        <v>635</v>
      </c>
      <c r="C478">
        <v>3.28</v>
      </c>
      <c r="D478">
        <v>13.21</v>
      </c>
      <c r="E478">
        <v>0.42</v>
      </c>
      <c r="F478">
        <v>13.21</v>
      </c>
      <c r="G478">
        <v>13.22</v>
      </c>
      <c r="H478">
        <v>176588</v>
      </c>
      <c r="I478">
        <v>2257</v>
      </c>
      <c r="J478">
        <v>0</v>
      </c>
      <c r="K478">
        <v>2.57</v>
      </c>
      <c r="L478">
        <v>12.71</v>
      </c>
      <c r="M478">
        <v>13.63</v>
      </c>
      <c r="N478">
        <v>12.71</v>
      </c>
      <c r="O478">
        <v>12.79</v>
      </c>
      <c r="P478">
        <v>6.59</v>
      </c>
      <c r="Q478">
        <v>233531504</v>
      </c>
      <c r="R478">
        <v>1.77</v>
      </c>
      <c r="S478" t="s">
        <v>40</v>
      </c>
      <c r="T478" t="s">
        <v>136</v>
      </c>
      <c r="U478">
        <v>7.19</v>
      </c>
      <c r="V478">
        <v>13.22</v>
      </c>
      <c r="W478">
        <v>76590</v>
      </c>
      <c r="X478">
        <v>99997</v>
      </c>
      <c r="Y478">
        <v>0.77</v>
      </c>
      <c r="Z478">
        <v>1070</v>
      </c>
      <c r="AA478">
        <v>1318</v>
      </c>
      <c r="AB478" t="s">
        <v>32</v>
      </c>
      <c r="AC478">
        <v>6.87</v>
      </c>
    </row>
    <row r="479" spans="1:29">
      <c r="A479" t="str">
        <f>"002017"</f>
        <v>002017</v>
      </c>
      <c r="B479" t="s">
        <v>636</v>
      </c>
      <c r="C479">
        <v>1.57</v>
      </c>
      <c r="D479">
        <v>6.45</v>
      </c>
      <c r="E479">
        <v>0.1</v>
      </c>
      <c r="F479">
        <v>6.44</v>
      </c>
      <c r="G479">
        <v>6.45</v>
      </c>
      <c r="H479">
        <v>37037</v>
      </c>
      <c r="I479">
        <v>1202</v>
      </c>
      <c r="J479">
        <v>0.31</v>
      </c>
      <c r="K479">
        <v>1.07</v>
      </c>
      <c r="L479">
        <v>6.31</v>
      </c>
      <c r="M479">
        <v>6.45</v>
      </c>
      <c r="N479">
        <v>6.3</v>
      </c>
      <c r="O479">
        <v>6.35</v>
      </c>
      <c r="P479">
        <v>69.96</v>
      </c>
      <c r="Q479">
        <v>23682224</v>
      </c>
      <c r="R479">
        <v>1.66</v>
      </c>
      <c r="S479" t="s">
        <v>119</v>
      </c>
      <c r="T479" t="s">
        <v>136</v>
      </c>
      <c r="U479">
        <v>2.36</v>
      </c>
      <c r="V479">
        <v>6.39</v>
      </c>
      <c r="W479">
        <v>19014</v>
      </c>
      <c r="X479">
        <v>18022</v>
      </c>
      <c r="Y479">
        <v>1.06</v>
      </c>
      <c r="Z479">
        <v>341</v>
      </c>
      <c r="AA479">
        <v>506</v>
      </c>
      <c r="AB479" t="s">
        <v>32</v>
      </c>
      <c r="AC479">
        <v>3.45</v>
      </c>
    </row>
    <row r="480" spans="1:29">
      <c r="A480" t="str">
        <f>"002018"</f>
        <v>002018</v>
      </c>
      <c r="B480" t="s">
        <v>637</v>
      </c>
      <c r="C480">
        <v>1.46</v>
      </c>
      <c r="D480">
        <v>1.39</v>
      </c>
      <c r="E480">
        <v>0.02</v>
      </c>
      <c r="F480">
        <v>1.38</v>
      </c>
      <c r="G480">
        <v>1.39</v>
      </c>
      <c r="H480">
        <v>105783</v>
      </c>
      <c r="I480">
        <v>5209</v>
      </c>
      <c r="J480">
        <v>0</v>
      </c>
      <c r="K480">
        <v>0.46</v>
      </c>
      <c r="L480">
        <v>1.36</v>
      </c>
      <c r="M480">
        <v>1.39</v>
      </c>
      <c r="N480">
        <v>1.36</v>
      </c>
      <c r="O480">
        <v>1.37</v>
      </c>
      <c r="P480" t="s">
        <v>32</v>
      </c>
      <c r="Q480">
        <v>14597393</v>
      </c>
      <c r="R480">
        <v>1.2</v>
      </c>
      <c r="S480" t="s">
        <v>145</v>
      </c>
      <c r="T480" t="s">
        <v>143</v>
      </c>
      <c r="U480">
        <v>2.19</v>
      </c>
      <c r="V480">
        <v>1.38</v>
      </c>
      <c r="W480">
        <v>68197</v>
      </c>
      <c r="X480">
        <v>37586</v>
      </c>
      <c r="Y480">
        <v>1.81</v>
      </c>
      <c r="Z480">
        <v>5989</v>
      </c>
      <c r="AA480">
        <v>17375</v>
      </c>
      <c r="AB480" t="s">
        <v>32</v>
      </c>
      <c r="AC480">
        <v>22.78</v>
      </c>
    </row>
    <row r="481" spans="1:29">
      <c r="A481" t="str">
        <f>"002019"</f>
        <v>002019</v>
      </c>
      <c r="B481" t="s">
        <v>638</v>
      </c>
      <c r="C481">
        <v>2.11</v>
      </c>
      <c r="D481">
        <v>15.97</v>
      </c>
      <c r="E481">
        <v>0.33</v>
      </c>
      <c r="F481">
        <v>15.97</v>
      </c>
      <c r="G481">
        <v>15.98</v>
      </c>
      <c r="H481">
        <v>130783</v>
      </c>
      <c r="I481">
        <v>1340</v>
      </c>
      <c r="J481">
        <v>0</v>
      </c>
      <c r="K481">
        <v>1.85</v>
      </c>
      <c r="L481">
        <v>15.56</v>
      </c>
      <c r="M481">
        <v>16.01</v>
      </c>
      <c r="N481">
        <v>15.4</v>
      </c>
      <c r="O481">
        <v>15.64</v>
      </c>
      <c r="P481">
        <v>14.82</v>
      </c>
      <c r="Q481">
        <v>206428608</v>
      </c>
      <c r="R481">
        <v>1.15</v>
      </c>
      <c r="S481" t="s">
        <v>142</v>
      </c>
      <c r="T481" t="s">
        <v>149</v>
      </c>
      <c r="U481">
        <v>3.9</v>
      </c>
      <c r="V481">
        <v>15.78</v>
      </c>
      <c r="W481">
        <v>60164</v>
      </c>
      <c r="X481">
        <v>70618</v>
      </c>
      <c r="Y481">
        <v>0.85</v>
      </c>
      <c r="Z481">
        <v>169</v>
      </c>
      <c r="AA481">
        <v>489</v>
      </c>
      <c r="AB481" t="s">
        <v>32</v>
      </c>
      <c r="AC481">
        <v>7.08</v>
      </c>
    </row>
    <row r="482" spans="1:29">
      <c r="A482" t="str">
        <f>"002020"</f>
        <v>002020</v>
      </c>
      <c r="B482" t="s">
        <v>639</v>
      </c>
      <c r="C482">
        <v>3.13</v>
      </c>
      <c r="D482">
        <v>11.85</v>
      </c>
      <c r="E482">
        <v>0.36</v>
      </c>
      <c r="F482">
        <v>11.84</v>
      </c>
      <c r="G482">
        <v>11.85</v>
      </c>
      <c r="H482">
        <v>91791</v>
      </c>
      <c r="I482">
        <v>425</v>
      </c>
      <c r="J482">
        <v>0.08</v>
      </c>
      <c r="K482">
        <v>1.8</v>
      </c>
      <c r="L482">
        <v>11.48</v>
      </c>
      <c r="M482">
        <v>11.96</v>
      </c>
      <c r="N482">
        <v>11.42</v>
      </c>
      <c r="O482">
        <v>11.49</v>
      </c>
      <c r="P482">
        <v>24.4</v>
      </c>
      <c r="Q482">
        <v>108001440</v>
      </c>
      <c r="R482">
        <v>1.71</v>
      </c>
      <c r="S482" t="s">
        <v>142</v>
      </c>
      <c r="T482" t="s">
        <v>149</v>
      </c>
      <c r="U482">
        <v>4.7</v>
      </c>
      <c r="V482">
        <v>11.77</v>
      </c>
      <c r="W482">
        <v>33216</v>
      </c>
      <c r="X482">
        <v>58574</v>
      </c>
      <c r="Y482">
        <v>0.57</v>
      </c>
      <c r="Z482">
        <v>308</v>
      </c>
      <c r="AA482">
        <v>919</v>
      </c>
      <c r="AB482" t="s">
        <v>32</v>
      </c>
      <c r="AC482">
        <v>5.09</v>
      </c>
    </row>
    <row r="483" spans="1:29">
      <c r="A483" t="str">
        <f>"002021"</f>
        <v>002021</v>
      </c>
      <c r="B483" t="s">
        <v>640</v>
      </c>
      <c r="C483">
        <v>3.17</v>
      </c>
      <c r="D483">
        <v>2.6</v>
      </c>
      <c r="E483">
        <v>0.08</v>
      </c>
      <c r="F483">
        <v>2.6</v>
      </c>
      <c r="G483">
        <v>2.61</v>
      </c>
      <c r="H483">
        <v>165734</v>
      </c>
      <c r="I483">
        <v>3148</v>
      </c>
      <c r="J483">
        <v>0.39</v>
      </c>
      <c r="K483">
        <v>2.41</v>
      </c>
      <c r="L483">
        <v>2.5</v>
      </c>
      <c r="M483">
        <v>2.64</v>
      </c>
      <c r="N483">
        <v>2.5</v>
      </c>
      <c r="O483">
        <v>2.52</v>
      </c>
      <c r="P483" t="s">
        <v>32</v>
      </c>
      <c r="Q483">
        <v>42579252</v>
      </c>
      <c r="R483">
        <v>1.84</v>
      </c>
      <c r="S483" t="s">
        <v>363</v>
      </c>
      <c r="T483" t="s">
        <v>149</v>
      </c>
      <c r="U483">
        <v>5.56</v>
      </c>
      <c r="V483">
        <v>2.57</v>
      </c>
      <c r="W483">
        <v>62683</v>
      </c>
      <c r="X483">
        <v>103051</v>
      </c>
      <c r="Y483">
        <v>0.61</v>
      </c>
      <c r="Z483">
        <v>785</v>
      </c>
      <c r="AA483">
        <v>2052</v>
      </c>
      <c r="AB483" t="s">
        <v>32</v>
      </c>
      <c r="AC483">
        <v>6.88</v>
      </c>
    </row>
    <row r="484" spans="1:29">
      <c r="A484" t="str">
        <f>"002022"</f>
        <v>002022</v>
      </c>
      <c r="B484" t="s">
        <v>641</v>
      </c>
      <c r="C484">
        <v>2.44</v>
      </c>
      <c r="D484">
        <v>12.19</v>
      </c>
      <c r="E484">
        <v>0.29</v>
      </c>
      <c r="F484">
        <v>12.19</v>
      </c>
      <c r="G484">
        <v>12.2</v>
      </c>
      <c r="H484">
        <v>44264</v>
      </c>
      <c r="I484">
        <v>412</v>
      </c>
      <c r="J484">
        <v>-0.07</v>
      </c>
      <c r="K484">
        <v>0.9</v>
      </c>
      <c r="L484">
        <v>11.82</v>
      </c>
      <c r="M484">
        <v>12.26</v>
      </c>
      <c r="N484">
        <v>11.73</v>
      </c>
      <c r="O484">
        <v>11.9</v>
      </c>
      <c r="P484">
        <v>32.35</v>
      </c>
      <c r="Q484">
        <v>53402868</v>
      </c>
      <c r="R484">
        <v>1.25</v>
      </c>
      <c r="S484" t="s">
        <v>138</v>
      </c>
      <c r="T484" t="s">
        <v>366</v>
      </c>
      <c r="U484">
        <v>4.45</v>
      </c>
      <c r="V484">
        <v>12.06</v>
      </c>
      <c r="W484">
        <v>20483</v>
      </c>
      <c r="X484">
        <v>23780</v>
      </c>
      <c r="Y484">
        <v>0.86</v>
      </c>
      <c r="Z484">
        <v>263</v>
      </c>
      <c r="AA484">
        <v>334</v>
      </c>
      <c r="AB484" t="s">
        <v>32</v>
      </c>
      <c r="AC484">
        <v>4.94</v>
      </c>
    </row>
    <row r="485" spans="1:29">
      <c r="A485" t="str">
        <f>"002023"</f>
        <v>002023</v>
      </c>
      <c r="B485" t="s">
        <v>642</v>
      </c>
      <c r="C485">
        <v>-0.64</v>
      </c>
      <c r="D485">
        <v>14.04</v>
      </c>
      <c r="E485">
        <v>-0.09</v>
      </c>
      <c r="F485">
        <v>14.04</v>
      </c>
      <c r="G485">
        <v>14.05</v>
      </c>
      <c r="H485">
        <v>400173</v>
      </c>
      <c r="I485">
        <v>6321</v>
      </c>
      <c r="J485">
        <v>-0.13</v>
      </c>
      <c r="K485">
        <v>6.07</v>
      </c>
      <c r="L485">
        <v>14.16</v>
      </c>
      <c r="M485">
        <v>14.29</v>
      </c>
      <c r="N485">
        <v>13.8</v>
      </c>
      <c r="O485">
        <v>14.13</v>
      </c>
      <c r="P485">
        <v>74.07</v>
      </c>
      <c r="Q485">
        <v>561561216</v>
      </c>
      <c r="R485">
        <v>0.8</v>
      </c>
      <c r="S485" t="s">
        <v>389</v>
      </c>
      <c r="T485" t="s">
        <v>146</v>
      </c>
      <c r="U485">
        <v>3.47</v>
      </c>
      <c r="V485">
        <v>14.03</v>
      </c>
      <c r="W485">
        <v>220792</v>
      </c>
      <c r="X485">
        <v>179380</v>
      </c>
      <c r="Y485">
        <v>1.23</v>
      </c>
      <c r="Z485">
        <v>557</v>
      </c>
      <c r="AA485">
        <v>3182</v>
      </c>
      <c r="AB485" t="s">
        <v>32</v>
      </c>
      <c r="AC485">
        <v>6.59</v>
      </c>
    </row>
    <row r="486" spans="1:29">
      <c r="A486" t="str">
        <f>"002024"</f>
        <v>002024</v>
      </c>
      <c r="B486" t="s">
        <v>643</v>
      </c>
      <c r="C486">
        <v>1.46</v>
      </c>
      <c r="D486">
        <v>13.9</v>
      </c>
      <c r="E486">
        <v>0.2</v>
      </c>
      <c r="F486">
        <v>13.89</v>
      </c>
      <c r="G486">
        <v>13.9</v>
      </c>
      <c r="H486">
        <v>516893</v>
      </c>
      <c r="I486">
        <v>3564</v>
      </c>
      <c r="J486">
        <v>0</v>
      </c>
      <c r="K486">
        <v>0.88</v>
      </c>
      <c r="L486">
        <v>13.7</v>
      </c>
      <c r="M486">
        <v>14.01</v>
      </c>
      <c r="N486">
        <v>13.52</v>
      </c>
      <c r="O486">
        <v>13.7</v>
      </c>
      <c r="P486">
        <v>290.84</v>
      </c>
      <c r="Q486">
        <v>714102400</v>
      </c>
      <c r="R486">
        <v>1.25</v>
      </c>
      <c r="S486" t="s">
        <v>644</v>
      </c>
      <c r="T486" t="s">
        <v>87</v>
      </c>
      <c r="U486">
        <v>3.58</v>
      </c>
      <c r="V486">
        <v>13.82</v>
      </c>
      <c r="W486">
        <v>255926</v>
      </c>
      <c r="X486">
        <v>260966</v>
      </c>
      <c r="Y486">
        <v>0.98</v>
      </c>
      <c r="Z486">
        <v>1041</v>
      </c>
      <c r="AA486">
        <v>303</v>
      </c>
      <c r="AB486" t="s">
        <v>32</v>
      </c>
      <c r="AC486">
        <v>58.47</v>
      </c>
    </row>
    <row r="487" spans="1:29">
      <c r="A487" t="str">
        <f>"002025"</f>
        <v>002025</v>
      </c>
      <c r="B487" t="s">
        <v>645</v>
      </c>
      <c r="C487">
        <v>0.04</v>
      </c>
      <c r="D487">
        <v>25.94</v>
      </c>
      <c r="E487">
        <v>0.01</v>
      </c>
      <c r="F487">
        <v>25.92</v>
      </c>
      <c r="G487">
        <v>25.94</v>
      </c>
      <c r="H487">
        <v>68906</v>
      </c>
      <c r="I487">
        <v>381</v>
      </c>
      <c r="J487">
        <v>0.74</v>
      </c>
      <c r="K487">
        <v>1.61</v>
      </c>
      <c r="L487">
        <v>25.95</v>
      </c>
      <c r="M487">
        <v>26.1</v>
      </c>
      <c r="N487">
        <v>25.38</v>
      </c>
      <c r="O487">
        <v>25.93</v>
      </c>
      <c r="P487">
        <v>42.95</v>
      </c>
      <c r="Q487">
        <v>178015472</v>
      </c>
      <c r="R487">
        <v>1.3</v>
      </c>
      <c r="S487" t="s">
        <v>63</v>
      </c>
      <c r="T487" t="s">
        <v>253</v>
      </c>
      <c r="U487">
        <v>2.78</v>
      </c>
      <c r="V487">
        <v>25.83</v>
      </c>
      <c r="W487">
        <v>31555</v>
      </c>
      <c r="X487">
        <v>37350</v>
      </c>
      <c r="Y487">
        <v>0.84</v>
      </c>
      <c r="Z487">
        <v>12</v>
      </c>
      <c r="AA487">
        <v>33</v>
      </c>
      <c r="AB487" t="s">
        <v>32</v>
      </c>
      <c r="AC487">
        <v>4.29</v>
      </c>
    </row>
    <row r="488" spans="1:29">
      <c r="A488" t="str">
        <f>"002026"</f>
        <v>002026</v>
      </c>
      <c r="B488" t="s">
        <v>646</v>
      </c>
      <c r="C488">
        <v>2.57</v>
      </c>
      <c r="D488">
        <v>5.99</v>
      </c>
      <c r="E488">
        <v>0.15</v>
      </c>
      <c r="F488">
        <v>5.98</v>
      </c>
      <c r="G488">
        <v>5.99</v>
      </c>
      <c r="H488">
        <v>43840</v>
      </c>
      <c r="I488">
        <v>201</v>
      </c>
      <c r="J488">
        <v>0</v>
      </c>
      <c r="K488">
        <v>1.17</v>
      </c>
      <c r="L488">
        <v>5.83</v>
      </c>
      <c r="M488">
        <v>6.14</v>
      </c>
      <c r="N488">
        <v>5.83</v>
      </c>
      <c r="O488">
        <v>5.84</v>
      </c>
      <c r="P488">
        <v>23.87</v>
      </c>
      <c r="Q488">
        <v>26168900</v>
      </c>
      <c r="R488">
        <v>2.81</v>
      </c>
      <c r="S488" t="s">
        <v>241</v>
      </c>
      <c r="T488" t="s">
        <v>162</v>
      </c>
      <c r="U488">
        <v>5.31</v>
      </c>
      <c r="V488">
        <v>5.97</v>
      </c>
      <c r="W488">
        <v>19193</v>
      </c>
      <c r="X488">
        <v>24646</v>
      </c>
      <c r="Y488">
        <v>0.78</v>
      </c>
      <c r="Z488">
        <v>2097</v>
      </c>
      <c r="AA488">
        <v>129</v>
      </c>
      <c r="AB488" t="s">
        <v>32</v>
      </c>
      <c r="AC488">
        <v>3.75</v>
      </c>
    </row>
    <row r="489" spans="1:29">
      <c r="A489" t="str">
        <f>"002027"</f>
        <v>002027</v>
      </c>
      <c r="B489" t="s">
        <v>647</v>
      </c>
      <c r="C489">
        <v>-1</v>
      </c>
      <c r="D489">
        <v>10.91</v>
      </c>
      <c r="E489">
        <v>-0.11</v>
      </c>
      <c r="F489">
        <v>10.91</v>
      </c>
      <c r="G489">
        <v>10.92</v>
      </c>
      <c r="H489">
        <v>1242610</v>
      </c>
      <c r="I489">
        <v>13054</v>
      </c>
      <c r="J489">
        <v>0.09</v>
      </c>
      <c r="K489">
        <v>1.78</v>
      </c>
      <c r="L489">
        <v>10.91</v>
      </c>
      <c r="M489">
        <v>11.06</v>
      </c>
      <c r="N489">
        <v>10.78</v>
      </c>
      <c r="O489">
        <v>11.02</v>
      </c>
      <c r="P489">
        <v>33.16</v>
      </c>
      <c r="Q489">
        <v>1355068032</v>
      </c>
      <c r="R489">
        <v>0.91</v>
      </c>
      <c r="S489" t="s">
        <v>148</v>
      </c>
      <c r="T489" t="s">
        <v>136</v>
      </c>
      <c r="U489">
        <v>2.54</v>
      </c>
      <c r="V489">
        <v>10.91</v>
      </c>
      <c r="W489">
        <v>714275</v>
      </c>
      <c r="X489">
        <v>528335</v>
      </c>
      <c r="Y489">
        <v>1.35</v>
      </c>
      <c r="Z489">
        <v>4914</v>
      </c>
      <c r="AA489">
        <v>3039</v>
      </c>
      <c r="AB489" t="s">
        <v>32</v>
      </c>
      <c r="AC489">
        <v>69.65</v>
      </c>
    </row>
    <row r="490" spans="1:29">
      <c r="A490" t="str">
        <f>"002028"</f>
        <v>002028</v>
      </c>
      <c r="B490" t="s">
        <v>648</v>
      </c>
      <c r="C490">
        <v>0.61</v>
      </c>
      <c r="D490">
        <v>16.5</v>
      </c>
      <c r="E490">
        <v>0.1</v>
      </c>
      <c r="F490">
        <v>16.48</v>
      </c>
      <c r="G490">
        <v>16.5</v>
      </c>
      <c r="H490">
        <v>27814</v>
      </c>
      <c r="I490">
        <v>212</v>
      </c>
      <c r="J490">
        <v>0.18</v>
      </c>
      <c r="K490">
        <v>0.48</v>
      </c>
      <c r="L490">
        <v>16.42</v>
      </c>
      <c r="M490">
        <v>16.6</v>
      </c>
      <c r="N490">
        <v>16.25</v>
      </c>
      <c r="O490">
        <v>16.4</v>
      </c>
      <c r="P490" t="s">
        <v>32</v>
      </c>
      <c r="Q490">
        <v>45792180</v>
      </c>
      <c r="R490">
        <v>1</v>
      </c>
      <c r="S490" t="s">
        <v>104</v>
      </c>
      <c r="T490" t="s">
        <v>366</v>
      </c>
      <c r="U490">
        <v>2.13</v>
      </c>
      <c r="V490">
        <v>16.46</v>
      </c>
      <c r="W490">
        <v>13960</v>
      </c>
      <c r="X490">
        <v>13853</v>
      </c>
      <c r="Y490">
        <v>1.01</v>
      </c>
      <c r="Z490">
        <v>2</v>
      </c>
      <c r="AA490">
        <v>578</v>
      </c>
      <c r="AB490" t="s">
        <v>32</v>
      </c>
      <c r="AC490">
        <v>5.79</v>
      </c>
    </row>
    <row r="491" spans="1:29">
      <c r="A491" t="str">
        <f>"002029"</f>
        <v>002029</v>
      </c>
      <c r="B491" t="s">
        <v>649</v>
      </c>
      <c r="C491">
        <v>1.7</v>
      </c>
      <c r="D491">
        <v>7.76</v>
      </c>
      <c r="E491">
        <v>0.13</v>
      </c>
      <c r="F491">
        <v>7.75</v>
      </c>
      <c r="G491">
        <v>7.76</v>
      </c>
      <c r="H491">
        <v>88359</v>
      </c>
      <c r="I491">
        <v>1094</v>
      </c>
      <c r="J491">
        <v>0.13</v>
      </c>
      <c r="K491">
        <v>1.17</v>
      </c>
      <c r="L491">
        <v>7.63</v>
      </c>
      <c r="M491">
        <v>7.83</v>
      </c>
      <c r="N491">
        <v>7.61</v>
      </c>
      <c r="O491">
        <v>7.63</v>
      </c>
      <c r="P491">
        <v>17.51</v>
      </c>
      <c r="Q491">
        <v>68216064</v>
      </c>
      <c r="R491">
        <v>1.86</v>
      </c>
      <c r="S491" t="s">
        <v>622</v>
      </c>
      <c r="T491" t="s">
        <v>236</v>
      </c>
      <c r="U491">
        <v>2.88</v>
      </c>
      <c r="V491">
        <v>7.72</v>
      </c>
      <c r="W491">
        <v>47150</v>
      </c>
      <c r="X491">
        <v>41208</v>
      </c>
      <c r="Y491">
        <v>1.14</v>
      </c>
      <c r="Z491">
        <v>621</v>
      </c>
      <c r="AA491">
        <v>654</v>
      </c>
      <c r="AB491" t="s">
        <v>32</v>
      </c>
      <c r="AC491">
        <v>7.55</v>
      </c>
    </row>
    <row r="492" spans="1:29">
      <c r="A492" t="str">
        <f>"002030"</f>
        <v>002030</v>
      </c>
      <c r="B492" t="s">
        <v>650</v>
      </c>
      <c r="C492">
        <v>-0.43</v>
      </c>
      <c r="D492">
        <v>16.09</v>
      </c>
      <c r="E492">
        <v>-0.07</v>
      </c>
      <c r="F492">
        <v>16.08</v>
      </c>
      <c r="G492">
        <v>16.09</v>
      </c>
      <c r="H492">
        <v>51233</v>
      </c>
      <c r="I492">
        <v>878</v>
      </c>
      <c r="J492">
        <v>-0.36</v>
      </c>
      <c r="K492">
        <v>0.67</v>
      </c>
      <c r="L492">
        <v>15.9</v>
      </c>
      <c r="M492">
        <v>16.19</v>
      </c>
      <c r="N492">
        <v>15.61</v>
      </c>
      <c r="O492">
        <v>16.16</v>
      </c>
      <c r="P492">
        <v>115.39</v>
      </c>
      <c r="Q492">
        <v>81960904</v>
      </c>
      <c r="R492">
        <v>1.29</v>
      </c>
      <c r="S492" t="s">
        <v>36</v>
      </c>
      <c r="T492" t="s">
        <v>136</v>
      </c>
      <c r="U492">
        <v>3.59</v>
      </c>
      <c r="V492">
        <v>16</v>
      </c>
      <c r="W492">
        <v>25080</v>
      </c>
      <c r="X492">
        <v>26152</v>
      </c>
      <c r="Y492">
        <v>0.96</v>
      </c>
      <c r="Z492">
        <v>55</v>
      </c>
      <c r="AA492">
        <v>439</v>
      </c>
      <c r="AB492" t="s">
        <v>32</v>
      </c>
      <c r="AC492">
        <v>7.64</v>
      </c>
    </row>
    <row r="493" spans="1:29">
      <c r="A493" t="str">
        <f>"002031"</f>
        <v>002031</v>
      </c>
      <c r="B493" t="s">
        <v>651</v>
      </c>
      <c r="C493">
        <v>2.26</v>
      </c>
      <c r="D493">
        <v>2.26</v>
      </c>
      <c r="E493">
        <v>0.05</v>
      </c>
      <c r="F493">
        <v>2.25</v>
      </c>
      <c r="G493">
        <v>2.26</v>
      </c>
      <c r="H493">
        <v>128607</v>
      </c>
      <c r="I493">
        <v>1210</v>
      </c>
      <c r="J493">
        <v>0</v>
      </c>
      <c r="K493">
        <v>0.68</v>
      </c>
      <c r="L493">
        <v>2.2</v>
      </c>
      <c r="M493">
        <v>2.28</v>
      </c>
      <c r="N493">
        <v>2.2</v>
      </c>
      <c r="O493">
        <v>2.21</v>
      </c>
      <c r="P493">
        <v>148.4</v>
      </c>
      <c r="Q493">
        <v>28804232</v>
      </c>
      <c r="R493">
        <v>2.78</v>
      </c>
      <c r="S493" t="s">
        <v>80</v>
      </c>
      <c r="T493" t="s">
        <v>136</v>
      </c>
      <c r="U493">
        <v>3.62</v>
      </c>
      <c r="V493">
        <v>2.24</v>
      </c>
      <c r="W493">
        <v>53069</v>
      </c>
      <c r="X493">
        <v>75538</v>
      </c>
      <c r="Y493">
        <v>0.7</v>
      </c>
      <c r="Z493">
        <v>3840</v>
      </c>
      <c r="AA493">
        <v>1186</v>
      </c>
      <c r="AB493" t="s">
        <v>32</v>
      </c>
      <c r="AC493">
        <v>18.91</v>
      </c>
    </row>
    <row r="494" spans="1:29">
      <c r="A494" t="str">
        <f>"002032"</f>
        <v>002032</v>
      </c>
      <c r="B494" t="s">
        <v>652</v>
      </c>
      <c r="C494">
        <v>-1.52</v>
      </c>
      <c r="D494">
        <v>52.34</v>
      </c>
      <c r="E494">
        <v>-0.81</v>
      </c>
      <c r="F494">
        <v>52.34</v>
      </c>
      <c r="G494">
        <v>52.48</v>
      </c>
      <c r="H494">
        <v>18172</v>
      </c>
      <c r="I494">
        <v>147</v>
      </c>
      <c r="J494">
        <v>0.13</v>
      </c>
      <c r="K494">
        <v>0.33</v>
      </c>
      <c r="L494">
        <v>53.84</v>
      </c>
      <c r="M494">
        <v>53.84</v>
      </c>
      <c r="N494">
        <v>52.01</v>
      </c>
      <c r="O494">
        <v>53.15</v>
      </c>
      <c r="P494">
        <v>23.75</v>
      </c>
      <c r="Q494">
        <v>95529424</v>
      </c>
      <c r="R494">
        <v>0.91</v>
      </c>
      <c r="S494" t="s">
        <v>55</v>
      </c>
      <c r="T494" t="s">
        <v>149</v>
      </c>
      <c r="U494">
        <v>3.44</v>
      </c>
      <c r="V494">
        <v>52.57</v>
      </c>
      <c r="W494">
        <v>9840</v>
      </c>
      <c r="X494">
        <v>8331</v>
      </c>
      <c r="Y494">
        <v>1.18</v>
      </c>
      <c r="Z494">
        <v>5</v>
      </c>
      <c r="AA494">
        <v>6</v>
      </c>
      <c r="AB494" t="s">
        <v>32</v>
      </c>
      <c r="AC494">
        <v>5.45</v>
      </c>
    </row>
    <row r="495" spans="1:29">
      <c r="A495" t="str">
        <f>"002033"</f>
        <v>002033</v>
      </c>
      <c r="B495" t="s">
        <v>653</v>
      </c>
      <c r="C495">
        <v>0.26</v>
      </c>
      <c r="D495">
        <v>7.61</v>
      </c>
      <c r="E495">
        <v>0.02</v>
      </c>
      <c r="F495">
        <v>7.61</v>
      </c>
      <c r="G495">
        <v>7.62</v>
      </c>
      <c r="H495">
        <v>42377</v>
      </c>
      <c r="I495">
        <v>633</v>
      </c>
      <c r="J495">
        <v>0.26</v>
      </c>
      <c r="K495">
        <v>0.77</v>
      </c>
      <c r="L495">
        <v>7.62</v>
      </c>
      <c r="M495">
        <v>7.68</v>
      </c>
      <c r="N495">
        <v>7.55</v>
      </c>
      <c r="O495">
        <v>7.59</v>
      </c>
      <c r="P495">
        <v>22.67</v>
      </c>
      <c r="Q495">
        <v>32276050</v>
      </c>
      <c r="R495">
        <v>0.8</v>
      </c>
      <c r="S495" t="s">
        <v>124</v>
      </c>
      <c r="T495" t="s">
        <v>250</v>
      </c>
      <c r="U495">
        <v>1.71</v>
      </c>
      <c r="V495">
        <v>7.62</v>
      </c>
      <c r="W495">
        <v>23671</v>
      </c>
      <c r="X495">
        <v>18705</v>
      </c>
      <c r="Y495">
        <v>1.27</v>
      </c>
      <c r="Z495">
        <v>109</v>
      </c>
      <c r="AA495">
        <v>400</v>
      </c>
      <c r="AB495" t="s">
        <v>32</v>
      </c>
      <c r="AC495">
        <v>5.49</v>
      </c>
    </row>
    <row r="496" spans="1:29">
      <c r="A496" t="str">
        <f>"002034"</f>
        <v>002034</v>
      </c>
      <c r="B496" t="s">
        <v>654</v>
      </c>
      <c r="C496">
        <v>2.91</v>
      </c>
      <c r="D496">
        <v>20.15</v>
      </c>
      <c r="E496">
        <v>0.57</v>
      </c>
      <c r="F496">
        <v>20.14</v>
      </c>
      <c r="G496">
        <v>20.15</v>
      </c>
      <c r="H496">
        <v>8663</v>
      </c>
      <c r="I496">
        <v>135</v>
      </c>
      <c r="J496">
        <v>0.1</v>
      </c>
      <c r="K496">
        <v>0.96</v>
      </c>
      <c r="L496">
        <v>19.35</v>
      </c>
      <c r="M496">
        <v>20.21</v>
      </c>
      <c r="N496">
        <v>19.35</v>
      </c>
      <c r="O496">
        <v>19.58</v>
      </c>
      <c r="P496">
        <v>41.94</v>
      </c>
      <c r="Q496">
        <v>17254130</v>
      </c>
      <c r="R496">
        <v>1.8</v>
      </c>
      <c r="S496" t="s">
        <v>86</v>
      </c>
      <c r="T496" t="s">
        <v>149</v>
      </c>
      <c r="U496">
        <v>4.39</v>
      </c>
      <c r="V496">
        <v>19.92</v>
      </c>
      <c r="W496">
        <v>4129</v>
      </c>
      <c r="X496">
        <v>4534</v>
      </c>
      <c r="Y496">
        <v>0.91</v>
      </c>
      <c r="Z496">
        <v>56</v>
      </c>
      <c r="AA496">
        <v>70</v>
      </c>
      <c r="AB496" t="s">
        <v>32</v>
      </c>
      <c r="AC496">
        <v>0.9</v>
      </c>
    </row>
    <row r="497" spans="1:29">
      <c r="A497" t="str">
        <f>"002035"</f>
        <v>002035</v>
      </c>
      <c r="B497" t="s">
        <v>655</v>
      </c>
      <c r="C497">
        <v>5.19</v>
      </c>
      <c r="D497">
        <v>14.6</v>
      </c>
      <c r="E497">
        <v>0.72</v>
      </c>
      <c r="F497">
        <v>14.59</v>
      </c>
      <c r="G497">
        <v>14.6</v>
      </c>
      <c r="H497">
        <v>135912</v>
      </c>
      <c r="I497">
        <v>1248</v>
      </c>
      <c r="J497">
        <v>0.07</v>
      </c>
      <c r="K497">
        <v>1.74</v>
      </c>
      <c r="L497">
        <v>13.88</v>
      </c>
      <c r="M497">
        <v>14.83</v>
      </c>
      <c r="N497">
        <v>13.83</v>
      </c>
      <c r="O497">
        <v>13.88</v>
      </c>
      <c r="P497">
        <v>27.6</v>
      </c>
      <c r="Q497">
        <v>196114352</v>
      </c>
      <c r="R497">
        <v>0.95</v>
      </c>
      <c r="S497" t="s">
        <v>55</v>
      </c>
      <c r="T497" t="s">
        <v>136</v>
      </c>
      <c r="U497">
        <v>7.2</v>
      </c>
      <c r="V497">
        <v>14.43</v>
      </c>
      <c r="W497">
        <v>57896</v>
      </c>
      <c r="X497">
        <v>78015</v>
      </c>
      <c r="Y497">
        <v>0.74</v>
      </c>
      <c r="Z497">
        <v>435</v>
      </c>
      <c r="AA497">
        <v>1244</v>
      </c>
      <c r="AB497" t="s">
        <v>32</v>
      </c>
      <c r="AC497">
        <v>7.81</v>
      </c>
    </row>
    <row r="498" spans="1:29">
      <c r="A498" t="str">
        <f>"002036"</f>
        <v>002036</v>
      </c>
      <c r="B498" t="s">
        <v>656</v>
      </c>
      <c r="C498">
        <v>0.61</v>
      </c>
      <c r="D498">
        <v>13.11</v>
      </c>
      <c r="E498">
        <v>0.08</v>
      </c>
      <c r="F498">
        <v>13.1</v>
      </c>
      <c r="G498">
        <v>13.11</v>
      </c>
      <c r="H498">
        <v>50020</v>
      </c>
      <c r="I498">
        <v>773</v>
      </c>
      <c r="J498">
        <v>0.08</v>
      </c>
      <c r="K498">
        <v>1.27</v>
      </c>
      <c r="L498">
        <v>12.96</v>
      </c>
      <c r="M498">
        <v>13.17</v>
      </c>
      <c r="N498">
        <v>12.85</v>
      </c>
      <c r="O498">
        <v>13.03</v>
      </c>
      <c r="P498">
        <v>81.29</v>
      </c>
      <c r="Q498">
        <v>65185780</v>
      </c>
      <c r="R498">
        <v>0.94</v>
      </c>
      <c r="S498" t="s">
        <v>63</v>
      </c>
      <c r="T498" t="s">
        <v>149</v>
      </c>
      <c r="U498">
        <v>2.46</v>
      </c>
      <c r="V498">
        <v>13.03</v>
      </c>
      <c r="W498">
        <v>26207</v>
      </c>
      <c r="X498">
        <v>23812</v>
      </c>
      <c r="Y498">
        <v>1.1</v>
      </c>
      <c r="Z498">
        <v>340</v>
      </c>
      <c r="AA498">
        <v>120</v>
      </c>
      <c r="AB498" t="s">
        <v>32</v>
      </c>
      <c r="AC498">
        <v>3.95</v>
      </c>
    </row>
    <row r="499" spans="1:29">
      <c r="A499" t="str">
        <f>"002037"</f>
        <v>002037</v>
      </c>
      <c r="B499" t="s">
        <v>657</v>
      </c>
      <c r="C499">
        <v>4.9</v>
      </c>
      <c r="D499">
        <v>8.35</v>
      </c>
      <c r="E499">
        <v>0.39</v>
      </c>
      <c r="F499">
        <v>8.34</v>
      </c>
      <c r="G499">
        <v>8.35</v>
      </c>
      <c r="H499">
        <v>52717</v>
      </c>
      <c r="I499">
        <v>650</v>
      </c>
      <c r="J499">
        <v>0</v>
      </c>
      <c r="K499">
        <v>1.61</v>
      </c>
      <c r="L499">
        <v>7.96</v>
      </c>
      <c r="M499">
        <v>8.49</v>
      </c>
      <c r="N499">
        <v>7.91</v>
      </c>
      <c r="O499">
        <v>7.96</v>
      </c>
      <c r="P499">
        <v>135.21</v>
      </c>
      <c r="Q499">
        <v>43540224</v>
      </c>
      <c r="R499">
        <v>2.52</v>
      </c>
      <c r="S499" t="s">
        <v>218</v>
      </c>
      <c r="T499" t="s">
        <v>253</v>
      </c>
      <c r="U499">
        <v>7.29</v>
      </c>
      <c r="V499">
        <v>8.26</v>
      </c>
      <c r="W499">
        <v>22867</v>
      </c>
      <c r="X499">
        <v>29850</v>
      </c>
      <c r="Y499">
        <v>0.77</v>
      </c>
      <c r="Z499">
        <v>280</v>
      </c>
      <c r="AA499">
        <v>273</v>
      </c>
      <c r="AB499" t="s">
        <v>32</v>
      </c>
      <c r="AC499">
        <v>3.27</v>
      </c>
    </row>
    <row r="500" spans="1:29">
      <c r="A500" t="str">
        <f>"002038"</f>
        <v>002038</v>
      </c>
      <c r="B500" t="s">
        <v>658</v>
      </c>
      <c r="C500">
        <v>2.66</v>
      </c>
      <c r="D500">
        <v>35.88</v>
      </c>
      <c r="E500">
        <v>0.93</v>
      </c>
      <c r="F500">
        <v>35.88</v>
      </c>
      <c r="G500">
        <v>35.89</v>
      </c>
      <c r="H500">
        <v>74691</v>
      </c>
      <c r="I500">
        <v>401</v>
      </c>
      <c r="J500">
        <v>0.11</v>
      </c>
      <c r="K500">
        <v>1.32</v>
      </c>
      <c r="L500">
        <v>34.87</v>
      </c>
      <c r="M500">
        <v>36.36</v>
      </c>
      <c r="N500">
        <v>34.61</v>
      </c>
      <c r="O500">
        <v>34.95</v>
      </c>
      <c r="P500">
        <v>33.69</v>
      </c>
      <c r="Q500">
        <v>266044752</v>
      </c>
      <c r="R500">
        <v>0.8</v>
      </c>
      <c r="S500" t="s">
        <v>36</v>
      </c>
      <c r="T500" t="s">
        <v>45</v>
      </c>
      <c r="U500">
        <v>5.01</v>
      </c>
      <c r="V500">
        <v>35.62</v>
      </c>
      <c r="W500">
        <v>32867</v>
      </c>
      <c r="X500">
        <v>41824</v>
      </c>
      <c r="Y500">
        <v>0.79</v>
      </c>
      <c r="Z500">
        <v>162</v>
      </c>
      <c r="AA500">
        <v>213</v>
      </c>
      <c r="AB500" t="s">
        <v>32</v>
      </c>
      <c r="AC500">
        <v>5.67</v>
      </c>
    </row>
    <row r="501" spans="1:29">
      <c r="A501" t="str">
        <f>"002039"</f>
        <v>002039</v>
      </c>
      <c r="B501" t="s">
        <v>659</v>
      </c>
      <c r="C501">
        <v>0.14</v>
      </c>
      <c r="D501">
        <v>14.82</v>
      </c>
      <c r="E501">
        <v>0.02</v>
      </c>
      <c r="F501">
        <v>14.82</v>
      </c>
      <c r="G501">
        <v>14.83</v>
      </c>
      <c r="H501">
        <v>18388</v>
      </c>
      <c r="I501">
        <v>205</v>
      </c>
      <c r="J501">
        <v>0</v>
      </c>
      <c r="K501">
        <v>0.6</v>
      </c>
      <c r="L501">
        <v>14.79</v>
      </c>
      <c r="M501">
        <v>14.83</v>
      </c>
      <c r="N501">
        <v>14.72</v>
      </c>
      <c r="O501">
        <v>14.8</v>
      </c>
      <c r="P501">
        <v>56.95</v>
      </c>
      <c r="Q501">
        <v>27197974</v>
      </c>
      <c r="R501">
        <v>1.01</v>
      </c>
      <c r="S501" t="s">
        <v>312</v>
      </c>
      <c r="T501" t="s">
        <v>253</v>
      </c>
      <c r="U501">
        <v>0.74</v>
      </c>
      <c r="V501">
        <v>14.79</v>
      </c>
      <c r="W501">
        <v>7960</v>
      </c>
      <c r="X501">
        <v>10428</v>
      </c>
      <c r="Y501">
        <v>0.76</v>
      </c>
      <c r="Z501">
        <v>24</v>
      </c>
      <c r="AA501">
        <v>22</v>
      </c>
      <c r="AB501" t="s">
        <v>32</v>
      </c>
      <c r="AC501">
        <v>3.05</v>
      </c>
    </row>
    <row r="502" spans="1:29">
      <c r="A502" t="str">
        <f>"002040"</f>
        <v>002040</v>
      </c>
      <c r="B502" t="s">
        <v>660</v>
      </c>
      <c r="C502">
        <v>2.72</v>
      </c>
      <c r="D502">
        <v>9.44</v>
      </c>
      <c r="E502">
        <v>0.25</v>
      </c>
      <c r="F502">
        <v>9.44</v>
      </c>
      <c r="G502">
        <v>9.45</v>
      </c>
      <c r="H502">
        <v>125228</v>
      </c>
      <c r="I502">
        <v>938</v>
      </c>
      <c r="J502">
        <v>0</v>
      </c>
      <c r="K502">
        <v>4.08</v>
      </c>
      <c r="L502">
        <v>9.39</v>
      </c>
      <c r="M502">
        <v>9.97</v>
      </c>
      <c r="N502">
        <v>9.15</v>
      </c>
      <c r="O502">
        <v>9.19</v>
      </c>
      <c r="P502">
        <v>33.62</v>
      </c>
      <c r="Q502">
        <v>118641632</v>
      </c>
      <c r="R502">
        <v>5.67</v>
      </c>
      <c r="S502" t="s">
        <v>67</v>
      </c>
      <c r="T502" t="s">
        <v>87</v>
      </c>
      <c r="U502">
        <v>8.92</v>
      </c>
      <c r="V502">
        <v>9.47</v>
      </c>
      <c r="W502">
        <v>60016</v>
      </c>
      <c r="X502">
        <v>65212</v>
      </c>
      <c r="Y502">
        <v>0.92</v>
      </c>
      <c r="Z502">
        <v>1712</v>
      </c>
      <c r="AA502">
        <v>330</v>
      </c>
      <c r="AB502" t="s">
        <v>32</v>
      </c>
      <c r="AC502">
        <v>3.07</v>
      </c>
    </row>
    <row r="503" spans="1:29">
      <c r="A503" t="str">
        <f>"002041"</f>
        <v>002041</v>
      </c>
      <c r="B503" t="s">
        <v>661</v>
      </c>
      <c r="C503">
        <v>1.56</v>
      </c>
      <c r="D503">
        <v>6.49</v>
      </c>
      <c r="E503">
        <v>0.1</v>
      </c>
      <c r="F503">
        <v>6.49</v>
      </c>
      <c r="G503">
        <v>6.5</v>
      </c>
      <c r="H503">
        <v>69184</v>
      </c>
      <c r="I503">
        <v>813</v>
      </c>
      <c r="J503">
        <v>0</v>
      </c>
      <c r="K503">
        <v>0.79</v>
      </c>
      <c r="L503">
        <v>6.4</v>
      </c>
      <c r="M503">
        <v>6.51</v>
      </c>
      <c r="N503">
        <v>6.34</v>
      </c>
      <c r="O503">
        <v>6.39</v>
      </c>
      <c r="P503">
        <v>73.26</v>
      </c>
      <c r="Q503">
        <v>44670456</v>
      </c>
      <c r="R503">
        <v>1.35</v>
      </c>
      <c r="S503" t="s">
        <v>404</v>
      </c>
      <c r="T503" t="s">
        <v>162</v>
      </c>
      <c r="U503">
        <v>2.66</v>
      </c>
      <c r="V503">
        <v>6.46</v>
      </c>
      <c r="W503">
        <v>40126</v>
      </c>
      <c r="X503">
        <v>29058</v>
      </c>
      <c r="Y503">
        <v>1.38</v>
      </c>
      <c r="Z503">
        <v>318</v>
      </c>
      <c r="AA503">
        <v>1161</v>
      </c>
      <c r="AB503" t="s">
        <v>32</v>
      </c>
      <c r="AC503">
        <v>8.74</v>
      </c>
    </row>
    <row r="504" spans="1:29">
      <c r="A504" t="str">
        <f>"002042"</f>
        <v>002042</v>
      </c>
      <c r="B504" t="s">
        <v>662</v>
      </c>
      <c r="C504">
        <v>-0.29</v>
      </c>
      <c r="D504">
        <v>6.95</v>
      </c>
      <c r="E504">
        <v>-0.02</v>
      </c>
      <c r="F504">
        <v>6.95</v>
      </c>
      <c r="G504">
        <v>6.96</v>
      </c>
      <c r="H504">
        <v>57630</v>
      </c>
      <c r="I504">
        <v>1116</v>
      </c>
      <c r="J504">
        <v>0.14</v>
      </c>
      <c r="K504">
        <v>0.38</v>
      </c>
      <c r="L504">
        <v>6.94</v>
      </c>
      <c r="M504">
        <v>7.05</v>
      </c>
      <c r="N504">
        <v>6.89</v>
      </c>
      <c r="O504">
        <v>6.97</v>
      </c>
      <c r="P504">
        <v>12.04</v>
      </c>
      <c r="Q504">
        <v>40138624</v>
      </c>
      <c r="R504">
        <v>0.82</v>
      </c>
      <c r="S504" t="s">
        <v>99</v>
      </c>
      <c r="T504" t="s">
        <v>143</v>
      </c>
      <c r="U504">
        <v>2.3</v>
      </c>
      <c r="V504">
        <v>6.96</v>
      </c>
      <c r="W504">
        <v>31535</v>
      </c>
      <c r="X504">
        <v>26094</v>
      </c>
      <c r="Y504">
        <v>1.21</v>
      </c>
      <c r="Z504">
        <v>45</v>
      </c>
      <c r="AA504">
        <v>129</v>
      </c>
      <c r="AB504" t="s">
        <v>32</v>
      </c>
      <c r="AC504">
        <v>15.18</v>
      </c>
    </row>
    <row r="505" spans="1:29">
      <c r="A505" t="str">
        <f>"002043"</f>
        <v>002043</v>
      </c>
      <c r="B505" t="s">
        <v>663</v>
      </c>
      <c r="C505">
        <v>1.36</v>
      </c>
      <c r="D505">
        <v>8.17</v>
      </c>
      <c r="E505">
        <v>0.11</v>
      </c>
      <c r="F505">
        <v>8.17</v>
      </c>
      <c r="G505">
        <v>8.18</v>
      </c>
      <c r="H505">
        <v>141114</v>
      </c>
      <c r="I505">
        <v>1791</v>
      </c>
      <c r="J505">
        <v>-0.11</v>
      </c>
      <c r="K505">
        <v>2.03</v>
      </c>
      <c r="L505">
        <v>8.08</v>
      </c>
      <c r="M505">
        <v>8.27</v>
      </c>
      <c r="N505">
        <v>8.03</v>
      </c>
      <c r="O505">
        <v>8.06</v>
      </c>
      <c r="P505">
        <v>30.8</v>
      </c>
      <c r="Q505">
        <v>115432576</v>
      </c>
      <c r="R505">
        <v>1.52</v>
      </c>
      <c r="S505" t="s">
        <v>69</v>
      </c>
      <c r="T505" t="s">
        <v>149</v>
      </c>
      <c r="U505">
        <v>2.98</v>
      </c>
      <c r="V505">
        <v>8.18</v>
      </c>
      <c r="W505">
        <v>73159</v>
      </c>
      <c r="X505">
        <v>67954</v>
      </c>
      <c r="Y505">
        <v>1.08</v>
      </c>
      <c r="Z505">
        <v>719</v>
      </c>
      <c r="AA505">
        <v>1962</v>
      </c>
      <c r="AB505" t="s">
        <v>32</v>
      </c>
      <c r="AC505">
        <v>6.94</v>
      </c>
    </row>
    <row r="506" spans="1:29">
      <c r="A506" t="str">
        <f>"002044"</f>
        <v>002044</v>
      </c>
      <c r="B506" t="s">
        <v>664</v>
      </c>
      <c r="C506">
        <v>0</v>
      </c>
      <c r="D506">
        <v>21.78</v>
      </c>
      <c r="E506">
        <v>0</v>
      </c>
      <c r="F506">
        <v>21.78</v>
      </c>
      <c r="G506">
        <v>21.79</v>
      </c>
      <c r="H506">
        <v>129316</v>
      </c>
      <c r="I506">
        <v>1085</v>
      </c>
      <c r="J506">
        <v>0.05</v>
      </c>
      <c r="K506">
        <v>0.98</v>
      </c>
      <c r="L506">
        <v>21.43</v>
      </c>
      <c r="M506">
        <v>22.17</v>
      </c>
      <c r="N506">
        <v>21.05</v>
      </c>
      <c r="O506">
        <v>21.78</v>
      </c>
      <c r="P506" t="s">
        <v>32</v>
      </c>
      <c r="Q506">
        <v>280232416</v>
      </c>
      <c r="R506">
        <v>0.94</v>
      </c>
      <c r="S506" t="s">
        <v>138</v>
      </c>
      <c r="T506" t="s">
        <v>87</v>
      </c>
      <c r="U506">
        <v>5.14</v>
      </c>
      <c r="V506">
        <v>21.67</v>
      </c>
      <c r="W506">
        <v>66366</v>
      </c>
      <c r="X506">
        <v>62949</v>
      </c>
      <c r="Y506">
        <v>1.05</v>
      </c>
      <c r="Z506">
        <v>131</v>
      </c>
      <c r="AA506">
        <v>435</v>
      </c>
      <c r="AB506" t="s">
        <v>32</v>
      </c>
      <c r="AC506">
        <v>13.17</v>
      </c>
    </row>
    <row r="507" spans="1:29">
      <c r="A507" t="str">
        <f>"002045"</f>
        <v>002045</v>
      </c>
      <c r="B507" t="s">
        <v>665</v>
      </c>
      <c r="C507">
        <v>1.24</v>
      </c>
      <c r="D507">
        <v>6.54</v>
      </c>
      <c r="E507">
        <v>0.08</v>
      </c>
      <c r="F507">
        <v>6.54</v>
      </c>
      <c r="G507">
        <v>6.55</v>
      </c>
      <c r="H507">
        <v>150110</v>
      </c>
      <c r="I507">
        <v>896</v>
      </c>
      <c r="J507">
        <v>-0.14</v>
      </c>
      <c r="K507">
        <v>3.61</v>
      </c>
      <c r="L507">
        <v>6.46</v>
      </c>
      <c r="M507">
        <v>6.64</v>
      </c>
      <c r="N507">
        <v>6.37</v>
      </c>
      <c r="O507">
        <v>6.46</v>
      </c>
      <c r="P507">
        <v>67.51</v>
      </c>
      <c r="Q507">
        <v>97769568</v>
      </c>
      <c r="R507">
        <v>2.03</v>
      </c>
      <c r="S507" t="s">
        <v>63</v>
      </c>
      <c r="T507" t="s">
        <v>136</v>
      </c>
      <c r="U507">
        <v>4.18</v>
      </c>
      <c r="V507">
        <v>6.51</v>
      </c>
      <c r="W507">
        <v>77457</v>
      </c>
      <c r="X507">
        <v>72653</v>
      </c>
      <c r="Y507">
        <v>1.07</v>
      </c>
      <c r="Z507">
        <v>751</v>
      </c>
      <c r="AA507">
        <v>1009</v>
      </c>
      <c r="AB507" t="s">
        <v>32</v>
      </c>
      <c r="AC507">
        <v>4.16</v>
      </c>
    </row>
    <row r="508" spans="1:29">
      <c r="A508" t="str">
        <f>"002046"</f>
        <v>002046</v>
      </c>
      <c r="B508" t="s">
        <v>666</v>
      </c>
      <c r="C508">
        <v>1.86</v>
      </c>
      <c r="D508">
        <v>7.13</v>
      </c>
      <c r="E508">
        <v>0.13</v>
      </c>
      <c r="F508">
        <v>7.13</v>
      </c>
      <c r="G508">
        <v>7.14</v>
      </c>
      <c r="H508">
        <v>20567</v>
      </c>
      <c r="I508">
        <v>181</v>
      </c>
      <c r="J508">
        <v>-0.13</v>
      </c>
      <c r="K508">
        <v>0.6</v>
      </c>
      <c r="L508">
        <v>7</v>
      </c>
      <c r="M508">
        <v>7.17</v>
      </c>
      <c r="N508">
        <v>6.97</v>
      </c>
      <c r="O508">
        <v>7</v>
      </c>
      <c r="P508">
        <v>126.9</v>
      </c>
      <c r="Q508">
        <v>14624450</v>
      </c>
      <c r="R508">
        <v>1.59</v>
      </c>
      <c r="S508" t="s">
        <v>241</v>
      </c>
      <c r="T508" t="s">
        <v>164</v>
      </c>
      <c r="U508">
        <v>2.86</v>
      </c>
      <c r="V508">
        <v>7.11</v>
      </c>
      <c r="W508">
        <v>10654</v>
      </c>
      <c r="X508">
        <v>9913</v>
      </c>
      <c r="Y508">
        <v>1.07</v>
      </c>
      <c r="Z508">
        <v>125</v>
      </c>
      <c r="AA508">
        <v>686</v>
      </c>
      <c r="AB508" t="s">
        <v>32</v>
      </c>
      <c r="AC508">
        <v>3.41</v>
      </c>
    </row>
    <row r="509" spans="1:29">
      <c r="A509" t="str">
        <f>"002047"</f>
        <v>002047</v>
      </c>
      <c r="B509" t="s">
        <v>667</v>
      </c>
      <c r="C509">
        <v>1.37</v>
      </c>
      <c r="D509">
        <v>5.93</v>
      </c>
      <c r="E509">
        <v>0.08</v>
      </c>
      <c r="F509">
        <v>5.93</v>
      </c>
      <c r="G509">
        <v>5.94</v>
      </c>
      <c r="H509">
        <v>138124</v>
      </c>
      <c r="I509">
        <v>2557</v>
      </c>
      <c r="J509">
        <v>-0.16</v>
      </c>
      <c r="K509">
        <v>1.1</v>
      </c>
      <c r="L509">
        <v>5.85</v>
      </c>
      <c r="M509">
        <v>5.99</v>
      </c>
      <c r="N509">
        <v>5.81</v>
      </c>
      <c r="O509">
        <v>5.85</v>
      </c>
      <c r="P509">
        <v>24.82</v>
      </c>
      <c r="Q509">
        <v>81837952</v>
      </c>
      <c r="R509">
        <v>2.45</v>
      </c>
      <c r="S509" t="s">
        <v>59</v>
      </c>
      <c r="T509" t="s">
        <v>31</v>
      </c>
      <c r="U509">
        <v>3.08</v>
      </c>
      <c r="V509">
        <v>5.92</v>
      </c>
      <c r="W509">
        <v>57020</v>
      </c>
      <c r="X509">
        <v>81104</v>
      </c>
      <c r="Y509">
        <v>0.7</v>
      </c>
      <c r="Z509">
        <v>925</v>
      </c>
      <c r="AA509">
        <v>90</v>
      </c>
      <c r="AB509" t="s">
        <v>32</v>
      </c>
      <c r="AC509">
        <v>12.58</v>
      </c>
    </row>
    <row r="510" spans="1:29">
      <c r="A510" t="str">
        <f>"002048"</f>
        <v>002048</v>
      </c>
      <c r="B510" t="s">
        <v>668</v>
      </c>
      <c r="C510">
        <v>2.21</v>
      </c>
      <c r="D510">
        <v>12.5</v>
      </c>
      <c r="E510">
        <v>0.27</v>
      </c>
      <c r="F510">
        <v>12.5</v>
      </c>
      <c r="G510">
        <v>12.51</v>
      </c>
      <c r="H510">
        <v>55856</v>
      </c>
      <c r="I510">
        <v>533</v>
      </c>
      <c r="J510">
        <v>0</v>
      </c>
      <c r="K510">
        <v>1.21</v>
      </c>
      <c r="L510">
        <v>12.23</v>
      </c>
      <c r="M510">
        <v>12.55</v>
      </c>
      <c r="N510">
        <v>12.23</v>
      </c>
      <c r="O510">
        <v>12.23</v>
      </c>
      <c r="P510">
        <v>19.05</v>
      </c>
      <c r="Q510">
        <v>69494544</v>
      </c>
      <c r="R510">
        <v>1.51</v>
      </c>
      <c r="S510" t="s">
        <v>80</v>
      </c>
      <c r="T510" t="s">
        <v>149</v>
      </c>
      <c r="U510">
        <v>2.62</v>
      </c>
      <c r="V510">
        <v>12.44</v>
      </c>
      <c r="W510">
        <v>22596</v>
      </c>
      <c r="X510">
        <v>33259</v>
      </c>
      <c r="Y510">
        <v>0.68</v>
      </c>
      <c r="Z510">
        <v>532</v>
      </c>
      <c r="AA510">
        <v>202</v>
      </c>
      <c r="AB510" t="s">
        <v>32</v>
      </c>
      <c r="AC510">
        <v>4.61</v>
      </c>
    </row>
    <row r="511" spans="1:29">
      <c r="A511" t="str">
        <f>"002049"</f>
        <v>002049</v>
      </c>
      <c r="B511" t="s">
        <v>669</v>
      </c>
      <c r="C511">
        <v>0.53</v>
      </c>
      <c r="D511">
        <v>47.69</v>
      </c>
      <c r="E511">
        <v>0.25</v>
      </c>
      <c r="F511">
        <v>47.69</v>
      </c>
      <c r="G511">
        <v>47.7</v>
      </c>
      <c r="H511">
        <v>294464</v>
      </c>
      <c r="I511">
        <v>4018</v>
      </c>
      <c r="J511">
        <v>0.08</v>
      </c>
      <c r="K511">
        <v>4.87</v>
      </c>
      <c r="L511">
        <v>47.4</v>
      </c>
      <c r="M511">
        <v>48.36</v>
      </c>
      <c r="N511">
        <v>46.65</v>
      </c>
      <c r="O511">
        <v>47.44</v>
      </c>
      <c r="P511">
        <v>152.66</v>
      </c>
      <c r="Q511">
        <v>1400720640</v>
      </c>
      <c r="R511">
        <v>1.09</v>
      </c>
      <c r="S511" t="s">
        <v>63</v>
      </c>
      <c r="T511" t="s">
        <v>154</v>
      </c>
      <c r="U511">
        <v>3.6</v>
      </c>
      <c r="V511">
        <v>47.57</v>
      </c>
      <c r="W511">
        <v>136003</v>
      </c>
      <c r="X511">
        <v>158460</v>
      </c>
      <c r="Y511">
        <v>0.86</v>
      </c>
      <c r="Z511">
        <v>1087</v>
      </c>
      <c r="AA511">
        <v>932</v>
      </c>
      <c r="AB511" t="s">
        <v>32</v>
      </c>
      <c r="AC511">
        <v>6.05</v>
      </c>
    </row>
    <row r="512" spans="1:29">
      <c r="A512" t="str">
        <f>"002050"</f>
        <v>002050</v>
      </c>
      <c r="B512" t="s">
        <v>670</v>
      </c>
      <c r="C512">
        <v>1.21</v>
      </c>
      <c r="D512">
        <v>16.72</v>
      </c>
      <c r="E512">
        <v>0.2</v>
      </c>
      <c r="F512">
        <v>16.72</v>
      </c>
      <c r="G512">
        <v>16.73</v>
      </c>
      <c r="H512">
        <v>113180</v>
      </c>
      <c r="I512">
        <v>805</v>
      </c>
      <c r="J512">
        <v>0.12</v>
      </c>
      <c r="K512">
        <v>0.64</v>
      </c>
      <c r="L512">
        <v>16.6</v>
      </c>
      <c r="M512">
        <v>16.97</v>
      </c>
      <c r="N512">
        <v>16.35</v>
      </c>
      <c r="O512">
        <v>16.52</v>
      </c>
      <c r="P512">
        <v>35.69</v>
      </c>
      <c r="Q512">
        <v>189502160</v>
      </c>
      <c r="R512">
        <v>1.36</v>
      </c>
      <c r="S512" t="s">
        <v>241</v>
      </c>
      <c r="T512" t="s">
        <v>149</v>
      </c>
      <c r="U512">
        <v>3.75</v>
      </c>
      <c r="V512">
        <v>16.74</v>
      </c>
      <c r="W512">
        <v>56076</v>
      </c>
      <c r="X512">
        <v>57103</v>
      </c>
      <c r="Y512">
        <v>0.98</v>
      </c>
      <c r="Z512">
        <v>562</v>
      </c>
      <c r="AA512">
        <v>63</v>
      </c>
      <c r="AB512" t="s">
        <v>32</v>
      </c>
      <c r="AC512">
        <v>17.73</v>
      </c>
    </row>
    <row r="513" spans="1:29">
      <c r="A513" t="str">
        <f>"002051"</f>
        <v>002051</v>
      </c>
      <c r="B513" t="s">
        <v>671</v>
      </c>
      <c r="C513" t="s">
        <v>32</v>
      </c>
      <c r="D513">
        <v>15.27</v>
      </c>
      <c r="E513" t="s">
        <v>32</v>
      </c>
      <c r="F513" t="s">
        <v>32</v>
      </c>
      <c r="G513" t="s">
        <v>32</v>
      </c>
      <c r="H513">
        <v>0</v>
      </c>
      <c r="I513">
        <v>0</v>
      </c>
      <c r="J513" t="s">
        <v>32</v>
      </c>
      <c r="K513">
        <v>0</v>
      </c>
      <c r="L513" t="s">
        <v>32</v>
      </c>
      <c r="M513" t="s">
        <v>32</v>
      </c>
      <c r="N513" t="s">
        <v>32</v>
      </c>
      <c r="O513">
        <v>15.27</v>
      </c>
      <c r="P513">
        <v>19.44</v>
      </c>
      <c r="Q513">
        <v>0</v>
      </c>
      <c r="R513">
        <v>0</v>
      </c>
      <c r="S513" t="s">
        <v>49</v>
      </c>
      <c r="T513" t="s">
        <v>45</v>
      </c>
      <c r="U513">
        <v>0</v>
      </c>
      <c r="V513">
        <v>15.27</v>
      </c>
      <c r="W513">
        <v>0</v>
      </c>
      <c r="X513">
        <v>0</v>
      </c>
      <c r="Y513" t="s">
        <v>32</v>
      </c>
      <c r="Z513">
        <v>0</v>
      </c>
      <c r="AA513">
        <v>0</v>
      </c>
      <c r="AB513" t="s">
        <v>32</v>
      </c>
      <c r="AC513">
        <v>11.08</v>
      </c>
    </row>
    <row r="514" spans="1:29">
      <c r="A514" t="str">
        <f>"002052"</f>
        <v>002052</v>
      </c>
      <c r="B514" t="s">
        <v>672</v>
      </c>
      <c r="C514">
        <v>0.46</v>
      </c>
      <c r="D514">
        <v>4.39</v>
      </c>
      <c r="E514">
        <v>0.02</v>
      </c>
      <c r="F514">
        <v>4.39</v>
      </c>
      <c r="G514">
        <v>4.4</v>
      </c>
      <c r="H514">
        <v>167257</v>
      </c>
      <c r="I514">
        <v>6972</v>
      </c>
      <c r="J514">
        <v>-0.22</v>
      </c>
      <c r="K514">
        <v>2.24</v>
      </c>
      <c r="L514">
        <v>4.32</v>
      </c>
      <c r="M514">
        <v>4.43</v>
      </c>
      <c r="N514">
        <v>4.31</v>
      </c>
      <c r="O514">
        <v>4.37</v>
      </c>
      <c r="P514" t="s">
        <v>32</v>
      </c>
      <c r="Q514">
        <v>73174736</v>
      </c>
      <c r="R514">
        <v>0.79</v>
      </c>
      <c r="S514" t="s">
        <v>119</v>
      </c>
      <c r="T514" t="s">
        <v>31</v>
      </c>
      <c r="U514">
        <v>2.75</v>
      </c>
      <c r="V514">
        <v>4.37</v>
      </c>
      <c r="W514">
        <v>90456</v>
      </c>
      <c r="X514">
        <v>76801</v>
      </c>
      <c r="Y514">
        <v>1.18</v>
      </c>
      <c r="Z514">
        <v>1432</v>
      </c>
      <c r="AA514">
        <v>3013</v>
      </c>
      <c r="AB514" t="s">
        <v>32</v>
      </c>
      <c r="AC514">
        <v>7.46</v>
      </c>
    </row>
    <row r="515" spans="1:29">
      <c r="A515" t="str">
        <f>"002053"</f>
        <v>002053</v>
      </c>
      <c r="B515" t="s">
        <v>673</v>
      </c>
      <c r="C515">
        <v>0.23</v>
      </c>
      <c r="D515">
        <v>8.57</v>
      </c>
      <c r="E515">
        <v>0.02</v>
      </c>
      <c r="F515">
        <v>8.57</v>
      </c>
      <c r="G515">
        <v>8.58</v>
      </c>
      <c r="H515">
        <v>12262</v>
      </c>
      <c r="I515">
        <v>115</v>
      </c>
      <c r="J515">
        <v>-0.11</v>
      </c>
      <c r="K515">
        <v>0.33</v>
      </c>
      <c r="L515">
        <v>8.55</v>
      </c>
      <c r="M515">
        <v>8.63</v>
      </c>
      <c r="N515">
        <v>8.49</v>
      </c>
      <c r="O515">
        <v>8.55</v>
      </c>
      <c r="P515">
        <v>32.15</v>
      </c>
      <c r="Q515">
        <v>10519646</v>
      </c>
      <c r="R515">
        <v>0.66</v>
      </c>
      <c r="S515" t="s">
        <v>213</v>
      </c>
      <c r="T515" t="s">
        <v>250</v>
      </c>
      <c r="U515">
        <v>1.64</v>
      </c>
      <c r="V515">
        <v>8.58</v>
      </c>
      <c r="W515">
        <v>7113</v>
      </c>
      <c r="X515">
        <v>5148</v>
      </c>
      <c r="Y515">
        <v>1.38</v>
      </c>
      <c r="Z515">
        <v>304</v>
      </c>
      <c r="AA515">
        <v>264</v>
      </c>
      <c r="AB515" t="s">
        <v>32</v>
      </c>
      <c r="AC515">
        <v>3.72</v>
      </c>
    </row>
    <row r="516" spans="1:29">
      <c r="A516" t="str">
        <f>"002054"</f>
        <v>002054</v>
      </c>
      <c r="B516" t="s">
        <v>674</v>
      </c>
      <c r="C516">
        <v>2.64</v>
      </c>
      <c r="D516">
        <v>5.06</v>
      </c>
      <c r="E516">
        <v>0.13</v>
      </c>
      <c r="F516">
        <v>5.05</v>
      </c>
      <c r="G516">
        <v>5.06</v>
      </c>
      <c r="H516">
        <v>77109</v>
      </c>
      <c r="I516">
        <v>1785</v>
      </c>
      <c r="J516">
        <v>0.2</v>
      </c>
      <c r="K516">
        <v>2.45</v>
      </c>
      <c r="L516">
        <v>4.94</v>
      </c>
      <c r="M516">
        <v>5.09</v>
      </c>
      <c r="N516">
        <v>4.9</v>
      </c>
      <c r="O516">
        <v>4.93</v>
      </c>
      <c r="P516">
        <v>191.26</v>
      </c>
      <c r="Q516">
        <v>38688212</v>
      </c>
      <c r="R516">
        <v>1.36</v>
      </c>
      <c r="S516" t="s">
        <v>218</v>
      </c>
      <c r="T516" t="s">
        <v>136</v>
      </c>
      <c r="U516">
        <v>3.85</v>
      </c>
      <c r="V516">
        <v>5.02</v>
      </c>
      <c r="W516">
        <v>35037</v>
      </c>
      <c r="X516">
        <v>42072</v>
      </c>
      <c r="Y516">
        <v>0.83</v>
      </c>
      <c r="Z516">
        <v>979</v>
      </c>
      <c r="AA516">
        <v>1263</v>
      </c>
      <c r="AB516" t="s">
        <v>32</v>
      </c>
      <c r="AC516">
        <v>3.15</v>
      </c>
    </row>
    <row r="517" spans="1:29">
      <c r="A517" t="str">
        <f>"002055"</f>
        <v>002055</v>
      </c>
      <c r="B517" t="s">
        <v>675</v>
      </c>
      <c r="C517">
        <v>1.9</v>
      </c>
      <c r="D517">
        <v>14.45</v>
      </c>
      <c r="E517">
        <v>0.27</v>
      </c>
      <c r="F517">
        <v>14.44</v>
      </c>
      <c r="G517">
        <v>14.45</v>
      </c>
      <c r="H517">
        <v>58396</v>
      </c>
      <c r="I517">
        <v>454</v>
      </c>
      <c r="J517">
        <v>-0.06</v>
      </c>
      <c r="K517">
        <v>1.37</v>
      </c>
      <c r="L517">
        <v>14.2</v>
      </c>
      <c r="M517">
        <v>14.57</v>
      </c>
      <c r="N517">
        <v>14.09</v>
      </c>
      <c r="O517">
        <v>14.18</v>
      </c>
      <c r="P517">
        <v>52.53</v>
      </c>
      <c r="Q517">
        <v>83741896</v>
      </c>
      <c r="R517">
        <v>1.54</v>
      </c>
      <c r="S517" t="s">
        <v>63</v>
      </c>
      <c r="T517" t="s">
        <v>31</v>
      </c>
      <c r="U517">
        <v>3.39</v>
      </c>
      <c r="V517">
        <v>14.34</v>
      </c>
      <c r="W517">
        <v>25184</v>
      </c>
      <c r="X517">
        <v>33211</v>
      </c>
      <c r="Y517">
        <v>0.76</v>
      </c>
      <c r="Z517">
        <v>186</v>
      </c>
      <c r="AA517">
        <v>683</v>
      </c>
      <c r="AB517" t="s">
        <v>32</v>
      </c>
      <c r="AC517">
        <v>4.27</v>
      </c>
    </row>
    <row r="518" spans="1:29">
      <c r="A518" t="str">
        <f>"002056"</f>
        <v>002056</v>
      </c>
      <c r="B518" t="s">
        <v>676</v>
      </c>
      <c r="C518">
        <v>1.55</v>
      </c>
      <c r="D518">
        <v>7.84</v>
      </c>
      <c r="E518">
        <v>0.12</v>
      </c>
      <c r="F518">
        <v>7.84</v>
      </c>
      <c r="G518">
        <v>7.85</v>
      </c>
      <c r="H518">
        <v>290333</v>
      </c>
      <c r="I518">
        <v>2920</v>
      </c>
      <c r="J518">
        <v>-0.12</v>
      </c>
      <c r="K518">
        <v>1.77</v>
      </c>
      <c r="L518">
        <v>7.69</v>
      </c>
      <c r="M518">
        <v>7.98</v>
      </c>
      <c r="N518">
        <v>7.63</v>
      </c>
      <c r="O518">
        <v>7.72</v>
      </c>
      <c r="P518">
        <v>30.81</v>
      </c>
      <c r="Q518">
        <v>226924224</v>
      </c>
      <c r="R518">
        <v>1.85</v>
      </c>
      <c r="S518" t="s">
        <v>63</v>
      </c>
      <c r="T518" t="s">
        <v>149</v>
      </c>
      <c r="U518">
        <v>4.53</v>
      </c>
      <c r="V518">
        <v>7.82</v>
      </c>
      <c r="W518">
        <v>132943</v>
      </c>
      <c r="X518">
        <v>157390</v>
      </c>
      <c r="Y518">
        <v>0.84</v>
      </c>
      <c r="Z518">
        <v>2677</v>
      </c>
      <c r="AA518">
        <v>1402</v>
      </c>
      <c r="AB518" t="s">
        <v>32</v>
      </c>
      <c r="AC518">
        <v>16.43</v>
      </c>
    </row>
    <row r="519" spans="1:29">
      <c r="A519" t="str">
        <f>"002057"</f>
        <v>002057</v>
      </c>
      <c r="B519" t="s">
        <v>677</v>
      </c>
      <c r="C519">
        <v>2.36</v>
      </c>
      <c r="D519">
        <v>6.95</v>
      </c>
      <c r="E519">
        <v>0.16</v>
      </c>
      <c r="F519">
        <v>6.95</v>
      </c>
      <c r="G519">
        <v>6.96</v>
      </c>
      <c r="H519">
        <v>45366</v>
      </c>
      <c r="I519">
        <v>649</v>
      </c>
      <c r="J519">
        <v>0.14</v>
      </c>
      <c r="K519">
        <v>1.52</v>
      </c>
      <c r="L519">
        <v>6.84</v>
      </c>
      <c r="M519">
        <v>7.02</v>
      </c>
      <c r="N519">
        <v>6.76</v>
      </c>
      <c r="O519">
        <v>6.79</v>
      </c>
      <c r="P519">
        <v>18.89</v>
      </c>
      <c r="Q519">
        <v>31370994</v>
      </c>
      <c r="R519">
        <v>2.08</v>
      </c>
      <c r="S519" t="s">
        <v>63</v>
      </c>
      <c r="T519" t="s">
        <v>143</v>
      </c>
      <c r="U519">
        <v>3.83</v>
      </c>
      <c r="V519">
        <v>6.92</v>
      </c>
      <c r="W519">
        <v>18774</v>
      </c>
      <c r="X519">
        <v>26592</v>
      </c>
      <c r="Y519">
        <v>0.71</v>
      </c>
      <c r="Z519">
        <v>283</v>
      </c>
      <c r="AA519">
        <v>1703</v>
      </c>
      <c r="AB519" t="s">
        <v>32</v>
      </c>
      <c r="AC519">
        <v>2.99</v>
      </c>
    </row>
    <row r="520" spans="1:29">
      <c r="A520" t="str">
        <f>"002058"</f>
        <v>002058</v>
      </c>
      <c r="B520" t="s">
        <v>678</v>
      </c>
      <c r="C520">
        <v>2.11</v>
      </c>
      <c r="D520">
        <v>11.12</v>
      </c>
      <c r="E520">
        <v>0.23</v>
      </c>
      <c r="F520">
        <v>11.1</v>
      </c>
      <c r="G520">
        <v>11.12</v>
      </c>
      <c r="H520">
        <v>9739</v>
      </c>
      <c r="I520">
        <v>328</v>
      </c>
      <c r="J520">
        <v>0.45</v>
      </c>
      <c r="K520">
        <v>0.68</v>
      </c>
      <c r="L520">
        <v>10.87</v>
      </c>
      <c r="M520">
        <v>11.15</v>
      </c>
      <c r="N520">
        <v>10.61</v>
      </c>
      <c r="O520">
        <v>10.89</v>
      </c>
      <c r="P520" t="s">
        <v>32</v>
      </c>
      <c r="Q520">
        <v>10715763</v>
      </c>
      <c r="R520">
        <v>0.94</v>
      </c>
      <c r="S520" t="s">
        <v>606</v>
      </c>
      <c r="T520" t="s">
        <v>366</v>
      </c>
      <c r="U520">
        <v>4.96</v>
      </c>
      <c r="V520">
        <v>11</v>
      </c>
      <c r="W520">
        <v>3796</v>
      </c>
      <c r="X520">
        <v>5943</v>
      </c>
      <c r="Y520">
        <v>0.64</v>
      </c>
      <c r="Z520">
        <v>20</v>
      </c>
      <c r="AA520">
        <v>2</v>
      </c>
      <c r="AB520" t="s">
        <v>32</v>
      </c>
      <c r="AC520">
        <v>1.43</v>
      </c>
    </row>
    <row r="521" spans="1:29">
      <c r="A521" t="str">
        <f>"002059"</f>
        <v>002059</v>
      </c>
      <c r="B521" t="s">
        <v>679</v>
      </c>
      <c r="C521" t="s">
        <v>32</v>
      </c>
      <c r="D521">
        <v>7.28</v>
      </c>
      <c r="E521" t="s">
        <v>32</v>
      </c>
      <c r="F521" t="s">
        <v>32</v>
      </c>
      <c r="G521" t="s">
        <v>32</v>
      </c>
      <c r="H521">
        <v>0</v>
      </c>
      <c r="I521">
        <v>0</v>
      </c>
      <c r="J521" t="s">
        <v>32</v>
      </c>
      <c r="K521">
        <v>0</v>
      </c>
      <c r="L521" t="s">
        <v>32</v>
      </c>
      <c r="M521" t="s">
        <v>32</v>
      </c>
      <c r="N521" t="s">
        <v>32</v>
      </c>
      <c r="O521">
        <v>7.28</v>
      </c>
      <c r="P521" t="s">
        <v>32</v>
      </c>
      <c r="Q521">
        <v>0</v>
      </c>
      <c r="R521">
        <v>0</v>
      </c>
      <c r="S521" t="s">
        <v>124</v>
      </c>
      <c r="T521" t="s">
        <v>250</v>
      </c>
      <c r="U521">
        <v>0</v>
      </c>
      <c r="V521">
        <v>7.28</v>
      </c>
      <c r="W521">
        <v>0</v>
      </c>
      <c r="X521">
        <v>0</v>
      </c>
      <c r="Y521" t="s">
        <v>32</v>
      </c>
      <c r="Z521">
        <v>0</v>
      </c>
      <c r="AA521">
        <v>0</v>
      </c>
      <c r="AB521" t="s">
        <v>32</v>
      </c>
      <c r="AC521">
        <v>7.31</v>
      </c>
    </row>
    <row r="522" spans="1:29">
      <c r="A522" t="str">
        <f>"002060"</f>
        <v>002060</v>
      </c>
      <c r="B522" t="s">
        <v>680</v>
      </c>
      <c r="C522">
        <v>4.83</v>
      </c>
      <c r="D522">
        <v>3.04</v>
      </c>
      <c r="E522">
        <v>0.14</v>
      </c>
      <c r="F522">
        <v>3.04</v>
      </c>
      <c r="G522">
        <v>3.05</v>
      </c>
      <c r="H522">
        <v>145712</v>
      </c>
      <c r="I522">
        <v>3011</v>
      </c>
      <c r="J522">
        <v>0</v>
      </c>
      <c r="K522">
        <v>1.21</v>
      </c>
      <c r="L522">
        <v>2.9</v>
      </c>
      <c r="M522">
        <v>3.07</v>
      </c>
      <c r="N522">
        <v>2.9</v>
      </c>
      <c r="O522">
        <v>2.9</v>
      </c>
      <c r="P522">
        <v>40.32</v>
      </c>
      <c r="Q522">
        <v>43790840</v>
      </c>
      <c r="R522">
        <v>2.95</v>
      </c>
      <c r="S522" t="s">
        <v>49</v>
      </c>
      <c r="T522" t="s">
        <v>136</v>
      </c>
      <c r="U522">
        <v>5.86</v>
      </c>
      <c r="V522">
        <v>3.01</v>
      </c>
      <c r="W522">
        <v>51256</v>
      </c>
      <c r="X522">
        <v>94456</v>
      </c>
      <c r="Y522">
        <v>0.54</v>
      </c>
      <c r="Z522">
        <v>548</v>
      </c>
      <c r="AA522">
        <v>4224</v>
      </c>
      <c r="AB522" t="s">
        <v>32</v>
      </c>
      <c r="AC522">
        <v>12.02</v>
      </c>
    </row>
    <row r="523" spans="1:29">
      <c r="A523" t="str">
        <f>"002061"</f>
        <v>002061</v>
      </c>
      <c r="B523" t="s">
        <v>681</v>
      </c>
      <c r="C523">
        <v>7.53</v>
      </c>
      <c r="D523">
        <v>11</v>
      </c>
      <c r="E523">
        <v>0.77</v>
      </c>
      <c r="F523">
        <v>11</v>
      </c>
      <c r="G523">
        <v>11.01</v>
      </c>
      <c r="H523">
        <v>162424</v>
      </c>
      <c r="I523">
        <v>1566</v>
      </c>
      <c r="J523">
        <v>0.27</v>
      </c>
      <c r="K523">
        <v>2.9</v>
      </c>
      <c r="L523">
        <v>10.4</v>
      </c>
      <c r="M523">
        <v>11.08</v>
      </c>
      <c r="N523">
        <v>10.4</v>
      </c>
      <c r="O523">
        <v>10.23</v>
      </c>
      <c r="P523">
        <v>12.04</v>
      </c>
      <c r="Q523">
        <v>175191792</v>
      </c>
      <c r="R523">
        <v>3.89</v>
      </c>
      <c r="S523" t="s">
        <v>218</v>
      </c>
      <c r="T523" t="s">
        <v>149</v>
      </c>
      <c r="U523">
        <v>6.65</v>
      </c>
      <c r="V523">
        <v>10.79</v>
      </c>
      <c r="W523">
        <v>56124</v>
      </c>
      <c r="X523">
        <v>106300</v>
      </c>
      <c r="Y523">
        <v>0.53</v>
      </c>
      <c r="Z523">
        <v>363</v>
      </c>
      <c r="AA523">
        <v>187</v>
      </c>
      <c r="AB523" t="s">
        <v>32</v>
      </c>
      <c r="AC523">
        <v>5.59</v>
      </c>
    </row>
    <row r="524" spans="1:29">
      <c r="A524" t="str">
        <f>"002062"</f>
        <v>002062</v>
      </c>
      <c r="B524" t="s">
        <v>682</v>
      </c>
      <c r="C524">
        <v>8.06</v>
      </c>
      <c r="D524">
        <v>4.02</v>
      </c>
      <c r="E524">
        <v>0.3</v>
      </c>
      <c r="F524">
        <v>4.02</v>
      </c>
      <c r="G524">
        <v>4.03</v>
      </c>
      <c r="H524">
        <v>134824</v>
      </c>
      <c r="I524">
        <v>5114</v>
      </c>
      <c r="J524">
        <v>0.5</v>
      </c>
      <c r="K524">
        <v>1.42</v>
      </c>
      <c r="L524">
        <v>3.74</v>
      </c>
      <c r="M524">
        <v>4.02</v>
      </c>
      <c r="N524">
        <v>3.72</v>
      </c>
      <c r="O524">
        <v>3.72</v>
      </c>
      <c r="P524">
        <v>13.63</v>
      </c>
      <c r="Q524">
        <v>52879728</v>
      </c>
      <c r="R524">
        <v>6.04</v>
      </c>
      <c r="S524" t="s">
        <v>49</v>
      </c>
      <c r="T524" t="s">
        <v>149</v>
      </c>
      <c r="U524">
        <v>8.06</v>
      </c>
      <c r="V524">
        <v>3.92</v>
      </c>
      <c r="W524">
        <v>50838</v>
      </c>
      <c r="X524">
        <v>83985</v>
      </c>
      <c r="Y524">
        <v>0.61</v>
      </c>
      <c r="Z524">
        <v>79</v>
      </c>
      <c r="AA524">
        <v>485</v>
      </c>
      <c r="AB524" t="s">
        <v>32</v>
      </c>
      <c r="AC524">
        <v>9.52</v>
      </c>
    </row>
    <row r="525" spans="1:29">
      <c r="A525" t="str">
        <f>"002063"</f>
        <v>002063</v>
      </c>
      <c r="B525" t="s">
        <v>683</v>
      </c>
      <c r="C525">
        <v>1.57</v>
      </c>
      <c r="D525">
        <v>9.04</v>
      </c>
      <c r="E525">
        <v>0.14</v>
      </c>
      <c r="F525">
        <v>9.03</v>
      </c>
      <c r="G525">
        <v>9.04</v>
      </c>
      <c r="H525">
        <v>104508</v>
      </c>
      <c r="I525">
        <v>1724</v>
      </c>
      <c r="J525">
        <v>0.11</v>
      </c>
      <c r="K525">
        <v>1.95</v>
      </c>
      <c r="L525">
        <v>8.84</v>
      </c>
      <c r="M525">
        <v>9.13</v>
      </c>
      <c r="N525">
        <v>8.82</v>
      </c>
      <c r="O525">
        <v>8.9</v>
      </c>
      <c r="P525">
        <v>225.93</v>
      </c>
      <c r="Q525">
        <v>93907352</v>
      </c>
      <c r="R525">
        <v>1.12</v>
      </c>
      <c r="S525" t="s">
        <v>270</v>
      </c>
      <c r="T525" t="s">
        <v>136</v>
      </c>
      <c r="U525">
        <v>3.48</v>
      </c>
      <c r="V525">
        <v>8.99</v>
      </c>
      <c r="W525">
        <v>54707</v>
      </c>
      <c r="X525">
        <v>49801</v>
      </c>
      <c r="Y525">
        <v>1.1</v>
      </c>
      <c r="Z525">
        <v>892</v>
      </c>
      <c r="AA525">
        <v>87</v>
      </c>
      <c r="AB525" t="s">
        <v>32</v>
      </c>
      <c r="AC525">
        <v>5.35</v>
      </c>
    </row>
    <row r="526" spans="1:29">
      <c r="A526" t="str">
        <f>"002064"</f>
        <v>002064</v>
      </c>
      <c r="B526" t="s">
        <v>684</v>
      </c>
      <c r="C526">
        <v>2.25</v>
      </c>
      <c r="D526">
        <v>4.09</v>
      </c>
      <c r="E526">
        <v>0.09</v>
      </c>
      <c r="F526">
        <v>4.08</v>
      </c>
      <c r="G526">
        <v>4.09</v>
      </c>
      <c r="H526">
        <v>93080</v>
      </c>
      <c r="I526">
        <v>2668</v>
      </c>
      <c r="J526">
        <v>0</v>
      </c>
      <c r="K526">
        <v>0.6</v>
      </c>
      <c r="L526">
        <v>3.99</v>
      </c>
      <c r="M526">
        <v>4.09</v>
      </c>
      <c r="N526">
        <v>3.97</v>
      </c>
      <c r="O526">
        <v>4</v>
      </c>
      <c r="P526">
        <v>15.53</v>
      </c>
      <c r="Q526">
        <v>37826204</v>
      </c>
      <c r="R526">
        <v>2.41</v>
      </c>
      <c r="S526" t="s">
        <v>190</v>
      </c>
      <c r="T526" t="s">
        <v>149</v>
      </c>
      <c r="U526">
        <v>3</v>
      </c>
      <c r="V526">
        <v>4.06</v>
      </c>
      <c r="W526">
        <v>35780</v>
      </c>
      <c r="X526">
        <v>57300</v>
      </c>
      <c r="Y526">
        <v>0.62</v>
      </c>
      <c r="Z526">
        <v>7587</v>
      </c>
      <c r="AA526">
        <v>3250</v>
      </c>
      <c r="AB526" t="s">
        <v>32</v>
      </c>
      <c r="AC526">
        <v>15.39</v>
      </c>
    </row>
    <row r="527" spans="1:29">
      <c r="A527" t="str">
        <f>"002065"</f>
        <v>002065</v>
      </c>
      <c r="B527" t="s">
        <v>685</v>
      </c>
      <c r="C527">
        <v>0.74</v>
      </c>
      <c r="D527">
        <v>9.57</v>
      </c>
      <c r="E527">
        <v>0.07</v>
      </c>
      <c r="F527">
        <v>9.57</v>
      </c>
      <c r="G527">
        <v>9.58</v>
      </c>
      <c r="H527">
        <v>522799</v>
      </c>
      <c r="I527">
        <v>4242</v>
      </c>
      <c r="J527">
        <v>0.63</v>
      </c>
      <c r="K527">
        <v>1.87</v>
      </c>
      <c r="L527">
        <v>9.5</v>
      </c>
      <c r="M527">
        <v>9.77</v>
      </c>
      <c r="N527">
        <v>9.35</v>
      </c>
      <c r="O527">
        <v>9.5</v>
      </c>
      <c r="P527">
        <v>55.84</v>
      </c>
      <c r="Q527">
        <v>500147616</v>
      </c>
      <c r="R527">
        <v>1.2</v>
      </c>
      <c r="S527" t="s">
        <v>270</v>
      </c>
      <c r="T527" t="s">
        <v>45</v>
      </c>
      <c r="U527">
        <v>4.42</v>
      </c>
      <c r="V527">
        <v>9.57</v>
      </c>
      <c r="W527">
        <v>257051</v>
      </c>
      <c r="X527">
        <v>265748</v>
      </c>
      <c r="Y527">
        <v>0.97</v>
      </c>
      <c r="Z527">
        <v>1873</v>
      </c>
      <c r="AA527">
        <v>2123</v>
      </c>
      <c r="AB527" t="s">
        <v>32</v>
      </c>
      <c r="AC527">
        <v>27.92</v>
      </c>
    </row>
    <row r="528" spans="1:29">
      <c r="A528" t="str">
        <f>"002066"</f>
        <v>002066</v>
      </c>
      <c r="B528" t="s">
        <v>686</v>
      </c>
      <c r="C528">
        <v>1.95</v>
      </c>
      <c r="D528">
        <v>7.86</v>
      </c>
      <c r="E528">
        <v>0.15</v>
      </c>
      <c r="F528">
        <v>7.86</v>
      </c>
      <c r="G528">
        <v>7.87</v>
      </c>
      <c r="H528">
        <v>33876</v>
      </c>
      <c r="I528">
        <v>294</v>
      </c>
      <c r="J528">
        <v>0.38</v>
      </c>
      <c r="K528">
        <v>1.47</v>
      </c>
      <c r="L528">
        <v>7.66</v>
      </c>
      <c r="M528">
        <v>7.97</v>
      </c>
      <c r="N528">
        <v>7.66</v>
      </c>
      <c r="O528">
        <v>7.71</v>
      </c>
      <c r="P528">
        <v>76.33</v>
      </c>
      <c r="Q528">
        <v>26570530</v>
      </c>
      <c r="R528">
        <v>1.83</v>
      </c>
      <c r="S528" t="s">
        <v>69</v>
      </c>
      <c r="T528" t="s">
        <v>45</v>
      </c>
      <c r="U528">
        <v>4.02</v>
      </c>
      <c r="V528">
        <v>7.84</v>
      </c>
      <c r="W528">
        <v>16774</v>
      </c>
      <c r="X528">
        <v>17102</v>
      </c>
      <c r="Y528">
        <v>0.98</v>
      </c>
      <c r="Z528">
        <v>173</v>
      </c>
      <c r="AA528">
        <v>244</v>
      </c>
      <c r="AB528" t="s">
        <v>32</v>
      </c>
      <c r="AC528">
        <v>2.31</v>
      </c>
    </row>
    <row r="529" spans="1:29">
      <c r="A529" t="str">
        <f>"002067"</f>
        <v>002067</v>
      </c>
      <c r="B529" t="s">
        <v>687</v>
      </c>
      <c r="C529">
        <v>3.65</v>
      </c>
      <c r="D529">
        <v>3.98</v>
      </c>
      <c r="E529">
        <v>0.14</v>
      </c>
      <c r="F529">
        <v>3.97</v>
      </c>
      <c r="G529">
        <v>3.98</v>
      </c>
      <c r="H529">
        <v>192988</v>
      </c>
      <c r="I529">
        <v>6296</v>
      </c>
      <c r="J529">
        <v>0.76</v>
      </c>
      <c r="K529">
        <v>2.01</v>
      </c>
      <c r="L529">
        <v>3.84</v>
      </c>
      <c r="M529">
        <v>3.99</v>
      </c>
      <c r="N529">
        <v>3.83</v>
      </c>
      <c r="O529">
        <v>3.84</v>
      </c>
      <c r="P529">
        <v>10.87</v>
      </c>
      <c r="Q529">
        <v>75713144</v>
      </c>
      <c r="R529">
        <v>2.46</v>
      </c>
      <c r="S529" t="s">
        <v>204</v>
      </c>
      <c r="T529" t="s">
        <v>149</v>
      </c>
      <c r="U529">
        <v>4.17</v>
      </c>
      <c r="V529">
        <v>3.92</v>
      </c>
      <c r="W529">
        <v>78668</v>
      </c>
      <c r="X529">
        <v>114320</v>
      </c>
      <c r="Y529">
        <v>0.69</v>
      </c>
      <c r="Z529">
        <v>1120</v>
      </c>
      <c r="AA529">
        <v>1336</v>
      </c>
      <c r="AB529" t="s">
        <v>32</v>
      </c>
      <c r="AC529">
        <v>9.6</v>
      </c>
    </row>
    <row r="530" spans="1:29">
      <c r="A530" t="str">
        <f>"002068"</f>
        <v>002068</v>
      </c>
      <c r="B530" t="s">
        <v>688</v>
      </c>
      <c r="C530">
        <v>0.83</v>
      </c>
      <c r="D530">
        <v>8.48</v>
      </c>
      <c r="E530">
        <v>0.07</v>
      </c>
      <c r="F530">
        <v>8.48</v>
      </c>
      <c r="G530">
        <v>8.49</v>
      </c>
      <c r="H530">
        <v>114175</v>
      </c>
      <c r="I530">
        <v>980</v>
      </c>
      <c r="J530">
        <v>0</v>
      </c>
      <c r="K530">
        <v>1.88</v>
      </c>
      <c r="L530">
        <v>8.38</v>
      </c>
      <c r="M530">
        <v>8.57</v>
      </c>
      <c r="N530">
        <v>8.33</v>
      </c>
      <c r="O530">
        <v>8.41</v>
      </c>
      <c r="P530">
        <v>11.43</v>
      </c>
      <c r="Q530">
        <v>96908112</v>
      </c>
      <c r="R530">
        <v>1.69</v>
      </c>
      <c r="S530" t="s">
        <v>218</v>
      </c>
      <c r="T530" t="s">
        <v>172</v>
      </c>
      <c r="U530">
        <v>2.85</v>
      </c>
      <c r="V530">
        <v>8.49</v>
      </c>
      <c r="W530">
        <v>55361</v>
      </c>
      <c r="X530">
        <v>58814</v>
      </c>
      <c r="Y530">
        <v>0.94</v>
      </c>
      <c r="Z530">
        <v>992</v>
      </c>
      <c r="AA530">
        <v>1201</v>
      </c>
      <c r="AB530" t="s">
        <v>32</v>
      </c>
      <c r="AC530">
        <v>6.07</v>
      </c>
    </row>
    <row r="531" spans="1:29">
      <c r="A531" t="str">
        <f>"002069"</f>
        <v>002069</v>
      </c>
      <c r="B531" t="s">
        <v>689</v>
      </c>
      <c r="C531">
        <v>1.36</v>
      </c>
      <c r="D531">
        <v>3.74</v>
      </c>
      <c r="E531">
        <v>0.05</v>
      </c>
      <c r="F531">
        <v>3.73</v>
      </c>
      <c r="G531">
        <v>3.74</v>
      </c>
      <c r="H531">
        <v>76668</v>
      </c>
      <c r="I531">
        <v>181</v>
      </c>
      <c r="J531">
        <v>0</v>
      </c>
      <c r="K531">
        <v>1.12</v>
      </c>
      <c r="L531">
        <v>3.7</v>
      </c>
      <c r="M531">
        <v>3.76</v>
      </c>
      <c r="N531">
        <v>3.66</v>
      </c>
      <c r="O531">
        <v>3.69</v>
      </c>
      <c r="P531" t="s">
        <v>32</v>
      </c>
      <c r="Q531">
        <v>28507108</v>
      </c>
      <c r="R531">
        <v>1.62</v>
      </c>
      <c r="S531" t="s">
        <v>466</v>
      </c>
      <c r="T531" t="s">
        <v>111</v>
      </c>
      <c r="U531">
        <v>2.71</v>
      </c>
      <c r="V531">
        <v>3.72</v>
      </c>
      <c r="W531">
        <v>31368</v>
      </c>
      <c r="X531">
        <v>45300</v>
      </c>
      <c r="Y531">
        <v>0.69</v>
      </c>
      <c r="Z531">
        <v>668</v>
      </c>
      <c r="AA531">
        <v>203</v>
      </c>
      <c r="AB531" t="s">
        <v>32</v>
      </c>
      <c r="AC531">
        <v>6.87</v>
      </c>
    </row>
    <row r="532" spans="1:29">
      <c r="A532" t="str">
        <f>"002071"</f>
        <v>002071</v>
      </c>
      <c r="B532" t="s">
        <v>690</v>
      </c>
      <c r="C532">
        <v>1.07</v>
      </c>
      <c r="D532">
        <v>5.66</v>
      </c>
      <c r="E532">
        <v>0.06</v>
      </c>
      <c r="F532">
        <v>5.65</v>
      </c>
      <c r="G532">
        <v>5.66</v>
      </c>
      <c r="H532">
        <v>214768</v>
      </c>
      <c r="I532">
        <v>3615</v>
      </c>
      <c r="J532">
        <v>0.35</v>
      </c>
      <c r="K532">
        <v>4.14</v>
      </c>
      <c r="L532">
        <v>5.6</v>
      </c>
      <c r="M532">
        <v>5.67</v>
      </c>
      <c r="N532">
        <v>5.55</v>
      </c>
      <c r="O532">
        <v>5.6</v>
      </c>
      <c r="P532">
        <v>40.38</v>
      </c>
      <c r="Q532">
        <v>120841392</v>
      </c>
      <c r="R532">
        <v>1.4</v>
      </c>
      <c r="S532" t="s">
        <v>148</v>
      </c>
      <c r="T532" t="s">
        <v>87</v>
      </c>
      <c r="U532">
        <v>2.14</v>
      </c>
      <c r="V532">
        <v>5.63</v>
      </c>
      <c r="W532">
        <v>105508</v>
      </c>
      <c r="X532">
        <v>109260</v>
      </c>
      <c r="Y532">
        <v>0.97</v>
      </c>
      <c r="Z532">
        <v>763</v>
      </c>
      <c r="AA532">
        <v>3766</v>
      </c>
      <c r="AB532" t="s">
        <v>32</v>
      </c>
      <c r="AC532">
        <v>5.18</v>
      </c>
    </row>
    <row r="533" spans="1:29">
      <c r="A533" t="str">
        <f>"002072"</f>
        <v>002072</v>
      </c>
      <c r="B533" t="s">
        <v>691</v>
      </c>
      <c r="C533">
        <v>-0.53</v>
      </c>
      <c r="D533">
        <v>7.48</v>
      </c>
      <c r="E533">
        <v>-0.04</v>
      </c>
      <c r="F533">
        <v>7.47</v>
      </c>
      <c r="G533">
        <v>7.48</v>
      </c>
      <c r="H533">
        <v>402974</v>
      </c>
      <c r="I533">
        <v>8160</v>
      </c>
      <c r="J533">
        <v>-0.26</v>
      </c>
      <c r="K533">
        <v>22.9</v>
      </c>
      <c r="L533">
        <v>7.12</v>
      </c>
      <c r="M533">
        <v>7.68</v>
      </c>
      <c r="N533">
        <v>7.12</v>
      </c>
      <c r="O533">
        <v>7.52</v>
      </c>
      <c r="P533" t="s">
        <v>32</v>
      </c>
      <c r="Q533">
        <v>297626880</v>
      </c>
      <c r="R533">
        <v>0.86</v>
      </c>
      <c r="S533" t="s">
        <v>316</v>
      </c>
      <c r="T533" t="s">
        <v>162</v>
      </c>
      <c r="U533">
        <v>7.45</v>
      </c>
      <c r="V533">
        <v>7.39</v>
      </c>
      <c r="W533">
        <v>210226</v>
      </c>
      <c r="X533">
        <v>192747</v>
      </c>
      <c r="Y533">
        <v>1.09</v>
      </c>
      <c r="Z533">
        <v>860</v>
      </c>
      <c r="AA533">
        <v>2024</v>
      </c>
      <c r="AB533" t="s">
        <v>32</v>
      </c>
      <c r="AC533">
        <v>1.76</v>
      </c>
    </row>
    <row r="534" spans="1:29">
      <c r="A534" t="str">
        <f>"002073"</f>
        <v>002073</v>
      </c>
      <c r="B534" t="s">
        <v>692</v>
      </c>
      <c r="C534">
        <v>1.68</v>
      </c>
      <c r="D534">
        <v>6.05</v>
      </c>
      <c r="E534">
        <v>0.1</v>
      </c>
      <c r="F534">
        <v>6.04</v>
      </c>
      <c r="G534">
        <v>6.05</v>
      </c>
      <c r="H534">
        <v>65239</v>
      </c>
      <c r="I534">
        <v>694</v>
      </c>
      <c r="J534">
        <v>0</v>
      </c>
      <c r="K534">
        <v>0.8</v>
      </c>
      <c r="L534">
        <v>5.95</v>
      </c>
      <c r="M534">
        <v>6.07</v>
      </c>
      <c r="N534">
        <v>5.93</v>
      </c>
      <c r="O534">
        <v>5.95</v>
      </c>
      <c r="P534">
        <v>86.75</v>
      </c>
      <c r="Q534">
        <v>39296048</v>
      </c>
      <c r="R534">
        <v>1.57</v>
      </c>
      <c r="S534" t="s">
        <v>270</v>
      </c>
      <c r="T534" t="s">
        <v>162</v>
      </c>
      <c r="U534">
        <v>2.35</v>
      </c>
      <c r="V534">
        <v>6.02</v>
      </c>
      <c r="W534">
        <v>28543</v>
      </c>
      <c r="X534">
        <v>36696</v>
      </c>
      <c r="Y534">
        <v>0.78</v>
      </c>
      <c r="Z534">
        <v>304</v>
      </c>
      <c r="AA534">
        <v>27</v>
      </c>
      <c r="AB534" t="s">
        <v>32</v>
      </c>
      <c r="AC534">
        <v>8.19</v>
      </c>
    </row>
    <row r="535" spans="1:29">
      <c r="A535" t="str">
        <f>"002074"</f>
        <v>002074</v>
      </c>
      <c r="B535" t="s">
        <v>693</v>
      </c>
      <c r="C535">
        <v>2.19</v>
      </c>
      <c r="D535">
        <v>13.98</v>
      </c>
      <c r="E535">
        <v>0.3</v>
      </c>
      <c r="F535">
        <v>13.98</v>
      </c>
      <c r="G535">
        <v>13.99</v>
      </c>
      <c r="H535">
        <v>166583</v>
      </c>
      <c r="I535">
        <v>1363</v>
      </c>
      <c r="J535">
        <v>-0.06</v>
      </c>
      <c r="K535">
        <v>1.5</v>
      </c>
      <c r="L535">
        <v>13.68</v>
      </c>
      <c r="M535">
        <v>14.1</v>
      </c>
      <c r="N535">
        <v>13.59</v>
      </c>
      <c r="O535">
        <v>13.68</v>
      </c>
      <c r="P535">
        <v>24.68</v>
      </c>
      <c r="Q535">
        <v>231325824</v>
      </c>
      <c r="R535">
        <v>1.62</v>
      </c>
      <c r="S535" t="s">
        <v>104</v>
      </c>
      <c r="T535" t="s">
        <v>87</v>
      </c>
      <c r="U535">
        <v>3.73</v>
      </c>
      <c r="V535">
        <v>13.89</v>
      </c>
      <c r="W535">
        <v>76821</v>
      </c>
      <c r="X535">
        <v>89762</v>
      </c>
      <c r="Y535">
        <v>0.86</v>
      </c>
      <c r="Z535">
        <v>232</v>
      </c>
      <c r="AA535">
        <v>1166</v>
      </c>
      <c r="AB535" t="s">
        <v>32</v>
      </c>
      <c r="AC535">
        <v>11.13</v>
      </c>
    </row>
    <row r="536" spans="1:29">
      <c r="A536" t="str">
        <f>"002075"</f>
        <v>002075</v>
      </c>
      <c r="B536" t="s">
        <v>694</v>
      </c>
      <c r="C536" t="s">
        <v>32</v>
      </c>
      <c r="D536">
        <v>16.12</v>
      </c>
      <c r="E536" t="s">
        <v>32</v>
      </c>
      <c r="F536" t="s">
        <v>32</v>
      </c>
      <c r="G536" t="s">
        <v>32</v>
      </c>
      <c r="H536">
        <v>0</v>
      </c>
      <c r="I536">
        <v>0</v>
      </c>
      <c r="J536" t="s">
        <v>32</v>
      </c>
      <c r="K536">
        <v>0</v>
      </c>
      <c r="L536" t="s">
        <v>32</v>
      </c>
      <c r="M536" t="s">
        <v>32</v>
      </c>
      <c r="N536" t="s">
        <v>32</v>
      </c>
      <c r="O536">
        <v>16.12</v>
      </c>
      <c r="P536">
        <v>34.93</v>
      </c>
      <c r="Q536">
        <v>0</v>
      </c>
      <c r="R536">
        <v>0</v>
      </c>
      <c r="S536" t="s">
        <v>398</v>
      </c>
      <c r="T536" t="s">
        <v>87</v>
      </c>
      <c r="U536">
        <v>0</v>
      </c>
      <c r="V536">
        <v>16.12</v>
      </c>
      <c r="W536">
        <v>0</v>
      </c>
      <c r="X536">
        <v>0</v>
      </c>
      <c r="Y536" t="s">
        <v>32</v>
      </c>
      <c r="Z536">
        <v>0</v>
      </c>
      <c r="AA536">
        <v>0</v>
      </c>
      <c r="AB536" t="s">
        <v>32</v>
      </c>
      <c r="AC536">
        <v>22.07</v>
      </c>
    </row>
    <row r="537" spans="1:29">
      <c r="A537" t="str">
        <f>"002076"</f>
        <v>002076</v>
      </c>
      <c r="B537" t="s">
        <v>695</v>
      </c>
      <c r="C537">
        <v>1.46</v>
      </c>
      <c r="D537">
        <v>4.86</v>
      </c>
      <c r="E537">
        <v>0.07</v>
      </c>
      <c r="F537">
        <v>4.86</v>
      </c>
      <c r="G537">
        <v>4.87</v>
      </c>
      <c r="H537">
        <v>99589</v>
      </c>
      <c r="I537">
        <v>2845</v>
      </c>
      <c r="J537">
        <v>-0.2</v>
      </c>
      <c r="K537">
        <v>2.23</v>
      </c>
      <c r="L537">
        <v>4.79</v>
      </c>
      <c r="M537">
        <v>4.89</v>
      </c>
      <c r="N537">
        <v>4.76</v>
      </c>
      <c r="O537">
        <v>4.79</v>
      </c>
      <c r="P537">
        <v>75.77</v>
      </c>
      <c r="Q537">
        <v>48277608</v>
      </c>
      <c r="R537">
        <v>1.2</v>
      </c>
      <c r="S537" t="s">
        <v>55</v>
      </c>
      <c r="T537" t="s">
        <v>136</v>
      </c>
      <c r="U537">
        <v>2.71</v>
      </c>
      <c r="V537">
        <v>4.85</v>
      </c>
      <c r="W537">
        <v>47420</v>
      </c>
      <c r="X537">
        <v>52169</v>
      </c>
      <c r="Y537">
        <v>0.91</v>
      </c>
      <c r="Z537">
        <v>830</v>
      </c>
      <c r="AA537">
        <v>428</v>
      </c>
      <c r="AB537" t="s">
        <v>32</v>
      </c>
      <c r="AC537">
        <v>4.46</v>
      </c>
    </row>
    <row r="538" spans="1:29">
      <c r="A538" t="str">
        <f>"002077"</f>
        <v>002077</v>
      </c>
      <c r="B538" t="s">
        <v>696</v>
      </c>
      <c r="C538">
        <v>3.93</v>
      </c>
      <c r="D538">
        <v>5.56</v>
      </c>
      <c r="E538">
        <v>0.21</v>
      </c>
      <c r="F538">
        <v>5.56</v>
      </c>
      <c r="G538">
        <v>5.57</v>
      </c>
      <c r="H538">
        <v>185922</v>
      </c>
      <c r="I538">
        <v>3455</v>
      </c>
      <c r="J538">
        <v>0.36</v>
      </c>
      <c r="K538">
        <v>3.5</v>
      </c>
      <c r="L538">
        <v>5.36</v>
      </c>
      <c r="M538">
        <v>5.58</v>
      </c>
      <c r="N538">
        <v>5.33</v>
      </c>
      <c r="O538">
        <v>5.35</v>
      </c>
      <c r="P538" t="s">
        <v>32</v>
      </c>
      <c r="Q538">
        <v>101302856</v>
      </c>
      <c r="R538">
        <v>0.96</v>
      </c>
      <c r="S538" t="s">
        <v>40</v>
      </c>
      <c r="T538" t="s">
        <v>87</v>
      </c>
      <c r="U538">
        <v>4.67</v>
      </c>
      <c r="V538">
        <v>5.45</v>
      </c>
      <c r="W538">
        <v>84897</v>
      </c>
      <c r="X538">
        <v>101024</v>
      </c>
      <c r="Y538">
        <v>0.84</v>
      </c>
      <c r="Z538">
        <v>450</v>
      </c>
      <c r="AA538">
        <v>1238</v>
      </c>
      <c r="AB538" t="s">
        <v>32</v>
      </c>
      <c r="AC538">
        <v>5.32</v>
      </c>
    </row>
    <row r="539" spans="1:29">
      <c r="A539" t="str">
        <f>"002078"</f>
        <v>002078</v>
      </c>
      <c r="B539" t="s">
        <v>697</v>
      </c>
      <c r="C539">
        <v>8.98</v>
      </c>
      <c r="D539">
        <v>9.59</v>
      </c>
      <c r="E539">
        <v>0.79</v>
      </c>
      <c r="F539">
        <v>9.58</v>
      </c>
      <c r="G539">
        <v>9.59</v>
      </c>
      <c r="H539">
        <v>589378</v>
      </c>
      <c r="I539">
        <v>3524</v>
      </c>
      <c r="J539">
        <v>0.1</v>
      </c>
      <c r="K539">
        <v>2.33</v>
      </c>
      <c r="L539">
        <v>8.85</v>
      </c>
      <c r="M539">
        <v>9.68</v>
      </c>
      <c r="N539">
        <v>8.85</v>
      </c>
      <c r="O539">
        <v>8.8</v>
      </c>
      <c r="P539">
        <v>10.08</v>
      </c>
      <c r="Q539">
        <v>555253312</v>
      </c>
      <c r="R539">
        <v>2.84</v>
      </c>
      <c r="S539" t="s">
        <v>204</v>
      </c>
      <c r="T539" t="s">
        <v>162</v>
      </c>
      <c r="U539">
        <v>9.43</v>
      </c>
      <c r="V539">
        <v>9.42</v>
      </c>
      <c r="W539">
        <v>253559</v>
      </c>
      <c r="X539">
        <v>335818</v>
      </c>
      <c r="Y539">
        <v>0.76</v>
      </c>
      <c r="Z539">
        <v>2765</v>
      </c>
      <c r="AA539">
        <v>623</v>
      </c>
      <c r="AB539" t="s">
        <v>32</v>
      </c>
      <c r="AC539">
        <v>25.32</v>
      </c>
    </row>
    <row r="540" spans="1:29">
      <c r="A540" t="str">
        <f>"002079"</f>
        <v>002079</v>
      </c>
      <c r="B540" t="s">
        <v>698</v>
      </c>
      <c r="C540">
        <v>1.4</v>
      </c>
      <c r="D540">
        <v>6.51</v>
      </c>
      <c r="E540">
        <v>0.09</v>
      </c>
      <c r="F540">
        <v>6.51</v>
      </c>
      <c r="G540">
        <v>6.52</v>
      </c>
      <c r="H540">
        <v>121721</v>
      </c>
      <c r="I540">
        <v>3592</v>
      </c>
      <c r="J540">
        <v>-0.14</v>
      </c>
      <c r="K540">
        <v>1.68</v>
      </c>
      <c r="L540">
        <v>6.41</v>
      </c>
      <c r="M540">
        <v>6.53</v>
      </c>
      <c r="N540">
        <v>6.34</v>
      </c>
      <c r="O540">
        <v>6.42</v>
      </c>
      <c r="P540">
        <v>123.59</v>
      </c>
      <c r="Q540">
        <v>78680448</v>
      </c>
      <c r="R540">
        <v>1.23</v>
      </c>
      <c r="S540" t="s">
        <v>699</v>
      </c>
      <c r="T540" t="s">
        <v>87</v>
      </c>
      <c r="U540">
        <v>2.96</v>
      </c>
      <c r="V540">
        <v>6.46</v>
      </c>
      <c r="W540">
        <v>58472</v>
      </c>
      <c r="X540">
        <v>63249</v>
      </c>
      <c r="Y540">
        <v>0.92</v>
      </c>
      <c r="Z540">
        <v>205</v>
      </c>
      <c r="AA540">
        <v>3170</v>
      </c>
      <c r="AB540" t="s">
        <v>32</v>
      </c>
      <c r="AC540">
        <v>7.26</v>
      </c>
    </row>
    <row r="541" spans="1:29">
      <c r="A541" t="str">
        <f>"002080"</f>
        <v>002080</v>
      </c>
      <c r="B541" t="s">
        <v>700</v>
      </c>
      <c r="C541">
        <v>2.03</v>
      </c>
      <c r="D541">
        <v>9.03</v>
      </c>
      <c r="E541">
        <v>0.18</v>
      </c>
      <c r="F541">
        <v>9.02</v>
      </c>
      <c r="G541">
        <v>9.03</v>
      </c>
      <c r="H541">
        <v>115133</v>
      </c>
      <c r="I541">
        <v>945</v>
      </c>
      <c r="J541">
        <v>0.11</v>
      </c>
      <c r="K541">
        <v>1.8</v>
      </c>
      <c r="L541">
        <v>8.84</v>
      </c>
      <c r="M541">
        <v>9.25</v>
      </c>
      <c r="N541">
        <v>8.78</v>
      </c>
      <c r="O541">
        <v>8.85</v>
      </c>
      <c r="P541">
        <v>19.66</v>
      </c>
      <c r="Q541">
        <v>104249760</v>
      </c>
      <c r="R541">
        <v>1.87</v>
      </c>
      <c r="S541" t="s">
        <v>190</v>
      </c>
      <c r="T541" t="s">
        <v>87</v>
      </c>
      <c r="U541">
        <v>5.31</v>
      </c>
      <c r="V541">
        <v>9.05</v>
      </c>
      <c r="W541">
        <v>56521</v>
      </c>
      <c r="X541">
        <v>58611</v>
      </c>
      <c r="Y541">
        <v>0.96</v>
      </c>
      <c r="Z541">
        <v>814</v>
      </c>
      <c r="AA541">
        <v>403</v>
      </c>
      <c r="AB541" t="s">
        <v>32</v>
      </c>
      <c r="AC541">
        <v>6.4</v>
      </c>
    </row>
    <row r="542" spans="1:29">
      <c r="A542" t="str">
        <f>"002081"</f>
        <v>002081</v>
      </c>
      <c r="B542" t="s">
        <v>701</v>
      </c>
      <c r="C542">
        <v>1.41</v>
      </c>
      <c r="D542">
        <v>10.81</v>
      </c>
      <c r="E542">
        <v>0.15</v>
      </c>
      <c r="F542">
        <v>10.8</v>
      </c>
      <c r="G542">
        <v>10.81</v>
      </c>
      <c r="H542">
        <v>208817</v>
      </c>
      <c r="I542">
        <v>1321</v>
      </c>
      <c r="J542">
        <v>-0.08</v>
      </c>
      <c r="K542">
        <v>0.82</v>
      </c>
      <c r="L542">
        <v>10.72</v>
      </c>
      <c r="M542">
        <v>11.04</v>
      </c>
      <c r="N542">
        <v>10.7</v>
      </c>
      <c r="O542">
        <v>10.66</v>
      </c>
      <c r="P542">
        <v>12.91</v>
      </c>
      <c r="Q542">
        <v>227583872</v>
      </c>
      <c r="R542">
        <v>2.18</v>
      </c>
      <c r="S542" t="s">
        <v>59</v>
      </c>
      <c r="T542" t="s">
        <v>87</v>
      </c>
      <c r="U542">
        <v>3.19</v>
      </c>
      <c r="V542">
        <v>10.9</v>
      </c>
      <c r="W542">
        <v>111046</v>
      </c>
      <c r="X542">
        <v>97771</v>
      </c>
      <c r="Y542">
        <v>1.14</v>
      </c>
      <c r="Z542">
        <v>294</v>
      </c>
      <c r="AA542">
        <v>361</v>
      </c>
      <c r="AB542" t="s">
        <v>32</v>
      </c>
      <c r="AC542">
        <v>25.59</v>
      </c>
    </row>
    <row r="543" spans="1:29">
      <c r="A543" t="str">
        <f>"002082"</f>
        <v>002082</v>
      </c>
      <c r="B543" t="s">
        <v>702</v>
      </c>
      <c r="C543">
        <v>0.08</v>
      </c>
      <c r="D543">
        <v>12.85</v>
      </c>
      <c r="E543">
        <v>0.01</v>
      </c>
      <c r="F543">
        <v>12.85</v>
      </c>
      <c r="G543">
        <v>12.86</v>
      </c>
      <c r="H543">
        <v>57983</v>
      </c>
      <c r="I543">
        <v>469</v>
      </c>
      <c r="J543">
        <v>0.08</v>
      </c>
      <c r="K543">
        <v>2.54</v>
      </c>
      <c r="L543">
        <v>12.63</v>
      </c>
      <c r="M543">
        <v>13.17</v>
      </c>
      <c r="N543">
        <v>12.51</v>
      </c>
      <c r="O543">
        <v>12.84</v>
      </c>
      <c r="P543">
        <v>82.83</v>
      </c>
      <c r="Q543">
        <v>74211128</v>
      </c>
      <c r="R543">
        <v>0.79</v>
      </c>
      <c r="S543" t="s">
        <v>324</v>
      </c>
      <c r="T543" t="s">
        <v>149</v>
      </c>
      <c r="U543">
        <v>5.14</v>
      </c>
      <c r="V543">
        <v>12.8</v>
      </c>
      <c r="W543">
        <v>33552</v>
      </c>
      <c r="X543">
        <v>24430</v>
      </c>
      <c r="Y543">
        <v>1.37</v>
      </c>
      <c r="Z543">
        <v>263</v>
      </c>
      <c r="AA543">
        <v>523</v>
      </c>
      <c r="AB543" t="s">
        <v>32</v>
      </c>
      <c r="AC543">
        <v>2.28</v>
      </c>
    </row>
    <row r="544" spans="1:29">
      <c r="A544" t="str">
        <f>"002083"</f>
        <v>002083</v>
      </c>
      <c r="B544" t="s">
        <v>703</v>
      </c>
      <c r="C544">
        <v>1.26</v>
      </c>
      <c r="D544">
        <v>5.64</v>
      </c>
      <c r="E544">
        <v>0.07</v>
      </c>
      <c r="F544">
        <v>5.63</v>
      </c>
      <c r="G544">
        <v>5.64</v>
      </c>
      <c r="H544">
        <v>104341</v>
      </c>
      <c r="I544">
        <v>876</v>
      </c>
      <c r="J544">
        <v>0</v>
      </c>
      <c r="K544">
        <v>1.2</v>
      </c>
      <c r="L544">
        <v>5.6</v>
      </c>
      <c r="M544">
        <v>5.66</v>
      </c>
      <c r="N544">
        <v>5.56</v>
      </c>
      <c r="O544">
        <v>5.57</v>
      </c>
      <c r="P544">
        <v>14.65</v>
      </c>
      <c r="Q544">
        <v>58537916</v>
      </c>
      <c r="R544">
        <v>0.96</v>
      </c>
      <c r="S544" t="s">
        <v>99</v>
      </c>
      <c r="T544" t="s">
        <v>162</v>
      </c>
      <c r="U544">
        <v>1.8</v>
      </c>
      <c r="V544">
        <v>5.61</v>
      </c>
      <c r="W544">
        <v>52534</v>
      </c>
      <c r="X544">
        <v>51806</v>
      </c>
      <c r="Y544">
        <v>1.01</v>
      </c>
      <c r="Z544">
        <v>135</v>
      </c>
      <c r="AA544">
        <v>1826</v>
      </c>
      <c r="AB544" t="s">
        <v>32</v>
      </c>
      <c r="AC544">
        <v>8.66</v>
      </c>
    </row>
    <row r="545" spans="1:29">
      <c r="A545" t="str">
        <f>"002084"</f>
        <v>002084</v>
      </c>
      <c r="B545" t="s">
        <v>704</v>
      </c>
      <c r="C545">
        <v>2.6</v>
      </c>
      <c r="D545">
        <v>4.74</v>
      </c>
      <c r="E545">
        <v>0.12</v>
      </c>
      <c r="F545">
        <v>4.73</v>
      </c>
      <c r="G545">
        <v>4.74</v>
      </c>
      <c r="H545">
        <v>31580</v>
      </c>
      <c r="I545">
        <v>268</v>
      </c>
      <c r="J545">
        <v>0</v>
      </c>
      <c r="K545">
        <v>0.78</v>
      </c>
      <c r="L545">
        <v>4.63</v>
      </c>
      <c r="M545">
        <v>4.8</v>
      </c>
      <c r="N545">
        <v>4.6</v>
      </c>
      <c r="O545">
        <v>4.62</v>
      </c>
      <c r="P545">
        <v>27.35</v>
      </c>
      <c r="Q545">
        <v>14886799</v>
      </c>
      <c r="R545">
        <v>1.99</v>
      </c>
      <c r="S545" t="s">
        <v>545</v>
      </c>
      <c r="T545" t="s">
        <v>136</v>
      </c>
      <c r="U545">
        <v>4.33</v>
      </c>
      <c r="V545">
        <v>4.71</v>
      </c>
      <c r="W545">
        <v>15449</v>
      </c>
      <c r="X545">
        <v>16130</v>
      </c>
      <c r="Y545">
        <v>0.96</v>
      </c>
      <c r="Z545">
        <v>322</v>
      </c>
      <c r="AA545">
        <v>231</v>
      </c>
      <c r="AB545" t="s">
        <v>32</v>
      </c>
      <c r="AC545">
        <v>4.05</v>
      </c>
    </row>
    <row r="546" spans="1:29">
      <c r="A546" t="str">
        <f>"002085"</f>
        <v>002085</v>
      </c>
      <c r="B546" t="s">
        <v>705</v>
      </c>
      <c r="C546">
        <v>1.47</v>
      </c>
      <c r="D546">
        <v>8.98</v>
      </c>
      <c r="E546">
        <v>0.13</v>
      </c>
      <c r="F546">
        <v>8.98</v>
      </c>
      <c r="G546">
        <v>8.99</v>
      </c>
      <c r="H546">
        <v>63186</v>
      </c>
      <c r="I546">
        <v>1588</v>
      </c>
      <c r="J546">
        <v>-0.1</v>
      </c>
      <c r="K546">
        <v>0.3</v>
      </c>
      <c r="L546">
        <v>8.84</v>
      </c>
      <c r="M546">
        <v>9.06</v>
      </c>
      <c r="N546">
        <v>8.76</v>
      </c>
      <c r="O546">
        <v>8.85</v>
      </c>
      <c r="P546">
        <v>21.77</v>
      </c>
      <c r="Q546">
        <v>56638256</v>
      </c>
      <c r="R546">
        <v>0.96</v>
      </c>
      <c r="S546" t="s">
        <v>80</v>
      </c>
      <c r="T546" t="s">
        <v>149</v>
      </c>
      <c r="U546">
        <v>3.39</v>
      </c>
      <c r="V546">
        <v>8.96</v>
      </c>
      <c r="W546">
        <v>33870</v>
      </c>
      <c r="X546">
        <v>29315</v>
      </c>
      <c r="Y546">
        <v>1.16</v>
      </c>
      <c r="Z546">
        <v>765</v>
      </c>
      <c r="AA546">
        <v>138</v>
      </c>
      <c r="AB546" t="s">
        <v>32</v>
      </c>
      <c r="AC546">
        <v>21.14</v>
      </c>
    </row>
    <row r="547" spans="1:29">
      <c r="A547" t="str">
        <f>"002086"</f>
        <v>002086</v>
      </c>
      <c r="B547" t="s">
        <v>706</v>
      </c>
      <c r="C547" t="s">
        <v>32</v>
      </c>
      <c r="D547">
        <v>6.68</v>
      </c>
      <c r="E547" t="s">
        <v>32</v>
      </c>
      <c r="F547" t="s">
        <v>32</v>
      </c>
      <c r="G547" t="s">
        <v>32</v>
      </c>
      <c r="H547">
        <v>0</v>
      </c>
      <c r="I547">
        <v>0</v>
      </c>
      <c r="J547" t="s">
        <v>32</v>
      </c>
      <c r="K547">
        <v>0</v>
      </c>
      <c r="L547" t="s">
        <v>32</v>
      </c>
      <c r="M547" t="s">
        <v>32</v>
      </c>
      <c r="N547" t="s">
        <v>32</v>
      </c>
      <c r="O547">
        <v>6.68</v>
      </c>
      <c r="P547">
        <v>423.04</v>
      </c>
      <c r="Q547">
        <v>0</v>
      </c>
      <c r="R547">
        <v>0</v>
      </c>
      <c r="S547" t="s">
        <v>466</v>
      </c>
      <c r="T547" t="s">
        <v>162</v>
      </c>
      <c r="U547">
        <v>0</v>
      </c>
      <c r="V547">
        <v>6.68</v>
      </c>
      <c r="W547">
        <v>0</v>
      </c>
      <c r="X547">
        <v>0</v>
      </c>
      <c r="Y547" t="s">
        <v>32</v>
      </c>
      <c r="Z547">
        <v>0</v>
      </c>
      <c r="AA547">
        <v>0</v>
      </c>
      <c r="AB547" t="s">
        <v>32</v>
      </c>
      <c r="AC547">
        <v>4.76</v>
      </c>
    </row>
    <row r="548" spans="1:29">
      <c r="A548" t="str">
        <f>"002087"</f>
        <v>002087</v>
      </c>
      <c r="B548" t="s">
        <v>707</v>
      </c>
      <c r="C548">
        <v>1.56</v>
      </c>
      <c r="D548">
        <v>3.9</v>
      </c>
      <c r="E548">
        <v>0.06</v>
      </c>
      <c r="F548">
        <v>3.89</v>
      </c>
      <c r="G548">
        <v>3.9</v>
      </c>
      <c r="H548">
        <v>193864</v>
      </c>
      <c r="I548">
        <v>1168</v>
      </c>
      <c r="J548">
        <v>0.26</v>
      </c>
      <c r="K548">
        <v>2.38</v>
      </c>
      <c r="L548">
        <v>3.84</v>
      </c>
      <c r="M548">
        <v>3.92</v>
      </c>
      <c r="N548">
        <v>3.83</v>
      </c>
      <c r="O548">
        <v>3.84</v>
      </c>
      <c r="P548">
        <v>15.19</v>
      </c>
      <c r="Q548">
        <v>75377592</v>
      </c>
      <c r="R548">
        <v>1.12</v>
      </c>
      <c r="S548" t="s">
        <v>99</v>
      </c>
      <c r="T548" t="s">
        <v>164</v>
      </c>
      <c r="U548">
        <v>2.34</v>
      </c>
      <c r="V548">
        <v>3.89</v>
      </c>
      <c r="W548">
        <v>106853</v>
      </c>
      <c r="X548">
        <v>87010</v>
      </c>
      <c r="Y548">
        <v>1.23</v>
      </c>
      <c r="Z548">
        <v>4066</v>
      </c>
      <c r="AA548">
        <v>5169</v>
      </c>
      <c r="AB548" t="s">
        <v>32</v>
      </c>
      <c r="AC548">
        <v>8.16</v>
      </c>
    </row>
    <row r="549" spans="1:29">
      <c r="A549" t="str">
        <f>"002088"</f>
        <v>002088</v>
      </c>
      <c r="B549" t="s">
        <v>708</v>
      </c>
      <c r="C549">
        <v>2.57</v>
      </c>
      <c r="D549">
        <v>14.77</v>
      </c>
      <c r="E549">
        <v>0.37</v>
      </c>
      <c r="F549">
        <v>14.76</v>
      </c>
      <c r="G549">
        <v>14.77</v>
      </c>
      <c r="H549">
        <v>56199</v>
      </c>
      <c r="I549">
        <v>458</v>
      </c>
      <c r="J549">
        <v>0.27</v>
      </c>
      <c r="K549">
        <v>2.7</v>
      </c>
      <c r="L549">
        <v>14.4</v>
      </c>
      <c r="M549">
        <v>14.88</v>
      </c>
      <c r="N549">
        <v>14.31</v>
      </c>
      <c r="O549">
        <v>14.4</v>
      </c>
      <c r="P549">
        <v>25.12</v>
      </c>
      <c r="Q549">
        <v>82462608</v>
      </c>
      <c r="R549">
        <v>1.67</v>
      </c>
      <c r="S549" t="s">
        <v>227</v>
      </c>
      <c r="T549" t="s">
        <v>162</v>
      </c>
      <c r="U549">
        <v>3.96</v>
      </c>
      <c r="V549">
        <v>14.67</v>
      </c>
      <c r="W549">
        <v>25097</v>
      </c>
      <c r="X549">
        <v>31101</v>
      </c>
      <c r="Y549">
        <v>0.81</v>
      </c>
      <c r="Z549">
        <v>65</v>
      </c>
      <c r="AA549">
        <v>280</v>
      </c>
      <c r="AB549" t="s">
        <v>32</v>
      </c>
      <c r="AC549">
        <v>2.08</v>
      </c>
    </row>
    <row r="550" spans="1:29">
      <c r="A550" t="str">
        <f>"002089"</f>
        <v>002089</v>
      </c>
      <c r="B550" t="s">
        <v>709</v>
      </c>
      <c r="C550">
        <v>-2.07</v>
      </c>
      <c r="D550">
        <v>5.21</v>
      </c>
      <c r="E550">
        <v>-0.11</v>
      </c>
      <c r="F550">
        <v>5.2</v>
      </c>
      <c r="G550">
        <v>5.21</v>
      </c>
      <c r="H550">
        <v>122260</v>
      </c>
      <c r="I550">
        <v>3350</v>
      </c>
      <c r="J550">
        <v>-0.56</v>
      </c>
      <c r="K550">
        <v>1.25</v>
      </c>
      <c r="L550">
        <v>5.18</v>
      </c>
      <c r="M550">
        <v>5.31</v>
      </c>
      <c r="N550">
        <v>5.15</v>
      </c>
      <c r="O550">
        <v>5.32</v>
      </c>
      <c r="P550">
        <v>98.34</v>
      </c>
      <c r="Q550">
        <v>63907684</v>
      </c>
      <c r="R550">
        <v>0.92</v>
      </c>
      <c r="S550" t="s">
        <v>119</v>
      </c>
      <c r="T550" t="s">
        <v>87</v>
      </c>
      <c r="U550">
        <v>3.01</v>
      </c>
      <c r="V550">
        <v>5.23</v>
      </c>
      <c r="W550">
        <v>77071</v>
      </c>
      <c r="X550">
        <v>45189</v>
      </c>
      <c r="Y550">
        <v>1.71</v>
      </c>
      <c r="Z550">
        <v>6145</v>
      </c>
      <c r="AA550">
        <v>733</v>
      </c>
      <c r="AB550" t="s">
        <v>32</v>
      </c>
      <c r="AC550">
        <v>9.75</v>
      </c>
    </row>
    <row r="551" spans="1:29">
      <c r="A551" t="str">
        <f>"002090"</f>
        <v>002090</v>
      </c>
      <c r="B551" t="s">
        <v>710</v>
      </c>
      <c r="C551">
        <v>3.61</v>
      </c>
      <c r="D551">
        <v>15.21</v>
      </c>
      <c r="E551">
        <v>0.53</v>
      </c>
      <c r="F551">
        <v>15.21</v>
      </c>
      <c r="G551">
        <v>15.22</v>
      </c>
      <c r="H551">
        <v>8042</v>
      </c>
      <c r="I551">
        <v>68</v>
      </c>
      <c r="J551">
        <v>0.13</v>
      </c>
      <c r="K551">
        <v>0.35</v>
      </c>
      <c r="L551">
        <v>14.69</v>
      </c>
      <c r="M551">
        <v>15.33</v>
      </c>
      <c r="N551">
        <v>14.69</v>
      </c>
      <c r="O551">
        <v>14.68</v>
      </c>
      <c r="P551">
        <v>42.42</v>
      </c>
      <c r="Q551">
        <v>12153472</v>
      </c>
      <c r="R551">
        <v>1.34</v>
      </c>
      <c r="S551" t="s">
        <v>270</v>
      </c>
      <c r="T551" t="s">
        <v>87</v>
      </c>
      <c r="U551">
        <v>4.36</v>
      </c>
      <c r="V551">
        <v>15.11</v>
      </c>
      <c r="W551">
        <v>3286</v>
      </c>
      <c r="X551">
        <v>4756</v>
      </c>
      <c r="Y551">
        <v>0.69</v>
      </c>
      <c r="Z551">
        <v>154</v>
      </c>
      <c r="AA551">
        <v>9</v>
      </c>
      <c r="AB551" t="s">
        <v>32</v>
      </c>
      <c r="AC551">
        <v>2.31</v>
      </c>
    </row>
    <row r="552" spans="1:29">
      <c r="A552" t="str">
        <f>"002091"</f>
        <v>002091</v>
      </c>
      <c r="B552" t="s">
        <v>711</v>
      </c>
      <c r="C552">
        <v>2.51</v>
      </c>
      <c r="D552">
        <v>6.54</v>
      </c>
      <c r="E552">
        <v>0.16</v>
      </c>
      <c r="F552">
        <v>6.53</v>
      </c>
      <c r="G552">
        <v>6.54</v>
      </c>
      <c r="H552">
        <v>97882</v>
      </c>
      <c r="I552">
        <v>558</v>
      </c>
      <c r="J552">
        <v>0</v>
      </c>
      <c r="K552">
        <v>1.01</v>
      </c>
      <c r="L552">
        <v>6.36</v>
      </c>
      <c r="M552">
        <v>6.57</v>
      </c>
      <c r="N552">
        <v>6.35</v>
      </c>
      <c r="O552">
        <v>6.38</v>
      </c>
      <c r="P552">
        <v>11.27</v>
      </c>
      <c r="Q552">
        <v>63424920</v>
      </c>
      <c r="R552">
        <v>1.96</v>
      </c>
      <c r="S552" t="s">
        <v>140</v>
      </c>
      <c r="T552" t="s">
        <v>87</v>
      </c>
      <c r="U552">
        <v>3.45</v>
      </c>
      <c r="V552">
        <v>6.48</v>
      </c>
      <c r="W552">
        <v>36519</v>
      </c>
      <c r="X552">
        <v>61363</v>
      </c>
      <c r="Y552">
        <v>0.6</v>
      </c>
      <c r="Z552">
        <v>1105</v>
      </c>
      <c r="AA552">
        <v>865</v>
      </c>
      <c r="AB552" t="s">
        <v>32</v>
      </c>
      <c r="AC552">
        <v>9.68</v>
      </c>
    </row>
    <row r="553" spans="1:29">
      <c r="A553" t="str">
        <f>"002092"</f>
        <v>002092</v>
      </c>
      <c r="B553" t="s">
        <v>712</v>
      </c>
      <c r="C553">
        <v>3.17</v>
      </c>
      <c r="D553">
        <v>9.75</v>
      </c>
      <c r="E553">
        <v>0.3</v>
      </c>
      <c r="F553">
        <v>9.74</v>
      </c>
      <c r="G553">
        <v>9.75</v>
      </c>
      <c r="H553">
        <v>248247</v>
      </c>
      <c r="I553">
        <v>1966</v>
      </c>
      <c r="J553">
        <v>-0.09</v>
      </c>
      <c r="K553">
        <v>1.22</v>
      </c>
      <c r="L553">
        <v>9.5</v>
      </c>
      <c r="M553">
        <v>9.89</v>
      </c>
      <c r="N553">
        <v>9.46</v>
      </c>
      <c r="O553">
        <v>9.45</v>
      </c>
      <c r="P553">
        <v>12.32</v>
      </c>
      <c r="Q553">
        <v>241884016</v>
      </c>
      <c r="R553">
        <v>2.33</v>
      </c>
      <c r="S553" t="s">
        <v>218</v>
      </c>
      <c r="T553" t="s">
        <v>156</v>
      </c>
      <c r="U553">
        <v>4.55</v>
      </c>
      <c r="V553">
        <v>9.74</v>
      </c>
      <c r="W553">
        <v>119880</v>
      </c>
      <c r="X553">
        <v>128367</v>
      </c>
      <c r="Y553">
        <v>0.93</v>
      </c>
      <c r="Z553">
        <v>117</v>
      </c>
      <c r="AA553">
        <v>432</v>
      </c>
      <c r="AB553" t="s">
        <v>32</v>
      </c>
      <c r="AC553">
        <v>20.34</v>
      </c>
    </row>
    <row r="554" spans="1:29">
      <c r="A554" t="str">
        <f>"002093"</f>
        <v>002093</v>
      </c>
      <c r="B554" t="s">
        <v>713</v>
      </c>
      <c r="C554">
        <v>0.87</v>
      </c>
      <c r="D554">
        <v>8.08</v>
      </c>
      <c r="E554">
        <v>0.07</v>
      </c>
      <c r="F554">
        <v>8.08</v>
      </c>
      <c r="G554">
        <v>8.09</v>
      </c>
      <c r="H554">
        <v>88489</v>
      </c>
      <c r="I554">
        <v>1204</v>
      </c>
      <c r="J554">
        <v>0</v>
      </c>
      <c r="K554">
        <v>0.91</v>
      </c>
      <c r="L554">
        <v>8.02</v>
      </c>
      <c r="M554">
        <v>8.15</v>
      </c>
      <c r="N554">
        <v>7.97</v>
      </c>
      <c r="O554">
        <v>8.01</v>
      </c>
      <c r="P554">
        <v>31.85</v>
      </c>
      <c r="Q554">
        <v>71357624</v>
      </c>
      <c r="R554">
        <v>0.9</v>
      </c>
      <c r="S554" t="s">
        <v>714</v>
      </c>
      <c r="T554" t="s">
        <v>236</v>
      </c>
      <c r="U554">
        <v>2.25</v>
      </c>
      <c r="V554">
        <v>8.06</v>
      </c>
      <c r="W554">
        <v>43826</v>
      </c>
      <c r="X554">
        <v>44663</v>
      </c>
      <c r="Y554">
        <v>0.98</v>
      </c>
      <c r="Z554">
        <v>497</v>
      </c>
      <c r="AA554">
        <v>659</v>
      </c>
      <c r="AB554" t="s">
        <v>32</v>
      </c>
      <c r="AC554">
        <v>9.73</v>
      </c>
    </row>
    <row r="555" spans="1:29">
      <c r="A555" t="str">
        <f>"002094"</f>
        <v>002094</v>
      </c>
      <c r="B555" t="s">
        <v>715</v>
      </c>
      <c r="C555">
        <v>2.13</v>
      </c>
      <c r="D555">
        <v>9.61</v>
      </c>
      <c r="E555">
        <v>0.2</v>
      </c>
      <c r="F555">
        <v>9.61</v>
      </c>
      <c r="G555">
        <v>9.62</v>
      </c>
      <c r="H555">
        <v>91862</v>
      </c>
      <c r="I555">
        <v>1539</v>
      </c>
      <c r="J555">
        <v>-0.4</v>
      </c>
      <c r="K555">
        <v>1.53</v>
      </c>
      <c r="L555">
        <v>9.41</v>
      </c>
      <c r="M555">
        <v>10.35</v>
      </c>
      <c r="N555">
        <v>9.38</v>
      </c>
      <c r="O555">
        <v>9.41</v>
      </c>
      <c r="P555">
        <v>34.8</v>
      </c>
      <c r="Q555">
        <v>89416576</v>
      </c>
      <c r="R555">
        <v>1.33</v>
      </c>
      <c r="S555" t="s">
        <v>232</v>
      </c>
      <c r="T555" t="s">
        <v>162</v>
      </c>
      <c r="U555">
        <v>10.31</v>
      </c>
      <c r="V555">
        <v>9.73</v>
      </c>
      <c r="W555">
        <v>47429</v>
      </c>
      <c r="X555">
        <v>44433</v>
      </c>
      <c r="Y555">
        <v>1.07</v>
      </c>
      <c r="Z555">
        <v>149</v>
      </c>
      <c r="AA555">
        <v>400</v>
      </c>
      <c r="AB555" t="s">
        <v>32</v>
      </c>
      <c r="AC555">
        <v>5.99</v>
      </c>
    </row>
    <row r="556" spans="1:29">
      <c r="A556" t="str">
        <f>"002095"</f>
        <v>002095</v>
      </c>
      <c r="B556" t="s">
        <v>716</v>
      </c>
      <c r="C556">
        <v>2.33</v>
      </c>
      <c r="D556">
        <v>34.26</v>
      </c>
      <c r="E556">
        <v>0.78</v>
      </c>
      <c r="F556">
        <v>34.26</v>
      </c>
      <c r="G556">
        <v>34.29</v>
      </c>
      <c r="H556">
        <v>45439</v>
      </c>
      <c r="I556">
        <v>1075</v>
      </c>
      <c r="J556">
        <v>-0.16</v>
      </c>
      <c r="K556">
        <v>1.81</v>
      </c>
      <c r="L556">
        <v>33.68</v>
      </c>
      <c r="M556">
        <v>35.75</v>
      </c>
      <c r="N556">
        <v>33.25</v>
      </c>
      <c r="O556">
        <v>33.48</v>
      </c>
      <c r="P556">
        <v>165.86</v>
      </c>
      <c r="Q556">
        <v>157112928</v>
      </c>
      <c r="R556">
        <v>2.46</v>
      </c>
      <c r="S556" t="s">
        <v>316</v>
      </c>
      <c r="T556" t="s">
        <v>149</v>
      </c>
      <c r="U556">
        <v>7.47</v>
      </c>
      <c r="V556">
        <v>34.58</v>
      </c>
      <c r="W556">
        <v>23700</v>
      </c>
      <c r="X556">
        <v>21739</v>
      </c>
      <c r="Y556">
        <v>1.09</v>
      </c>
      <c r="Z556">
        <v>14</v>
      </c>
      <c r="AA556">
        <v>47</v>
      </c>
      <c r="AB556" t="s">
        <v>32</v>
      </c>
      <c r="AC556">
        <v>2.52</v>
      </c>
    </row>
    <row r="557" spans="1:29">
      <c r="A557" t="str">
        <f>"002096"</f>
        <v>002096</v>
      </c>
      <c r="B557" t="s">
        <v>717</v>
      </c>
      <c r="C557">
        <v>3.09</v>
      </c>
      <c r="D557">
        <v>6.67</v>
      </c>
      <c r="E557">
        <v>0.2</v>
      </c>
      <c r="F557">
        <v>6.66</v>
      </c>
      <c r="G557">
        <v>6.67</v>
      </c>
      <c r="H557">
        <v>81673</v>
      </c>
      <c r="I557">
        <v>854</v>
      </c>
      <c r="J557">
        <v>0.15</v>
      </c>
      <c r="K557">
        <v>2.2</v>
      </c>
      <c r="L557">
        <v>6.4</v>
      </c>
      <c r="M557">
        <v>6.83</v>
      </c>
      <c r="N557">
        <v>6.23</v>
      </c>
      <c r="O557">
        <v>6.47</v>
      </c>
      <c r="P557" t="s">
        <v>32</v>
      </c>
      <c r="Q557">
        <v>53847292</v>
      </c>
      <c r="R557">
        <v>2.84</v>
      </c>
      <c r="S557" t="s">
        <v>218</v>
      </c>
      <c r="T557" t="s">
        <v>152</v>
      </c>
      <c r="U557">
        <v>9.27</v>
      </c>
      <c r="V557">
        <v>6.59</v>
      </c>
      <c r="W557">
        <v>37119</v>
      </c>
      <c r="X557">
        <v>44553</v>
      </c>
      <c r="Y557">
        <v>0.83</v>
      </c>
      <c r="Z557">
        <v>360</v>
      </c>
      <c r="AA557">
        <v>314</v>
      </c>
      <c r="AB557" t="s">
        <v>32</v>
      </c>
      <c r="AC557">
        <v>3.71</v>
      </c>
    </row>
    <row r="558" spans="1:29">
      <c r="A558" t="str">
        <f>"002097"</f>
        <v>002097</v>
      </c>
      <c r="B558" t="s">
        <v>718</v>
      </c>
      <c r="C558">
        <v>2.21</v>
      </c>
      <c r="D558">
        <v>6.94</v>
      </c>
      <c r="E558">
        <v>0.15</v>
      </c>
      <c r="F558">
        <v>6.94</v>
      </c>
      <c r="G558">
        <v>6.95</v>
      </c>
      <c r="H558">
        <v>169631</v>
      </c>
      <c r="I558">
        <v>2254</v>
      </c>
      <c r="J558">
        <v>0</v>
      </c>
      <c r="K558">
        <v>2.82</v>
      </c>
      <c r="L558">
        <v>6.83</v>
      </c>
      <c r="M558">
        <v>6.98</v>
      </c>
      <c r="N558">
        <v>6.83</v>
      </c>
      <c r="O558">
        <v>6.79</v>
      </c>
      <c r="P558">
        <v>16.53</v>
      </c>
      <c r="Q558">
        <v>117282952</v>
      </c>
      <c r="R558">
        <v>2.08</v>
      </c>
      <c r="S558" t="s">
        <v>151</v>
      </c>
      <c r="T558" t="s">
        <v>152</v>
      </c>
      <c r="U558">
        <v>2.21</v>
      </c>
      <c r="V558">
        <v>6.91</v>
      </c>
      <c r="W558">
        <v>81966</v>
      </c>
      <c r="X558">
        <v>87665</v>
      </c>
      <c r="Y558">
        <v>0.93</v>
      </c>
      <c r="Z558">
        <v>502</v>
      </c>
      <c r="AA558">
        <v>1786</v>
      </c>
      <c r="AB558" t="s">
        <v>32</v>
      </c>
      <c r="AC558">
        <v>6.01</v>
      </c>
    </row>
    <row r="559" spans="1:29">
      <c r="A559" t="str">
        <f>"002098"</f>
        <v>002098</v>
      </c>
      <c r="B559" t="s">
        <v>719</v>
      </c>
      <c r="C559" t="s">
        <v>32</v>
      </c>
      <c r="D559">
        <v>16.31</v>
      </c>
      <c r="E559" t="s">
        <v>32</v>
      </c>
      <c r="F559" t="s">
        <v>32</v>
      </c>
      <c r="G559" t="s">
        <v>32</v>
      </c>
      <c r="H559">
        <v>0</v>
      </c>
      <c r="I559">
        <v>0</v>
      </c>
      <c r="J559" t="s">
        <v>32</v>
      </c>
      <c r="K559">
        <v>0</v>
      </c>
      <c r="L559" t="s">
        <v>32</v>
      </c>
      <c r="M559" t="s">
        <v>32</v>
      </c>
      <c r="N559" t="s">
        <v>32</v>
      </c>
      <c r="O559">
        <v>16.31</v>
      </c>
      <c r="P559">
        <v>442.95</v>
      </c>
      <c r="Q559">
        <v>0</v>
      </c>
      <c r="R559">
        <v>0</v>
      </c>
      <c r="S559" t="s">
        <v>622</v>
      </c>
      <c r="T559" t="s">
        <v>236</v>
      </c>
      <c r="U559">
        <v>0</v>
      </c>
      <c r="V559">
        <v>16.31</v>
      </c>
      <c r="W559">
        <v>0</v>
      </c>
      <c r="X559">
        <v>0</v>
      </c>
      <c r="Y559" t="s">
        <v>32</v>
      </c>
      <c r="Z559">
        <v>0</v>
      </c>
      <c r="AA559">
        <v>0</v>
      </c>
      <c r="AB559" t="s">
        <v>32</v>
      </c>
      <c r="AC559">
        <v>3.1</v>
      </c>
    </row>
    <row r="560" spans="1:29">
      <c r="A560" t="str">
        <f>"002099"</f>
        <v>002099</v>
      </c>
      <c r="B560" t="s">
        <v>720</v>
      </c>
      <c r="C560">
        <v>1.79</v>
      </c>
      <c r="D560">
        <v>5.13</v>
      </c>
      <c r="E560">
        <v>0.09</v>
      </c>
      <c r="F560">
        <v>5.13</v>
      </c>
      <c r="G560">
        <v>5.14</v>
      </c>
      <c r="H560">
        <v>94347</v>
      </c>
      <c r="I560">
        <v>427</v>
      </c>
      <c r="J560">
        <v>0</v>
      </c>
      <c r="K560">
        <v>0.59</v>
      </c>
      <c r="L560">
        <v>5.03</v>
      </c>
      <c r="M560">
        <v>5.18</v>
      </c>
      <c r="N560">
        <v>5</v>
      </c>
      <c r="O560">
        <v>5.04</v>
      </c>
      <c r="P560">
        <v>46.38</v>
      </c>
      <c r="Q560">
        <v>48157628</v>
      </c>
      <c r="R560">
        <v>1.84</v>
      </c>
      <c r="S560" t="s">
        <v>142</v>
      </c>
      <c r="T560" t="s">
        <v>149</v>
      </c>
      <c r="U560">
        <v>3.57</v>
      </c>
      <c r="V560">
        <v>5.1</v>
      </c>
      <c r="W560">
        <v>35547</v>
      </c>
      <c r="X560">
        <v>58799</v>
      </c>
      <c r="Y560">
        <v>0.6</v>
      </c>
      <c r="Z560">
        <v>1165</v>
      </c>
      <c r="AA560">
        <v>672</v>
      </c>
      <c r="AB560" t="s">
        <v>32</v>
      </c>
      <c r="AC560">
        <v>15.92</v>
      </c>
    </row>
    <row r="561" spans="1:29">
      <c r="A561" t="str">
        <f>"002100"</f>
        <v>002100</v>
      </c>
      <c r="B561" t="s">
        <v>721</v>
      </c>
      <c r="C561">
        <v>0</v>
      </c>
      <c r="D561">
        <v>6.18</v>
      </c>
      <c r="E561">
        <v>0</v>
      </c>
      <c r="F561">
        <v>6.18</v>
      </c>
      <c r="G561">
        <v>6.19</v>
      </c>
      <c r="H561">
        <v>14030</v>
      </c>
      <c r="I561">
        <v>244</v>
      </c>
      <c r="J561">
        <v>0</v>
      </c>
      <c r="K561">
        <v>0.2</v>
      </c>
      <c r="L561">
        <v>6.16</v>
      </c>
      <c r="M561">
        <v>6.21</v>
      </c>
      <c r="N561">
        <v>6.14</v>
      </c>
      <c r="O561">
        <v>6.18</v>
      </c>
      <c r="P561">
        <v>26.94</v>
      </c>
      <c r="Q561">
        <v>8669703</v>
      </c>
      <c r="R561">
        <v>1.22</v>
      </c>
      <c r="S561" t="s">
        <v>102</v>
      </c>
      <c r="T561" t="s">
        <v>156</v>
      </c>
      <c r="U561">
        <v>1.13</v>
      </c>
      <c r="V561">
        <v>6.18</v>
      </c>
      <c r="W561">
        <v>7899</v>
      </c>
      <c r="X561">
        <v>6131</v>
      </c>
      <c r="Y561">
        <v>1.29</v>
      </c>
      <c r="Z561">
        <v>47</v>
      </c>
      <c r="AA561">
        <v>2865</v>
      </c>
      <c r="AB561" t="s">
        <v>32</v>
      </c>
      <c r="AC561">
        <v>7.09</v>
      </c>
    </row>
    <row r="562" spans="1:29">
      <c r="A562" t="str">
        <f>"002101"</f>
        <v>002101</v>
      </c>
      <c r="B562" t="s">
        <v>722</v>
      </c>
      <c r="C562">
        <v>0.85</v>
      </c>
      <c r="D562">
        <v>8.34</v>
      </c>
      <c r="E562">
        <v>0.07</v>
      </c>
      <c r="F562">
        <v>8.33</v>
      </c>
      <c r="G562">
        <v>8.34</v>
      </c>
      <c r="H562">
        <v>31664</v>
      </c>
      <c r="I562">
        <v>323</v>
      </c>
      <c r="J562">
        <v>0</v>
      </c>
      <c r="K562">
        <v>0.74</v>
      </c>
      <c r="L562">
        <v>8.22</v>
      </c>
      <c r="M562">
        <v>8.35</v>
      </c>
      <c r="N562">
        <v>8.18</v>
      </c>
      <c r="O562">
        <v>8.27</v>
      </c>
      <c r="P562">
        <v>20.33</v>
      </c>
      <c r="Q562">
        <v>26245844</v>
      </c>
      <c r="R562">
        <v>1.15</v>
      </c>
      <c r="S562" t="s">
        <v>241</v>
      </c>
      <c r="T562" t="s">
        <v>136</v>
      </c>
      <c r="U562">
        <v>2.06</v>
      </c>
      <c r="V562">
        <v>8.29</v>
      </c>
      <c r="W562">
        <v>17471</v>
      </c>
      <c r="X562">
        <v>14193</v>
      </c>
      <c r="Y562">
        <v>1.23</v>
      </c>
      <c r="Z562">
        <v>321</v>
      </c>
      <c r="AA562">
        <v>588</v>
      </c>
      <c r="AB562" t="s">
        <v>32</v>
      </c>
      <c r="AC562">
        <v>4.26</v>
      </c>
    </row>
    <row r="563" spans="1:29">
      <c r="A563" t="str">
        <f>"002102"</f>
        <v>002102</v>
      </c>
      <c r="B563" t="s">
        <v>723</v>
      </c>
      <c r="C563" t="s">
        <v>32</v>
      </c>
      <c r="D563">
        <v>4.02</v>
      </c>
      <c r="E563" t="s">
        <v>32</v>
      </c>
      <c r="F563" t="s">
        <v>32</v>
      </c>
      <c r="G563" t="s">
        <v>32</v>
      </c>
      <c r="H563">
        <v>0</v>
      </c>
      <c r="I563">
        <v>0</v>
      </c>
      <c r="J563" t="s">
        <v>32</v>
      </c>
      <c r="K563">
        <v>0</v>
      </c>
      <c r="L563" t="s">
        <v>32</v>
      </c>
      <c r="M563" t="s">
        <v>32</v>
      </c>
      <c r="N563" t="s">
        <v>32</v>
      </c>
      <c r="O563">
        <v>4.02</v>
      </c>
      <c r="P563">
        <v>10.11</v>
      </c>
      <c r="Q563">
        <v>0</v>
      </c>
      <c r="R563">
        <v>0</v>
      </c>
      <c r="S563" t="s">
        <v>142</v>
      </c>
      <c r="T563" t="s">
        <v>236</v>
      </c>
      <c r="U563">
        <v>0</v>
      </c>
      <c r="V563">
        <v>4.02</v>
      </c>
      <c r="W563">
        <v>0</v>
      </c>
      <c r="X563">
        <v>0</v>
      </c>
      <c r="Y563" t="s">
        <v>32</v>
      </c>
      <c r="Z563">
        <v>0</v>
      </c>
      <c r="AA563">
        <v>0</v>
      </c>
      <c r="AB563" t="s">
        <v>32</v>
      </c>
      <c r="AC563">
        <v>19.92</v>
      </c>
    </row>
    <row r="564" spans="1:29">
      <c r="A564" t="str">
        <f>"002103"</f>
        <v>002103</v>
      </c>
      <c r="B564" t="s">
        <v>724</v>
      </c>
      <c r="C564">
        <v>-0.76</v>
      </c>
      <c r="D564">
        <v>5.19</v>
      </c>
      <c r="E564">
        <v>-0.04</v>
      </c>
      <c r="F564">
        <v>5.18</v>
      </c>
      <c r="G564">
        <v>5.19</v>
      </c>
      <c r="H564">
        <v>137867</v>
      </c>
      <c r="I564">
        <v>2798</v>
      </c>
      <c r="J564">
        <v>-0.18</v>
      </c>
      <c r="K564">
        <v>3.68</v>
      </c>
      <c r="L564">
        <v>5.12</v>
      </c>
      <c r="M564">
        <v>5.23</v>
      </c>
      <c r="N564">
        <v>5.04</v>
      </c>
      <c r="O564">
        <v>5.23</v>
      </c>
      <c r="P564">
        <v>53.57</v>
      </c>
      <c r="Q564">
        <v>70895952</v>
      </c>
      <c r="R564">
        <v>1.34</v>
      </c>
      <c r="S564" t="s">
        <v>57</v>
      </c>
      <c r="T564" t="s">
        <v>149</v>
      </c>
      <c r="U564">
        <v>3.63</v>
      </c>
      <c r="V564">
        <v>5.14</v>
      </c>
      <c r="W564">
        <v>70470</v>
      </c>
      <c r="X564">
        <v>67396</v>
      </c>
      <c r="Y564">
        <v>1.05</v>
      </c>
      <c r="Z564">
        <v>778</v>
      </c>
      <c r="AA564">
        <v>2990</v>
      </c>
      <c r="AB564" t="s">
        <v>32</v>
      </c>
      <c r="AC564">
        <v>3.74</v>
      </c>
    </row>
    <row r="565" spans="1:29">
      <c r="A565" t="str">
        <f>"002104"</f>
        <v>002104</v>
      </c>
      <c r="B565" t="s">
        <v>725</v>
      </c>
      <c r="C565">
        <v>1</v>
      </c>
      <c r="D565">
        <v>7.09</v>
      </c>
      <c r="E565">
        <v>0.07</v>
      </c>
      <c r="F565">
        <v>7.08</v>
      </c>
      <c r="G565">
        <v>7.09</v>
      </c>
      <c r="H565">
        <v>65797</v>
      </c>
      <c r="I565">
        <v>559</v>
      </c>
      <c r="J565">
        <v>0.14</v>
      </c>
      <c r="K565">
        <v>1.09</v>
      </c>
      <c r="L565">
        <v>7.01</v>
      </c>
      <c r="M565">
        <v>7.1</v>
      </c>
      <c r="N565">
        <v>6.96</v>
      </c>
      <c r="O565">
        <v>7.02</v>
      </c>
      <c r="P565">
        <v>29.18</v>
      </c>
      <c r="Q565">
        <v>46465356</v>
      </c>
      <c r="R565">
        <v>1.28</v>
      </c>
      <c r="S565" t="s">
        <v>63</v>
      </c>
      <c r="T565" t="s">
        <v>87</v>
      </c>
      <c r="U565">
        <v>1.99</v>
      </c>
      <c r="V565">
        <v>7.06</v>
      </c>
      <c r="W565">
        <v>31538</v>
      </c>
      <c r="X565">
        <v>34258</v>
      </c>
      <c r="Y565">
        <v>0.92</v>
      </c>
      <c r="Z565">
        <v>1184</v>
      </c>
      <c r="AA565">
        <v>1980</v>
      </c>
      <c r="AB565" t="s">
        <v>32</v>
      </c>
      <c r="AC565">
        <v>6.02</v>
      </c>
    </row>
    <row r="566" spans="1:29">
      <c r="A566" t="str">
        <f>"002105"</f>
        <v>002105</v>
      </c>
      <c r="B566" t="s">
        <v>726</v>
      </c>
      <c r="C566">
        <v>2.75</v>
      </c>
      <c r="D566">
        <v>4.48</v>
      </c>
      <c r="E566">
        <v>0.12</v>
      </c>
      <c r="F566">
        <v>4.47</v>
      </c>
      <c r="G566">
        <v>4.48</v>
      </c>
      <c r="H566">
        <v>25662</v>
      </c>
      <c r="I566">
        <v>772</v>
      </c>
      <c r="J566">
        <v>0.22</v>
      </c>
      <c r="K566">
        <v>0.7</v>
      </c>
      <c r="L566">
        <v>4.36</v>
      </c>
      <c r="M566">
        <v>4.48</v>
      </c>
      <c r="N566">
        <v>4.32</v>
      </c>
      <c r="O566">
        <v>4.36</v>
      </c>
      <c r="P566" t="s">
        <v>32</v>
      </c>
      <c r="Q566">
        <v>11328287</v>
      </c>
      <c r="R566">
        <v>2.27</v>
      </c>
      <c r="S566" t="s">
        <v>57</v>
      </c>
      <c r="T566" t="s">
        <v>31</v>
      </c>
      <c r="U566">
        <v>3.67</v>
      </c>
      <c r="V566">
        <v>4.41</v>
      </c>
      <c r="W566">
        <v>9310</v>
      </c>
      <c r="X566">
        <v>16351</v>
      </c>
      <c r="Y566">
        <v>0.57</v>
      </c>
      <c r="Z566">
        <v>445</v>
      </c>
      <c r="AA566">
        <v>487</v>
      </c>
      <c r="AB566" t="s">
        <v>32</v>
      </c>
      <c r="AC566">
        <v>3.69</v>
      </c>
    </row>
    <row r="567" spans="1:29">
      <c r="A567" t="str">
        <f>"002106"</f>
        <v>002106</v>
      </c>
      <c r="B567" t="s">
        <v>727</v>
      </c>
      <c r="C567">
        <v>1.2</v>
      </c>
      <c r="D567">
        <v>5.92</v>
      </c>
      <c r="E567">
        <v>0.07</v>
      </c>
      <c r="F567">
        <v>5.92</v>
      </c>
      <c r="G567">
        <v>5.93</v>
      </c>
      <c r="H567">
        <v>71864</v>
      </c>
      <c r="I567">
        <v>1279</v>
      </c>
      <c r="J567">
        <v>0</v>
      </c>
      <c r="K567">
        <v>1.02</v>
      </c>
      <c r="L567">
        <v>5.85</v>
      </c>
      <c r="M567">
        <v>5.98</v>
      </c>
      <c r="N567">
        <v>5.82</v>
      </c>
      <c r="O567">
        <v>5.85</v>
      </c>
      <c r="P567" t="s">
        <v>32</v>
      </c>
      <c r="Q567">
        <v>42536440</v>
      </c>
      <c r="R567">
        <v>1.08</v>
      </c>
      <c r="S567" t="s">
        <v>63</v>
      </c>
      <c r="T567" t="s">
        <v>31</v>
      </c>
      <c r="U567">
        <v>2.74</v>
      </c>
      <c r="V567">
        <v>5.92</v>
      </c>
      <c r="W567">
        <v>33707</v>
      </c>
      <c r="X567">
        <v>38157</v>
      </c>
      <c r="Y567">
        <v>0.88</v>
      </c>
      <c r="Z567">
        <v>315</v>
      </c>
      <c r="AA567">
        <v>1378</v>
      </c>
      <c r="AB567" t="s">
        <v>32</v>
      </c>
      <c r="AC567">
        <v>7.04</v>
      </c>
    </row>
    <row r="568" spans="1:29">
      <c r="A568" t="str">
        <f>"002107"</f>
        <v>002107</v>
      </c>
      <c r="B568" t="s">
        <v>728</v>
      </c>
      <c r="C568">
        <v>1.36</v>
      </c>
      <c r="D568">
        <v>8.97</v>
      </c>
      <c r="E568">
        <v>0.12</v>
      </c>
      <c r="F568">
        <v>8.96</v>
      </c>
      <c r="G568">
        <v>8.97</v>
      </c>
      <c r="H568">
        <v>10708</v>
      </c>
      <c r="I568">
        <v>54</v>
      </c>
      <c r="J568">
        <v>0</v>
      </c>
      <c r="K568">
        <v>0.31</v>
      </c>
      <c r="L568">
        <v>8.83</v>
      </c>
      <c r="M568">
        <v>9.04</v>
      </c>
      <c r="N568">
        <v>8.76</v>
      </c>
      <c r="O568">
        <v>8.85</v>
      </c>
      <c r="P568">
        <v>42.64</v>
      </c>
      <c r="Q568">
        <v>9567719</v>
      </c>
      <c r="R568">
        <v>0.97</v>
      </c>
      <c r="S568" t="s">
        <v>195</v>
      </c>
      <c r="T568" t="s">
        <v>162</v>
      </c>
      <c r="U568">
        <v>3.16</v>
      </c>
      <c r="V568">
        <v>8.94</v>
      </c>
      <c r="W568">
        <v>5563</v>
      </c>
      <c r="X568">
        <v>5145</v>
      </c>
      <c r="Y568">
        <v>1.08</v>
      </c>
      <c r="Z568">
        <v>16</v>
      </c>
      <c r="AA568">
        <v>47</v>
      </c>
      <c r="AB568" t="s">
        <v>32</v>
      </c>
      <c r="AC568">
        <v>3.49</v>
      </c>
    </row>
    <row r="569" spans="1:29">
      <c r="A569" t="str">
        <f>"002108"</f>
        <v>002108</v>
      </c>
      <c r="B569" t="s">
        <v>729</v>
      </c>
      <c r="C569">
        <v>0.52</v>
      </c>
      <c r="D569">
        <v>5.81</v>
      </c>
      <c r="E569">
        <v>0.03</v>
      </c>
      <c r="F569">
        <v>5.8</v>
      </c>
      <c r="G569">
        <v>5.81</v>
      </c>
      <c r="H569">
        <v>267232</v>
      </c>
      <c r="I569">
        <v>5654</v>
      </c>
      <c r="J569">
        <v>0</v>
      </c>
      <c r="K569">
        <v>1.88</v>
      </c>
      <c r="L569">
        <v>5.88</v>
      </c>
      <c r="M569">
        <v>5.88</v>
      </c>
      <c r="N569">
        <v>5.74</v>
      </c>
      <c r="O569">
        <v>5.78</v>
      </c>
      <c r="P569">
        <v>37.12</v>
      </c>
      <c r="Q569">
        <v>154872144</v>
      </c>
      <c r="R569">
        <v>0.94</v>
      </c>
      <c r="S569" t="s">
        <v>508</v>
      </c>
      <c r="T569" t="s">
        <v>154</v>
      </c>
      <c r="U569">
        <v>2.42</v>
      </c>
      <c r="V569">
        <v>5.8</v>
      </c>
      <c r="W569">
        <v>149517</v>
      </c>
      <c r="X569">
        <v>117714</v>
      </c>
      <c r="Y569">
        <v>1.27</v>
      </c>
      <c r="Z569">
        <v>1042</v>
      </c>
      <c r="AA569">
        <v>2128</v>
      </c>
      <c r="AB569" t="s">
        <v>32</v>
      </c>
      <c r="AC569">
        <v>14.18</v>
      </c>
    </row>
    <row r="570" spans="1:29">
      <c r="A570" t="str">
        <f>"002109"</f>
        <v>002109</v>
      </c>
      <c r="B570" t="s">
        <v>730</v>
      </c>
      <c r="C570">
        <v>1.85</v>
      </c>
      <c r="D570">
        <v>3.85</v>
      </c>
      <c r="E570">
        <v>0.07</v>
      </c>
      <c r="F570">
        <v>3.84</v>
      </c>
      <c r="G570">
        <v>3.85</v>
      </c>
      <c r="H570">
        <v>83364</v>
      </c>
      <c r="I570">
        <v>695</v>
      </c>
      <c r="J570">
        <v>0.26</v>
      </c>
      <c r="K570">
        <v>1.53</v>
      </c>
      <c r="L570">
        <v>3.77</v>
      </c>
      <c r="M570">
        <v>3.86</v>
      </c>
      <c r="N570">
        <v>3.75</v>
      </c>
      <c r="O570">
        <v>3.78</v>
      </c>
      <c r="P570">
        <v>15.75</v>
      </c>
      <c r="Q570">
        <v>31863750</v>
      </c>
      <c r="R570">
        <v>2.24</v>
      </c>
      <c r="S570" t="s">
        <v>218</v>
      </c>
      <c r="T570" t="s">
        <v>223</v>
      </c>
      <c r="U570">
        <v>2.91</v>
      </c>
      <c r="V570">
        <v>3.82</v>
      </c>
      <c r="W570">
        <v>43572</v>
      </c>
      <c r="X570">
        <v>39791</v>
      </c>
      <c r="Y570">
        <v>1.1</v>
      </c>
      <c r="Z570">
        <v>80</v>
      </c>
      <c r="AA570">
        <v>1675</v>
      </c>
      <c r="AB570" t="s">
        <v>32</v>
      </c>
      <c r="AC570">
        <v>5.45</v>
      </c>
    </row>
    <row r="571" spans="1:29">
      <c r="A571" t="str">
        <f>"002110"</f>
        <v>002110</v>
      </c>
      <c r="B571" t="s">
        <v>731</v>
      </c>
      <c r="C571">
        <v>6.56</v>
      </c>
      <c r="D571">
        <v>20.63</v>
      </c>
      <c r="E571">
        <v>1.27</v>
      </c>
      <c r="F571">
        <v>20.62</v>
      </c>
      <c r="G571">
        <v>20.63</v>
      </c>
      <c r="H571">
        <v>666104</v>
      </c>
      <c r="I571">
        <v>3633</v>
      </c>
      <c r="J571">
        <v>0.15</v>
      </c>
      <c r="K571">
        <v>6.72</v>
      </c>
      <c r="L571">
        <v>19.79</v>
      </c>
      <c r="M571">
        <v>21.3</v>
      </c>
      <c r="N571">
        <v>19.7</v>
      </c>
      <c r="O571">
        <v>19.36</v>
      </c>
      <c r="P571">
        <v>8.73</v>
      </c>
      <c r="Q571">
        <v>1386289792</v>
      </c>
      <c r="R571">
        <v>1.63</v>
      </c>
      <c r="S571" t="s">
        <v>353</v>
      </c>
      <c r="T571" t="s">
        <v>236</v>
      </c>
      <c r="U571">
        <v>8.26</v>
      </c>
      <c r="V571">
        <v>20.81</v>
      </c>
      <c r="W571">
        <v>344285</v>
      </c>
      <c r="X571">
        <v>321819</v>
      </c>
      <c r="Y571">
        <v>1.07</v>
      </c>
      <c r="Z571">
        <v>106</v>
      </c>
      <c r="AA571">
        <v>33</v>
      </c>
      <c r="AB571" t="s">
        <v>32</v>
      </c>
      <c r="AC571">
        <v>9.91</v>
      </c>
    </row>
    <row r="572" spans="1:29">
      <c r="A572" t="str">
        <f>"002111"</f>
        <v>002111</v>
      </c>
      <c r="B572" t="s">
        <v>732</v>
      </c>
      <c r="C572">
        <v>0.36</v>
      </c>
      <c r="D572">
        <v>11.22</v>
      </c>
      <c r="E572">
        <v>0.04</v>
      </c>
      <c r="F572">
        <v>11.22</v>
      </c>
      <c r="G572">
        <v>11.23</v>
      </c>
      <c r="H572">
        <v>26871</v>
      </c>
      <c r="I572">
        <v>574</v>
      </c>
      <c r="J572">
        <v>-0.08</v>
      </c>
      <c r="K572">
        <v>0.82</v>
      </c>
      <c r="L572">
        <v>11.13</v>
      </c>
      <c r="M572">
        <v>11.28</v>
      </c>
      <c r="N572">
        <v>11.12</v>
      </c>
      <c r="O572">
        <v>11.18</v>
      </c>
      <c r="P572">
        <v>21.02</v>
      </c>
      <c r="Q572">
        <v>30153820</v>
      </c>
      <c r="R572">
        <v>1.11</v>
      </c>
      <c r="S572" t="s">
        <v>389</v>
      </c>
      <c r="T572" t="s">
        <v>162</v>
      </c>
      <c r="U572">
        <v>1.43</v>
      </c>
      <c r="V572">
        <v>11.22</v>
      </c>
      <c r="W572">
        <v>13915</v>
      </c>
      <c r="X572">
        <v>12955</v>
      </c>
      <c r="Y572">
        <v>1.07</v>
      </c>
      <c r="Z572">
        <v>117</v>
      </c>
      <c r="AA572">
        <v>965</v>
      </c>
      <c r="AB572" t="s">
        <v>32</v>
      </c>
      <c r="AC572">
        <v>3.27</v>
      </c>
    </row>
    <row r="573" spans="1:29">
      <c r="A573" t="str">
        <f>"002112"</f>
        <v>002112</v>
      </c>
      <c r="B573" t="s">
        <v>733</v>
      </c>
      <c r="C573">
        <v>1.48</v>
      </c>
      <c r="D573">
        <v>8.89</v>
      </c>
      <c r="E573">
        <v>0.13</v>
      </c>
      <c r="F573">
        <v>8.89</v>
      </c>
      <c r="G573">
        <v>8.9</v>
      </c>
      <c r="H573">
        <v>216879</v>
      </c>
      <c r="I573">
        <v>3909</v>
      </c>
      <c r="J573">
        <v>0.45</v>
      </c>
      <c r="K573">
        <v>11.87</v>
      </c>
      <c r="L573">
        <v>8.72</v>
      </c>
      <c r="M573">
        <v>9.22</v>
      </c>
      <c r="N573">
        <v>8.51</v>
      </c>
      <c r="O573">
        <v>8.76</v>
      </c>
      <c r="P573" t="s">
        <v>32</v>
      </c>
      <c r="Q573">
        <v>192017808</v>
      </c>
      <c r="R573">
        <v>0.7</v>
      </c>
      <c r="S573" t="s">
        <v>104</v>
      </c>
      <c r="T573" t="s">
        <v>149</v>
      </c>
      <c r="U573">
        <v>8.11</v>
      </c>
      <c r="V573">
        <v>8.85</v>
      </c>
      <c r="W573">
        <v>105963</v>
      </c>
      <c r="X573">
        <v>110915</v>
      </c>
      <c r="Y573">
        <v>0.96</v>
      </c>
      <c r="Z573">
        <v>2471</v>
      </c>
      <c r="AA573">
        <v>1338</v>
      </c>
      <c r="AB573" t="s">
        <v>32</v>
      </c>
      <c r="AC573">
        <v>1.83</v>
      </c>
    </row>
    <row r="574" spans="1:29">
      <c r="A574" t="str">
        <f>"002113"</f>
        <v>002113</v>
      </c>
      <c r="B574" t="s">
        <v>734</v>
      </c>
      <c r="C574" t="s">
        <v>32</v>
      </c>
      <c r="D574">
        <v>5.78</v>
      </c>
      <c r="E574" t="s">
        <v>32</v>
      </c>
      <c r="F574" t="s">
        <v>32</v>
      </c>
      <c r="G574" t="s">
        <v>32</v>
      </c>
      <c r="H574">
        <v>0</v>
      </c>
      <c r="I574">
        <v>0</v>
      </c>
      <c r="J574" t="s">
        <v>32</v>
      </c>
      <c r="K574">
        <v>0</v>
      </c>
      <c r="L574" t="s">
        <v>32</v>
      </c>
      <c r="M574" t="s">
        <v>32</v>
      </c>
      <c r="N574" t="s">
        <v>32</v>
      </c>
      <c r="O574">
        <v>5.78</v>
      </c>
      <c r="P574">
        <v>89.89</v>
      </c>
      <c r="Q574">
        <v>0</v>
      </c>
      <c r="R574">
        <v>0</v>
      </c>
      <c r="S574" t="s">
        <v>316</v>
      </c>
      <c r="T574" t="s">
        <v>152</v>
      </c>
      <c r="U574">
        <v>0</v>
      </c>
      <c r="V574">
        <v>5.78</v>
      </c>
      <c r="W574">
        <v>0</v>
      </c>
      <c r="X574">
        <v>0</v>
      </c>
      <c r="Y574" t="s">
        <v>32</v>
      </c>
      <c r="Z574">
        <v>0</v>
      </c>
      <c r="AA574">
        <v>0</v>
      </c>
      <c r="AB574" t="s">
        <v>32</v>
      </c>
      <c r="AC574">
        <v>8.05</v>
      </c>
    </row>
    <row r="575" spans="1:29">
      <c r="A575" t="str">
        <f>"002114"</f>
        <v>002114</v>
      </c>
      <c r="B575" t="s">
        <v>735</v>
      </c>
      <c r="C575">
        <v>6.76</v>
      </c>
      <c r="D575">
        <v>8.85</v>
      </c>
      <c r="E575">
        <v>0.56</v>
      </c>
      <c r="F575">
        <v>8.84</v>
      </c>
      <c r="G575">
        <v>8.85</v>
      </c>
      <c r="H575">
        <v>153243</v>
      </c>
      <c r="I575">
        <v>4592</v>
      </c>
      <c r="J575">
        <v>0.57</v>
      </c>
      <c r="K575">
        <v>4.74</v>
      </c>
      <c r="L575">
        <v>8.13</v>
      </c>
      <c r="M575">
        <v>8.97</v>
      </c>
      <c r="N575">
        <v>8.1</v>
      </c>
      <c r="O575">
        <v>8.29</v>
      </c>
      <c r="P575">
        <v>92.15</v>
      </c>
      <c r="Q575">
        <v>131348432</v>
      </c>
      <c r="R575">
        <v>1.18</v>
      </c>
      <c r="S575" t="s">
        <v>113</v>
      </c>
      <c r="T575" t="s">
        <v>250</v>
      </c>
      <c r="U575">
        <v>10.49</v>
      </c>
      <c r="V575">
        <v>8.57</v>
      </c>
      <c r="W575">
        <v>76491</v>
      </c>
      <c r="X575">
        <v>76751</v>
      </c>
      <c r="Y575">
        <v>1</v>
      </c>
      <c r="Z575">
        <v>95</v>
      </c>
      <c r="AA575">
        <v>2220</v>
      </c>
      <c r="AB575" t="s">
        <v>32</v>
      </c>
      <c r="AC575">
        <v>3.23</v>
      </c>
    </row>
    <row r="576" spans="1:29">
      <c r="A576" t="str">
        <f>"002115"</f>
        <v>002115</v>
      </c>
      <c r="B576" t="s">
        <v>736</v>
      </c>
      <c r="C576">
        <v>2.99</v>
      </c>
      <c r="D576">
        <v>9.3</v>
      </c>
      <c r="E576">
        <v>0.27</v>
      </c>
      <c r="F576">
        <v>9.29</v>
      </c>
      <c r="G576">
        <v>9.3</v>
      </c>
      <c r="H576">
        <v>106239</v>
      </c>
      <c r="I576">
        <v>1992</v>
      </c>
      <c r="J576">
        <v>0</v>
      </c>
      <c r="K576">
        <v>3.08</v>
      </c>
      <c r="L576">
        <v>9.02</v>
      </c>
      <c r="M576">
        <v>9.39</v>
      </c>
      <c r="N576">
        <v>8.85</v>
      </c>
      <c r="O576">
        <v>9.03</v>
      </c>
      <c r="P576">
        <v>59.22</v>
      </c>
      <c r="Q576">
        <v>96907704</v>
      </c>
      <c r="R576">
        <v>1.56</v>
      </c>
      <c r="S576" t="s">
        <v>119</v>
      </c>
      <c r="T576" t="s">
        <v>149</v>
      </c>
      <c r="U576">
        <v>5.98</v>
      </c>
      <c r="V576">
        <v>9.12</v>
      </c>
      <c r="W576">
        <v>48508</v>
      </c>
      <c r="X576">
        <v>57730</v>
      </c>
      <c r="Y576">
        <v>0.84</v>
      </c>
      <c r="Z576">
        <v>188</v>
      </c>
      <c r="AA576">
        <v>111</v>
      </c>
      <c r="AB576" t="s">
        <v>32</v>
      </c>
      <c r="AC576">
        <v>3.45</v>
      </c>
    </row>
    <row r="577" spans="1:29">
      <c r="A577" t="str">
        <f>"002116"</f>
        <v>002116</v>
      </c>
      <c r="B577" t="s">
        <v>737</v>
      </c>
      <c r="C577">
        <v>2.31</v>
      </c>
      <c r="D577">
        <v>7.97</v>
      </c>
      <c r="E577">
        <v>0.18</v>
      </c>
      <c r="F577">
        <v>7.96</v>
      </c>
      <c r="G577">
        <v>7.97</v>
      </c>
      <c r="H577">
        <v>48299</v>
      </c>
      <c r="I577">
        <v>371</v>
      </c>
      <c r="J577">
        <v>-0.12</v>
      </c>
      <c r="K577">
        <v>1.16</v>
      </c>
      <c r="L577">
        <v>7.87</v>
      </c>
      <c r="M577">
        <v>8.16</v>
      </c>
      <c r="N577">
        <v>7.76</v>
      </c>
      <c r="O577">
        <v>7.79</v>
      </c>
      <c r="P577">
        <v>19.61</v>
      </c>
      <c r="Q577">
        <v>38446084</v>
      </c>
      <c r="R577">
        <v>1.81</v>
      </c>
      <c r="S577" t="s">
        <v>49</v>
      </c>
      <c r="T577" t="s">
        <v>366</v>
      </c>
      <c r="U577">
        <v>5.13</v>
      </c>
      <c r="V577">
        <v>7.96</v>
      </c>
      <c r="W577">
        <v>17117</v>
      </c>
      <c r="X577">
        <v>31181</v>
      </c>
      <c r="Y577">
        <v>0.55</v>
      </c>
      <c r="Z577">
        <v>319</v>
      </c>
      <c r="AA577">
        <v>157</v>
      </c>
      <c r="AB577" t="s">
        <v>32</v>
      </c>
      <c r="AC577">
        <v>4.16</v>
      </c>
    </row>
    <row r="578" spans="1:29">
      <c r="A578" t="str">
        <f>"002117"</f>
        <v>002117</v>
      </c>
      <c r="B578" t="s">
        <v>738</v>
      </c>
      <c r="C578">
        <v>0.96</v>
      </c>
      <c r="D578">
        <v>14.68</v>
      </c>
      <c r="E578">
        <v>0.14</v>
      </c>
      <c r="F578">
        <v>14.68</v>
      </c>
      <c r="G578">
        <v>14.69</v>
      </c>
      <c r="H578">
        <v>32983</v>
      </c>
      <c r="I578">
        <v>411</v>
      </c>
      <c r="J578">
        <v>-0.13</v>
      </c>
      <c r="K578">
        <v>0.91</v>
      </c>
      <c r="L578">
        <v>14.41</v>
      </c>
      <c r="M578">
        <v>14.78</v>
      </c>
      <c r="N578">
        <v>14.39</v>
      </c>
      <c r="O578">
        <v>14.54</v>
      </c>
      <c r="P578">
        <v>22.14</v>
      </c>
      <c r="Q578">
        <v>48143860</v>
      </c>
      <c r="R578">
        <v>1.94</v>
      </c>
      <c r="S578" t="s">
        <v>91</v>
      </c>
      <c r="T578" t="s">
        <v>162</v>
      </c>
      <c r="U578">
        <v>2.68</v>
      </c>
      <c r="V578">
        <v>14.6</v>
      </c>
      <c r="W578">
        <v>19584</v>
      </c>
      <c r="X578">
        <v>13398</v>
      </c>
      <c r="Y578">
        <v>1.46</v>
      </c>
      <c r="Z578">
        <v>46</v>
      </c>
      <c r="AA578">
        <v>109</v>
      </c>
      <c r="AB578" t="s">
        <v>32</v>
      </c>
      <c r="AC578">
        <v>3.64</v>
      </c>
    </row>
    <row r="579" spans="1:29">
      <c r="A579" t="str">
        <f>"002118"</f>
        <v>002118</v>
      </c>
      <c r="B579" t="s">
        <v>739</v>
      </c>
      <c r="C579">
        <v>5.06</v>
      </c>
      <c r="D579">
        <v>6.23</v>
      </c>
      <c r="E579">
        <v>0.3</v>
      </c>
      <c r="F579">
        <v>6.23</v>
      </c>
      <c r="G579">
        <v>6.24</v>
      </c>
      <c r="H579">
        <v>332379</v>
      </c>
      <c r="I579">
        <v>3310</v>
      </c>
      <c r="J579">
        <v>0.48</v>
      </c>
      <c r="K579">
        <v>3.24</v>
      </c>
      <c r="L579">
        <v>5.91</v>
      </c>
      <c r="M579">
        <v>6.26</v>
      </c>
      <c r="N579">
        <v>5.86</v>
      </c>
      <c r="O579">
        <v>5.93</v>
      </c>
      <c r="P579">
        <v>14.66</v>
      </c>
      <c r="Q579">
        <v>202201008</v>
      </c>
      <c r="R579">
        <v>1.86</v>
      </c>
      <c r="S579" t="s">
        <v>195</v>
      </c>
      <c r="T579" t="s">
        <v>81</v>
      </c>
      <c r="U579">
        <v>6.75</v>
      </c>
      <c r="V579">
        <v>6.08</v>
      </c>
      <c r="W579">
        <v>144535</v>
      </c>
      <c r="X579">
        <v>187844</v>
      </c>
      <c r="Y579">
        <v>0.77</v>
      </c>
      <c r="Z579">
        <v>2006</v>
      </c>
      <c r="AA579">
        <v>590</v>
      </c>
      <c r="AB579" t="s">
        <v>32</v>
      </c>
      <c r="AC579">
        <v>10.25</v>
      </c>
    </row>
    <row r="580" spans="1:29">
      <c r="A580" t="str">
        <f>"002119"</f>
        <v>002119</v>
      </c>
      <c r="B580" t="s">
        <v>740</v>
      </c>
      <c r="C580">
        <v>0.61</v>
      </c>
      <c r="D580">
        <v>11.56</v>
      </c>
      <c r="E580">
        <v>0.07</v>
      </c>
      <c r="F580">
        <v>11.56</v>
      </c>
      <c r="G580">
        <v>11.57</v>
      </c>
      <c r="H580">
        <v>9843</v>
      </c>
      <c r="I580">
        <v>207</v>
      </c>
      <c r="J580">
        <v>0</v>
      </c>
      <c r="K580">
        <v>0.35</v>
      </c>
      <c r="L580">
        <v>11.48</v>
      </c>
      <c r="M580">
        <v>11.59</v>
      </c>
      <c r="N580">
        <v>11.36</v>
      </c>
      <c r="O580">
        <v>11.49</v>
      </c>
      <c r="P580">
        <v>47.62</v>
      </c>
      <c r="Q580">
        <v>11327910</v>
      </c>
      <c r="R580">
        <v>0.84</v>
      </c>
      <c r="S580" t="s">
        <v>699</v>
      </c>
      <c r="T580" t="s">
        <v>149</v>
      </c>
      <c r="U580">
        <v>2</v>
      </c>
      <c r="V580">
        <v>11.51</v>
      </c>
      <c r="W580">
        <v>5435</v>
      </c>
      <c r="X580">
        <v>4408</v>
      </c>
      <c r="Y580">
        <v>1.23</v>
      </c>
      <c r="Z580">
        <v>233</v>
      </c>
      <c r="AA580">
        <v>111</v>
      </c>
      <c r="AB580" t="s">
        <v>32</v>
      </c>
      <c r="AC580">
        <v>2.83</v>
      </c>
    </row>
    <row r="581" spans="1:29">
      <c r="A581" t="str">
        <f>"002120"</f>
        <v>002120</v>
      </c>
      <c r="B581" t="s">
        <v>741</v>
      </c>
      <c r="C581">
        <v>-0.06</v>
      </c>
      <c r="D581">
        <v>49.37</v>
      </c>
      <c r="E581">
        <v>-0.03</v>
      </c>
      <c r="F581">
        <v>49.33</v>
      </c>
      <c r="G581">
        <v>49.37</v>
      </c>
      <c r="H581">
        <v>14676</v>
      </c>
      <c r="I581">
        <v>173</v>
      </c>
      <c r="J581">
        <v>0.3</v>
      </c>
      <c r="K581">
        <v>1.05</v>
      </c>
      <c r="L581">
        <v>49.5</v>
      </c>
      <c r="M581">
        <v>49.99</v>
      </c>
      <c r="N581">
        <v>49.12</v>
      </c>
      <c r="O581">
        <v>49.4</v>
      </c>
      <c r="P581">
        <v>40.29</v>
      </c>
      <c r="Q581">
        <v>72610800</v>
      </c>
      <c r="R581">
        <v>1.2</v>
      </c>
      <c r="S581" t="s">
        <v>742</v>
      </c>
      <c r="T581" t="s">
        <v>149</v>
      </c>
      <c r="U581">
        <v>1.76</v>
      </c>
      <c r="V581">
        <v>49.48</v>
      </c>
      <c r="W581">
        <v>8080</v>
      </c>
      <c r="X581">
        <v>6596</v>
      </c>
      <c r="Y581">
        <v>1.22</v>
      </c>
      <c r="Z581">
        <v>10</v>
      </c>
      <c r="AA581">
        <v>178</v>
      </c>
      <c r="AB581" t="s">
        <v>32</v>
      </c>
      <c r="AC581">
        <v>1.39</v>
      </c>
    </row>
    <row r="582" spans="1:29">
      <c r="A582" t="str">
        <f>"002121"</f>
        <v>002121</v>
      </c>
      <c r="B582" t="s">
        <v>743</v>
      </c>
      <c r="C582" t="s">
        <v>32</v>
      </c>
      <c r="D582">
        <v>6.49</v>
      </c>
      <c r="E582" t="s">
        <v>32</v>
      </c>
      <c r="F582" t="s">
        <v>32</v>
      </c>
      <c r="G582" t="s">
        <v>32</v>
      </c>
      <c r="H582">
        <v>0</v>
      </c>
      <c r="I582">
        <v>0</v>
      </c>
      <c r="J582" t="s">
        <v>32</v>
      </c>
      <c r="K582">
        <v>0</v>
      </c>
      <c r="L582" t="s">
        <v>32</v>
      </c>
      <c r="M582" t="s">
        <v>32</v>
      </c>
      <c r="N582" t="s">
        <v>32</v>
      </c>
      <c r="O582">
        <v>6.49</v>
      </c>
      <c r="P582">
        <v>74.22</v>
      </c>
      <c r="Q582">
        <v>0</v>
      </c>
      <c r="R582">
        <v>0</v>
      </c>
      <c r="S582" t="s">
        <v>606</v>
      </c>
      <c r="T582" t="s">
        <v>31</v>
      </c>
      <c r="U582">
        <v>0</v>
      </c>
      <c r="V582">
        <v>6.49</v>
      </c>
      <c r="W582">
        <v>0</v>
      </c>
      <c r="X582">
        <v>0</v>
      </c>
      <c r="Y582" t="s">
        <v>32</v>
      </c>
      <c r="Z582">
        <v>0</v>
      </c>
      <c r="AA582">
        <v>0</v>
      </c>
      <c r="AB582" t="s">
        <v>32</v>
      </c>
      <c r="AC582">
        <v>8.29</v>
      </c>
    </row>
    <row r="583" spans="1:29">
      <c r="A583" t="str">
        <f>"002122"</f>
        <v>002122</v>
      </c>
      <c r="B583" t="s">
        <v>744</v>
      </c>
      <c r="C583">
        <v>2.5</v>
      </c>
      <c r="D583">
        <v>1.64</v>
      </c>
      <c r="E583">
        <v>0.04</v>
      </c>
      <c r="F583">
        <v>1.63</v>
      </c>
      <c r="G583">
        <v>1.64</v>
      </c>
      <c r="H583">
        <v>162035</v>
      </c>
      <c r="I583">
        <v>1562</v>
      </c>
      <c r="J583">
        <v>0.61</v>
      </c>
      <c r="K583">
        <v>1.37</v>
      </c>
      <c r="L583">
        <v>1.6</v>
      </c>
      <c r="M583">
        <v>1.65</v>
      </c>
      <c r="N583">
        <v>1.59</v>
      </c>
      <c r="O583">
        <v>1.6</v>
      </c>
      <c r="P583" t="s">
        <v>32</v>
      </c>
      <c r="Q583">
        <v>26269110</v>
      </c>
      <c r="R583">
        <v>0.87</v>
      </c>
      <c r="S583" t="s">
        <v>241</v>
      </c>
      <c r="T583" t="s">
        <v>149</v>
      </c>
      <c r="U583">
        <v>3.75</v>
      </c>
      <c r="V583">
        <v>1.62</v>
      </c>
      <c r="W583">
        <v>66116</v>
      </c>
      <c r="X583">
        <v>95919</v>
      </c>
      <c r="Y583">
        <v>0.69</v>
      </c>
      <c r="Z583">
        <v>3466</v>
      </c>
      <c r="AA583">
        <v>11287</v>
      </c>
      <c r="AB583" t="s">
        <v>32</v>
      </c>
      <c r="AC583">
        <v>11.84</v>
      </c>
    </row>
    <row r="584" spans="1:29">
      <c r="A584" t="str">
        <f>"002123"</f>
        <v>002123</v>
      </c>
      <c r="B584" t="s">
        <v>745</v>
      </c>
      <c r="C584">
        <v>0.93</v>
      </c>
      <c r="D584">
        <v>8.67</v>
      </c>
      <c r="E584">
        <v>0.08</v>
      </c>
      <c r="F584">
        <v>8.67</v>
      </c>
      <c r="G584">
        <v>8.68</v>
      </c>
      <c r="H584">
        <v>46315</v>
      </c>
      <c r="I584">
        <v>1152</v>
      </c>
      <c r="J584">
        <v>-0.11</v>
      </c>
      <c r="K584">
        <v>0.85</v>
      </c>
      <c r="L584">
        <v>8.57</v>
      </c>
      <c r="M584">
        <v>8.71</v>
      </c>
      <c r="N584">
        <v>8.55</v>
      </c>
      <c r="O584">
        <v>8.59</v>
      </c>
      <c r="P584">
        <v>42.81</v>
      </c>
      <c r="Q584">
        <v>40125800</v>
      </c>
      <c r="R584">
        <v>1.11</v>
      </c>
      <c r="S584" t="s">
        <v>316</v>
      </c>
      <c r="T584" t="s">
        <v>31</v>
      </c>
      <c r="U584">
        <v>1.86</v>
      </c>
      <c r="V584">
        <v>8.66</v>
      </c>
      <c r="W584">
        <v>20225</v>
      </c>
      <c r="X584">
        <v>26089</v>
      </c>
      <c r="Y584">
        <v>0.78</v>
      </c>
      <c r="Z584">
        <v>1</v>
      </c>
      <c r="AA584">
        <v>16</v>
      </c>
      <c r="AB584" t="s">
        <v>32</v>
      </c>
      <c r="AC584">
        <v>5.47</v>
      </c>
    </row>
    <row r="585" spans="1:29">
      <c r="A585" t="str">
        <f>"002124"</f>
        <v>002124</v>
      </c>
      <c r="B585" t="s">
        <v>746</v>
      </c>
      <c r="C585">
        <v>7.84</v>
      </c>
      <c r="D585">
        <v>4.95</v>
      </c>
      <c r="E585">
        <v>0.36</v>
      </c>
      <c r="F585">
        <v>4.95</v>
      </c>
      <c r="G585">
        <v>4.96</v>
      </c>
      <c r="H585">
        <v>279053</v>
      </c>
      <c r="I585">
        <v>3529</v>
      </c>
      <c r="J585">
        <v>1.23</v>
      </c>
      <c r="K585">
        <v>3.53</v>
      </c>
      <c r="L585">
        <v>4.68</v>
      </c>
      <c r="M585">
        <v>5.04</v>
      </c>
      <c r="N585">
        <v>4.55</v>
      </c>
      <c r="O585">
        <v>4.59</v>
      </c>
      <c r="P585">
        <v>44.6</v>
      </c>
      <c r="Q585">
        <v>134005064</v>
      </c>
      <c r="R585">
        <v>3.51</v>
      </c>
      <c r="S585" t="s">
        <v>102</v>
      </c>
      <c r="T585" t="s">
        <v>149</v>
      </c>
      <c r="U585">
        <v>10.68</v>
      </c>
      <c r="V585">
        <v>4.8</v>
      </c>
      <c r="W585">
        <v>119043</v>
      </c>
      <c r="X585">
        <v>160009</v>
      </c>
      <c r="Y585">
        <v>0.74</v>
      </c>
      <c r="Z585">
        <v>314</v>
      </c>
      <c r="AA585">
        <v>1181</v>
      </c>
      <c r="AB585" t="s">
        <v>32</v>
      </c>
      <c r="AC585">
        <v>7.91</v>
      </c>
    </row>
    <row r="586" spans="1:29">
      <c r="A586" t="str">
        <f>"002125"</f>
        <v>002125</v>
      </c>
      <c r="B586" t="s">
        <v>747</v>
      </c>
      <c r="C586">
        <v>0.67</v>
      </c>
      <c r="D586">
        <v>8.98</v>
      </c>
      <c r="E586">
        <v>0.06</v>
      </c>
      <c r="F586">
        <v>8.98</v>
      </c>
      <c r="G586">
        <v>8.99</v>
      </c>
      <c r="H586">
        <v>217913</v>
      </c>
      <c r="I586">
        <v>1736</v>
      </c>
      <c r="J586">
        <v>0.22</v>
      </c>
      <c r="K586">
        <v>8.42</v>
      </c>
      <c r="L586">
        <v>9.5</v>
      </c>
      <c r="M586">
        <v>9.56</v>
      </c>
      <c r="N586">
        <v>8.96</v>
      </c>
      <c r="O586">
        <v>8.92</v>
      </c>
      <c r="P586">
        <v>75.19</v>
      </c>
      <c r="Q586">
        <v>202111600</v>
      </c>
      <c r="R586">
        <v>5.57</v>
      </c>
      <c r="S586" t="s">
        <v>218</v>
      </c>
      <c r="T586" t="s">
        <v>152</v>
      </c>
      <c r="U586">
        <v>6.73</v>
      </c>
      <c r="V586">
        <v>9.27</v>
      </c>
      <c r="W586">
        <v>118972</v>
      </c>
      <c r="X586">
        <v>98940</v>
      </c>
      <c r="Y586">
        <v>1.2</v>
      </c>
      <c r="Z586">
        <v>24</v>
      </c>
      <c r="AA586">
        <v>160</v>
      </c>
      <c r="AB586" t="s">
        <v>32</v>
      </c>
      <c r="AC586">
        <v>2.59</v>
      </c>
    </row>
    <row r="587" spans="1:29">
      <c r="A587" t="str">
        <f>"002126"</f>
        <v>002126</v>
      </c>
      <c r="B587" t="s">
        <v>748</v>
      </c>
      <c r="C587">
        <v>1.19</v>
      </c>
      <c r="D587">
        <v>9.39</v>
      </c>
      <c r="E587">
        <v>0.11</v>
      </c>
      <c r="F587">
        <v>9.38</v>
      </c>
      <c r="G587">
        <v>9.39</v>
      </c>
      <c r="H587">
        <v>104105</v>
      </c>
      <c r="I587">
        <v>1026</v>
      </c>
      <c r="J587">
        <v>-0.52</v>
      </c>
      <c r="K587">
        <v>1.36</v>
      </c>
      <c r="L587">
        <v>9.21</v>
      </c>
      <c r="M587">
        <v>9.55</v>
      </c>
      <c r="N587">
        <v>9.2</v>
      </c>
      <c r="O587">
        <v>9.28</v>
      </c>
      <c r="P587">
        <v>18.37</v>
      </c>
      <c r="Q587">
        <v>98145376</v>
      </c>
      <c r="R587">
        <v>1.39</v>
      </c>
      <c r="S587" t="s">
        <v>80</v>
      </c>
      <c r="T587" t="s">
        <v>149</v>
      </c>
      <c r="U587">
        <v>3.77</v>
      </c>
      <c r="V587">
        <v>9.43</v>
      </c>
      <c r="W587">
        <v>62906</v>
      </c>
      <c r="X587">
        <v>41198</v>
      </c>
      <c r="Y587">
        <v>1.53</v>
      </c>
      <c r="Z587">
        <v>341</v>
      </c>
      <c r="AA587">
        <v>36</v>
      </c>
      <c r="AB587" t="s">
        <v>32</v>
      </c>
      <c r="AC587">
        <v>7.66</v>
      </c>
    </row>
    <row r="588" spans="1:29">
      <c r="A588" t="str">
        <f>"002127"</f>
        <v>002127</v>
      </c>
      <c r="B588" t="s">
        <v>749</v>
      </c>
      <c r="C588">
        <v>-0.56</v>
      </c>
      <c r="D588">
        <v>8.85</v>
      </c>
      <c r="E588">
        <v>-0.05</v>
      </c>
      <c r="F588">
        <v>8.85</v>
      </c>
      <c r="G588">
        <v>8.86</v>
      </c>
      <c r="H588">
        <v>97123</v>
      </c>
      <c r="I588">
        <v>2010</v>
      </c>
      <c r="J588">
        <v>-0.1</v>
      </c>
      <c r="K588">
        <v>0.67</v>
      </c>
      <c r="L588">
        <v>8.82</v>
      </c>
      <c r="M588">
        <v>8.98</v>
      </c>
      <c r="N588">
        <v>8.81</v>
      </c>
      <c r="O588">
        <v>8.9</v>
      </c>
      <c r="P588">
        <v>60.85</v>
      </c>
      <c r="Q588">
        <v>86285760</v>
      </c>
      <c r="R588">
        <v>0.94</v>
      </c>
      <c r="S588" t="s">
        <v>316</v>
      </c>
      <c r="T588" t="s">
        <v>87</v>
      </c>
      <c r="U588">
        <v>1.91</v>
      </c>
      <c r="V588">
        <v>8.88</v>
      </c>
      <c r="W588">
        <v>43899</v>
      </c>
      <c r="X588">
        <v>53224</v>
      </c>
      <c r="Y588">
        <v>0.82</v>
      </c>
      <c r="Z588">
        <v>131</v>
      </c>
      <c r="AA588">
        <v>30</v>
      </c>
      <c r="AB588" t="s">
        <v>32</v>
      </c>
      <c r="AC588">
        <v>14.51</v>
      </c>
    </row>
    <row r="589" spans="1:29">
      <c r="A589" t="str">
        <f>"002128"</f>
        <v>002128</v>
      </c>
      <c r="B589" t="s">
        <v>750</v>
      </c>
      <c r="C589">
        <v>2.03</v>
      </c>
      <c r="D589">
        <v>8.56</v>
      </c>
      <c r="E589">
        <v>0.17</v>
      </c>
      <c r="F589">
        <v>8.55</v>
      </c>
      <c r="G589">
        <v>8.56</v>
      </c>
      <c r="H589">
        <v>248019</v>
      </c>
      <c r="I589">
        <v>1780</v>
      </c>
      <c r="J589">
        <v>0.12</v>
      </c>
      <c r="K589">
        <v>1.52</v>
      </c>
      <c r="L589">
        <v>8.4</v>
      </c>
      <c r="M589">
        <v>8.67</v>
      </c>
      <c r="N589">
        <v>8.36</v>
      </c>
      <c r="O589">
        <v>8.39</v>
      </c>
      <c r="P589">
        <v>4.66</v>
      </c>
      <c r="Q589">
        <v>212371840</v>
      </c>
      <c r="R589">
        <v>1.91</v>
      </c>
      <c r="S589" t="s">
        <v>265</v>
      </c>
      <c r="T589" t="s">
        <v>198</v>
      </c>
      <c r="U589">
        <v>3.69</v>
      </c>
      <c r="V589">
        <v>8.56</v>
      </c>
      <c r="W589">
        <v>131971</v>
      </c>
      <c r="X589">
        <v>116048</v>
      </c>
      <c r="Y589">
        <v>1.14</v>
      </c>
      <c r="Z589">
        <v>1474</v>
      </c>
      <c r="AA589">
        <v>309</v>
      </c>
      <c r="AB589" t="s">
        <v>32</v>
      </c>
      <c r="AC589">
        <v>16.34</v>
      </c>
    </row>
    <row r="590" spans="1:29">
      <c r="A590" t="str">
        <f>"002129"</f>
        <v>002129</v>
      </c>
      <c r="B590" t="s">
        <v>751</v>
      </c>
      <c r="C590">
        <v>2.19</v>
      </c>
      <c r="D590">
        <v>8.88</v>
      </c>
      <c r="E590">
        <v>0.19</v>
      </c>
      <c r="F590">
        <v>8.87</v>
      </c>
      <c r="G590">
        <v>8.88</v>
      </c>
      <c r="H590">
        <v>546555</v>
      </c>
      <c r="I590">
        <v>4786</v>
      </c>
      <c r="J590">
        <v>0.23</v>
      </c>
      <c r="K590">
        <v>2.07</v>
      </c>
      <c r="L590">
        <v>8.71</v>
      </c>
      <c r="M590">
        <v>8.92</v>
      </c>
      <c r="N590">
        <v>8.65</v>
      </c>
      <c r="O590">
        <v>8.69</v>
      </c>
      <c r="P590">
        <v>46.97</v>
      </c>
      <c r="Q590">
        <v>481253856</v>
      </c>
      <c r="R590">
        <v>1.14</v>
      </c>
      <c r="S590" t="s">
        <v>699</v>
      </c>
      <c r="T590" t="s">
        <v>248</v>
      </c>
      <c r="U590">
        <v>3.11</v>
      </c>
      <c r="V590">
        <v>8.81</v>
      </c>
      <c r="W590">
        <v>258221</v>
      </c>
      <c r="X590">
        <v>288334</v>
      </c>
      <c r="Y590">
        <v>0.9</v>
      </c>
      <c r="Z590">
        <v>1313</v>
      </c>
      <c r="AA590">
        <v>1357</v>
      </c>
      <c r="AB590" t="s">
        <v>32</v>
      </c>
      <c r="AC590">
        <v>26.44</v>
      </c>
    </row>
    <row r="591" spans="1:29">
      <c r="A591" t="str">
        <f>"002130"</f>
        <v>002130</v>
      </c>
      <c r="B591" t="s">
        <v>752</v>
      </c>
      <c r="C591">
        <v>1.92</v>
      </c>
      <c r="D591">
        <v>4.24</v>
      </c>
      <c r="E591">
        <v>0.08</v>
      </c>
      <c r="F591">
        <v>4.24</v>
      </c>
      <c r="G591">
        <v>4.25</v>
      </c>
      <c r="H591">
        <v>96617</v>
      </c>
      <c r="I591">
        <v>770</v>
      </c>
      <c r="J591">
        <v>0</v>
      </c>
      <c r="K591">
        <v>1.02</v>
      </c>
      <c r="L591">
        <v>4.17</v>
      </c>
      <c r="M591">
        <v>4.26</v>
      </c>
      <c r="N591">
        <v>4.15</v>
      </c>
      <c r="O591">
        <v>4.16</v>
      </c>
      <c r="P591">
        <v>45.87</v>
      </c>
      <c r="Q591">
        <v>40805860</v>
      </c>
      <c r="R591">
        <v>2.15</v>
      </c>
      <c r="S591" t="s">
        <v>104</v>
      </c>
      <c r="T591" t="s">
        <v>31</v>
      </c>
      <c r="U591">
        <v>2.64</v>
      </c>
      <c r="V591">
        <v>4.22</v>
      </c>
      <c r="W591">
        <v>46122</v>
      </c>
      <c r="X591">
        <v>50495</v>
      </c>
      <c r="Y591">
        <v>0.91</v>
      </c>
      <c r="Z591">
        <v>1814</v>
      </c>
      <c r="AA591">
        <v>3968</v>
      </c>
      <c r="AB591" t="s">
        <v>32</v>
      </c>
      <c r="AC591">
        <v>9.47</v>
      </c>
    </row>
    <row r="592" spans="1:29">
      <c r="A592" t="str">
        <f>"002131"</f>
        <v>002131</v>
      </c>
      <c r="B592" t="s">
        <v>753</v>
      </c>
      <c r="C592">
        <v>1.93</v>
      </c>
      <c r="D592">
        <v>2.11</v>
      </c>
      <c r="E592">
        <v>0.04</v>
      </c>
      <c r="F592">
        <v>2.11</v>
      </c>
      <c r="G592">
        <v>2.12</v>
      </c>
      <c r="H592">
        <v>332163</v>
      </c>
      <c r="I592">
        <v>1362</v>
      </c>
      <c r="J592">
        <v>0</v>
      </c>
      <c r="K592">
        <v>0.98</v>
      </c>
      <c r="L592">
        <v>2.09</v>
      </c>
      <c r="M592">
        <v>2.13</v>
      </c>
      <c r="N592">
        <v>2.08</v>
      </c>
      <c r="O592">
        <v>2.07</v>
      </c>
      <c r="P592">
        <v>26.66</v>
      </c>
      <c r="Q592">
        <v>70025464</v>
      </c>
      <c r="R592">
        <v>2.28</v>
      </c>
      <c r="S592" t="s">
        <v>316</v>
      </c>
      <c r="T592" t="s">
        <v>149</v>
      </c>
      <c r="U592">
        <v>2.42</v>
      </c>
      <c r="V592">
        <v>2.11</v>
      </c>
      <c r="W592">
        <v>124307</v>
      </c>
      <c r="X592">
        <v>207856</v>
      </c>
      <c r="Y592">
        <v>0.6</v>
      </c>
      <c r="Z592">
        <v>8151</v>
      </c>
      <c r="AA592">
        <v>41455</v>
      </c>
      <c r="AB592" t="s">
        <v>32</v>
      </c>
      <c r="AC592">
        <v>33.85</v>
      </c>
    </row>
    <row r="593" spans="1:29">
      <c r="A593" t="str">
        <f>"002132"</f>
        <v>002132</v>
      </c>
      <c r="B593" t="s">
        <v>754</v>
      </c>
      <c r="C593">
        <v>-3.86</v>
      </c>
      <c r="D593">
        <v>3.24</v>
      </c>
      <c r="E593">
        <v>-0.13</v>
      </c>
      <c r="F593">
        <v>3.23</v>
      </c>
      <c r="G593">
        <v>3.24</v>
      </c>
      <c r="H593">
        <v>357645</v>
      </c>
      <c r="I593">
        <v>5938</v>
      </c>
      <c r="J593">
        <v>-0.3</v>
      </c>
      <c r="K593">
        <v>2.85</v>
      </c>
      <c r="L593">
        <v>3.37</v>
      </c>
      <c r="M593">
        <v>3.45</v>
      </c>
      <c r="N593">
        <v>3.24</v>
      </c>
      <c r="O593">
        <v>3.37</v>
      </c>
      <c r="P593">
        <v>302.84</v>
      </c>
      <c r="Q593">
        <v>119107208</v>
      </c>
      <c r="R593">
        <v>1.21</v>
      </c>
      <c r="S593" t="s">
        <v>449</v>
      </c>
      <c r="T593" t="s">
        <v>164</v>
      </c>
      <c r="U593">
        <v>6.23</v>
      </c>
      <c r="V593">
        <v>3.33</v>
      </c>
      <c r="W593">
        <v>186425</v>
      </c>
      <c r="X593">
        <v>171219</v>
      </c>
      <c r="Y593">
        <v>1.09</v>
      </c>
      <c r="Z593">
        <v>3411</v>
      </c>
      <c r="AA593">
        <v>1068</v>
      </c>
      <c r="AB593" t="s">
        <v>32</v>
      </c>
      <c r="AC593">
        <v>12.54</v>
      </c>
    </row>
    <row r="594" spans="1:29">
      <c r="A594" t="str">
        <f>"002133"</f>
        <v>002133</v>
      </c>
      <c r="B594" t="s">
        <v>755</v>
      </c>
      <c r="C594">
        <v>2.11</v>
      </c>
      <c r="D594">
        <v>4.36</v>
      </c>
      <c r="E594">
        <v>0.09</v>
      </c>
      <c r="F594">
        <v>4.35</v>
      </c>
      <c r="G594">
        <v>4.36</v>
      </c>
      <c r="H594">
        <v>81377</v>
      </c>
      <c r="I594">
        <v>649</v>
      </c>
      <c r="J594">
        <v>0.23</v>
      </c>
      <c r="K594">
        <v>1.28</v>
      </c>
      <c r="L594">
        <v>4.27</v>
      </c>
      <c r="M594">
        <v>4.38</v>
      </c>
      <c r="N594">
        <v>4.27</v>
      </c>
      <c r="O594">
        <v>4.27</v>
      </c>
      <c r="P594">
        <v>4.05</v>
      </c>
      <c r="Q594">
        <v>35310388</v>
      </c>
      <c r="R594">
        <v>2.16</v>
      </c>
      <c r="S594" t="s">
        <v>34</v>
      </c>
      <c r="T594" t="s">
        <v>149</v>
      </c>
      <c r="U594">
        <v>2.58</v>
      </c>
      <c r="V594">
        <v>4.34</v>
      </c>
      <c r="W594">
        <v>45662</v>
      </c>
      <c r="X594">
        <v>35715</v>
      </c>
      <c r="Y594">
        <v>1.28</v>
      </c>
      <c r="Z594">
        <v>1531</v>
      </c>
      <c r="AA594">
        <v>168</v>
      </c>
      <c r="AB594" t="s">
        <v>32</v>
      </c>
      <c r="AC594">
        <v>6.35</v>
      </c>
    </row>
    <row r="595" spans="1:29">
      <c r="A595" t="str">
        <f>"002134"</f>
        <v>002134</v>
      </c>
      <c r="B595" t="s">
        <v>756</v>
      </c>
      <c r="C595">
        <v>0</v>
      </c>
      <c r="D595">
        <v>7.5</v>
      </c>
      <c r="E595">
        <v>0</v>
      </c>
      <c r="F595">
        <v>7.5</v>
      </c>
      <c r="G595">
        <v>7.51</v>
      </c>
      <c r="H595">
        <v>62388</v>
      </c>
      <c r="I595">
        <v>1035</v>
      </c>
      <c r="J595">
        <v>-0.12</v>
      </c>
      <c r="K595">
        <v>2.54</v>
      </c>
      <c r="L595">
        <v>7.45</v>
      </c>
      <c r="M595">
        <v>7.59</v>
      </c>
      <c r="N595">
        <v>7.43</v>
      </c>
      <c r="O595">
        <v>7.5</v>
      </c>
      <c r="P595" t="s">
        <v>32</v>
      </c>
      <c r="Q595">
        <v>46832400</v>
      </c>
      <c r="R595">
        <v>0.59</v>
      </c>
      <c r="S595" t="s">
        <v>63</v>
      </c>
      <c r="T595" t="s">
        <v>248</v>
      </c>
      <c r="U595">
        <v>2.13</v>
      </c>
      <c r="V595">
        <v>7.51</v>
      </c>
      <c r="W595">
        <v>35345</v>
      </c>
      <c r="X595">
        <v>27042</v>
      </c>
      <c r="Y595">
        <v>1.31</v>
      </c>
      <c r="Z595">
        <v>1751</v>
      </c>
      <c r="AA595">
        <v>218</v>
      </c>
      <c r="AB595" t="s">
        <v>32</v>
      </c>
      <c r="AC595">
        <v>2.46</v>
      </c>
    </row>
    <row r="596" spans="1:29">
      <c r="A596" t="str">
        <f>"002135"</f>
        <v>002135</v>
      </c>
      <c r="B596" t="s">
        <v>757</v>
      </c>
      <c r="C596">
        <v>9.96</v>
      </c>
      <c r="D596">
        <v>5.63</v>
      </c>
      <c r="E596">
        <v>0.51</v>
      </c>
      <c r="F596">
        <v>5.63</v>
      </c>
      <c r="G596" t="s">
        <v>32</v>
      </c>
      <c r="H596">
        <v>71294</v>
      </c>
      <c r="I596">
        <v>169</v>
      </c>
      <c r="J596">
        <v>0</v>
      </c>
      <c r="K596">
        <v>1.06</v>
      </c>
      <c r="L596">
        <v>5.14</v>
      </c>
      <c r="M596">
        <v>5.63</v>
      </c>
      <c r="N596">
        <v>5.13</v>
      </c>
      <c r="O596">
        <v>5.12</v>
      </c>
      <c r="P596">
        <v>27.14</v>
      </c>
      <c r="Q596">
        <v>39609724</v>
      </c>
      <c r="R596">
        <v>2.94</v>
      </c>
      <c r="S596" t="s">
        <v>49</v>
      </c>
      <c r="T596" t="s">
        <v>149</v>
      </c>
      <c r="U596">
        <v>9.77</v>
      </c>
      <c r="V596">
        <v>5.56</v>
      </c>
      <c r="W596">
        <v>56907</v>
      </c>
      <c r="X596">
        <v>14387</v>
      </c>
      <c r="Y596">
        <v>3.96</v>
      </c>
      <c r="Z596">
        <v>24668</v>
      </c>
      <c r="AA596">
        <v>0</v>
      </c>
      <c r="AB596" t="s">
        <v>32</v>
      </c>
      <c r="AC596">
        <v>6.71</v>
      </c>
    </row>
    <row r="597" spans="1:29">
      <c r="A597" t="str">
        <f>"002136"</f>
        <v>002136</v>
      </c>
      <c r="B597" t="s">
        <v>758</v>
      </c>
      <c r="C597">
        <v>1.6</v>
      </c>
      <c r="D597">
        <v>9.55</v>
      </c>
      <c r="E597">
        <v>0.15</v>
      </c>
      <c r="F597">
        <v>9.54</v>
      </c>
      <c r="G597">
        <v>9.55</v>
      </c>
      <c r="H597">
        <v>39247</v>
      </c>
      <c r="I597">
        <v>659</v>
      </c>
      <c r="J597">
        <v>0.21</v>
      </c>
      <c r="K597">
        <v>1.84</v>
      </c>
      <c r="L597">
        <v>9.36</v>
      </c>
      <c r="M597">
        <v>9.56</v>
      </c>
      <c r="N597">
        <v>9.34</v>
      </c>
      <c r="O597">
        <v>9.4</v>
      </c>
      <c r="P597">
        <v>17.84</v>
      </c>
      <c r="Q597">
        <v>37271596</v>
      </c>
      <c r="R597">
        <v>1.67</v>
      </c>
      <c r="S597" t="s">
        <v>218</v>
      </c>
      <c r="T597" t="s">
        <v>143</v>
      </c>
      <c r="U597">
        <v>2.34</v>
      </c>
      <c r="V597">
        <v>9.5</v>
      </c>
      <c r="W597">
        <v>18156</v>
      </c>
      <c r="X597">
        <v>21090</v>
      </c>
      <c r="Y597">
        <v>0.86</v>
      </c>
      <c r="Z597">
        <v>760</v>
      </c>
      <c r="AA597">
        <v>1072</v>
      </c>
      <c r="AB597" t="s">
        <v>32</v>
      </c>
      <c r="AC597">
        <v>2.14</v>
      </c>
    </row>
    <row r="598" spans="1:29">
      <c r="A598" t="str">
        <f>"002137"</f>
        <v>002137</v>
      </c>
      <c r="B598" t="s">
        <v>759</v>
      </c>
      <c r="C598">
        <v>0.65</v>
      </c>
      <c r="D598">
        <v>9.31</v>
      </c>
      <c r="E598">
        <v>0.06</v>
      </c>
      <c r="F598">
        <v>9.31</v>
      </c>
      <c r="G598">
        <v>9.32</v>
      </c>
      <c r="H598">
        <v>149055</v>
      </c>
      <c r="I598">
        <v>3506</v>
      </c>
      <c r="J598">
        <v>0.22</v>
      </c>
      <c r="K598">
        <v>5.23</v>
      </c>
      <c r="L598">
        <v>9.17</v>
      </c>
      <c r="M598">
        <v>9.33</v>
      </c>
      <c r="N598">
        <v>9.11</v>
      </c>
      <c r="O598">
        <v>9.25</v>
      </c>
      <c r="P598">
        <v>41.78</v>
      </c>
      <c r="Q598">
        <v>137598112</v>
      </c>
      <c r="R598">
        <v>0.8</v>
      </c>
      <c r="S598" t="s">
        <v>316</v>
      </c>
      <c r="T598" t="s">
        <v>31</v>
      </c>
      <c r="U598">
        <v>2.38</v>
      </c>
      <c r="V598">
        <v>9.23</v>
      </c>
      <c r="W598">
        <v>78966</v>
      </c>
      <c r="X598">
        <v>70089</v>
      </c>
      <c r="Y598">
        <v>1.13</v>
      </c>
      <c r="Z598">
        <v>706</v>
      </c>
      <c r="AA598">
        <v>1320</v>
      </c>
      <c r="AB598" t="s">
        <v>32</v>
      </c>
      <c r="AC598">
        <v>2.85</v>
      </c>
    </row>
    <row r="599" spans="1:29">
      <c r="A599" t="str">
        <f>"002138"</f>
        <v>002138</v>
      </c>
      <c r="B599" t="s">
        <v>760</v>
      </c>
      <c r="C599">
        <v>-0.84</v>
      </c>
      <c r="D599">
        <v>18.84</v>
      </c>
      <c r="E599">
        <v>-0.16</v>
      </c>
      <c r="F599">
        <v>18.84</v>
      </c>
      <c r="G599">
        <v>18.85</v>
      </c>
      <c r="H599">
        <v>97705</v>
      </c>
      <c r="I599">
        <v>938</v>
      </c>
      <c r="J599">
        <v>0.05</v>
      </c>
      <c r="K599">
        <v>1.52</v>
      </c>
      <c r="L599">
        <v>18.85</v>
      </c>
      <c r="M599">
        <v>19.17</v>
      </c>
      <c r="N599">
        <v>18.61</v>
      </c>
      <c r="O599">
        <v>19</v>
      </c>
      <c r="P599">
        <v>37.73</v>
      </c>
      <c r="Q599">
        <v>184874112</v>
      </c>
      <c r="R599">
        <v>0.88</v>
      </c>
      <c r="S599" t="s">
        <v>63</v>
      </c>
      <c r="T599" t="s">
        <v>31</v>
      </c>
      <c r="U599">
        <v>2.95</v>
      </c>
      <c r="V599">
        <v>18.92</v>
      </c>
      <c r="W599">
        <v>52760</v>
      </c>
      <c r="X599">
        <v>44944</v>
      </c>
      <c r="Y599">
        <v>1.17</v>
      </c>
      <c r="Z599">
        <v>491</v>
      </c>
      <c r="AA599">
        <v>354</v>
      </c>
      <c r="AB599" t="s">
        <v>32</v>
      </c>
      <c r="AC599">
        <v>6.42</v>
      </c>
    </row>
    <row r="600" spans="1:29">
      <c r="A600" t="str">
        <f>"002139"</f>
        <v>002139</v>
      </c>
      <c r="B600" t="s">
        <v>761</v>
      </c>
      <c r="C600">
        <v>0.51</v>
      </c>
      <c r="D600">
        <v>5.86</v>
      </c>
      <c r="E600">
        <v>0.03</v>
      </c>
      <c r="F600">
        <v>5.85</v>
      </c>
      <c r="G600">
        <v>5.86</v>
      </c>
      <c r="H600">
        <v>113152</v>
      </c>
      <c r="I600">
        <v>1190</v>
      </c>
      <c r="J600">
        <v>-0.16</v>
      </c>
      <c r="K600">
        <v>1.44</v>
      </c>
      <c r="L600">
        <v>5.83</v>
      </c>
      <c r="M600">
        <v>5.91</v>
      </c>
      <c r="N600">
        <v>5.79</v>
      </c>
      <c r="O600">
        <v>5.83</v>
      </c>
      <c r="P600">
        <v>35.12</v>
      </c>
      <c r="Q600">
        <v>66189096</v>
      </c>
      <c r="R600">
        <v>1.25</v>
      </c>
      <c r="S600" t="s">
        <v>63</v>
      </c>
      <c r="T600" t="s">
        <v>31</v>
      </c>
      <c r="U600">
        <v>2.06</v>
      </c>
      <c r="V600">
        <v>5.85</v>
      </c>
      <c r="W600">
        <v>72902</v>
      </c>
      <c r="X600">
        <v>40250</v>
      </c>
      <c r="Y600">
        <v>1.81</v>
      </c>
      <c r="Z600">
        <v>1209</v>
      </c>
      <c r="AA600">
        <v>268</v>
      </c>
      <c r="AB600" t="s">
        <v>32</v>
      </c>
      <c r="AC600">
        <v>7.84</v>
      </c>
    </row>
    <row r="601" spans="1:29">
      <c r="A601" t="str">
        <f>"002140"</f>
        <v>002140</v>
      </c>
      <c r="B601" t="s">
        <v>762</v>
      </c>
      <c r="C601">
        <v>4.67</v>
      </c>
      <c r="D601">
        <v>7.62</v>
      </c>
      <c r="E601">
        <v>0.34</v>
      </c>
      <c r="F601">
        <v>7.62</v>
      </c>
      <c r="G601">
        <v>7.63</v>
      </c>
      <c r="H601">
        <v>45632</v>
      </c>
      <c r="I601">
        <v>333</v>
      </c>
      <c r="J601">
        <v>0</v>
      </c>
      <c r="K601">
        <v>1.04</v>
      </c>
      <c r="L601">
        <v>7.31</v>
      </c>
      <c r="M601">
        <v>7.68</v>
      </c>
      <c r="N601">
        <v>7.3</v>
      </c>
      <c r="O601">
        <v>7.28</v>
      </c>
      <c r="P601">
        <v>32.59</v>
      </c>
      <c r="Q601">
        <v>34409564</v>
      </c>
      <c r="R601">
        <v>2.88</v>
      </c>
      <c r="S601" t="s">
        <v>49</v>
      </c>
      <c r="T601" t="s">
        <v>143</v>
      </c>
      <c r="U601">
        <v>5.22</v>
      </c>
      <c r="V601">
        <v>7.54</v>
      </c>
      <c r="W601">
        <v>19558</v>
      </c>
      <c r="X601">
        <v>26073</v>
      </c>
      <c r="Y601">
        <v>0.75</v>
      </c>
      <c r="Z601">
        <v>338</v>
      </c>
      <c r="AA601">
        <v>657</v>
      </c>
      <c r="AB601" t="s">
        <v>32</v>
      </c>
      <c r="AC601">
        <v>4.4</v>
      </c>
    </row>
    <row r="602" spans="1:29">
      <c r="A602" t="str">
        <f>"002141"</f>
        <v>002141</v>
      </c>
      <c r="B602" t="s">
        <v>763</v>
      </c>
      <c r="C602">
        <v>-0.48</v>
      </c>
      <c r="D602">
        <v>4.11</v>
      </c>
      <c r="E602">
        <v>-0.02</v>
      </c>
      <c r="F602">
        <v>4.11</v>
      </c>
      <c r="G602">
        <v>4.12</v>
      </c>
      <c r="H602">
        <v>66046</v>
      </c>
      <c r="I602">
        <v>251</v>
      </c>
      <c r="J602">
        <v>0</v>
      </c>
      <c r="K602">
        <v>1.04</v>
      </c>
      <c r="L602">
        <v>4.12</v>
      </c>
      <c r="M602">
        <v>4.15</v>
      </c>
      <c r="N602">
        <v>4.03</v>
      </c>
      <c r="O602">
        <v>4.13</v>
      </c>
      <c r="P602">
        <v>622.19</v>
      </c>
      <c r="Q602">
        <v>27068348</v>
      </c>
      <c r="R602">
        <v>2.01</v>
      </c>
      <c r="S602" t="s">
        <v>63</v>
      </c>
      <c r="T602" t="s">
        <v>136</v>
      </c>
      <c r="U602">
        <v>2.91</v>
      </c>
      <c r="V602">
        <v>4.1</v>
      </c>
      <c r="W602">
        <v>41093</v>
      </c>
      <c r="X602">
        <v>24953</v>
      </c>
      <c r="Y602">
        <v>1.65</v>
      </c>
      <c r="Z602">
        <v>237</v>
      </c>
      <c r="AA602">
        <v>350</v>
      </c>
      <c r="AB602" t="s">
        <v>32</v>
      </c>
      <c r="AC602">
        <v>6.37</v>
      </c>
    </row>
    <row r="603" spans="1:29">
      <c r="A603" t="str">
        <f>"002142"</f>
        <v>002142</v>
      </c>
      <c r="B603" t="s">
        <v>764</v>
      </c>
      <c r="C603">
        <v>-0.47</v>
      </c>
      <c r="D603">
        <v>16.84</v>
      </c>
      <c r="E603">
        <v>-0.08</v>
      </c>
      <c r="F603">
        <v>16.83</v>
      </c>
      <c r="G603">
        <v>16.84</v>
      </c>
      <c r="H603">
        <v>281861</v>
      </c>
      <c r="I603">
        <v>1468</v>
      </c>
      <c r="J603">
        <v>-0.23</v>
      </c>
      <c r="K603">
        <v>0.63</v>
      </c>
      <c r="L603">
        <v>16.97</v>
      </c>
      <c r="M603">
        <v>17.41</v>
      </c>
      <c r="N603">
        <v>16.78</v>
      </c>
      <c r="O603">
        <v>16.92</v>
      </c>
      <c r="P603">
        <v>7.56</v>
      </c>
      <c r="Q603">
        <v>482658752</v>
      </c>
      <c r="R603">
        <v>1.7</v>
      </c>
      <c r="S603" t="s">
        <v>30</v>
      </c>
      <c r="T603" t="s">
        <v>149</v>
      </c>
      <c r="U603">
        <v>3.72</v>
      </c>
      <c r="V603">
        <v>17.12</v>
      </c>
      <c r="W603">
        <v>148738</v>
      </c>
      <c r="X603">
        <v>133123</v>
      </c>
      <c r="Y603">
        <v>1.12</v>
      </c>
      <c r="Z603">
        <v>251</v>
      </c>
      <c r="AA603">
        <v>701</v>
      </c>
      <c r="AB603" t="s">
        <v>32</v>
      </c>
      <c r="AC603">
        <v>44.91</v>
      </c>
    </row>
    <row r="604" spans="1:29">
      <c r="A604" t="str">
        <f>"002143"</f>
        <v>002143</v>
      </c>
      <c r="B604" t="s">
        <v>765</v>
      </c>
      <c r="C604">
        <v>2.32</v>
      </c>
      <c r="D604">
        <v>5.3</v>
      </c>
      <c r="E604">
        <v>0.12</v>
      </c>
      <c r="F604">
        <v>5.29</v>
      </c>
      <c r="G604">
        <v>5.3</v>
      </c>
      <c r="H604">
        <v>231444</v>
      </c>
      <c r="I604">
        <v>4227</v>
      </c>
      <c r="J604">
        <v>0.19</v>
      </c>
      <c r="K604">
        <v>2.39</v>
      </c>
      <c r="L604">
        <v>5.24</v>
      </c>
      <c r="M604">
        <v>5.51</v>
      </c>
      <c r="N604">
        <v>5.17</v>
      </c>
      <c r="O604">
        <v>5.18</v>
      </c>
      <c r="P604">
        <v>19.89</v>
      </c>
      <c r="Q604">
        <v>122924616</v>
      </c>
      <c r="R604">
        <v>0.54</v>
      </c>
      <c r="S604" t="s">
        <v>148</v>
      </c>
      <c r="T604" t="s">
        <v>146</v>
      </c>
      <c r="U604">
        <v>6.56</v>
      </c>
      <c r="V604">
        <v>5.31</v>
      </c>
      <c r="W604">
        <v>120057</v>
      </c>
      <c r="X604">
        <v>111386</v>
      </c>
      <c r="Y604">
        <v>1.08</v>
      </c>
      <c r="Z604">
        <v>2222</v>
      </c>
      <c r="AA604">
        <v>10</v>
      </c>
      <c r="AB604" t="s">
        <v>32</v>
      </c>
      <c r="AC604">
        <v>9.69</v>
      </c>
    </row>
    <row r="605" spans="1:29">
      <c r="A605" t="str">
        <f>"002144"</f>
        <v>002144</v>
      </c>
      <c r="B605" t="s">
        <v>766</v>
      </c>
      <c r="C605">
        <v>1.6</v>
      </c>
      <c r="D605">
        <v>11.4</v>
      </c>
      <c r="E605">
        <v>0.18</v>
      </c>
      <c r="F605">
        <v>11.38</v>
      </c>
      <c r="G605">
        <v>11.4</v>
      </c>
      <c r="H605">
        <v>10271</v>
      </c>
      <c r="I605">
        <v>410</v>
      </c>
      <c r="J605">
        <v>0.35</v>
      </c>
      <c r="K605">
        <v>0.75</v>
      </c>
      <c r="L605">
        <v>11.22</v>
      </c>
      <c r="M605">
        <v>11.41</v>
      </c>
      <c r="N605">
        <v>11.15</v>
      </c>
      <c r="O605">
        <v>11.22</v>
      </c>
      <c r="P605">
        <v>23.7</v>
      </c>
      <c r="Q605">
        <v>11638603</v>
      </c>
      <c r="R605">
        <v>2.04</v>
      </c>
      <c r="S605" t="s">
        <v>99</v>
      </c>
      <c r="T605" t="s">
        <v>149</v>
      </c>
      <c r="U605">
        <v>2.32</v>
      </c>
      <c r="V605">
        <v>11.33</v>
      </c>
      <c r="W605">
        <v>4434</v>
      </c>
      <c r="X605">
        <v>5837</v>
      </c>
      <c r="Y605">
        <v>0.76</v>
      </c>
      <c r="Z605">
        <v>5</v>
      </c>
      <c r="AA605">
        <v>95</v>
      </c>
      <c r="AB605" t="s">
        <v>32</v>
      </c>
      <c r="AC605">
        <v>1.37</v>
      </c>
    </row>
    <row r="606" spans="1:29">
      <c r="A606" t="str">
        <f>"002145"</f>
        <v>002145</v>
      </c>
      <c r="B606" t="s">
        <v>767</v>
      </c>
      <c r="C606">
        <v>1.31</v>
      </c>
      <c r="D606">
        <v>3.87</v>
      </c>
      <c r="E606">
        <v>0.05</v>
      </c>
      <c r="F606">
        <v>3.87</v>
      </c>
      <c r="G606">
        <v>3.88</v>
      </c>
      <c r="H606">
        <v>144763</v>
      </c>
      <c r="I606">
        <v>809</v>
      </c>
      <c r="J606">
        <v>0</v>
      </c>
      <c r="K606">
        <v>1.32</v>
      </c>
      <c r="L606">
        <v>3.82</v>
      </c>
      <c r="M606">
        <v>3.9</v>
      </c>
      <c r="N606">
        <v>3.8</v>
      </c>
      <c r="O606">
        <v>3.82</v>
      </c>
      <c r="P606">
        <v>20.37</v>
      </c>
      <c r="Q606">
        <v>55949112</v>
      </c>
      <c r="R606">
        <v>1.8</v>
      </c>
      <c r="S606" t="s">
        <v>218</v>
      </c>
      <c r="T606" t="s">
        <v>266</v>
      </c>
      <c r="U606">
        <v>2.62</v>
      </c>
      <c r="V606">
        <v>3.86</v>
      </c>
      <c r="W606">
        <v>70378</v>
      </c>
      <c r="X606">
        <v>74385</v>
      </c>
      <c r="Y606">
        <v>0.95</v>
      </c>
      <c r="Z606">
        <v>2538</v>
      </c>
      <c r="AA606">
        <v>4173</v>
      </c>
      <c r="AB606" t="s">
        <v>32</v>
      </c>
      <c r="AC606">
        <v>10.95</v>
      </c>
    </row>
    <row r="607" spans="1:29">
      <c r="A607" t="str">
        <f>"002146"</f>
        <v>002146</v>
      </c>
      <c r="B607" t="s">
        <v>768</v>
      </c>
      <c r="C607">
        <v>3.01</v>
      </c>
      <c r="D607">
        <v>8.21</v>
      </c>
      <c r="E607">
        <v>0.24</v>
      </c>
      <c r="F607">
        <v>8.2</v>
      </c>
      <c r="G607">
        <v>8.21</v>
      </c>
      <c r="H607">
        <v>457973</v>
      </c>
      <c r="I607">
        <v>2094</v>
      </c>
      <c r="J607">
        <v>0</v>
      </c>
      <c r="K607">
        <v>1.18</v>
      </c>
      <c r="L607">
        <v>8</v>
      </c>
      <c r="M607">
        <v>8.34</v>
      </c>
      <c r="N607">
        <v>8</v>
      </c>
      <c r="O607">
        <v>7.97</v>
      </c>
      <c r="P607">
        <v>14.86</v>
      </c>
      <c r="Q607">
        <v>375471456</v>
      </c>
      <c r="R607">
        <v>1.64</v>
      </c>
      <c r="S607" t="s">
        <v>34</v>
      </c>
      <c r="T607" t="s">
        <v>154</v>
      </c>
      <c r="U607">
        <v>4.27</v>
      </c>
      <c r="V607">
        <v>8.2</v>
      </c>
      <c r="W607">
        <v>205210</v>
      </c>
      <c r="X607">
        <v>252762</v>
      </c>
      <c r="Y607">
        <v>0.81</v>
      </c>
      <c r="Z607">
        <v>1616</v>
      </c>
      <c r="AA607">
        <v>2349</v>
      </c>
      <c r="AB607" t="s">
        <v>32</v>
      </c>
      <c r="AC607">
        <v>38.92</v>
      </c>
    </row>
    <row r="608" spans="1:29">
      <c r="A608" t="str">
        <f>"002147"</f>
        <v>002147</v>
      </c>
      <c r="B608" t="s">
        <v>769</v>
      </c>
      <c r="C608" t="s">
        <v>32</v>
      </c>
      <c r="D608">
        <v>14.76</v>
      </c>
      <c r="E608" t="s">
        <v>32</v>
      </c>
      <c r="F608" t="s">
        <v>32</v>
      </c>
      <c r="G608" t="s">
        <v>32</v>
      </c>
      <c r="H608">
        <v>0</v>
      </c>
      <c r="I608">
        <v>0</v>
      </c>
      <c r="J608" t="s">
        <v>32</v>
      </c>
      <c r="K608">
        <v>0</v>
      </c>
      <c r="L608" t="s">
        <v>32</v>
      </c>
      <c r="M608" t="s">
        <v>32</v>
      </c>
      <c r="N608" t="s">
        <v>32</v>
      </c>
      <c r="O608">
        <v>14.76</v>
      </c>
      <c r="P608" t="s">
        <v>32</v>
      </c>
      <c r="Q608">
        <v>0</v>
      </c>
      <c r="R608">
        <v>0</v>
      </c>
      <c r="S608" t="s">
        <v>40</v>
      </c>
      <c r="T608" t="s">
        <v>143</v>
      </c>
      <c r="U608">
        <v>0</v>
      </c>
      <c r="V608">
        <v>14.76</v>
      </c>
      <c r="W608">
        <v>0</v>
      </c>
      <c r="X608">
        <v>0</v>
      </c>
      <c r="Y608" t="s">
        <v>32</v>
      </c>
      <c r="Z608">
        <v>0</v>
      </c>
      <c r="AA608">
        <v>0</v>
      </c>
      <c r="AB608" t="s">
        <v>32</v>
      </c>
      <c r="AC608">
        <v>5.37</v>
      </c>
    </row>
    <row r="609" spans="1:29">
      <c r="A609" t="str">
        <f>"002148"</f>
        <v>002148</v>
      </c>
      <c r="B609" t="s">
        <v>770</v>
      </c>
      <c r="C609">
        <v>1.15</v>
      </c>
      <c r="D609">
        <v>6.14</v>
      </c>
      <c r="E609">
        <v>0.07</v>
      </c>
      <c r="F609">
        <v>6.14</v>
      </c>
      <c r="G609">
        <v>6.15</v>
      </c>
      <c r="H609">
        <v>145649</v>
      </c>
      <c r="I609">
        <v>2472</v>
      </c>
      <c r="J609">
        <v>0</v>
      </c>
      <c r="K609">
        <v>3.28</v>
      </c>
      <c r="L609">
        <v>6.05</v>
      </c>
      <c r="M609">
        <v>6.15</v>
      </c>
      <c r="N609">
        <v>5.97</v>
      </c>
      <c r="O609">
        <v>6.07</v>
      </c>
      <c r="P609">
        <v>51.27</v>
      </c>
      <c r="Q609">
        <v>88567656</v>
      </c>
      <c r="R609">
        <v>1.18</v>
      </c>
      <c r="S609" t="s">
        <v>316</v>
      </c>
      <c r="T609" t="s">
        <v>45</v>
      </c>
      <c r="U609">
        <v>2.97</v>
      </c>
      <c r="V609">
        <v>6.08</v>
      </c>
      <c r="W609">
        <v>73059</v>
      </c>
      <c r="X609">
        <v>72589</v>
      </c>
      <c r="Y609">
        <v>1.01</v>
      </c>
      <c r="Z609">
        <v>519</v>
      </c>
      <c r="AA609">
        <v>2486</v>
      </c>
      <c r="AB609" t="s">
        <v>32</v>
      </c>
      <c r="AC609">
        <v>4.44</v>
      </c>
    </row>
    <row r="610" spans="1:29">
      <c r="A610" t="str">
        <f>"002149"</f>
        <v>002149</v>
      </c>
      <c r="B610" t="s">
        <v>771</v>
      </c>
      <c r="C610">
        <v>2.1</v>
      </c>
      <c r="D610">
        <v>7.3</v>
      </c>
      <c r="E610">
        <v>0.15</v>
      </c>
      <c r="F610">
        <v>7.3</v>
      </c>
      <c r="G610">
        <v>7.31</v>
      </c>
      <c r="H610">
        <v>57014</v>
      </c>
      <c r="I610">
        <v>1251</v>
      </c>
      <c r="J610">
        <v>0</v>
      </c>
      <c r="K610">
        <v>1.34</v>
      </c>
      <c r="L610">
        <v>7.12</v>
      </c>
      <c r="M610">
        <v>7.36</v>
      </c>
      <c r="N610">
        <v>7.1</v>
      </c>
      <c r="O610">
        <v>7.15</v>
      </c>
      <c r="P610">
        <v>786.13</v>
      </c>
      <c r="Q610">
        <v>41451592</v>
      </c>
      <c r="R610">
        <v>1.87</v>
      </c>
      <c r="S610" t="s">
        <v>356</v>
      </c>
      <c r="T610" t="s">
        <v>223</v>
      </c>
      <c r="U610">
        <v>3.64</v>
      </c>
      <c r="V610">
        <v>7.27</v>
      </c>
      <c r="W610">
        <v>25575</v>
      </c>
      <c r="X610">
        <v>31439</v>
      </c>
      <c r="Y610">
        <v>0.81</v>
      </c>
      <c r="Z610">
        <v>164</v>
      </c>
      <c r="AA610">
        <v>1548</v>
      </c>
      <c r="AB610" t="s">
        <v>32</v>
      </c>
      <c r="AC610">
        <v>4.25</v>
      </c>
    </row>
    <row r="611" spans="1:29">
      <c r="A611" t="str">
        <f>"002150"</f>
        <v>002150</v>
      </c>
      <c r="B611" t="s">
        <v>772</v>
      </c>
      <c r="C611">
        <v>1.04</v>
      </c>
      <c r="D611">
        <v>6.78</v>
      </c>
      <c r="E611">
        <v>0.07</v>
      </c>
      <c r="F611">
        <v>6.77</v>
      </c>
      <c r="G611">
        <v>6.78</v>
      </c>
      <c r="H611">
        <v>26117</v>
      </c>
      <c r="I611">
        <v>417</v>
      </c>
      <c r="J611">
        <v>0.15</v>
      </c>
      <c r="K611">
        <v>0.95</v>
      </c>
      <c r="L611">
        <v>6.78</v>
      </c>
      <c r="M611">
        <v>6.79</v>
      </c>
      <c r="N611">
        <v>6.67</v>
      </c>
      <c r="O611">
        <v>6.71</v>
      </c>
      <c r="P611">
        <v>37.46</v>
      </c>
      <c r="Q611">
        <v>17622414</v>
      </c>
      <c r="R611">
        <v>1.33</v>
      </c>
      <c r="S611" t="s">
        <v>241</v>
      </c>
      <c r="T611" t="s">
        <v>87</v>
      </c>
      <c r="U611">
        <v>1.79</v>
      </c>
      <c r="V611">
        <v>6.75</v>
      </c>
      <c r="W611">
        <v>15208</v>
      </c>
      <c r="X611">
        <v>10909</v>
      </c>
      <c r="Y611">
        <v>1.39</v>
      </c>
      <c r="Z611">
        <v>124</v>
      </c>
      <c r="AA611">
        <v>68</v>
      </c>
      <c r="AB611" t="s">
        <v>32</v>
      </c>
      <c r="AC611">
        <v>2.74</v>
      </c>
    </row>
    <row r="612" spans="1:29">
      <c r="A612" t="str">
        <f>"002151"</f>
        <v>002151</v>
      </c>
      <c r="B612" t="s">
        <v>773</v>
      </c>
      <c r="C612">
        <v>0.19</v>
      </c>
      <c r="D612">
        <v>26.98</v>
      </c>
      <c r="E612">
        <v>0.05</v>
      </c>
      <c r="F612">
        <v>26.98</v>
      </c>
      <c r="G612">
        <v>26.99</v>
      </c>
      <c r="H612">
        <v>73911</v>
      </c>
      <c r="I612">
        <v>938</v>
      </c>
      <c r="J612">
        <v>0.07</v>
      </c>
      <c r="K612">
        <v>2.9</v>
      </c>
      <c r="L612">
        <v>26.88</v>
      </c>
      <c r="M612">
        <v>27.15</v>
      </c>
      <c r="N612">
        <v>26.7</v>
      </c>
      <c r="O612">
        <v>26.93</v>
      </c>
      <c r="P612">
        <v>859.18</v>
      </c>
      <c r="Q612">
        <v>199007648</v>
      </c>
      <c r="R612">
        <v>0.97</v>
      </c>
      <c r="S612" t="s">
        <v>119</v>
      </c>
      <c r="T612" t="s">
        <v>45</v>
      </c>
      <c r="U612">
        <v>1.67</v>
      </c>
      <c r="V612">
        <v>26.93</v>
      </c>
      <c r="W612">
        <v>38177</v>
      </c>
      <c r="X612">
        <v>35734</v>
      </c>
      <c r="Y612">
        <v>1.07</v>
      </c>
      <c r="Z612">
        <v>187</v>
      </c>
      <c r="AA612">
        <v>623</v>
      </c>
      <c r="AB612" t="s">
        <v>32</v>
      </c>
      <c r="AC612">
        <v>2.55</v>
      </c>
    </row>
    <row r="613" spans="1:29">
      <c r="A613" t="str">
        <f>"002152"</f>
        <v>002152</v>
      </c>
      <c r="B613" t="s">
        <v>774</v>
      </c>
      <c r="C613">
        <v>2.05</v>
      </c>
      <c r="D613">
        <v>5.96</v>
      </c>
      <c r="E613">
        <v>0.12</v>
      </c>
      <c r="F613">
        <v>5.96</v>
      </c>
      <c r="G613">
        <v>5.97</v>
      </c>
      <c r="H613">
        <v>200426</v>
      </c>
      <c r="I613">
        <v>634</v>
      </c>
      <c r="J613">
        <v>-0.16</v>
      </c>
      <c r="K613">
        <v>1.02</v>
      </c>
      <c r="L613">
        <v>5.86</v>
      </c>
      <c r="M613">
        <v>6.03</v>
      </c>
      <c r="N613">
        <v>5.78</v>
      </c>
      <c r="O613">
        <v>5.84</v>
      </c>
      <c r="P613">
        <v>19.11</v>
      </c>
      <c r="Q613">
        <v>118897944</v>
      </c>
      <c r="R613">
        <v>1.49</v>
      </c>
      <c r="S613" t="s">
        <v>65</v>
      </c>
      <c r="T613" t="s">
        <v>136</v>
      </c>
      <c r="U613">
        <v>4.28</v>
      </c>
      <c r="V613">
        <v>5.93</v>
      </c>
      <c r="W613">
        <v>85725</v>
      </c>
      <c r="X613">
        <v>114700</v>
      </c>
      <c r="Y613">
        <v>0.75</v>
      </c>
      <c r="Z613">
        <v>674</v>
      </c>
      <c r="AA613">
        <v>541</v>
      </c>
      <c r="AB613" t="s">
        <v>32</v>
      </c>
      <c r="AC613">
        <v>19.72</v>
      </c>
    </row>
    <row r="614" spans="1:29">
      <c r="A614" t="str">
        <f>"002153"</f>
        <v>002153</v>
      </c>
      <c r="B614" t="s">
        <v>775</v>
      </c>
      <c r="C614">
        <v>-2.45</v>
      </c>
      <c r="D614">
        <v>35.02</v>
      </c>
      <c r="E614">
        <v>-0.88</v>
      </c>
      <c r="F614">
        <v>35.02</v>
      </c>
      <c r="G614">
        <v>35.04</v>
      </c>
      <c r="H614">
        <v>151416</v>
      </c>
      <c r="I614">
        <v>1377</v>
      </c>
      <c r="J614">
        <v>0.03</v>
      </c>
      <c r="K614">
        <v>3.13</v>
      </c>
      <c r="L614">
        <v>35.7</v>
      </c>
      <c r="M614">
        <v>35.7</v>
      </c>
      <c r="N614">
        <v>34.6</v>
      </c>
      <c r="O614">
        <v>35.9</v>
      </c>
      <c r="P614">
        <v>139.56</v>
      </c>
      <c r="Q614">
        <v>531873600</v>
      </c>
      <c r="R614">
        <v>0.8</v>
      </c>
      <c r="S614" t="s">
        <v>270</v>
      </c>
      <c r="T614" t="s">
        <v>45</v>
      </c>
      <c r="U614">
        <v>3.06</v>
      </c>
      <c r="V614">
        <v>35.13</v>
      </c>
      <c r="W614">
        <v>80313</v>
      </c>
      <c r="X614">
        <v>71103</v>
      </c>
      <c r="Y614">
        <v>1.13</v>
      </c>
      <c r="Z614">
        <v>279</v>
      </c>
      <c r="AA614">
        <v>39</v>
      </c>
      <c r="AB614" t="s">
        <v>32</v>
      </c>
      <c r="AC614">
        <v>4.84</v>
      </c>
    </row>
    <row r="615" spans="1:29">
      <c r="A615" t="str">
        <f>"002154"</f>
        <v>002154</v>
      </c>
      <c r="B615" t="s">
        <v>776</v>
      </c>
      <c r="C615">
        <v>0</v>
      </c>
      <c r="D615">
        <v>3.5</v>
      </c>
      <c r="E615">
        <v>0</v>
      </c>
      <c r="F615">
        <v>3.5</v>
      </c>
      <c r="G615">
        <v>3.51</v>
      </c>
      <c r="H615">
        <v>145034</v>
      </c>
      <c r="I615">
        <v>3853</v>
      </c>
      <c r="J615">
        <v>-0.27</v>
      </c>
      <c r="K615">
        <v>1.31</v>
      </c>
      <c r="L615">
        <v>3.49</v>
      </c>
      <c r="M615">
        <v>3.59</v>
      </c>
      <c r="N615">
        <v>3.47</v>
      </c>
      <c r="O615">
        <v>3.5</v>
      </c>
      <c r="P615">
        <v>31.41</v>
      </c>
      <c r="Q615">
        <v>51194404</v>
      </c>
      <c r="R615">
        <v>0.91</v>
      </c>
      <c r="S615" t="s">
        <v>622</v>
      </c>
      <c r="T615" t="s">
        <v>149</v>
      </c>
      <c r="U615">
        <v>3.43</v>
      </c>
      <c r="V615">
        <v>3.53</v>
      </c>
      <c r="W615">
        <v>59381</v>
      </c>
      <c r="X615">
        <v>85652</v>
      </c>
      <c r="Y615">
        <v>0.69</v>
      </c>
      <c r="Z615">
        <v>1072</v>
      </c>
      <c r="AA615">
        <v>793</v>
      </c>
      <c r="AB615" t="s">
        <v>32</v>
      </c>
      <c r="AC615">
        <v>11.04</v>
      </c>
    </row>
    <row r="616" spans="1:29">
      <c r="A616" t="str">
        <f>"002155"</f>
        <v>002155</v>
      </c>
      <c r="B616" t="s">
        <v>777</v>
      </c>
      <c r="C616">
        <v>1.76</v>
      </c>
      <c r="D616">
        <v>6.93</v>
      </c>
      <c r="E616">
        <v>0.12</v>
      </c>
      <c r="F616">
        <v>6.92</v>
      </c>
      <c r="G616">
        <v>6.93</v>
      </c>
      <c r="H616">
        <v>150493</v>
      </c>
      <c r="I616">
        <v>5724</v>
      </c>
      <c r="J616">
        <v>0.29</v>
      </c>
      <c r="K616">
        <v>1.25</v>
      </c>
      <c r="L616">
        <v>6.76</v>
      </c>
      <c r="M616">
        <v>6.93</v>
      </c>
      <c r="N616">
        <v>6.75</v>
      </c>
      <c r="O616">
        <v>6.81</v>
      </c>
      <c r="P616">
        <v>40.79</v>
      </c>
      <c r="Q616">
        <v>103442648</v>
      </c>
      <c r="R616">
        <v>2.15</v>
      </c>
      <c r="S616" t="s">
        <v>778</v>
      </c>
      <c r="T616" t="s">
        <v>152</v>
      </c>
      <c r="U616">
        <v>2.64</v>
      </c>
      <c r="V616">
        <v>6.87</v>
      </c>
      <c r="W616">
        <v>57781</v>
      </c>
      <c r="X616">
        <v>92712</v>
      </c>
      <c r="Y616">
        <v>0.62</v>
      </c>
      <c r="Z616">
        <v>1528</v>
      </c>
      <c r="AA616">
        <v>632</v>
      </c>
      <c r="AB616" t="s">
        <v>32</v>
      </c>
      <c r="AC616">
        <v>12.02</v>
      </c>
    </row>
    <row r="617" spans="1:29">
      <c r="A617" t="str">
        <f>"002156"</f>
        <v>002156</v>
      </c>
      <c r="B617" t="s">
        <v>779</v>
      </c>
      <c r="C617">
        <v>2.98</v>
      </c>
      <c r="D617">
        <v>11.75</v>
      </c>
      <c r="E617">
        <v>0.34</v>
      </c>
      <c r="F617">
        <v>11.75</v>
      </c>
      <c r="G617">
        <v>11.76</v>
      </c>
      <c r="H617">
        <v>234996</v>
      </c>
      <c r="I617">
        <v>1606</v>
      </c>
      <c r="J617">
        <v>-0.08</v>
      </c>
      <c r="K617">
        <v>2.42</v>
      </c>
      <c r="L617">
        <v>11.4</v>
      </c>
      <c r="M617">
        <v>11.81</v>
      </c>
      <c r="N617">
        <v>11.3</v>
      </c>
      <c r="O617">
        <v>11.41</v>
      </c>
      <c r="P617">
        <v>92.53</v>
      </c>
      <c r="Q617">
        <v>273078368</v>
      </c>
      <c r="R617">
        <v>1.67</v>
      </c>
      <c r="S617" t="s">
        <v>699</v>
      </c>
      <c r="T617" t="s">
        <v>87</v>
      </c>
      <c r="U617">
        <v>4.47</v>
      </c>
      <c r="V617">
        <v>11.62</v>
      </c>
      <c r="W617">
        <v>99926</v>
      </c>
      <c r="X617">
        <v>135070</v>
      </c>
      <c r="Y617">
        <v>0.74</v>
      </c>
      <c r="Z617">
        <v>918</v>
      </c>
      <c r="AA617">
        <v>1776</v>
      </c>
      <c r="AB617" t="s">
        <v>32</v>
      </c>
      <c r="AC617">
        <v>9.72</v>
      </c>
    </row>
    <row r="618" spans="1:29">
      <c r="A618" t="str">
        <f>"002157"</f>
        <v>002157</v>
      </c>
      <c r="B618" t="s">
        <v>780</v>
      </c>
      <c r="C618">
        <v>3.93</v>
      </c>
      <c r="D618">
        <v>4.23</v>
      </c>
      <c r="E618">
        <v>0.16</v>
      </c>
      <c r="F618">
        <v>4.23</v>
      </c>
      <c r="G618">
        <v>4.24</v>
      </c>
      <c r="H618">
        <v>494004</v>
      </c>
      <c r="I618">
        <v>3742</v>
      </c>
      <c r="J618">
        <v>0</v>
      </c>
      <c r="K618">
        <v>2.31</v>
      </c>
      <c r="L618">
        <v>4.08</v>
      </c>
      <c r="M618">
        <v>4.31</v>
      </c>
      <c r="N618">
        <v>4.03</v>
      </c>
      <c r="O618">
        <v>4.07</v>
      </c>
      <c r="P618">
        <v>38.29</v>
      </c>
      <c r="Q618">
        <v>206537328</v>
      </c>
      <c r="R618">
        <v>3.59</v>
      </c>
      <c r="S618" t="s">
        <v>102</v>
      </c>
      <c r="T618" t="s">
        <v>172</v>
      </c>
      <c r="U618">
        <v>6.88</v>
      </c>
      <c r="V618">
        <v>4.18</v>
      </c>
      <c r="W618">
        <v>208511</v>
      </c>
      <c r="X618">
        <v>285492</v>
      </c>
      <c r="Y618">
        <v>0.73</v>
      </c>
      <c r="Z618">
        <v>759</v>
      </c>
      <c r="AA618">
        <v>2001</v>
      </c>
      <c r="AB618" t="s">
        <v>32</v>
      </c>
      <c r="AC618">
        <v>21.41</v>
      </c>
    </row>
    <row r="619" spans="1:29">
      <c r="A619" t="str">
        <f>"002158"</f>
        <v>002158</v>
      </c>
      <c r="B619" t="s">
        <v>781</v>
      </c>
      <c r="C619">
        <v>2.1</v>
      </c>
      <c r="D619">
        <v>9.23</v>
      </c>
      <c r="E619">
        <v>0.19</v>
      </c>
      <c r="F619">
        <v>9.23</v>
      </c>
      <c r="G619">
        <v>9.24</v>
      </c>
      <c r="H619">
        <v>60790</v>
      </c>
      <c r="I619">
        <v>587</v>
      </c>
      <c r="J619">
        <v>0</v>
      </c>
      <c r="K619">
        <v>1.15</v>
      </c>
      <c r="L619">
        <v>9.03</v>
      </c>
      <c r="M619">
        <v>9.33</v>
      </c>
      <c r="N619">
        <v>9</v>
      </c>
      <c r="O619">
        <v>9.04</v>
      </c>
      <c r="P619">
        <v>42.07</v>
      </c>
      <c r="Q619">
        <v>55977776</v>
      </c>
      <c r="R619">
        <v>1.6</v>
      </c>
      <c r="S619" t="s">
        <v>151</v>
      </c>
      <c r="T619" t="s">
        <v>366</v>
      </c>
      <c r="U619">
        <v>3.65</v>
      </c>
      <c r="V619">
        <v>9.21</v>
      </c>
      <c r="W619">
        <v>25094</v>
      </c>
      <c r="X619">
        <v>35696</v>
      </c>
      <c r="Y619">
        <v>0.7</v>
      </c>
      <c r="Z619">
        <v>65</v>
      </c>
      <c r="AA619">
        <v>297</v>
      </c>
      <c r="AB619" t="s">
        <v>32</v>
      </c>
      <c r="AC619">
        <v>5.3</v>
      </c>
    </row>
    <row r="620" spans="1:29">
      <c r="A620" t="str">
        <f>"002159"</f>
        <v>002159</v>
      </c>
      <c r="B620" t="s">
        <v>782</v>
      </c>
      <c r="C620">
        <v>1.49</v>
      </c>
      <c r="D620">
        <v>21.06</v>
      </c>
      <c r="E620">
        <v>0.31</v>
      </c>
      <c r="F620">
        <v>21.05</v>
      </c>
      <c r="G620">
        <v>21.06</v>
      </c>
      <c r="H620">
        <v>5774</v>
      </c>
      <c r="I620">
        <v>26</v>
      </c>
      <c r="J620">
        <v>0</v>
      </c>
      <c r="K620">
        <v>0.42</v>
      </c>
      <c r="L620">
        <v>20.98</v>
      </c>
      <c r="M620">
        <v>21.25</v>
      </c>
      <c r="N620">
        <v>20.6</v>
      </c>
      <c r="O620">
        <v>20.75</v>
      </c>
      <c r="P620" t="s">
        <v>32</v>
      </c>
      <c r="Q620">
        <v>12122392</v>
      </c>
      <c r="R620">
        <v>0.69</v>
      </c>
      <c r="S620" t="s">
        <v>321</v>
      </c>
      <c r="T620" t="s">
        <v>193</v>
      </c>
      <c r="U620">
        <v>3.13</v>
      </c>
      <c r="V620">
        <v>20.99</v>
      </c>
      <c r="W620">
        <v>2874</v>
      </c>
      <c r="X620">
        <v>2899</v>
      </c>
      <c r="Y620">
        <v>0.99</v>
      </c>
      <c r="Z620">
        <v>30</v>
      </c>
      <c r="AA620">
        <v>106</v>
      </c>
      <c r="AB620" t="s">
        <v>32</v>
      </c>
      <c r="AC620">
        <v>1.39</v>
      </c>
    </row>
    <row r="621" spans="1:29">
      <c r="A621" t="str">
        <f>"002160"</f>
        <v>002160</v>
      </c>
      <c r="B621" t="s">
        <v>783</v>
      </c>
      <c r="C621">
        <v>1.51</v>
      </c>
      <c r="D621">
        <v>4.7</v>
      </c>
      <c r="E621">
        <v>0.07</v>
      </c>
      <c r="F621">
        <v>4.69</v>
      </c>
      <c r="G621">
        <v>4.7</v>
      </c>
      <c r="H621">
        <v>159761</v>
      </c>
      <c r="I621">
        <v>1758</v>
      </c>
      <c r="J621">
        <v>0.21</v>
      </c>
      <c r="K621">
        <v>2.65</v>
      </c>
      <c r="L621">
        <v>4.57</v>
      </c>
      <c r="M621">
        <v>4.87</v>
      </c>
      <c r="N621">
        <v>4.55</v>
      </c>
      <c r="O621">
        <v>4.63</v>
      </c>
      <c r="P621">
        <v>70.12</v>
      </c>
      <c r="Q621">
        <v>75288016</v>
      </c>
      <c r="R621">
        <v>2.11</v>
      </c>
      <c r="S621" t="s">
        <v>324</v>
      </c>
      <c r="T621" t="s">
        <v>87</v>
      </c>
      <c r="U621">
        <v>6.91</v>
      </c>
      <c r="V621">
        <v>4.71</v>
      </c>
      <c r="W621">
        <v>79547</v>
      </c>
      <c r="X621">
        <v>80213</v>
      </c>
      <c r="Y621">
        <v>0.99</v>
      </c>
      <c r="Z621">
        <v>1063</v>
      </c>
      <c r="AA621">
        <v>535</v>
      </c>
      <c r="AB621" t="s">
        <v>32</v>
      </c>
      <c r="AC621">
        <v>6.02</v>
      </c>
    </row>
    <row r="622" spans="1:29">
      <c r="A622" t="str">
        <f>"002161"</f>
        <v>002161</v>
      </c>
      <c r="B622" t="s">
        <v>784</v>
      </c>
      <c r="C622">
        <v>0.91</v>
      </c>
      <c r="D622">
        <v>8.85</v>
      </c>
      <c r="E622">
        <v>0.08</v>
      </c>
      <c r="F622">
        <v>8.85</v>
      </c>
      <c r="G622">
        <v>8.86</v>
      </c>
      <c r="H622">
        <v>326144</v>
      </c>
      <c r="I622">
        <v>4517</v>
      </c>
      <c r="J622">
        <v>0.11</v>
      </c>
      <c r="K622">
        <v>4.67</v>
      </c>
      <c r="L622">
        <v>9</v>
      </c>
      <c r="M622">
        <v>9.16</v>
      </c>
      <c r="N622">
        <v>8.82</v>
      </c>
      <c r="O622">
        <v>8.77</v>
      </c>
      <c r="P622" t="s">
        <v>32</v>
      </c>
      <c r="Q622">
        <v>292307136</v>
      </c>
      <c r="R622">
        <v>1.07</v>
      </c>
      <c r="S622" t="s">
        <v>119</v>
      </c>
      <c r="T622" t="s">
        <v>31</v>
      </c>
      <c r="U622">
        <v>3.88</v>
      </c>
      <c r="V622">
        <v>8.96</v>
      </c>
      <c r="W622">
        <v>166807</v>
      </c>
      <c r="X622">
        <v>159336</v>
      </c>
      <c r="Y622">
        <v>1.05</v>
      </c>
      <c r="Z622">
        <v>217</v>
      </c>
      <c r="AA622">
        <v>858</v>
      </c>
      <c r="AB622" t="s">
        <v>32</v>
      </c>
      <c r="AC622">
        <v>6.98</v>
      </c>
    </row>
    <row r="623" spans="1:29">
      <c r="A623" t="str">
        <f>"002162"</f>
        <v>002162</v>
      </c>
      <c r="B623" t="s">
        <v>785</v>
      </c>
      <c r="C623">
        <v>3.68</v>
      </c>
      <c r="D623">
        <v>3.1</v>
      </c>
      <c r="E623">
        <v>0.11</v>
      </c>
      <c r="F623">
        <v>3.09</v>
      </c>
      <c r="G623">
        <v>3.1</v>
      </c>
      <c r="H623">
        <v>53819</v>
      </c>
      <c r="I623">
        <v>3497</v>
      </c>
      <c r="J623">
        <v>0.65</v>
      </c>
      <c r="K623">
        <v>0.63</v>
      </c>
      <c r="L623">
        <v>2.99</v>
      </c>
      <c r="M623">
        <v>3.1</v>
      </c>
      <c r="N623">
        <v>2.99</v>
      </c>
      <c r="O623">
        <v>2.99</v>
      </c>
      <c r="P623" t="s">
        <v>32</v>
      </c>
      <c r="Q623">
        <v>16474640</v>
      </c>
      <c r="R623">
        <v>2.18</v>
      </c>
      <c r="S623" t="s">
        <v>138</v>
      </c>
      <c r="T623" t="s">
        <v>366</v>
      </c>
      <c r="U623">
        <v>3.68</v>
      </c>
      <c r="V623">
        <v>3.06</v>
      </c>
      <c r="W623">
        <v>18365</v>
      </c>
      <c r="X623">
        <v>35454</v>
      </c>
      <c r="Y623">
        <v>0.52</v>
      </c>
      <c r="Z623">
        <v>146</v>
      </c>
      <c r="AA623">
        <v>38</v>
      </c>
      <c r="AB623" t="s">
        <v>32</v>
      </c>
      <c r="AC623">
        <v>8.52</v>
      </c>
    </row>
    <row r="624" spans="1:29">
      <c r="A624" t="str">
        <f>"002163"</f>
        <v>002163</v>
      </c>
      <c r="B624" t="s">
        <v>786</v>
      </c>
      <c r="C624">
        <v>0</v>
      </c>
      <c r="D624">
        <v>5.72</v>
      </c>
      <c r="E624">
        <v>0</v>
      </c>
      <c r="F624">
        <v>5.72</v>
      </c>
      <c r="G624">
        <v>5.73</v>
      </c>
      <c r="H624">
        <v>109361</v>
      </c>
      <c r="I624">
        <v>1326</v>
      </c>
      <c r="J624">
        <v>-0.16</v>
      </c>
      <c r="K624">
        <v>1.36</v>
      </c>
      <c r="L624">
        <v>5.79</v>
      </c>
      <c r="M624">
        <v>5.8</v>
      </c>
      <c r="N624">
        <v>5.61</v>
      </c>
      <c r="O624">
        <v>5.72</v>
      </c>
      <c r="P624" t="s">
        <v>32</v>
      </c>
      <c r="Q624">
        <v>62415040</v>
      </c>
      <c r="R624">
        <v>0.97</v>
      </c>
      <c r="S624" t="s">
        <v>59</v>
      </c>
      <c r="T624" t="s">
        <v>31</v>
      </c>
      <c r="U624">
        <v>3.32</v>
      </c>
      <c r="V624">
        <v>5.71</v>
      </c>
      <c r="W624">
        <v>64262</v>
      </c>
      <c r="X624">
        <v>45099</v>
      </c>
      <c r="Y624">
        <v>1.42</v>
      </c>
      <c r="Z624">
        <v>623</v>
      </c>
      <c r="AA624">
        <v>276</v>
      </c>
      <c r="AB624" t="s">
        <v>32</v>
      </c>
      <c r="AC624">
        <v>8.03</v>
      </c>
    </row>
    <row r="625" spans="1:29">
      <c r="A625" t="str">
        <f>"002164"</f>
        <v>002164</v>
      </c>
      <c r="B625" t="s">
        <v>787</v>
      </c>
      <c r="C625">
        <v>1.93</v>
      </c>
      <c r="D625">
        <v>4.75</v>
      </c>
      <c r="E625">
        <v>0.09</v>
      </c>
      <c r="F625">
        <v>4.74</v>
      </c>
      <c r="G625">
        <v>4.75</v>
      </c>
      <c r="H625">
        <v>159696</v>
      </c>
      <c r="I625">
        <v>3815</v>
      </c>
      <c r="J625">
        <v>0.42</v>
      </c>
      <c r="K625">
        <v>3.9</v>
      </c>
      <c r="L625">
        <v>4.65</v>
      </c>
      <c r="M625">
        <v>4.75</v>
      </c>
      <c r="N625">
        <v>4.62</v>
      </c>
      <c r="O625">
        <v>4.66</v>
      </c>
      <c r="P625">
        <v>16.27</v>
      </c>
      <c r="Q625">
        <v>75052008</v>
      </c>
      <c r="R625">
        <v>0.71</v>
      </c>
      <c r="S625" t="s">
        <v>104</v>
      </c>
      <c r="T625" t="s">
        <v>149</v>
      </c>
      <c r="U625">
        <v>2.79</v>
      </c>
      <c r="V625">
        <v>4.7</v>
      </c>
      <c r="W625">
        <v>74884</v>
      </c>
      <c r="X625">
        <v>84812</v>
      </c>
      <c r="Y625">
        <v>0.88</v>
      </c>
      <c r="Z625">
        <v>1474</v>
      </c>
      <c r="AA625">
        <v>1273</v>
      </c>
      <c r="AB625" t="s">
        <v>32</v>
      </c>
      <c r="AC625">
        <v>4.09</v>
      </c>
    </row>
    <row r="626" spans="1:29">
      <c r="A626" t="str">
        <f>"002165"</f>
        <v>002165</v>
      </c>
      <c r="B626" t="s">
        <v>788</v>
      </c>
      <c r="C626">
        <v>1.42</v>
      </c>
      <c r="D626">
        <v>4.28</v>
      </c>
      <c r="E626">
        <v>0.06</v>
      </c>
      <c r="F626">
        <v>4.27</v>
      </c>
      <c r="G626">
        <v>4.28</v>
      </c>
      <c r="H626">
        <v>25740</v>
      </c>
      <c r="I626">
        <v>224</v>
      </c>
      <c r="J626">
        <v>0</v>
      </c>
      <c r="K626">
        <v>0.49</v>
      </c>
      <c r="L626">
        <v>4.22</v>
      </c>
      <c r="M626">
        <v>4.29</v>
      </c>
      <c r="N626">
        <v>4.22</v>
      </c>
      <c r="O626">
        <v>4.22</v>
      </c>
      <c r="P626">
        <v>216.6</v>
      </c>
      <c r="Q626">
        <v>10963057</v>
      </c>
      <c r="R626">
        <v>1.47</v>
      </c>
      <c r="S626" t="s">
        <v>218</v>
      </c>
      <c r="T626" t="s">
        <v>87</v>
      </c>
      <c r="U626">
        <v>1.66</v>
      </c>
      <c r="V626">
        <v>4.26</v>
      </c>
      <c r="W626">
        <v>11174</v>
      </c>
      <c r="X626">
        <v>14566</v>
      </c>
      <c r="Y626">
        <v>0.77</v>
      </c>
      <c r="Z626">
        <v>556</v>
      </c>
      <c r="AA626">
        <v>5</v>
      </c>
      <c r="AB626" t="s">
        <v>32</v>
      </c>
      <c r="AC626">
        <v>5.27</v>
      </c>
    </row>
    <row r="627" spans="1:29">
      <c r="A627" t="str">
        <f>"002166"</f>
        <v>002166</v>
      </c>
      <c r="B627" t="s">
        <v>789</v>
      </c>
      <c r="C627">
        <v>2.87</v>
      </c>
      <c r="D627">
        <v>7.88</v>
      </c>
      <c r="E627">
        <v>0.22</v>
      </c>
      <c r="F627">
        <v>7.88</v>
      </c>
      <c r="G627">
        <v>7.89</v>
      </c>
      <c r="H627">
        <v>38713</v>
      </c>
      <c r="I627">
        <v>237</v>
      </c>
      <c r="J627">
        <v>-0.24</v>
      </c>
      <c r="K627">
        <v>1.09</v>
      </c>
      <c r="L627">
        <v>7.63</v>
      </c>
      <c r="M627">
        <v>7.95</v>
      </c>
      <c r="N627">
        <v>7.53</v>
      </c>
      <c r="O627">
        <v>7.66</v>
      </c>
      <c r="P627">
        <v>47.1</v>
      </c>
      <c r="Q627">
        <v>30034180</v>
      </c>
      <c r="R627">
        <v>0.92</v>
      </c>
      <c r="S627" t="s">
        <v>195</v>
      </c>
      <c r="T627" t="s">
        <v>238</v>
      </c>
      <c r="U627">
        <v>5.48</v>
      </c>
      <c r="V627">
        <v>7.76</v>
      </c>
      <c r="W627">
        <v>14854</v>
      </c>
      <c r="X627">
        <v>23859</v>
      </c>
      <c r="Y627">
        <v>0.62</v>
      </c>
      <c r="Z627">
        <v>4</v>
      </c>
      <c r="AA627">
        <v>233</v>
      </c>
      <c r="AB627" t="s">
        <v>32</v>
      </c>
      <c r="AC627">
        <v>3.54</v>
      </c>
    </row>
    <row r="628" spans="1:29">
      <c r="A628" t="str">
        <f>"002167"</f>
        <v>002167</v>
      </c>
      <c r="B628" t="s">
        <v>790</v>
      </c>
      <c r="C628">
        <v>3.52</v>
      </c>
      <c r="D628">
        <v>6.47</v>
      </c>
      <c r="E628">
        <v>0.22</v>
      </c>
      <c r="F628">
        <v>6.47</v>
      </c>
      <c r="G628">
        <v>6.48</v>
      </c>
      <c r="H628">
        <v>101142</v>
      </c>
      <c r="I628">
        <v>1134</v>
      </c>
      <c r="J628">
        <v>-0.3</v>
      </c>
      <c r="K628">
        <v>2.07</v>
      </c>
      <c r="L628">
        <v>6.3</v>
      </c>
      <c r="M628">
        <v>6.54</v>
      </c>
      <c r="N628">
        <v>6.3</v>
      </c>
      <c r="O628">
        <v>6.25</v>
      </c>
      <c r="P628">
        <v>77.06</v>
      </c>
      <c r="Q628">
        <v>65188132</v>
      </c>
      <c r="R628">
        <v>2.29</v>
      </c>
      <c r="S628" t="s">
        <v>356</v>
      </c>
      <c r="T628" t="s">
        <v>136</v>
      </c>
      <c r="U628">
        <v>3.84</v>
      </c>
      <c r="V628">
        <v>6.45</v>
      </c>
      <c r="W628">
        <v>44316</v>
      </c>
      <c r="X628">
        <v>56825</v>
      </c>
      <c r="Y628">
        <v>0.78</v>
      </c>
      <c r="Z628">
        <v>884</v>
      </c>
      <c r="AA628">
        <v>476</v>
      </c>
      <c r="AB628" t="s">
        <v>32</v>
      </c>
      <c r="AC628">
        <v>4.89</v>
      </c>
    </row>
    <row r="629" spans="1:29">
      <c r="A629" t="str">
        <f>"002168"</f>
        <v>002168</v>
      </c>
      <c r="B629" t="s">
        <v>791</v>
      </c>
      <c r="C629">
        <v>2.44</v>
      </c>
      <c r="D629">
        <v>11.77</v>
      </c>
      <c r="E629">
        <v>0.28</v>
      </c>
      <c r="F629">
        <v>11.77</v>
      </c>
      <c r="G629">
        <v>11.78</v>
      </c>
      <c r="H629">
        <v>267431</v>
      </c>
      <c r="I629">
        <v>2099</v>
      </c>
      <c r="J629">
        <v>-0.16</v>
      </c>
      <c r="K629">
        <v>3.47</v>
      </c>
      <c r="L629">
        <v>11.41</v>
      </c>
      <c r="M629">
        <v>11.93</v>
      </c>
      <c r="N629">
        <v>11.28</v>
      </c>
      <c r="O629">
        <v>11.49</v>
      </c>
      <c r="P629">
        <v>15.46</v>
      </c>
      <c r="Q629">
        <v>311915872</v>
      </c>
      <c r="R629">
        <v>1.95</v>
      </c>
      <c r="S629" t="s">
        <v>104</v>
      </c>
      <c r="T629" t="s">
        <v>31</v>
      </c>
      <c r="U629">
        <v>5.66</v>
      </c>
      <c r="V629">
        <v>11.66</v>
      </c>
      <c r="W629">
        <v>142277</v>
      </c>
      <c r="X629">
        <v>125154</v>
      </c>
      <c r="Y629">
        <v>1.14</v>
      </c>
      <c r="Z629">
        <v>633</v>
      </c>
      <c r="AA629">
        <v>644</v>
      </c>
      <c r="AB629" t="s">
        <v>32</v>
      </c>
      <c r="AC629">
        <v>7.72</v>
      </c>
    </row>
    <row r="630" spans="1:29">
      <c r="A630" t="str">
        <f>"002169"</f>
        <v>002169</v>
      </c>
      <c r="B630" t="s">
        <v>792</v>
      </c>
      <c r="C630">
        <v>2.23</v>
      </c>
      <c r="D630">
        <v>4.58</v>
      </c>
      <c r="E630">
        <v>0.1</v>
      </c>
      <c r="F630">
        <v>4.58</v>
      </c>
      <c r="G630">
        <v>4.59</v>
      </c>
      <c r="H630">
        <v>126355</v>
      </c>
      <c r="I630">
        <v>894</v>
      </c>
      <c r="J630">
        <v>-0.21</v>
      </c>
      <c r="K630">
        <v>1.92</v>
      </c>
      <c r="L630">
        <v>4.55</v>
      </c>
      <c r="M630">
        <v>4.68</v>
      </c>
      <c r="N630">
        <v>4.54</v>
      </c>
      <c r="O630">
        <v>4.48</v>
      </c>
      <c r="P630">
        <v>67.01</v>
      </c>
      <c r="Q630">
        <v>57990232</v>
      </c>
      <c r="R630">
        <v>2.1</v>
      </c>
      <c r="S630" t="s">
        <v>104</v>
      </c>
      <c r="T630" t="s">
        <v>136</v>
      </c>
      <c r="U630">
        <v>3.12</v>
      </c>
      <c r="V630">
        <v>4.59</v>
      </c>
      <c r="W630">
        <v>68602</v>
      </c>
      <c r="X630">
        <v>57753</v>
      </c>
      <c r="Y630">
        <v>1.19</v>
      </c>
      <c r="Z630">
        <v>12</v>
      </c>
      <c r="AA630">
        <v>1894</v>
      </c>
      <c r="AB630" t="s">
        <v>32</v>
      </c>
      <c r="AC630">
        <v>6.59</v>
      </c>
    </row>
    <row r="631" spans="1:29">
      <c r="A631" t="str">
        <f>"002170"</f>
        <v>002170</v>
      </c>
      <c r="B631" t="s">
        <v>793</v>
      </c>
      <c r="C631">
        <v>3.01</v>
      </c>
      <c r="D631">
        <v>3.42</v>
      </c>
      <c r="E631">
        <v>0.1</v>
      </c>
      <c r="F631">
        <v>3.41</v>
      </c>
      <c r="G631">
        <v>3.42</v>
      </c>
      <c r="H631">
        <v>71535</v>
      </c>
      <c r="I631">
        <v>406</v>
      </c>
      <c r="J631">
        <v>0.29</v>
      </c>
      <c r="K631">
        <v>1.07</v>
      </c>
      <c r="L631">
        <v>3.3</v>
      </c>
      <c r="M631">
        <v>3.42</v>
      </c>
      <c r="N631">
        <v>3.3</v>
      </c>
      <c r="O631">
        <v>3.32</v>
      </c>
      <c r="P631" t="s">
        <v>32</v>
      </c>
      <c r="Q631">
        <v>24149748</v>
      </c>
      <c r="R631">
        <v>1.46</v>
      </c>
      <c r="S631" t="s">
        <v>145</v>
      </c>
      <c r="T631" t="s">
        <v>31</v>
      </c>
      <c r="U631">
        <v>3.61</v>
      </c>
      <c r="V631">
        <v>3.38</v>
      </c>
      <c r="W631">
        <v>22817</v>
      </c>
      <c r="X631">
        <v>48718</v>
      </c>
      <c r="Y631">
        <v>0.47</v>
      </c>
      <c r="Z631">
        <v>2993</v>
      </c>
      <c r="AA631">
        <v>1021</v>
      </c>
      <c r="AB631" t="s">
        <v>32</v>
      </c>
      <c r="AC631">
        <v>6.7</v>
      </c>
    </row>
    <row r="632" spans="1:29">
      <c r="A632" t="str">
        <f>"002171"</f>
        <v>002171</v>
      </c>
      <c r="B632" t="s">
        <v>794</v>
      </c>
      <c r="C632" t="s">
        <v>32</v>
      </c>
      <c r="D632">
        <v>6.78</v>
      </c>
      <c r="E632" t="s">
        <v>32</v>
      </c>
      <c r="F632" t="s">
        <v>32</v>
      </c>
      <c r="G632" t="s">
        <v>32</v>
      </c>
      <c r="H632">
        <v>0</v>
      </c>
      <c r="I632">
        <v>0</v>
      </c>
      <c r="J632" t="s">
        <v>32</v>
      </c>
      <c r="K632">
        <v>0</v>
      </c>
      <c r="L632" t="s">
        <v>32</v>
      </c>
      <c r="M632" t="s">
        <v>32</v>
      </c>
      <c r="N632" t="s">
        <v>32</v>
      </c>
      <c r="O632">
        <v>6.78</v>
      </c>
      <c r="P632">
        <v>17.84</v>
      </c>
      <c r="Q632">
        <v>0</v>
      </c>
      <c r="R632">
        <v>0</v>
      </c>
      <c r="S632" t="s">
        <v>340</v>
      </c>
      <c r="T632" t="s">
        <v>143</v>
      </c>
      <c r="U632">
        <v>0</v>
      </c>
      <c r="V632">
        <v>6.78</v>
      </c>
      <c r="W632">
        <v>0</v>
      </c>
      <c r="X632">
        <v>0</v>
      </c>
      <c r="Y632" t="s">
        <v>32</v>
      </c>
      <c r="Z632">
        <v>0</v>
      </c>
      <c r="AA632">
        <v>0</v>
      </c>
      <c r="AB632" t="s">
        <v>32</v>
      </c>
      <c r="AC632">
        <v>10.28</v>
      </c>
    </row>
    <row r="633" spans="1:29">
      <c r="A633" t="str">
        <f>"002172"</f>
        <v>002172</v>
      </c>
      <c r="B633" t="s">
        <v>795</v>
      </c>
      <c r="C633">
        <v>1.31</v>
      </c>
      <c r="D633">
        <v>4.64</v>
      </c>
      <c r="E633">
        <v>0.06</v>
      </c>
      <c r="F633">
        <v>4.63</v>
      </c>
      <c r="G633">
        <v>4.64</v>
      </c>
      <c r="H633">
        <v>53060</v>
      </c>
      <c r="I633">
        <v>2216</v>
      </c>
      <c r="J633">
        <v>0</v>
      </c>
      <c r="K633">
        <v>0.76</v>
      </c>
      <c r="L633">
        <v>4.6</v>
      </c>
      <c r="M633">
        <v>4.67</v>
      </c>
      <c r="N633">
        <v>4.56</v>
      </c>
      <c r="O633">
        <v>4.58</v>
      </c>
      <c r="P633">
        <v>40.73</v>
      </c>
      <c r="Q633">
        <v>24549796</v>
      </c>
      <c r="R633">
        <v>0.85</v>
      </c>
      <c r="S633" t="s">
        <v>190</v>
      </c>
      <c r="T633" t="s">
        <v>87</v>
      </c>
      <c r="U633">
        <v>2.4</v>
      </c>
      <c r="V633">
        <v>4.63</v>
      </c>
      <c r="W633">
        <v>27068</v>
      </c>
      <c r="X633">
        <v>25992</v>
      </c>
      <c r="Y633">
        <v>1.04</v>
      </c>
      <c r="Z633">
        <v>1907</v>
      </c>
      <c r="AA633">
        <v>184</v>
      </c>
      <c r="AB633" t="s">
        <v>32</v>
      </c>
      <c r="AC633">
        <v>6.94</v>
      </c>
    </row>
    <row r="634" spans="1:29">
      <c r="A634" t="str">
        <f>"002173"</f>
        <v>002173</v>
      </c>
      <c r="B634" t="s">
        <v>796</v>
      </c>
      <c r="C634">
        <v>3.59</v>
      </c>
      <c r="D634">
        <v>11.54</v>
      </c>
      <c r="E634">
        <v>0.4</v>
      </c>
      <c r="F634">
        <v>11.53</v>
      </c>
      <c r="G634">
        <v>11.54</v>
      </c>
      <c r="H634">
        <v>19750</v>
      </c>
      <c r="I634">
        <v>533</v>
      </c>
      <c r="J634">
        <v>0.35</v>
      </c>
      <c r="K634">
        <v>0.97</v>
      </c>
      <c r="L634">
        <v>11.1</v>
      </c>
      <c r="M634">
        <v>11.63</v>
      </c>
      <c r="N634">
        <v>11.07</v>
      </c>
      <c r="O634">
        <v>11.14</v>
      </c>
      <c r="P634">
        <v>30.43</v>
      </c>
      <c r="Q634">
        <v>22358468</v>
      </c>
      <c r="R634">
        <v>1.13</v>
      </c>
      <c r="S634" t="s">
        <v>138</v>
      </c>
      <c r="T634" t="s">
        <v>149</v>
      </c>
      <c r="U634">
        <v>5.03</v>
      </c>
      <c r="V634">
        <v>11.32</v>
      </c>
      <c r="W634">
        <v>9198</v>
      </c>
      <c r="X634">
        <v>10551</v>
      </c>
      <c r="Y634">
        <v>0.87</v>
      </c>
      <c r="Z634">
        <v>113</v>
      </c>
      <c r="AA634">
        <v>368</v>
      </c>
      <c r="AB634" t="s">
        <v>32</v>
      </c>
      <c r="AC634">
        <v>2.03</v>
      </c>
    </row>
    <row r="635" spans="1:29">
      <c r="A635" t="str">
        <f>"002174"</f>
        <v>002174</v>
      </c>
      <c r="B635" t="s">
        <v>797</v>
      </c>
      <c r="C635">
        <v>0.63</v>
      </c>
      <c r="D635">
        <v>19.2</v>
      </c>
      <c r="E635">
        <v>0.12</v>
      </c>
      <c r="F635">
        <v>19.2</v>
      </c>
      <c r="G635">
        <v>19.21</v>
      </c>
      <c r="H635">
        <v>21548</v>
      </c>
      <c r="I635">
        <v>146</v>
      </c>
      <c r="J635">
        <v>-0.15</v>
      </c>
      <c r="K635">
        <v>0.37</v>
      </c>
      <c r="L635">
        <v>19.05</v>
      </c>
      <c r="M635">
        <v>19.3</v>
      </c>
      <c r="N635">
        <v>18.97</v>
      </c>
      <c r="O635">
        <v>19.08</v>
      </c>
      <c r="P635">
        <v>19.2</v>
      </c>
      <c r="Q635">
        <v>41413776</v>
      </c>
      <c r="R635">
        <v>0.91</v>
      </c>
      <c r="S635" t="s">
        <v>316</v>
      </c>
      <c r="T635" t="s">
        <v>236</v>
      </c>
      <c r="U635">
        <v>1.73</v>
      </c>
      <c r="V635">
        <v>19.22</v>
      </c>
      <c r="W635">
        <v>9369</v>
      </c>
      <c r="X635">
        <v>12178</v>
      </c>
      <c r="Y635">
        <v>0.77</v>
      </c>
      <c r="Z635">
        <v>184</v>
      </c>
      <c r="AA635">
        <v>73</v>
      </c>
      <c r="AB635" t="s">
        <v>32</v>
      </c>
      <c r="AC635">
        <v>5.77</v>
      </c>
    </row>
    <row r="636" spans="1:29">
      <c r="A636" t="str">
        <f>"002175"</f>
        <v>002175</v>
      </c>
      <c r="B636" t="s">
        <v>798</v>
      </c>
      <c r="C636">
        <v>1.24</v>
      </c>
      <c r="D636">
        <v>4.08</v>
      </c>
      <c r="E636">
        <v>0.05</v>
      </c>
      <c r="F636">
        <v>4.07</v>
      </c>
      <c r="G636">
        <v>4.08</v>
      </c>
      <c r="H636">
        <v>208209</v>
      </c>
      <c r="I636">
        <v>4276</v>
      </c>
      <c r="J636">
        <v>0.25</v>
      </c>
      <c r="K636">
        <v>3.93</v>
      </c>
      <c r="L636">
        <v>4.03</v>
      </c>
      <c r="M636">
        <v>4.18</v>
      </c>
      <c r="N636">
        <v>3.99</v>
      </c>
      <c r="O636">
        <v>4.03</v>
      </c>
      <c r="P636" t="s">
        <v>32</v>
      </c>
      <c r="Q636">
        <v>84721192</v>
      </c>
      <c r="R636">
        <v>0.8</v>
      </c>
      <c r="S636" t="s">
        <v>606</v>
      </c>
      <c r="T636" t="s">
        <v>238</v>
      </c>
      <c r="U636">
        <v>4.71</v>
      </c>
      <c r="V636">
        <v>4.07</v>
      </c>
      <c r="W636">
        <v>104582</v>
      </c>
      <c r="X636">
        <v>103626</v>
      </c>
      <c r="Y636">
        <v>1.01</v>
      </c>
      <c r="Z636">
        <v>3616</v>
      </c>
      <c r="AA636">
        <v>477</v>
      </c>
      <c r="AB636" t="s">
        <v>32</v>
      </c>
      <c r="AC636">
        <v>5.29</v>
      </c>
    </row>
    <row r="637" spans="1:29">
      <c r="A637" t="str">
        <f>"002176"</f>
        <v>002176</v>
      </c>
      <c r="B637" t="s">
        <v>799</v>
      </c>
      <c r="C637">
        <v>0.4</v>
      </c>
      <c r="D637">
        <v>10.16</v>
      </c>
      <c r="E637">
        <v>0.04</v>
      </c>
      <c r="F637">
        <v>10.16</v>
      </c>
      <c r="G637">
        <v>10.17</v>
      </c>
      <c r="H637">
        <v>295412</v>
      </c>
      <c r="I637">
        <v>3385</v>
      </c>
      <c r="J637">
        <v>0</v>
      </c>
      <c r="K637">
        <v>2.05</v>
      </c>
      <c r="L637">
        <v>10.09</v>
      </c>
      <c r="M637">
        <v>10.24</v>
      </c>
      <c r="N637">
        <v>10.06</v>
      </c>
      <c r="O637">
        <v>10.12</v>
      </c>
      <c r="P637">
        <v>18.86</v>
      </c>
      <c r="Q637">
        <v>300361440</v>
      </c>
      <c r="R637">
        <v>1.29</v>
      </c>
      <c r="S637" t="s">
        <v>104</v>
      </c>
      <c r="T637" t="s">
        <v>172</v>
      </c>
      <c r="U637">
        <v>1.78</v>
      </c>
      <c r="V637">
        <v>10.17</v>
      </c>
      <c r="W637">
        <v>148015</v>
      </c>
      <c r="X637">
        <v>147396</v>
      </c>
      <c r="Y637">
        <v>1</v>
      </c>
      <c r="Z637">
        <v>1752</v>
      </c>
      <c r="AA637">
        <v>1603</v>
      </c>
      <c r="AB637" t="s">
        <v>32</v>
      </c>
      <c r="AC637">
        <v>14.42</v>
      </c>
    </row>
    <row r="638" spans="1:29">
      <c r="A638" t="str">
        <f>"002177"</f>
        <v>002177</v>
      </c>
      <c r="B638" t="s">
        <v>800</v>
      </c>
      <c r="C638">
        <v>3.23</v>
      </c>
      <c r="D638">
        <v>3.83</v>
      </c>
      <c r="E638">
        <v>0.12</v>
      </c>
      <c r="F638">
        <v>3.82</v>
      </c>
      <c r="G638">
        <v>3.83</v>
      </c>
      <c r="H638">
        <v>79378</v>
      </c>
      <c r="I638">
        <v>3271</v>
      </c>
      <c r="J638">
        <v>0.52</v>
      </c>
      <c r="K638">
        <v>1.23</v>
      </c>
      <c r="L638">
        <v>3.69</v>
      </c>
      <c r="M638">
        <v>3.83</v>
      </c>
      <c r="N638">
        <v>3.67</v>
      </c>
      <c r="O638">
        <v>3.71</v>
      </c>
      <c r="P638">
        <v>189.43</v>
      </c>
      <c r="Q638">
        <v>29901408</v>
      </c>
      <c r="R638">
        <v>2.28</v>
      </c>
      <c r="S638" t="s">
        <v>65</v>
      </c>
      <c r="T638" t="s">
        <v>136</v>
      </c>
      <c r="U638">
        <v>4.31</v>
      </c>
      <c r="V638">
        <v>3.77</v>
      </c>
      <c r="W638">
        <v>29829</v>
      </c>
      <c r="X638">
        <v>49548</v>
      </c>
      <c r="Y638">
        <v>0.6</v>
      </c>
      <c r="Z638">
        <v>35</v>
      </c>
      <c r="AA638">
        <v>2775</v>
      </c>
      <c r="AB638" t="s">
        <v>32</v>
      </c>
      <c r="AC638">
        <v>6.45</v>
      </c>
    </row>
    <row r="639" spans="1:29">
      <c r="A639" t="str">
        <f>"002178"</f>
        <v>002178</v>
      </c>
      <c r="B639" t="s">
        <v>801</v>
      </c>
      <c r="C639">
        <v>3.35</v>
      </c>
      <c r="D639">
        <v>4.94</v>
      </c>
      <c r="E639">
        <v>0.16</v>
      </c>
      <c r="F639">
        <v>4.94</v>
      </c>
      <c r="G639">
        <v>4.95</v>
      </c>
      <c r="H639">
        <v>220341</v>
      </c>
      <c r="I639">
        <v>1993</v>
      </c>
      <c r="J639">
        <v>0</v>
      </c>
      <c r="K639">
        <v>3.35</v>
      </c>
      <c r="L639">
        <v>4.78</v>
      </c>
      <c r="M639">
        <v>5.05</v>
      </c>
      <c r="N639">
        <v>4.77</v>
      </c>
      <c r="O639">
        <v>4.78</v>
      </c>
      <c r="P639">
        <v>311.04</v>
      </c>
      <c r="Q639">
        <v>108782888</v>
      </c>
      <c r="R639">
        <v>1.03</v>
      </c>
      <c r="S639" t="s">
        <v>49</v>
      </c>
      <c r="T639" t="s">
        <v>366</v>
      </c>
      <c r="U639">
        <v>5.86</v>
      </c>
      <c r="V639">
        <v>4.94</v>
      </c>
      <c r="W639">
        <v>104322</v>
      </c>
      <c r="X639">
        <v>116018</v>
      </c>
      <c r="Y639">
        <v>0.9</v>
      </c>
      <c r="Z639">
        <v>4260</v>
      </c>
      <c r="AA639">
        <v>5112</v>
      </c>
      <c r="AB639" t="s">
        <v>32</v>
      </c>
      <c r="AC639">
        <v>6.58</v>
      </c>
    </row>
    <row r="640" spans="1:29">
      <c r="A640" t="str">
        <f>"002179"</f>
        <v>002179</v>
      </c>
      <c r="B640" t="s">
        <v>802</v>
      </c>
      <c r="C640">
        <v>-3.43</v>
      </c>
      <c r="D640">
        <v>42.49</v>
      </c>
      <c r="E640">
        <v>-1.51</v>
      </c>
      <c r="F640">
        <v>42.49</v>
      </c>
      <c r="G640">
        <v>42.5</v>
      </c>
      <c r="H640">
        <v>91913</v>
      </c>
      <c r="I640">
        <v>966</v>
      </c>
      <c r="J640">
        <v>0.21</v>
      </c>
      <c r="K640">
        <v>1.17</v>
      </c>
      <c r="L640">
        <v>44.16</v>
      </c>
      <c r="M640">
        <v>44.9</v>
      </c>
      <c r="N640">
        <v>42.33</v>
      </c>
      <c r="O640">
        <v>44</v>
      </c>
      <c r="P640">
        <v>50.2</v>
      </c>
      <c r="Q640">
        <v>401752000</v>
      </c>
      <c r="R640">
        <v>2.38</v>
      </c>
      <c r="S640" t="s">
        <v>63</v>
      </c>
      <c r="T640" t="s">
        <v>164</v>
      </c>
      <c r="U640">
        <v>5.84</v>
      </c>
      <c r="V640">
        <v>43.71</v>
      </c>
      <c r="W640">
        <v>44702</v>
      </c>
      <c r="X640">
        <v>47210</v>
      </c>
      <c r="Y640">
        <v>0.95</v>
      </c>
      <c r="Z640">
        <v>271</v>
      </c>
      <c r="AA640">
        <v>727</v>
      </c>
      <c r="AB640" t="s">
        <v>32</v>
      </c>
      <c r="AC640">
        <v>7.82</v>
      </c>
    </row>
    <row r="641" spans="1:29">
      <c r="A641" t="str">
        <f>"002180"</f>
        <v>002180</v>
      </c>
      <c r="B641" t="s">
        <v>803</v>
      </c>
      <c r="C641">
        <v>-0.89</v>
      </c>
      <c r="D641">
        <v>31.12</v>
      </c>
      <c r="E641">
        <v>-0.28</v>
      </c>
      <c r="F641">
        <v>31.12</v>
      </c>
      <c r="G641">
        <v>31.13</v>
      </c>
      <c r="H641">
        <v>19714</v>
      </c>
      <c r="I641">
        <v>229</v>
      </c>
      <c r="J641">
        <v>0.06</v>
      </c>
      <c r="K641">
        <v>0.29</v>
      </c>
      <c r="L641">
        <v>31.7</v>
      </c>
      <c r="M641">
        <v>31.81</v>
      </c>
      <c r="N641">
        <v>30.88</v>
      </c>
      <c r="O641">
        <v>31.4</v>
      </c>
      <c r="P641">
        <v>97.15</v>
      </c>
      <c r="Q641">
        <v>61530172</v>
      </c>
      <c r="R641">
        <v>0.59</v>
      </c>
      <c r="S641" t="s">
        <v>65</v>
      </c>
      <c r="T641" t="s">
        <v>136</v>
      </c>
      <c r="U641">
        <v>2.96</v>
      </c>
      <c r="V641">
        <v>31.21</v>
      </c>
      <c r="W641">
        <v>9860</v>
      </c>
      <c r="X641">
        <v>9853</v>
      </c>
      <c r="Y641">
        <v>1</v>
      </c>
      <c r="Z641">
        <v>12</v>
      </c>
      <c r="AA641">
        <v>13</v>
      </c>
      <c r="AB641" t="s">
        <v>32</v>
      </c>
      <c r="AC641">
        <v>6.86</v>
      </c>
    </row>
    <row r="642" spans="1:29">
      <c r="A642" t="str">
        <f>"002181"</f>
        <v>002181</v>
      </c>
      <c r="B642" t="s">
        <v>804</v>
      </c>
      <c r="C642">
        <v>3.14</v>
      </c>
      <c r="D642">
        <v>4.27</v>
      </c>
      <c r="E642">
        <v>0.13</v>
      </c>
      <c r="F642">
        <v>4.26</v>
      </c>
      <c r="G642">
        <v>4.27</v>
      </c>
      <c r="H642">
        <v>147921</v>
      </c>
      <c r="I642">
        <v>1179</v>
      </c>
      <c r="J642">
        <v>0.47</v>
      </c>
      <c r="K642">
        <v>1.3</v>
      </c>
      <c r="L642">
        <v>4.15</v>
      </c>
      <c r="M642">
        <v>4.33</v>
      </c>
      <c r="N642">
        <v>4.1</v>
      </c>
      <c r="O642">
        <v>4.14</v>
      </c>
      <c r="P642" t="s">
        <v>32</v>
      </c>
      <c r="Q642">
        <v>62256848</v>
      </c>
      <c r="R642">
        <v>2.4</v>
      </c>
      <c r="S642" t="s">
        <v>211</v>
      </c>
      <c r="T642" t="s">
        <v>136</v>
      </c>
      <c r="U642">
        <v>5.56</v>
      </c>
      <c r="V642">
        <v>4.21</v>
      </c>
      <c r="W642">
        <v>64722</v>
      </c>
      <c r="X642">
        <v>83198</v>
      </c>
      <c r="Y642">
        <v>0.78</v>
      </c>
      <c r="Z642">
        <v>640</v>
      </c>
      <c r="AA642">
        <v>1930</v>
      </c>
      <c r="AB642" t="s">
        <v>32</v>
      </c>
      <c r="AC642">
        <v>11.34</v>
      </c>
    </row>
    <row r="643" spans="1:29">
      <c r="A643" t="str">
        <f>"002182"</f>
        <v>002182</v>
      </c>
      <c r="B643" t="s">
        <v>805</v>
      </c>
      <c r="C643">
        <v>3.48</v>
      </c>
      <c r="D643">
        <v>6.55</v>
      </c>
      <c r="E643">
        <v>0.22</v>
      </c>
      <c r="F643">
        <v>6.55</v>
      </c>
      <c r="G643">
        <v>6.56</v>
      </c>
      <c r="H643">
        <v>174991</v>
      </c>
      <c r="I643">
        <v>1369</v>
      </c>
      <c r="J643">
        <v>-0.14</v>
      </c>
      <c r="K643">
        <v>3.89</v>
      </c>
      <c r="L643">
        <v>6.33</v>
      </c>
      <c r="M643">
        <v>6.62</v>
      </c>
      <c r="N643">
        <v>6.32</v>
      </c>
      <c r="O643">
        <v>6.33</v>
      </c>
      <c r="P643">
        <v>18.37</v>
      </c>
      <c r="Q643">
        <v>113812360</v>
      </c>
      <c r="R643">
        <v>2.85</v>
      </c>
      <c r="S643" t="s">
        <v>356</v>
      </c>
      <c r="T643" t="s">
        <v>87</v>
      </c>
      <c r="U643">
        <v>4.74</v>
      </c>
      <c r="V643">
        <v>6.5</v>
      </c>
      <c r="W643">
        <v>76997</v>
      </c>
      <c r="X643">
        <v>97994</v>
      </c>
      <c r="Y643">
        <v>0.79</v>
      </c>
      <c r="Z643">
        <v>1132</v>
      </c>
      <c r="AA643">
        <v>586</v>
      </c>
      <c r="AB643" t="s">
        <v>32</v>
      </c>
      <c r="AC643">
        <v>4.5</v>
      </c>
    </row>
    <row r="644" spans="1:29">
      <c r="A644" t="str">
        <f>"002183"</f>
        <v>002183</v>
      </c>
      <c r="B644" t="s">
        <v>806</v>
      </c>
      <c r="C644">
        <v>3.12</v>
      </c>
      <c r="D644">
        <v>6.28</v>
      </c>
      <c r="E644">
        <v>0.19</v>
      </c>
      <c r="F644">
        <v>6.27</v>
      </c>
      <c r="G644">
        <v>6.28</v>
      </c>
      <c r="H644">
        <v>166893</v>
      </c>
      <c r="I644">
        <v>3309</v>
      </c>
      <c r="J644">
        <v>0</v>
      </c>
      <c r="K644">
        <v>0.79</v>
      </c>
      <c r="L644">
        <v>6.1</v>
      </c>
      <c r="M644">
        <v>6.29</v>
      </c>
      <c r="N644">
        <v>6.07</v>
      </c>
      <c r="O644">
        <v>6.09</v>
      </c>
      <c r="P644">
        <v>16.06</v>
      </c>
      <c r="Q644">
        <v>103724424</v>
      </c>
      <c r="R644">
        <v>1.93</v>
      </c>
      <c r="S644" t="s">
        <v>742</v>
      </c>
      <c r="T644" t="s">
        <v>31</v>
      </c>
      <c r="U644">
        <v>3.61</v>
      </c>
      <c r="V644">
        <v>6.22</v>
      </c>
      <c r="W644">
        <v>68917</v>
      </c>
      <c r="X644">
        <v>97976</v>
      </c>
      <c r="Y644">
        <v>0.7</v>
      </c>
      <c r="Z644">
        <v>911</v>
      </c>
      <c r="AA644">
        <v>402</v>
      </c>
      <c r="AB644" t="s">
        <v>32</v>
      </c>
      <c r="AC644">
        <v>21.2</v>
      </c>
    </row>
    <row r="645" spans="1:29">
      <c r="A645" t="str">
        <f>"002184"</f>
        <v>002184</v>
      </c>
      <c r="B645" t="s">
        <v>807</v>
      </c>
      <c r="C645">
        <v>1.21</v>
      </c>
      <c r="D645">
        <v>12.55</v>
      </c>
      <c r="E645">
        <v>0.15</v>
      </c>
      <c r="F645">
        <v>12.55</v>
      </c>
      <c r="G645">
        <v>12.56</v>
      </c>
      <c r="H645">
        <v>144182</v>
      </c>
      <c r="I645">
        <v>1470</v>
      </c>
      <c r="J645">
        <v>0</v>
      </c>
      <c r="K645">
        <v>10.61</v>
      </c>
      <c r="L645">
        <v>12.17</v>
      </c>
      <c r="M645">
        <v>12.85</v>
      </c>
      <c r="N645">
        <v>11.98</v>
      </c>
      <c r="O645">
        <v>12.4</v>
      </c>
      <c r="P645" t="s">
        <v>32</v>
      </c>
      <c r="Q645">
        <v>178335216</v>
      </c>
      <c r="R645">
        <v>1.91</v>
      </c>
      <c r="S645" t="s">
        <v>270</v>
      </c>
      <c r="T645" t="s">
        <v>366</v>
      </c>
      <c r="U645">
        <v>7.02</v>
      </c>
      <c r="V645">
        <v>12.37</v>
      </c>
      <c r="W645">
        <v>70448</v>
      </c>
      <c r="X645">
        <v>73733</v>
      </c>
      <c r="Y645">
        <v>0.96</v>
      </c>
      <c r="Z645">
        <v>169</v>
      </c>
      <c r="AA645">
        <v>606</v>
      </c>
      <c r="AB645" t="s">
        <v>32</v>
      </c>
      <c r="AC645">
        <v>1.36</v>
      </c>
    </row>
    <row r="646" spans="1:29">
      <c r="A646" t="str">
        <f>"002185"</f>
        <v>002185</v>
      </c>
      <c r="B646" t="s">
        <v>808</v>
      </c>
      <c r="C646">
        <v>0.84</v>
      </c>
      <c r="D646">
        <v>6.03</v>
      </c>
      <c r="E646">
        <v>0.05</v>
      </c>
      <c r="F646">
        <v>6.02</v>
      </c>
      <c r="G646">
        <v>6.03</v>
      </c>
      <c r="H646">
        <v>326509</v>
      </c>
      <c r="I646">
        <v>1463</v>
      </c>
      <c r="J646">
        <v>0</v>
      </c>
      <c r="K646">
        <v>1.53</v>
      </c>
      <c r="L646">
        <v>5.97</v>
      </c>
      <c r="M646">
        <v>6.06</v>
      </c>
      <c r="N646">
        <v>5.95</v>
      </c>
      <c r="O646">
        <v>5.98</v>
      </c>
      <c r="P646">
        <v>39.52</v>
      </c>
      <c r="Q646">
        <v>196349728</v>
      </c>
      <c r="R646">
        <v>1.19</v>
      </c>
      <c r="S646" t="s">
        <v>699</v>
      </c>
      <c r="T646" t="s">
        <v>266</v>
      </c>
      <c r="U646">
        <v>1.84</v>
      </c>
      <c r="V646">
        <v>6.01</v>
      </c>
      <c r="W646">
        <v>153674</v>
      </c>
      <c r="X646">
        <v>172834</v>
      </c>
      <c r="Y646">
        <v>0.89</v>
      </c>
      <c r="Z646">
        <v>1559</v>
      </c>
      <c r="AA646">
        <v>1158</v>
      </c>
      <c r="AB646" t="s">
        <v>32</v>
      </c>
      <c r="AC646">
        <v>21.3</v>
      </c>
    </row>
    <row r="647" spans="1:29">
      <c r="A647" t="str">
        <f>"002186"</f>
        <v>002186</v>
      </c>
      <c r="B647" t="s">
        <v>809</v>
      </c>
      <c r="C647">
        <v>0.77</v>
      </c>
      <c r="D647">
        <v>14.33</v>
      </c>
      <c r="E647">
        <v>0.11</v>
      </c>
      <c r="F647">
        <v>14.32</v>
      </c>
      <c r="G647">
        <v>14.33</v>
      </c>
      <c r="H647">
        <v>13750</v>
      </c>
      <c r="I647">
        <v>229</v>
      </c>
      <c r="J647">
        <v>0.28</v>
      </c>
      <c r="K647">
        <v>0.45</v>
      </c>
      <c r="L647">
        <v>14.21</v>
      </c>
      <c r="M647">
        <v>14.5</v>
      </c>
      <c r="N647">
        <v>14.17</v>
      </c>
      <c r="O647">
        <v>14.22</v>
      </c>
      <c r="P647">
        <v>29.72</v>
      </c>
      <c r="Q647">
        <v>19720732</v>
      </c>
      <c r="R647">
        <v>1.74</v>
      </c>
      <c r="S647" t="s">
        <v>42</v>
      </c>
      <c r="T647" t="s">
        <v>45</v>
      </c>
      <c r="U647">
        <v>2.32</v>
      </c>
      <c r="V647">
        <v>14.34</v>
      </c>
      <c r="W647">
        <v>5944</v>
      </c>
      <c r="X647">
        <v>7806</v>
      </c>
      <c r="Y647">
        <v>0.76</v>
      </c>
      <c r="Z647">
        <v>57</v>
      </c>
      <c r="AA647">
        <v>102</v>
      </c>
      <c r="AB647" t="s">
        <v>32</v>
      </c>
      <c r="AC647">
        <v>3.06</v>
      </c>
    </row>
    <row r="648" spans="1:29">
      <c r="A648" t="str">
        <f>"002187"</f>
        <v>002187</v>
      </c>
      <c r="B648" t="s">
        <v>810</v>
      </c>
      <c r="C648">
        <v>0.96</v>
      </c>
      <c r="D648">
        <v>8.43</v>
      </c>
      <c r="E648">
        <v>0.08</v>
      </c>
      <c r="F648">
        <v>8.42</v>
      </c>
      <c r="G648">
        <v>8.43</v>
      </c>
      <c r="H648">
        <v>20429</v>
      </c>
      <c r="I648">
        <v>97</v>
      </c>
      <c r="J648">
        <v>0.12</v>
      </c>
      <c r="K648">
        <v>0.6</v>
      </c>
      <c r="L648">
        <v>8.35</v>
      </c>
      <c r="M648">
        <v>8.5</v>
      </c>
      <c r="N648">
        <v>8.31</v>
      </c>
      <c r="O648">
        <v>8.35</v>
      </c>
      <c r="P648">
        <v>13.29</v>
      </c>
      <c r="Q648">
        <v>17174182</v>
      </c>
      <c r="R648">
        <v>1.77</v>
      </c>
      <c r="S648" t="s">
        <v>186</v>
      </c>
      <c r="T648" t="s">
        <v>136</v>
      </c>
      <c r="U648">
        <v>2.28</v>
      </c>
      <c r="V648">
        <v>8.41</v>
      </c>
      <c r="W648">
        <v>10198</v>
      </c>
      <c r="X648">
        <v>10231</v>
      </c>
      <c r="Y648">
        <v>1</v>
      </c>
      <c r="Z648">
        <v>124</v>
      </c>
      <c r="AA648">
        <v>54</v>
      </c>
      <c r="AB648" t="s">
        <v>32</v>
      </c>
      <c r="AC648">
        <v>3.42</v>
      </c>
    </row>
    <row r="649" spans="1:29">
      <c r="A649" t="str">
        <f>"002188"</f>
        <v>002188</v>
      </c>
      <c r="B649" t="s">
        <v>811</v>
      </c>
      <c r="C649">
        <v>0.89</v>
      </c>
      <c r="D649">
        <v>3.39</v>
      </c>
      <c r="E649">
        <v>0.03</v>
      </c>
      <c r="F649">
        <v>3.39</v>
      </c>
      <c r="G649">
        <v>3.4</v>
      </c>
      <c r="H649">
        <v>21872</v>
      </c>
      <c r="I649">
        <v>143</v>
      </c>
      <c r="J649">
        <v>-0.28</v>
      </c>
      <c r="K649">
        <v>1.19</v>
      </c>
      <c r="L649">
        <v>3.36</v>
      </c>
      <c r="M649">
        <v>3.41</v>
      </c>
      <c r="N649">
        <v>3.36</v>
      </c>
      <c r="O649">
        <v>3.36</v>
      </c>
      <c r="P649" t="s">
        <v>32</v>
      </c>
      <c r="Q649">
        <v>7406716</v>
      </c>
      <c r="R649">
        <v>1.34</v>
      </c>
      <c r="S649" t="s">
        <v>91</v>
      </c>
      <c r="T649" t="s">
        <v>149</v>
      </c>
      <c r="U649">
        <v>1.49</v>
      </c>
      <c r="V649">
        <v>3.39</v>
      </c>
      <c r="W649">
        <v>10262</v>
      </c>
      <c r="X649">
        <v>11610</v>
      </c>
      <c r="Y649">
        <v>0.88</v>
      </c>
      <c r="Z649">
        <v>643</v>
      </c>
      <c r="AA649">
        <v>1672</v>
      </c>
      <c r="AB649" t="s">
        <v>32</v>
      </c>
      <c r="AC649">
        <v>1.84</v>
      </c>
    </row>
    <row r="650" spans="1:29">
      <c r="A650" t="str">
        <f>"002189"</f>
        <v>002189</v>
      </c>
      <c r="B650" t="s">
        <v>812</v>
      </c>
      <c r="C650">
        <v>0.59</v>
      </c>
      <c r="D650">
        <v>13.69</v>
      </c>
      <c r="E650">
        <v>0.08</v>
      </c>
      <c r="F650">
        <v>13.69</v>
      </c>
      <c r="G650">
        <v>13.7</v>
      </c>
      <c r="H650">
        <v>17880</v>
      </c>
      <c r="I650">
        <v>159</v>
      </c>
      <c r="J650">
        <v>0.07</v>
      </c>
      <c r="K650">
        <v>0.9</v>
      </c>
      <c r="L650">
        <v>13.61</v>
      </c>
      <c r="M650">
        <v>13.76</v>
      </c>
      <c r="N650">
        <v>13.46</v>
      </c>
      <c r="O650">
        <v>13.61</v>
      </c>
      <c r="P650">
        <v>100.88</v>
      </c>
      <c r="Q650">
        <v>24441588</v>
      </c>
      <c r="R650">
        <v>1.06</v>
      </c>
      <c r="S650" t="s">
        <v>63</v>
      </c>
      <c r="T650" t="s">
        <v>164</v>
      </c>
      <c r="U650">
        <v>2.2</v>
      </c>
      <c r="V650">
        <v>13.67</v>
      </c>
      <c r="W650">
        <v>9116</v>
      </c>
      <c r="X650">
        <v>8763</v>
      </c>
      <c r="Y650">
        <v>1.04</v>
      </c>
      <c r="Z650">
        <v>11</v>
      </c>
      <c r="AA650">
        <v>198</v>
      </c>
      <c r="AB650" t="s">
        <v>32</v>
      </c>
      <c r="AC650">
        <v>1.99</v>
      </c>
    </row>
    <row r="651" spans="1:29">
      <c r="A651" t="str">
        <f>"002190"</f>
        <v>002190</v>
      </c>
      <c r="B651" t="s">
        <v>813</v>
      </c>
      <c r="C651">
        <v>-0.05</v>
      </c>
      <c r="D651">
        <v>19.41</v>
      </c>
      <c r="E651">
        <v>-0.01</v>
      </c>
      <c r="F651">
        <v>19.41</v>
      </c>
      <c r="G651">
        <v>19.42</v>
      </c>
      <c r="H651">
        <v>34952</v>
      </c>
      <c r="I651">
        <v>366</v>
      </c>
      <c r="J651">
        <v>-0.09</v>
      </c>
      <c r="K651">
        <v>1.01</v>
      </c>
      <c r="L651">
        <v>19.35</v>
      </c>
      <c r="M651">
        <v>19.57</v>
      </c>
      <c r="N651">
        <v>19.15</v>
      </c>
      <c r="O651">
        <v>19.42</v>
      </c>
      <c r="P651" t="s">
        <v>32</v>
      </c>
      <c r="Q651">
        <v>67687088</v>
      </c>
      <c r="R651">
        <v>0.66</v>
      </c>
      <c r="S651" t="s">
        <v>80</v>
      </c>
      <c r="T651" t="s">
        <v>146</v>
      </c>
      <c r="U651">
        <v>2.16</v>
      </c>
      <c r="V651">
        <v>19.37</v>
      </c>
      <c r="W651">
        <v>16909</v>
      </c>
      <c r="X651">
        <v>18042</v>
      </c>
      <c r="Y651">
        <v>0.94</v>
      </c>
      <c r="Z651">
        <v>392</v>
      </c>
      <c r="AA651">
        <v>10</v>
      </c>
      <c r="AB651" t="s">
        <v>32</v>
      </c>
      <c r="AC651">
        <v>3.45</v>
      </c>
    </row>
    <row r="652" spans="1:29">
      <c r="A652" t="str">
        <f>"002191"</f>
        <v>002191</v>
      </c>
      <c r="B652" t="s">
        <v>814</v>
      </c>
      <c r="C652">
        <v>3.74</v>
      </c>
      <c r="D652">
        <v>7.77</v>
      </c>
      <c r="E652">
        <v>0.28</v>
      </c>
      <c r="F652">
        <v>7.77</v>
      </c>
      <c r="G652">
        <v>7.78</v>
      </c>
      <c r="H652">
        <v>134004</v>
      </c>
      <c r="I652">
        <v>847</v>
      </c>
      <c r="J652">
        <v>-0.12</v>
      </c>
      <c r="K652">
        <v>1.03</v>
      </c>
      <c r="L652">
        <v>7.51</v>
      </c>
      <c r="M652">
        <v>7.82</v>
      </c>
      <c r="N652">
        <v>7.51</v>
      </c>
      <c r="O652">
        <v>7.49</v>
      </c>
      <c r="P652">
        <v>13.65</v>
      </c>
      <c r="Q652">
        <v>103552720</v>
      </c>
      <c r="R652">
        <v>2.68</v>
      </c>
      <c r="S652" t="s">
        <v>91</v>
      </c>
      <c r="T652" t="s">
        <v>31</v>
      </c>
      <c r="U652">
        <v>4.14</v>
      </c>
      <c r="V652">
        <v>7.73</v>
      </c>
      <c r="W652">
        <v>53256</v>
      </c>
      <c r="X652">
        <v>80748</v>
      </c>
      <c r="Y652">
        <v>0.66</v>
      </c>
      <c r="Z652">
        <v>143</v>
      </c>
      <c r="AA652">
        <v>804</v>
      </c>
      <c r="AB652" t="s">
        <v>32</v>
      </c>
      <c r="AC652">
        <v>13.03</v>
      </c>
    </row>
    <row r="653" spans="1:29">
      <c r="A653" t="str">
        <f>"002192"</f>
        <v>002192</v>
      </c>
      <c r="B653" t="s">
        <v>815</v>
      </c>
      <c r="C653">
        <v>2.67</v>
      </c>
      <c r="D653">
        <v>22.7</v>
      </c>
      <c r="E653">
        <v>0.59</v>
      </c>
      <c r="F653">
        <v>22.7</v>
      </c>
      <c r="G653">
        <v>22.71</v>
      </c>
      <c r="H653">
        <v>41851</v>
      </c>
      <c r="I653">
        <v>333</v>
      </c>
      <c r="J653">
        <v>-0.3</v>
      </c>
      <c r="K653">
        <v>1.77</v>
      </c>
      <c r="L653">
        <v>21.96</v>
      </c>
      <c r="M653">
        <v>22.86</v>
      </c>
      <c r="N653">
        <v>21.81</v>
      </c>
      <c r="O653">
        <v>22.11</v>
      </c>
      <c r="P653" t="s">
        <v>32</v>
      </c>
      <c r="Q653">
        <v>94104376</v>
      </c>
      <c r="R653">
        <v>1.28</v>
      </c>
      <c r="S653" t="s">
        <v>171</v>
      </c>
      <c r="T653" t="s">
        <v>136</v>
      </c>
      <c r="U653">
        <v>4.75</v>
      </c>
      <c r="V653">
        <v>22.49</v>
      </c>
      <c r="W653">
        <v>20474</v>
      </c>
      <c r="X653">
        <v>21376</v>
      </c>
      <c r="Y653">
        <v>0.96</v>
      </c>
      <c r="Z653">
        <v>534</v>
      </c>
      <c r="AA653">
        <v>37</v>
      </c>
      <c r="AB653" t="s">
        <v>32</v>
      </c>
      <c r="AC653">
        <v>2.37</v>
      </c>
    </row>
    <row r="654" spans="1:29">
      <c r="A654" t="str">
        <f>"002193"</f>
        <v>002193</v>
      </c>
      <c r="B654" t="s">
        <v>816</v>
      </c>
      <c r="C654">
        <v>-2.66</v>
      </c>
      <c r="D654">
        <v>12.44</v>
      </c>
      <c r="E654">
        <v>-0.34</v>
      </c>
      <c r="F654">
        <v>12.44</v>
      </c>
      <c r="G654">
        <v>12.46</v>
      </c>
      <c r="H654">
        <v>38899</v>
      </c>
      <c r="I654">
        <v>397</v>
      </c>
      <c r="J654">
        <v>-0.07</v>
      </c>
      <c r="K654">
        <v>1.68</v>
      </c>
      <c r="L654">
        <v>12.68</v>
      </c>
      <c r="M654">
        <v>12.96</v>
      </c>
      <c r="N654">
        <v>12.35</v>
      </c>
      <c r="O654">
        <v>12.78</v>
      </c>
      <c r="P654">
        <v>84.29</v>
      </c>
      <c r="Q654">
        <v>49037332</v>
      </c>
      <c r="R654">
        <v>0.78</v>
      </c>
      <c r="S654" t="s">
        <v>99</v>
      </c>
      <c r="T654" t="s">
        <v>162</v>
      </c>
      <c r="U654">
        <v>4.77</v>
      </c>
      <c r="V654">
        <v>12.61</v>
      </c>
      <c r="W654">
        <v>22954</v>
      </c>
      <c r="X654">
        <v>15945</v>
      </c>
      <c r="Y654">
        <v>1.44</v>
      </c>
      <c r="Z654">
        <v>49</v>
      </c>
      <c r="AA654">
        <v>105</v>
      </c>
      <c r="AB654" t="s">
        <v>32</v>
      </c>
      <c r="AC654">
        <v>2.31</v>
      </c>
    </row>
    <row r="655" spans="1:29">
      <c r="A655" t="str">
        <f>"002194"</f>
        <v>002194</v>
      </c>
      <c r="B655" t="s">
        <v>817</v>
      </c>
      <c r="C655">
        <v>1.87</v>
      </c>
      <c r="D655">
        <v>3.81</v>
      </c>
      <c r="E655">
        <v>0.07</v>
      </c>
      <c r="F655">
        <v>3.8</v>
      </c>
      <c r="G655">
        <v>3.81</v>
      </c>
      <c r="H655">
        <v>49031</v>
      </c>
      <c r="I655">
        <v>698</v>
      </c>
      <c r="J655">
        <v>0.26</v>
      </c>
      <c r="K655">
        <v>0.92</v>
      </c>
      <c r="L655">
        <v>3.71</v>
      </c>
      <c r="M655">
        <v>3.82</v>
      </c>
      <c r="N655">
        <v>3.7</v>
      </c>
      <c r="O655">
        <v>3.74</v>
      </c>
      <c r="P655" t="s">
        <v>32</v>
      </c>
      <c r="Q655">
        <v>18473130</v>
      </c>
      <c r="R655">
        <v>0.88</v>
      </c>
      <c r="S655" t="s">
        <v>119</v>
      </c>
      <c r="T655" t="s">
        <v>193</v>
      </c>
      <c r="U655">
        <v>3.21</v>
      </c>
      <c r="V655">
        <v>3.77</v>
      </c>
      <c r="W655">
        <v>22295</v>
      </c>
      <c r="X655">
        <v>26736</v>
      </c>
      <c r="Y655">
        <v>0.83</v>
      </c>
      <c r="Z655">
        <v>2964</v>
      </c>
      <c r="AA655">
        <v>3153</v>
      </c>
      <c r="AB655" t="s">
        <v>32</v>
      </c>
      <c r="AC655">
        <v>5.3</v>
      </c>
    </row>
    <row r="656" spans="1:29">
      <c r="A656" t="str">
        <f>"002195"</f>
        <v>002195</v>
      </c>
      <c r="B656" t="s">
        <v>818</v>
      </c>
      <c r="C656">
        <v>0.44</v>
      </c>
      <c r="D656">
        <v>4.53</v>
      </c>
      <c r="E656">
        <v>0.02</v>
      </c>
      <c r="F656">
        <v>4.53</v>
      </c>
      <c r="G656">
        <v>4.54</v>
      </c>
      <c r="H656">
        <v>1588822</v>
      </c>
      <c r="I656">
        <v>23059</v>
      </c>
      <c r="J656">
        <v>0.22</v>
      </c>
      <c r="K656">
        <v>3.76</v>
      </c>
      <c r="L656">
        <v>4.5</v>
      </c>
      <c r="M656">
        <v>4.55</v>
      </c>
      <c r="N656">
        <v>4.41</v>
      </c>
      <c r="O656">
        <v>4.51</v>
      </c>
      <c r="P656">
        <v>23.19</v>
      </c>
      <c r="Q656">
        <v>713040448</v>
      </c>
      <c r="R656">
        <v>1.39</v>
      </c>
      <c r="S656" t="s">
        <v>270</v>
      </c>
      <c r="T656" t="s">
        <v>366</v>
      </c>
      <c r="U656">
        <v>3.1</v>
      </c>
      <c r="V656">
        <v>4.49</v>
      </c>
      <c r="W656">
        <v>830108</v>
      </c>
      <c r="X656">
        <v>758713</v>
      </c>
      <c r="Y656">
        <v>1.09</v>
      </c>
      <c r="Z656">
        <v>7354</v>
      </c>
      <c r="AA656">
        <v>12272</v>
      </c>
      <c r="AB656" t="s">
        <v>32</v>
      </c>
      <c r="AC656">
        <v>42.3</v>
      </c>
    </row>
    <row r="657" spans="1:29">
      <c r="A657" t="str">
        <f>"002196"</f>
        <v>002196</v>
      </c>
      <c r="B657" t="s">
        <v>819</v>
      </c>
      <c r="C657">
        <v>1.83</v>
      </c>
      <c r="D657">
        <v>7.22</v>
      </c>
      <c r="E657">
        <v>0.13</v>
      </c>
      <c r="F657">
        <v>7.21</v>
      </c>
      <c r="G657">
        <v>7.22</v>
      </c>
      <c r="H657">
        <v>28930</v>
      </c>
      <c r="I657">
        <v>836</v>
      </c>
      <c r="J657">
        <v>0.14</v>
      </c>
      <c r="K657">
        <v>0.93</v>
      </c>
      <c r="L657">
        <v>7.09</v>
      </c>
      <c r="M657">
        <v>7.22</v>
      </c>
      <c r="N657">
        <v>7.08</v>
      </c>
      <c r="O657">
        <v>7.09</v>
      </c>
      <c r="P657">
        <v>43.73</v>
      </c>
      <c r="Q657">
        <v>20737204</v>
      </c>
      <c r="R657">
        <v>2.01</v>
      </c>
      <c r="S657" t="s">
        <v>363</v>
      </c>
      <c r="T657" t="s">
        <v>149</v>
      </c>
      <c r="U657">
        <v>1.97</v>
      </c>
      <c r="V657">
        <v>7.17</v>
      </c>
      <c r="W657">
        <v>10989</v>
      </c>
      <c r="X657">
        <v>17941</v>
      </c>
      <c r="Y657">
        <v>0.61</v>
      </c>
      <c r="Z657">
        <v>855</v>
      </c>
      <c r="AA657">
        <v>2</v>
      </c>
      <c r="AB657" t="s">
        <v>32</v>
      </c>
      <c r="AC657">
        <v>3.12</v>
      </c>
    </row>
    <row r="658" spans="1:29">
      <c r="A658" t="str">
        <f>"002197"</f>
        <v>002197</v>
      </c>
      <c r="B658" t="s">
        <v>820</v>
      </c>
      <c r="C658">
        <v>0.12</v>
      </c>
      <c r="D658">
        <v>8.68</v>
      </c>
      <c r="E658">
        <v>0.01</v>
      </c>
      <c r="F658">
        <v>8.68</v>
      </c>
      <c r="G658">
        <v>8.69</v>
      </c>
      <c r="H658">
        <v>34619</v>
      </c>
      <c r="I658">
        <v>622</v>
      </c>
      <c r="J658">
        <v>-0.11</v>
      </c>
      <c r="K658">
        <v>0.8</v>
      </c>
      <c r="L658">
        <v>8.67</v>
      </c>
      <c r="M658">
        <v>8.74</v>
      </c>
      <c r="N658">
        <v>8.59</v>
      </c>
      <c r="O658">
        <v>8.67</v>
      </c>
      <c r="P658">
        <v>270.87</v>
      </c>
      <c r="Q658">
        <v>30045522</v>
      </c>
      <c r="R658">
        <v>1.6</v>
      </c>
      <c r="S658" t="s">
        <v>606</v>
      </c>
      <c r="T658" t="s">
        <v>31</v>
      </c>
      <c r="U658">
        <v>1.73</v>
      </c>
      <c r="V658">
        <v>8.68</v>
      </c>
      <c r="W658">
        <v>17837</v>
      </c>
      <c r="X658">
        <v>16781</v>
      </c>
      <c r="Y658">
        <v>1.06</v>
      </c>
      <c r="Z658">
        <v>158</v>
      </c>
      <c r="AA658">
        <v>191</v>
      </c>
      <c r="AB658" t="s">
        <v>32</v>
      </c>
      <c r="AC658">
        <v>4.35</v>
      </c>
    </row>
    <row r="659" spans="1:29">
      <c r="A659" t="str">
        <f>"002198"</f>
        <v>002198</v>
      </c>
      <c r="B659" t="s">
        <v>821</v>
      </c>
      <c r="C659">
        <v>1.83</v>
      </c>
      <c r="D659">
        <v>6.12</v>
      </c>
      <c r="E659">
        <v>0.11</v>
      </c>
      <c r="F659">
        <v>6.11</v>
      </c>
      <c r="G659">
        <v>6.12</v>
      </c>
      <c r="H659">
        <v>56062</v>
      </c>
      <c r="I659">
        <v>987</v>
      </c>
      <c r="J659">
        <v>-0.15</v>
      </c>
      <c r="K659">
        <v>1.2</v>
      </c>
      <c r="L659">
        <v>6.02</v>
      </c>
      <c r="M659">
        <v>6.15</v>
      </c>
      <c r="N659">
        <v>5.99</v>
      </c>
      <c r="O659">
        <v>6.01</v>
      </c>
      <c r="P659">
        <v>91.82</v>
      </c>
      <c r="Q659">
        <v>34158996</v>
      </c>
      <c r="R659">
        <v>0.9</v>
      </c>
      <c r="S659" t="s">
        <v>195</v>
      </c>
      <c r="T659" t="s">
        <v>136</v>
      </c>
      <c r="U659">
        <v>2.66</v>
      </c>
      <c r="V659">
        <v>6.09</v>
      </c>
      <c r="W659">
        <v>24702</v>
      </c>
      <c r="X659">
        <v>31360</v>
      </c>
      <c r="Y659">
        <v>0.79</v>
      </c>
      <c r="Z659">
        <v>710</v>
      </c>
      <c r="AA659">
        <v>229</v>
      </c>
      <c r="AB659" t="s">
        <v>32</v>
      </c>
      <c r="AC659">
        <v>4.65</v>
      </c>
    </row>
    <row r="660" spans="1:29">
      <c r="A660" t="str">
        <f>"002199"</f>
        <v>002199</v>
      </c>
      <c r="B660" t="s">
        <v>822</v>
      </c>
      <c r="C660">
        <v>-0.4</v>
      </c>
      <c r="D660">
        <v>10.05</v>
      </c>
      <c r="E660">
        <v>-0.04</v>
      </c>
      <c r="F660">
        <v>10.05</v>
      </c>
      <c r="G660">
        <v>10.06</v>
      </c>
      <c r="H660">
        <v>43259</v>
      </c>
      <c r="I660">
        <v>1537</v>
      </c>
      <c r="J660">
        <v>0.3</v>
      </c>
      <c r="K660">
        <v>2.01</v>
      </c>
      <c r="L660">
        <v>9.95</v>
      </c>
      <c r="M660">
        <v>10.1</v>
      </c>
      <c r="N660">
        <v>9.8</v>
      </c>
      <c r="O660">
        <v>10.09</v>
      </c>
      <c r="P660" t="s">
        <v>32</v>
      </c>
      <c r="Q660">
        <v>43071708</v>
      </c>
      <c r="R660">
        <v>0.79</v>
      </c>
      <c r="S660" t="s">
        <v>63</v>
      </c>
      <c r="T660" t="s">
        <v>149</v>
      </c>
      <c r="U660">
        <v>2.97</v>
      </c>
      <c r="V660">
        <v>9.96</v>
      </c>
      <c r="W660">
        <v>25305</v>
      </c>
      <c r="X660">
        <v>17954</v>
      </c>
      <c r="Y660">
        <v>1.41</v>
      </c>
      <c r="Z660">
        <v>507</v>
      </c>
      <c r="AA660">
        <v>387</v>
      </c>
      <c r="AB660" t="s">
        <v>32</v>
      </c>
      <c r="AC660">
        <v>2.16</v>
      </c>
    </row>
    <row r="661" spans="1:29">
      <c r="A661" t="str">
        <f>"002200"</f>
        <v>002200</v>
      </c>
      <c r="B661" t="s">
        <v>823</v>
      </c>
      <c r="C661">
        <v>0.97</v>
      </c>
      <c r="D661">
        <v>7.25</v>
      </c>
      <c r="E661">
        <v>0.07</v>
      </c>
      <c r="F661">
        <v>7.24</v>
      </c>
      <c r="G661">
        <v>7.25</v>
      </c>
      <c r="H661">
        <v>15419</v>
      </c>
      <c r="I661">
        <v>75</v>
      </c>
      <c r="J661">
        <v>0</v>
      </c>
      <c r="K661">
        <v>1.09</v>
      </c>
      <c r="L661">
        <v>7.2</v>
      </c>
      <c r="M661">
        <v>7.3</v>
      </c>
      <c r="N661">
        <v>7.09</v>
      </c>
      <c r="O661">
        <v>7.18</v>
      </c>
      <c r="P661" t="s">
        <v>32</v>
      </c>
      <c r="Q661">
        <v>11163047</v>
      </c>
      <c r="R661">
        <v>1.74</v>
      </c>
      <c r="S661" t="s">
        <v>86</v>
      </c>
      <c r="T661" t="s">
        <v>250</v>
      </c>
      <c r="U661">
        <v>2.92</v>
      </c>
      <c r="V661">
        <v>7.24</v>
      </c>
      <c r="W661">
        <v>7836</v>
      </c>
      <c r="X661">
        <v>7582</v>
      </c>
      <c r="Y661">
        <v>1.03</v>
      </c>
      <c r="Z661">
        <v>322</v>
      </c>
      <c r="AA661">
        <v>448</v>
      </c>
      <c r="AB661" t="s">
        <v>32</v>
      </c>
      <c r="AC661">
        <v>1.41</v>
      </c>
    </row>
    <row r="662" spans="1:29">
      <c r="A662" t="str">
        <f>"002201"</f>
        <v>002201</v>
      </c>
      <c r="B662" t="s">
        <v>824</v>
      </c>
      <c r="C662">
        <v>9.95</v>
      </c>
      <c r="D662">
        <v>7.18</v>
      </c>
      <c r="E662">
        <v>0.65</v>
      </c>
      <c r="F662">
        <v>7.18</v>
      </c>
      <c r="G662" t="s">
        <v>32</v>
      </c>
      <c r="H662">
        <v>46662</v>
      </c>
      <c r="I662">
        <v>86</v>
      </c>
      <c r="J662">
        <v>0</v>
      </c>
      <c r="K662">
        <v>1.46</v>
      </c>
      <c r="L662">
        <v>7.09</v>
      </c>
      <c r="M662">
        <v>7.18</v>
      </c>
      <c r="N662">
        <v>7.06</v>
      </c>
      <c r="O662">
        <v>6.53</v>
      </c>
      <c r="P662">
        <v>247.55</v>
      </c>
      <c r="Q662">
        <v>33415528</v>
      </c>
      <c r="R662">
        <v>3.04</v>
      </c>
      <c r="S662" t="s">
        <v>52</v>
      </c>
      <c r="T662" t="s">
        <v>87</v>
      </c>
      <c r="U662">
        <v>1.84</v>
      </c>
      <c r="V662">
        <v>7.16</v>
      </c>
      <c r="W662">
        <v>34415</v>
      </c>
      <c r="X662">
        <v>12247</v>
      </c>
      <c r="Y662">
        <v>2.81</v>
      </c>
      <c r="Z662">
        <v>18638</v>
      </c>
      <c r="AA662">
        <v>0</v>
      </c>
      <c r="AB662" t="s">
        <v>32</v>
      </c>
      <c r="AC662">
        <v>3.19</v>
      </c>
    </row>
    <row r="663" spans="1:29">
      <c r="A663" t="str">
        <f>"002202"</f>
        <v>002202</v>
      </c>
      <c r="B663" t="s">
        <v>825</v>
      </c>
      <c r="C663">
        <v>4.26</v>
      </c>
      <c r="D663">
        <v>14.43</v>
      </c>
      <c r="E663">
        <v>0.59</v>
      </c>
      <c r="F663">
        <v>14.43</v>
      </c>
      <c r="G663">
        <v>14.44</v>
      </c>
      <c r="H663">
        <v>225495</v>
      </c>
      <c r="I663">
        <v>875</v>
      </c>
      <c r="J663">
        <v>0.14</v>
      </c>
      <c r="K663">
        <v>0.8</v>
      </c>
      <c r="L663">
        <v>13.85</v>
      </c>
      <c r="M663">
        <v>14.79</v>
      </c>
      <c r="N663">
        <v>13.85</v>
      </c>
      <c r="O663">
        <v>13.84</v>
      </c>
      <c r="P663">
        <v>53.51</v>
      </c>
      <c r="Q663">
        <v>323542976</v>
      </c>
      <c r="R663">
        <v>1.17</v>
      </c>
      <c r="S663" t="s">
        <v>104</v>
      </c>
      <c r="T663" t="s">
        <v>156</v>
      </c>
      <c r="U663">
        <v>6.79</v>
      </c>
      <c r="V663">
        <v>14.35</v>
      </c>
      <c r="W663">
        <v>87560</v>
      </c>
      <c r="X663">
        <v>137934</v>
      </c>
      <c r="Y663">
        <v>0.63</v>
      </c>
      <c r="Z663">
        <v>33</v>
      </c>
      <c r="AA663">
        <v>522</v>
      </c>
      <c r="AB663" t="s">
        <v>32</v>
      </c>
      <c r="AC663">
        <v>28.05</v>
      </c>
    </row>
    <row r="664" spans="1:29">
      <c r="A664" t="str">
        <f>"002203"</f>
        <v>002203</v>
      </c>
      <c r="B664" t="s">
        <v>826</v>
      </c>
      <c r="C664">
        <v>1.08</v>
      </c>
      <c r="D664">
        <v>8.45</v>
      </c>
      <c r="E664">
        <v>0.09</v>
      </c>
      <c r="F664">
        <v>8.44</v>
      </c>
      <c r="G664">
        <v>8.45</v>
      </c>
      <c r="H664">
        <v>35509</v>
      </c>
      <c r="I664">
        <v>1488</v>
      </c>
      <c r="J664">
        <v>-0.46</v>
      </c>
      <c r="K664">
        <v>0.22</v>
      </c>
      <c r="L664">
        <v>8.35</v>
      </c>
      <c r="M664">
        <v>8.5</v>
      </c>
      <c r="N664">
        <v>8.28</v>
      </c>
      <c r="O664">
        <v>8.36</v>
      </c>
      <c r="P664">
        <v>14.3</v>
      </c>
      <c r="Q664">
        <v>30000846</v>
      </c>
      <c r="R664">
        <v>1.2</v>
      </c>
      <c r="S664" t="s">
        <v>340</v>
      </c>
      <c r="T664" t="s">
        <v>149</v>
      </c>
      <c r="U664">
        <v>2.63</v>
      </c>
      <c r="V664">
        <v>8.45</v>
      </c>
      <c r="W664">
        <v>18454</v>
      </c>
      <c r="X664">
        <v>17055</v>
      </c>
      <c r="Y664">
        <v>1.08</v>
      </c>
      <c r="Z664">
        <v>1101</v>
      </c>
      <c r="AA664">
        <v>322</v>
      </c>
      <c r="AB664" t="s">
        <v>32</v>
      </c>
      <c r="AC664">
        <v>16.27</v>
      </c>
    </row>
    <row r="665" spans="1:29">
      <c r="A665" t="str">
        <f>"002204"</f>
        <v>002204</v>
      </c>
      <c r="B665" t="s">
        <v>827</v>
      </c>
      <c r="C665">
        <v>1.73</v>
      </c>
      <c r="D665">
        <v>3.52</v>
      </c>
      <c r="E665">
        <v>0.06</v>
      </c>
      <c r="F665">
        <v>3.52</v>
      </c>
      <c r="G665">
        <v>3.53</v>
      </c>
      <c r="H665">
        <v>40609</v>
      </c>
      <c r="I665">
        <v>296</v>
      </c>
      <c r="J665">
        <v>0</v>
      </c>
      <c r="K665">
        <v>0.21</v>
      </c>
      <c r="L665">
        <v>3.45</v>
      </c>
      <c r="M665">
        <v>3.55</v>
      </c>
      <c r="N665">
        <v>3.44</v>
      </c>
      <c r="O665">
        <v>3.46</v>
      </c>
      <c r="P665" t="s">
        <v>32</v>
      </c>
      <c r="Q665">
        <v>14221598</v>
      </c>
      <c r="R665">
        <v>1.06</v>
      </c>
      <c r="S665" t="s">
        <v>171</v>
      </c>
      <c r="T665" t="s">
        <v>111</v>
      </c>
      <c r="U665">
        <v>3.18</v>
      </c>
      <c r="V665">
        <v>3.5</v>
      </c>
      <c r="W665">
        <v>16915</v>
      </c>
      <c r="X665">
        <v>23694</v>
      </c>
      <c r="Y665">
        <v>0.71</v>
      </c>
      <c r="Z665">
        <v>950</v>
      </c>
      <c r="AA665">
        <v>886</v>
      </c>
      <c r="AB665" t="s">
        <v>32</v>
      </c>
      <c r="AC665">
        <v>19.31</v>
      </c>
    </row>
    <row r="666" spans="1:29">
      <c r="A666" t="str">
        <f>"002205"</f>
        <v>002205</v>
      </c>
      <c r="B666" t="s">
        <v>828</v>
      </c>
      <c r="C666">
        <v>1.36</v>
      </c>
      <c r="D666">
        <v>12.64</v>
      </c>
      <c r="E666">
        <v>0.17</v>
      </c>
      <c r="F666">
        <v>12.64</v>
      </c>
      <c r="G666">
        <v>12.65</v>
      </c>
      <c r="H666">
        <v>18566</v>
      </c>
      <c r="I666">
        <v>139</v>
      </c>
      <c r="J666">
        <v>0.08</v>
      </c>
      <c r="K666">
        <v>1.6</v>
      </c>
      <c r="L666">
        <v>12.6</v>
      </c>
      <c r="M666">
        <v>12.91</v>
      </c>
      <c r="N666">
        <v>12.47</v>
      </c>
      <c r="O666">
        <v>12.47</v>
      </c>
      <c r="P666" t="s">
        <v>32</v>
      </c>
      <c r="Q666">
        <v>23579928</v>
      </c>
      <c r="R666">
        <v>1.15</v>
      </c>
      <c r="S666" t="s">
        <v>69</v>
      </c>
      <c r="T666" t="s">
        <v>156</v>
      </c>
      <c r="U666">
        <v>3.53</v>
      </c>
      <c r="V666">
        <v>12.7</v>
      </c>
      <c r="W666">
        <v>8360</v>
      </c>
      <c r="X666">
        <v>10206</v>
      </c>
      <c r="Y666">
        <v>0.82</v>
      </c>
      <c r="Z666">
        <v>58</v>
      </c>
      <c r="AA666">
        <v>41</v>
      </c>
      <c r="AB666" t="s">
        <v>32</v>
      </c>
      <c r="AC666">
        <v>1.16</v>
      </c>
    </row>
    <row r="667" spans="1:29">
      <c r="A667" t="str">
        <f>"002206"</f>
        <v>002206</v>
      </c>
      <c r="B667" t="s">
        <v>829</v>
      </c>
      <c r="C667">
        <v>6.18</v>
      </c>
      <c r="D667">
        <v>4.81</v>
      </c>
      <c r="E667">
        <v>0.28</v>
      </c>
      <c r="F667">
        <v>4.81</v>
      </c>
      <c r="G667">
        <v>4.82</v>
      </c>
      <c r="H667">
        <v>112245</v>
      </c>
      <c r="I667">
        <v>904</v>
      </c>
      <c r="J667">
        <v>0</v>
      </c>
      <c r="K667">
        <v>1.18</v>
      </c>
      <c r="L667">
        <v>4.52</v>
      </c>
      <c r="M667">
        <v>4.83</v>
      </c>
      <c r="N667">
        <v>4.52</v>
      </c>
      <c r="O667">
        <v>4.53</v>
      </c>
      <c r="P667">
        <v>17.91</v>
      </c>
      <c r="Q667">
        <v>53090580</v>
      </c>
      <c r="R667">
        <v>1.54</v>
      </c>
      <c r="S667" t="s">
        <v>190</v>
      </c>
      <c r="T667" t="s">
        <v>149</v>
      </c>
      <c r="U667">
        <v>6.84</v>
      </c>
      <c r="V667">
        <v>4.73</v>
      </c>
      <c r="W667">
        <v>35179</v>
      </c>
      <c r="X667">
        <v>77066</v>
      </c>
      <c r="Y667">
        <v>0.46</v>
      </c>
      <c r="Z667">
        <v>179</v>
      </c>
      <c r="AA667">
        <v>1148</v>
      </c>
      <c r="AB667" t="s">
        <v>32</v>
      </c>
      <c r="AC667">
        <v>9.5</v>
      </c>
    </row>
    <row r="668" spans="1:29">
      <c r="A668" t="str">
        <f>"002207"</f>
        <v>002207</v>
      </c>
      <c r="B668" t="s">
        <v>830</v>
      </c>
      <c r="C668">
        <v>1.75</v>
      </c>
      <c r="D668">
        <v>4.64</v>
      </c>
      <c r="E668">
        <v>0.08</v>
      </c>
      <c r="F668">
        <v>4.63</v>
      </c>
      <c r="G668">
        <v>4.64</v>
      </c>
      <c r="H668">
        <v>23694</v>
      </c>
      <c r="I668">
        <v>171</v>
      </c>
      <c r="J668">
        <v>0</v>
      </c>
      <c r="K668">
        <v>1</v>
      </c>
      <c r="L668">
        <v>4.53</v>
      </c>
      <c r="M668">
        <v>4.67</v>
      </c>
      <c r="N668">
        <v>4.51</v>
      </c>
      <c r="O668">
        <v>4.56</v>
      </c>
      <c r="P668" t="s">
        <v>32</v>
      </c>
      <c r="Q668">
        <v>10863321</v>
      </c>
      <c r="R668">
        <v>1.41</v>
      </c>
      <c r="S668" t="s">
        <v>831</v>
      </c>
      <c r="T668" t="s">
        <v>156</v>
      </c>
      <c r="U668">
        <v>3.51</v>
      </c>
      <c r="V668">
        <v>4.58</v>
      </c>
      <c r="W668">
        <v>11945</v>
      </c>
      <c r="X668">
        <v>11749</v>
      </c>
      <c r="Y668">
        <v>1.02</v>
      </c>
      <c r="Z668">
        <v>333</v>
      </c>
      <c r="AA668">
        <v>261</v>
      </c>
      <c r="AB668" t="s">
        <v>32</v>
      </c>
      <c r="AC668">
        <v>2.37</v>
      </c>
    </row>
    <row r="669" spans="1:29">
      <c r="A669" t="str">
        <f>"002208"</f>
        <v>002208</v>
      </c>
      <c r="B669" t="s">
        <v>832</v>
      </c>
      <c r="C669">
        <v>1.44</v>
      </c>
      <c r="D669">
        <v>11.25</v>
      </c>
      <c r="E669">
        <v>0.16</v>
      </c>
      <c r="F669">
        <v>11.25</v>
      </c>
      <c r="G669">
        <v>11.26</v>
      </c>
      <c r="H669">
        <v>142551</v>
      </c>
      <c r="I669">
        <v>2134</v>
      </c>
      <c r="J669">
        <v>-0.17</v>
      </c>
      <c r="K669">
        <v>4.46</v>
      </c>
      <c r="L669">
        <v>11.07</v>
      </c>
      <c r="M669">
        <v>11.78</v>
      </c>
      <c r="N669">
        <v>10.93</v>
      </c>
      <c r="O669">
        <v>11.09</v>
      </c>
      <c r="P669">
        <v>325.33</v>
      </c>
      <c r="Q669">
        <v>162452384</v>
      </c>
      <c r="R669">
        <v>1.53</v>
      </c>
      <c r="S669" t="s">
        <v>40</v>
      </c>
      <c r="T669" t="s">
        <v>143</v>
      </c>
      <c r="U669">
        <v>7.66</v>
      </c>
      <c r="V669">
        <v>11.4</v>
      </c>
      <c r="W669">
        <v>74141</v>
      </c>
      <c r="X669">
        <v>68409</v>
      </c>
      <c r="Y669">
        <v>1.08</v>
      </c>
      <c r="Z669">
        <v>253</v>
      </c>
      <c r="AA669">
        <v>907</v>
      </c>
      <c r="AB669" t="s">
        <v>32</v>
      </c>
      <c r="AC669">
        <v>3.19</v>
      </c>
    </row>
    <row r="670" spans="1:29">
      <c r="A670" t="str">
        <f>"002209"</f>
        <v>002209</v>
      </c>
      <c r="B670" t="s">
        <v>833</v>
      </c>
      <c r="C670">
        <v>1.68</v>
      </c>
      <c r="D670">
        <v>9.07</v>
      </c>
      <c r="E670">
        <v>0.15</v>
      </c>
      <c r="F670">
        <v>9.06</v>
      </c>
      <c r="G670">
        <v>9.07</v>
      </c>
      <c r="H670">
        <v>45098</v>
      </c>
      <c r="I670">
        <v>1067</v>
      </c>
      <c r="J670">
        <v>0.11</v>
      </c>
      <c r="K670">
        <v>2.36</v>
      </c>
      <c r="L670">
        <v>8.93</v>
      </c>
      <c r="M670">
        <v>9.18</v>
      </c>
      <c r="N670">
        <v>8.83</v>
      </c>
      <c r="O670">
        <v>8.92</v>
      </c>
      <c r="P670">
        <v>269.41</v>
      </c>
      <c r="Q670">
        <v>40438288</v>
      </c>
      <c r="R670">
        <v>0.49</v>
      </c>
      <c r="S670" t="s">
        <v>93</v>
      </c>
      <c r="T670" t="s">
        <v>136</v>
      </c>
      <c r="U670">
        <v>3.92</v>
      </c>
      <c r="V670">
        <v>8.97</v>
      </c>
      <c r="W670">
        <v>23231</v>
      </c>
      <c r="X670">
        <v>21866</v>
      </c>
      <c r="Y670">
        <v>1.06</v>
      </c>
      <c r="Z670">
        <v>465</v>
      </c>
      <c r="AA670">
        <v>205</v>
      </c>
      <c r="AB670" t="s">
        <v>32</v>
      </c>
      <c r="AC670">
        <v>1.91</v>
      </c>
    </row>
    <row r="671" spans="1:29">
      <c r="A671" t="str">
        <f>"002210"</f>
        <v>002210</v>
      </c>
      <c r="B671" t="s">
        <v>834</v>
      </c>
      <c r="C671" t="s">
        <v>32</v>
      </c>
      <c r="D671">
        <v>12.3</v>
      </c>
      <c r="E671" t="s">
        <v>32</v>
      </c>
      <c r="F671" t="s">
        <v>32</v>
      </c>
      <c r="G671" t="s">
        <v>32</v>
      </c>
      <c r="H671">
        <v>0</v>
      </c>
      <c r="I671">
        <v>0</v>
      </c>
      <c r="J671" t="s">
        <v>32</v>
      </c>
      <c r="K671">
        <v>0</v>
      </c>
      <c r="L671" t="s">
        <v>32</v>
      </c>
      <c r="M671" t="s">
        <v>32</v>
      </c>
      <c r="N671" t="s">
        <v>32</v>
      </c>
      <c r="O671">
        <v>12.3</v>
      </c>
      <c r="P671">
        <v>69.71</v>
      </c>
      <c r="Q671">
        <v>0</v>
      </c>
      <c r="R671">
        <v>0</v>
      </c>
      <c r="S671" t="s">
        <v>742</v>
      </c>
      <c r="T671" t="s">
        <v>31</v>
      </c>
      <c r="U671">
        <v>0</v>
      </c>
      <c r="V671">
        <v>12.3</v>
      </c>
      <c r="W671">
        <v>0</v>
      </c>
      <c r="X671">
        <v>0</v>
      </c>
      <c r="Y671" t="s">
        <v>32</v>
      </c>
      <c r="Z671">
        <v>0</v>
      </c>
      <c r="AA671">
        <v>0</v>
      </c>
      <c r="AB671" t="s">
        <v>32</v>
      </c>
      <c r="AC671">
        <v>13.89</v>
      </c>
    </row>
    <row r="672" spans="1:29">
      <c r="A672" t="str">
        <f>"002211"</f>
        <v>002211</v>
      </c>
      <c r="B672" t="s">
        <v>835</v>
      </c>
      <c r="C672">
        <v>0.18</v>
      </c>
      <c r="D672">
        <v>5.45</v>
      </c>
      <c r="E672">
        <v>0.01</v>
      </c>
      <c r="F672">
        <v>5.44</v>
      </c>
      <c r="G672">
        <v>5.45</v>
      </c>
      <c r="H672">
        <v>159075</v>
      </c>
      <c r="I672">
        <v>2297</v>
      </c>
      <c r="J672">
        <v>0.37</v>
      </c>
      <c r="K672">
        <v>3.68</v>
      </c>
      <c r="L672">
        <v>5.36</v>
      </c>
      <c r="M672">
        <v>5.68</v>
      </c>
      <c r="N672">
        <v>5.33</v>
      </c>
      <c r="O672">
        <v>5.44</v>
      </c>
      <c r="P672">
        <v>88.38</v>
      </c>
      <c r="Q672">
        <v>87374688</v>
      </c>
      <c r="R672">
        <v>1.43</v>
      </c>
      <c r="S672" t="s">
        <v>526</v>
      </c>
      <c r="T672" t="s">
        <v>87</v>
      </c>
      <c r="U672">
        <v>6.43</v>
      </c>
      <c r="V672">
        <v>5.49</v>
      </c>
      <c r="W672">
        <v>88090</v>
      </c>
      <c r="X672">
        <v>70984</v>
      </c>
      <c r="Y672">
        <v>1.24</v>
      </c>
      <c r="Z672">
        <v>2610</v>
      </c>
      <c r="AA672">
        <v>720</v>
      </c>
      <c r="AB672" t="s">
        <v>32</v>
      </c>
      <c r="AC672">
        <v>4.32</v>
      </c>
    </row>
    <row r="673" spans="1:29">
      <c r="A673" t="str">
        <f>"002212"</f>
        <v>002212</v>
      </c>
      <c r="B673" t="s">
        <v>836</v>
      </c>
      <c r="C673">
        <v>3.15</v>
      </c>
      <c r="D673">
        <v>11.79</v>
      </c>
      <c r="E673">
        <v>0.36</v>
      </c>
      <c r="F673">
        <v>11.79</v>
      </c>
      <c r="G673">
        <v>11.8</v>
      </c>
      <c r="H673">
        <v>30640</v>
      </c>
      <c r="I673">
        <v>196</v>
      </c>
      <c r="J673">
        <v>0.08</v>
      </c>
      <c r="K673">
        <v>0.47</v>
      </c>
      <c r="L673">
        <v>11.48</v>
      </c>
      <c r="M673">
        <v>11.92</v>
      </c>
      <c r="N673">
        <v>11.3</v>
      </c>
      <c r="O673">
        <v>11.43</v>
      </c>
      <c r="P673" t="s">
        <v>32</v>
      </c>
      <c r="Q673">
        <v>35804216</v>
      </c>
      <c r="R673">
        <v>0.96</v>
      </c>
      <c r="S673" t="s">
        <v>104</v>
      </c>
      <c r="T673" t="s">
        <v>136</v>
      </c>
      <c r="U673">
        <v>5.42</v>
      </c>
      <c r="V673">
        <v>11.69</v>
      </c>
      <c r="W673">
        <v>10424</v>
      </c>
      <c r="X673">
        <v>20216</v>
      </c>
      <c r="Y673">
        <v>0.52</v>
      </c>
      <c r="Z673">
        <v>34</v>
      </c>
      <c r="AA673">
        <v>101</v>
      </c>
      <c r="AB673" t="s">
        <v>32</v>
      </c>
      <c r="AC673">
        <v>6.48</v>
      </c>
    </row>
    <row r="674" spans="1:29">
      <c r="A674" t="str">
        <f>"002213"</f>
        <v>002213</v>
      </c>
      <c r="B674" t="s">
        <v>837</v>
      </c>
      <c r="C674">
        <v>9.98</v>
      </c>
      <c r="D674">
        <v>13.11</v>
      </c>
      <c r="E674">
        <v>1.19</v>
      </c>
      <c r="F674">
        <v>13.11</v>
      </c>
      <c r="G674" t="s">
        <v>32</v>
      </c>
      <c r="H674">
        <v>61191</v>
      </c>
      <c r="I674">
        <v>19</v>
      </c>
      <c r="J674">
        <v>0</v>
      </c>
      <c r="K674">
        <v>3.11</v>
      </c>
      <c r="L674">
        <v>12.18</v>
      </c>
      <c r="M674">
        <v>13.11</v>
      </c>
      <c r="N674">
        <v>12.17</v>
      </c>
      <c r="O674">
        <v>11.92</v>
      </c>
      <c r="P674" t="s">
        <v>32</v>
      </c>
      <c r="Q674">
        <v>77007440</v>
      </c>
      <c r="R674">
        <v>2.14</v>
      </c>
      <c r="S674" t="s">
        <v>80</v>
      </c>
      <c r="T674" t="s">
        <v>31</v>
      </c>
      <c r="U674">
        <v>7.89</v>
      </c>
      <c r="V674">
        <v>12.58</v>
      </c>
      <c r="W674">
        <v>28812</v>
      </c>
      <c r="X674">
        <v>32379</v>
      </c>
      <c r="Y674">
        <v>0.89</v>
      </c>
      <c r="Z674">
        <v>19040</v>
      </c>
      <c r="AA674">
        <v>0</v>
      </c>
      <c r="AB674" t="s">
        <v>32</v>
      </c>
      <c r="AC674">
        <v>1.97</v>
      </c>
    </row>
    <row r="675" spans="1:29">
      <c r="A675" t="str">
        <f>"002214"</f>
        <v>002214</v>
      </c>
      <c r="B675" t="s">
        <v>838</v>
      </c>
      <c r="C675">
        <v>0.34</v>
      </c>
      <c r="D675">
        <v>5.91</v>
      </c>
      <c r="E675">
        <v>0.02</v>
      </c>
      <c r="F675">
        <v>5.91</v>
      </c>
      <c r="G675">
        <v>5.92</v>
      </c>
      <c r="H675">
        <v>53313</v>
      </c>
      <c r="I675">
        <v>619</v>
      </c>
      <c r="J675">
        <v>0</v>
      </c>
      <c r="K675">
        <v>1.5</v>
      </c>
      <c r="L675">
        <v>5.9</v>
      </c>
      <c r="M675">
        <v>5.94</v>
      </c>
      <c r="N675">
        <v>5.83</v>
      </c>
      <c r="O675">
        <v>5.89</v>
      </c>
      <c r="P675">
        <v>329.92</v>
      </c>
      <c r="Q675">
        <v>31456544</v>
      </c>
      <c r="R675">
        <v>1.13</v>
      </c>
      <c r="S675" t="s">
        <v>606</v>
      </c>
      <c r="T675" t="s">
        <v>149</v>
      </c>
      <c r="U675">
        <v>1.87</v>
      </c>
      <c r="V675">
        <v>5.9</v>
      </c>
      <c r="W675">
        <v>27920</v>
      </c>
      <c r="X675">
        <v>25392</v>
      </c>
      <c r="Y675">
        <v>1.1</v>
      </c>
      <c r="Z675">
        <v>342</v>
      </c>
      <c r="AA675">
        <v>846</v>
      </c>
      <c r="AB675" t="s">
        <v>32</v>
      </c>
      <c r="AC675">
        <v>3.55</v>
      </c>
    </row>
    <row r="676" spans="1:29">
      <c r="A676" t="str">
        <f>"002215"</f>
        <v>002215</v>
      </c>
      <c r="B676" t="s">
        <v>839</v>
      </c>
      <c r="C676">
        <v>0.78</v>
      </c>
      <c r="D676">
        <v>7.73</v>
      </c>
      <c r="E676">
        <v>0.06</v>
      </c>
      <c r="F676">
        <v>7.72</v>
      </c>
      <c r="G676">
        <v>7.73</v>
      </c>
      <c r="H676">
        <v>76805</v>
      </c>
      <c r="I676">
        <v>1261</v>
      </c>
      <c r="J676">
        <v>0.13</v>
      </c>
      <c r="K676">
        <v>1.06</v>
      </c>
      <c r="L676">
        <v>7.67</v>
      </c>
      <c r="M676">
        <v>7.8</v>
      </c>
      <c r="N676">
        <v>7.6</v>
      </c>
      <c r="O676">
        <v>7.67</v>
      </c>
      <c r="P676">
        <v>11.02</v>
      </c>
      <c r="Q676">
        <v>59229920</v>
      </c>
      <c r="R676">
        <v>0.65</v>
      </c>
      <c r="S676" t="s">
        <v>145</v>
      </c>
      <c r="T676" t="s">
        <v>31</v>
      </c>
      <c r="U676">
        <v>2.61</v>
      </c>
      <c r="V676">
        <v>7.71</v>
      </c>
      <c r="W676">
        <v>34251</v>
      </c>
      <c r="X676">
        <v>42554</v>
      </c>
      <c r="Y676">
        <v>0.8</v>
      </c>
      <c r="Z676">
        <v>374</v>
      </c>
      <c r="AA676">
        <v>68</v>
      </c>
      <c r="AB676" t="s">
        <v>32</v>
      </c>
      <c r="AC676">
        <v>7.25</v>
      </c>
    </row>
    <row r="677" spans="1:29">
      <c r="A677" t="str">
        <f>"002216"</f>
        <v>002216</v>
      </c>
      <c r="B677" t="s">
        <v>840</v>
      </c>
      <c r="C677">
        <v>1.79</v>
      </c>
      <c r="D677">
        <v>6.83</v>
      </c>
      <c r="E677">
        <v>0.12</v>
      </c>
      <c r="F677">
        <v>6.83</v>
      </c>
      <c r="G677">
        <v>6.84</v>
      </c>
      <c r="H677">
        <v>31136</v>
      </c>
      <c r="I677">
        <v>759</v>
      </c>
      <c r="J677">
        <v>0.15</v>
      </c>
      <c r="K677">
        <v>0.55</v>
      </c>
      <c r="L677">
        <v>6.75</v>
      </c>
      <c r="M677">
        <v>6.85</v>
      </c>
      <c r="N677">
        <v>6.69</v>
      </c>
      <c r="O677">
        <v>6.71</v>
      </c>
      <c r="P677">
        <v>49.11</v>
      </c>
      <c r="Q677">
        <v>21145408</v>
      </c>
      <c r="R677">
        <v>1.94</v>
      </c>
      <c r="S677" t="s">
        <v>213</v>
      </c>
      <c r="T677" t="s">
        <v>164</v>
      </c>
      <c r="U677">
        <v>2.38</v>
      </c>
      <c r="V677">
        <v>6.79</v>
      </c>
      <c r="W677">
        <v>15231</v>
      </c>
      <c r="X677">
        <v>15904</v>
      </c>
      <c r="Y677">
        <v>0.96</v>
      </c>
      <c r="Z677">
        <v>1030</v>
      </c>
      <c r="AA677">
        <v>453</v>
      </c>
      <c r="AB677" t="s">
        <v>32</v>
      </c>
      <c r="AC677">
        <v>5.71</v>
      </c>
    </row>
    <row r="678" spans="1:29">
      <c r="A678" t="str">
        <f>"002217"</f>
        <v>002217</v>
      </c>
      <c r="B678" t="s">
        <v>841</v>
      </c>
      <c r="C678">
        <v>4.24</v>
      </c>
      <c r="D678">
        <v>8.36</v>
      </c>
      <c r="E678">
        <v>0.34</v>
      </c>
      <c r="F678">
        <v>8.36</v>
      </c>
      <c r="G678">
        <v>8.37</v>
      </c>
      <c r="H678">
        <v>420888</v>
      </c>
      <c r="I678">
        <v>3460</v>
      </c>
      <c r="J678">
        <v>0</v>
      </c>
      <c r="K678">
        <v>2.05</v>
      </c>
      <c r="L678">
        <v>8.2</v>
      </c>
      <c r="M678">
        <v>8.46</v>
      </c>
      <c r="N678">
        <v>8.11</v>
      </c>
      <c r="O678">
        <v>8.02</v>
      </c>
      <c r="P678">
        <v>22.47</v>
      </c>
      <c r="Q678">
        <v>348489216</v>
      </c>
      <c r="R678">
        <v>1.68</v>
      </c>
      <c r="S678" t="s">
        <v>63</v>
      </c>
      <c r="T678" t="s">
        <v>162</v>
      </c>
      <c r="U678">
        <v>4.36</v>
      </c>
      <c r="V678">
        <v>8.28</v>
      </c>
      <c r="W678">
        <v>192454</v>
      </c>
      <c r="X678">
        <v>228434</v>
      </c>
      <c r="Y678">
        <v>0.84</v>
      </c>
      <c r="Z678">
        <v>1036</v>
      </c>
      <c r="AA678">
        <v>1200</v>
      </c>
      <c r="AB678" t="s">
        <v>32</v>
      </c>
      <c r="AC678">
        <v>20.49</v>
      </c>
    </row>
    <row r="679" spans="1:29">
      <c r="A679" t="str">
        <f>"002218"</f>
        <v>002218</v>
      </c>
      <c r="B679" t="s">
        <v>842</v>
      </c>
      <c r="C679">
        <v>3.34</v>
      </c>
      <c r="D679">
        <v>3.09</v>
      </c>
      <c r="E679">
        <v>0.1</v>
      </c>
      <c r="F679">
        <v>3.09</v>
      </c>
      <c r="G679">
        <v>3.1</v>
      </c>
      <c r="H679">
        <v>217756</v>
      </c>
      <c r="I679">
        <v>2131</v>
      </c>
      <c r="J679">
        <v>-0.31</v>
      </c>
      <c r="K679">
        <v>1.79</v>
      </c>
      <c r="L679">
        <v>2.99</v>
      </c>
      <c r="M679">
        <v>3.13</v>
      </c>
      <c r="N679">
        <v>2.97</v>
      </c>
      <c r="O679">
        <v>2.99</v>
      </c>
      <c r="P679">
        <v>165.93</v>
      </c>
      <c r="Q679">
        <v>66847216</v>
      </c>
      <c r="R679">
        <v>1.92</v>
      </c>
      <c r="S679" t="s">
        <v>699</v>
      </c>
      <c r="T679" t="s">
        <v>31</v>
      </c>
      <c r="U679">
        <v>5.35</v>
      </c>
      <c r="V679">
        <v>3.07</v>
      </c>
      <c r="W679">
        <v>77387</v>
      </c>
      <c r="X679">
        <v>140369</v>
      </c>
      <c r="Y679">
        <v>0.55</v>
      </c>
      <c r="Z679">
        <v>1809</v>
      </c>
      <c r="AA679">
        <v>4808</v>
      </c>
      <c r="AB679" t="s">
        <v>32</v>
      </c>
      <c r="AC679">
        <v>12.16</v>
      </c>
    </row>
    <row r="680" spans="1:29">
      <c r="A680" t="str">
        <f>"002219"</f>
        <v>002219</v>
      </c>
      <c r="B680" t="s">
        <v>843</v>
      </c>
      <c r="C680">
        <v>2.66</v>
      </c>
      <c r="D680">
        <v>4.24</v>
      </c>
      <c r="E680">
        <v>0.11</v>
      </c>
      <c r="F680">
        <v>4.24</v>
      </c>
      <c r="G680">
        <v>4.25</v>
      </c>
      <c r="H680">
        <v>319065</v>
      </c>
      <c r="I680">
        <v>3911</v>
      </c>
      <c r="J680">
        <v>0.24</v>
      </c>
      <c r="K680">
        <v>1.75</v>
      </c>
      <c r="L680">
        <v>4.19</v>
      </c>
      <c r="M680">
        <v>4.29</v>
      </c>
      <c r="N680">
        <v>4.11</v>
      </c>
      <c r="O680">
        <v>4.13</v>
      </c>
      <c r="P680">
        <v>38.5</v>
      </c>
      <c r="Q680">
        <v>134171272</v>
      </c>
      <c r="R680">
        <v>0.73</v>
      </c>
      <c r="S680" t="s">
        <v>195</v>
      </c>
      <c r="T680" t="s">
        <v>266</v>
      </c>
      <c r="U680">
        <v>4.36</v>
      </c>
      <c r="V680">
        <v>4.21</v>
      </c>
      <c r="W680">
        <v>142667</v>
      </c>
      <c r="X680">
        <v>176398</v>
      </c>
      <c r="Y680">
        <v>0.81</v>
      </c>
      <c r="Z680">
        <v>1693</v>
      </c>
      <c r="AA680">
        <v>4969</v>
      </c>
      <c r="AB680" t="s">
        <v>32</v>
      </c>
      <c r="AC680">
        <v>18.27</v>
      </c>
    </row>
    <row r="681" spans="1:29">
      <c r="A681" t="str">
        <f>"002220"</f>
        <v>002220</v>
      </c>
      <c r="B681" t="s">
        <v>844</v>
      </c>
      <c r="C681">
        <v>5.38</v>
      </c>
      <c r="D681">
        <v>3.72</v>
      </c>
      <c r="E681">
        <v>0.19</v>
      </c>
      <c r="F681">
        <v>3.71</v>
      </c>
      <c r="G681">
        <v>3.72</v>
      </c>
      <c r="H681">
        <v>62420</v>
      </c>
      <c r="I681">
        <v>1626</v>
      </c>
      <c r="J681">
        <v>0.27</v>
      </c>
      <c r="K681">
        <v>1.14</v>
      </c>
      <c r="L681">
        <v>3.53</v>
      </c>
      <c r="M681">
        <v>3.72</v>
      </c>
      <c r="N681">
        <v>3.53</v>
      </c>
      <c r="O681">
        <v>3.53</v>
      </c>
      <c r="P681">
        <v>92.77</v>
      </c>
      <c r="Q681">
        <v>22594646</v>
      </c>
      <c r="R681">
        <v>1.65</v>
      </c>
      <c r="S681" t="s">
        <v>213</v>
      </c>
      <c r="T681" t="s">
        <v>111</v>
      </c>
      <c r="U681">
        <v>5.38</v>
      </c>
      <c r="V681">
        <v>3.62</v>
      </c>
      <c r="W681">
        <v>19982</v>
      </c>
      <c r="X681">
        <v>42437</v>
      </c>
      <c r="Y681">
        <v>0.47</v>
      </c>
      <c r="Z681">
        <v>3093</v>
      </c>
      <c r="AA681">
        <v>1447</v>
      </c>
      <c r="AB681" t="s">
        <v>32</v>
      </c>
      <c r="AC681">
        <v>5.45</v>
      </c>
    </row>
    <row r="682" spans="1:29">
      <c r="A682" t="str">
        <f>"002221"</f>
        <v>002221</v>
      </c>
      <c r="B682" t="s">
        <v>845</v>
      </c>
      <c r="C682">
        <v>2.62</v>
      </c>
      <c r="D682">
        <v>9.78</v>
      </c>
      <c r="E682">
        <v>0.25</v>
      </c>
      <c r="F682">
        <v>9.78</v>
      </c>
      <c r="G682">
        <v>9.79</v>
      </c>
      <c r="H682">
        <v>81450</v>
      </c>
      <c r="I682">
        <v>582</v>
      </c>
      <c r="J682">
        <v>0</v>
      </c>
      <c r="K682">
        <v>0.54</v>
      </c>
      <c r="L682">
        <v>9.52</v>
      </c>
      <c r="M682">
        <v>9.85</v>
      </c>
      <c r="N682">
        <v>9.52</v>
      </c>
      <c r="O682">
        <v>9.53</v>
      </c>
      <c r="P682">
        <v>11.8</v>
      </c>
      <c r="Q682">
        <v>79577704</v>
      </c>
      <c r="R682">
        <v>2.22</v>
      </c>
      <c r="S682" t="s">
        <v>132</v>
      </c>
      <c r="T682" t="s">
        <v>87</v>
      </c>
      <c r="U682">
        <v>3.46</v>
      </c>
      <c r="V682">
        <v>9.77</v>
      </c>
      <c r="W682">
        <v>36856</v>
      </c>
      <c r="X682">
        <v>44594</v>
      </c>
      <c r="Y682">
        <v>0.83</v>
      </c>
      <c r="Z682">
        <v>497</v>
      </c>
      <c r="AA682">
        <v>28</v>
      </c>
      <c r="AB682" t="s">
        <v>32</v>
      </c>
      <c r="AC682">
        <v>15.04</v>
      </c>
    </row>
    <row r="683" spans="1:29">
      <c r="A683" t="str">
        <f>"002222"</f>
        <v>002222</v>
      </c>
      <c r="B683" t="s">
        <v>846</v>
      </c>
      <c r="C683">
        <v>0.86</v>
      </c>
      <c r="D683">
        <v>14</v>
      </c>
      <c r="E683">
        <v>0.12</v>
      </c>
      <c r="F683">
        <v>14</v>
      </c>
      <c r="G683">
        <v>14.01</v>
      </c>
      <c r="H683">
        <v>99910</v>
      </c>
      <c r="I683">
        <v>1389</v>
      </c>
      <c r="J683">
        <v>-0.06</v>
      </c>
      <c r="K683">
        <v>2.37</v>
      </c>
      <c r="L683">
        <v>13.85</v>
      </c>
      <c r="M683">
        <v>14.08</v>
      </c>
      <c r="N683">
        <v>13.7</v>
      </c>
      <c r="O683">
        <v>13.88</v>
      </c>
      <c r="P683">
        <v>38.85</v>
      </c>
      <c r="Q683">
        <v>139391648</v>
      </c>
      <c r="R683">
        <v>1.14</v>
      </c>
      <c r="S683" t="s">
        <v>63</v>
      </c>
      <c r="T683" t="s">
        <v>236</v>
      </c>
      <c r="U683">
        <v>2.74</v>
      </c>
      <c r="V683">
        <v>13.95</v>
      </c>
      <c r="W683">
        <v>47297</v>
      </c>
      <c r="X683">
        <v>52613</v>
      </c>
      <c r="Y683">
        <v>0.9</v>
      </c>
      <c r="Z683">
        <v>974</v>
      </c>
      <c r="AA683">
        <v>928</v>
      </c>
      <c r="AB683" t="s">
        <v>32</v>
      </c>
      <c r="AC683">
        <v>4.21</v>
      </c>
    </row>
    <row r="684" spans="1:29">
      <c r="A684" t="str">
        <f>"002223"</f>
        <v>002223</v>
      </c>
      <c r="B684" t="s">
        <v>847</v>
      </c>
      <c r="C684">
        <v>1.58</v>
      </c>
      <c r="D684">
        <v>19.96</v>
      </c>
      <c r="E684">
        <v>0.31</v>
      </c>
      <c r="F684">
        <v>19.96</v>
      </c>
      <c r="G684">
        <v>19.97</v>
      </c>
      <c r="H684">
        <v>97334</v>
      </c>
      <c r="I684">
        <v>396</v>
      </c>
      <c r="J684">
        <v>0.05</v>
      </c>
      <c r="K684">
        <v>1.14</v>
      </c>
      <c r="L684">
        <v>19.57</v>
      </c>
      <c r="M684">
        <v>20.13</v>
      </c>
      <c r="N684">
        <v>19.36</v>
      </c>
      <c r="O684">
        <v>19.65</v>
      </c>
      <c r="P684">
        <v>23.41</v>
      </c>
      <c r="Q684">
        <v>192705984</v>
      </c>
      <c r="R684">
        <v>1.25</v>
      </c>
      <c r="S684" t="s">
        <v>138</v>
      </c>
      <c r="T684" t="s">
        <v>87</v>
      </c>
      <c r="U684">
        <v>3.92</v>
      </c>
      <c r="V684">
        <v>19.8</v>
      </c>
      <c r="W684">
        <v>39961</v>
      </c>
      <c r="X684">
        <v>57373</v>
      </c>
      <c r="Y684">
        <v>0.7</v>
      </c>
      <c r="Z684">
        <v>148</v>
      </c>
      <c r="AA684">
        <v>129</v>
      </c>
      <c r="AB684" t="s">
        <v>32</v>
      </c>
      <c r="AC684">
        <v>8.55</v>
      </c>
    </row>
    <row r="685" spans="1:29">
      <c r="A685" t="str">
        <f>"002224"</f>
        <v>002224</v>
      </c>
      <c r="B685" t="s">
        <v>848</v>
      </c>
      <c r="C685">
        <v>2.2</v>
      </c>
      <c r="D685">
        <v>6.04</v>
      </c>
      <c r="E685">
        <v>0.13</v>
      </c>
      <c r="F685">
        <v>6.04</v>
      </c>
      <c r="G685">
        <v>6.05</v>
      </c>
      <c r="H685">
        <v>48554</v>
      </c>
      <c r="I685">
        <v>965</v>
      </c>
      <c r="J685">
        <v>0.33</v>
      </c>
      <c r="K685">
        <v>1.03</v>
      </c>
      <c r="L685">
        <v>5.89</v>
      </c>
      <c r="M685">
        <v>6.06</v>
      </c>
      <c r="N685">
        <v>5.89</v>
      </c>
      <c r="O685">
        <v>5.91</v>
      </c>
      <c r="P685">
        <v>52.18</v>
      </c>
      <c r="Q685">
        <v>29109984</v>
      </c>
      <c r="R685">
        <v>1.93</v>
      </c>
      <c r="S685" t="s">
        <v>526</v>
      </c>
      <c r="T685" t="s">
        <v>149</v>
      </c>
      <c r="U685">
        <v>2.88</v>
      </c>
      <c r="V685">
        <v>6</v>
      </c>
      <c r="W685">
        <v>20013</v>
      </c>
      <c r="X685">
        <v>28541</v>
      </c>
      <c r="Y685">
        <v>0.7</v>
      </c>
      <c r="Z685">
        <v>361</v>
      </c>
      <c r="AA685">
        <v>1044</v>
      </c>
      <c r="AB685" t="s">
        <v>32</v>
      </c>
      <c r="AC685">
        <v>4.7</v>
      </c>
    </row>
    <row r="686" spans="1:29">
      <c r="A686" t="str">
        <f>"002225"</f>
        <v>002225</v>
      </c>
      <c r="B686" t="s">
        <v>849</v>
      </c>
      <c r="C686">
        <v>-0.75</v>
      </c>
      <c r="D686">
        <v>5.27</v>
      </c>
      <c r="E686">
        <v>-0.04</v>
      </c>
      <c r="F686">
        <v>5.26</v>
      </c>
      <c r="G686">
        <v>5.27</v>
      </c>
      <c r="H686">
        <v>138700</v>
      </c>
      <c r="I686">
        <v>1363</v>
      </c>
      <c r="J686">
        <v>0</v>
      </c>
      <c r="K686">
        <v>2.03</v>
      </c>
      <c r="L686">
        <v>5.31</v>
      </c>
      <c r="M686">
        <v>5.39</v>
      </c>
      <c r="N686">
        <v>5.23</v>
      </c>
      <c r="O686">
        <v>5.31</v>
      </c>
      <c r="P686">
        <v>21.34</v>
      </c>
      <c r="Q686">
        <v>73382208</v>
      </c>
      <c r="R686">
        <v>1.46</v>
      </c>
      <c r="S686" t="s">
        <v>69</v>
      </c>
      <c r="T686" t="s">
        <v>164</v>
      </c>
      <c r="U686">
        <v>3.01</v>
      </c>
      <c r="V686">
        <v>5.29</v>
      </c>
      <c r="W686">
        <v>82968</v>
      </c>
      <c r="X686">
        <v>55732</v>
      </c>
      <c r="Y686">
        <v>1.49</v>
      </c>
      <c r="Z686">
        <v>393</v>
      </c>
      <c r="AA686">
        <v>1005</v>
      </c>
      <c r="AB686" t="s">
        <v>32</v>
      </c>
      <c r="AC686">
        <v>6.83</v>
      </c>
    </row>
    <row r="687" spans="1:29">
      <c r="A687" t="str">
        <f>"002226"</f>
        <v>002226</v>
      </c>
      <c r="B687" t="s">
        <v>850</v>
      </c>
      <c r="C687" t="s">
        <v>32</v>
      </c>
      <c r="D687">
        <v>5.42</v>
      </c>
      <c r="E687" t="s">
        <v>32</v>
      </c>
      <c r="F687" t="s">
        <v>32</v>
      </c>
      <c r="G687" t="s">
        <v>32</v>
      </c>
      <c r="H687">
        <v>0</v>
      </c>
      <c r="I687">
        <v>0</v>
      </c>
      <c r="J687" t="s">
        <v>32</v>
      </c>
      <c r="K687">
        <v>0</v>
      </c>
      <c r="L687" t="s">
        <v>32</v>
      </c>
      <c r="M687" t="s">
        <v>32</v>
      </c>
      <c r="N687" t="s">
        <v>32</v>
      </c>
      <c r="O687">
        <v>5.42</v>
      </c>
      <c r="P687">
        <v>159.93</v>
      </c>
      <c r="Q687">
        <v>0</v>
      </c>
      <c r="R687">
        <v>0</v>
      </c>
      <c r="S687" t="s">
        <v>218</v>
      </c>
      <c r="T687" t="s">
        <v>143</v>
      </c>
      <c r="U687">
        <v>0</v>
      </c>
      <c r="V687">
        <v>5.42</v>
      </c>
      <c r="W687">
        <v>0</v>
      </c>
      <c r="X687">
        <v>0</v>
      </c>
      <c r="Y687" t="s">
        <v>32</v>
      </c>
      <c r="Z687">
        <v>0</v>
      </c>
      <c r="AA687">
        <v>0</v>
      </c>
      <c r="AB687" t="s">
        <v>32</v>
      </c>
      <c r="AC687">
        <v>9.11</v>
      </c>
    </row>
    <row r="688" spans="1:29">
      <c r="A688" t="str">
        <f>"002227"</f>
        <v>002227</v>
      </c>
      <c r="B688" t="s">
        <v>851</v>
      </c>
      <c r="C688">
        <v>0.61</v>
      </c>
      <c r="D688">
        <v>13.11</v>
      </c>
      <c r="E688">
        <v>0.08</v>
      </c>
      <c r="F688">
        <v>13.11</v>
      </c>
      <c r="G688">
        <v>13.12</v>
      </c>
      <c r="H688">
        <v>12934</v>
      </c>
      <c r="I688">
        <v>300</v>
      </c>
      <c r="J688">
        <v>0.23</v>
      </c>
      <c r="K688">
        <v>0.59</v>
      </c>
      <c r="L688">
        <v>13.08</v>
      </c>
      <c r="M688">
        <v>13.2</v>
      </c>
      <c r="N688">
        <v>12.9</v>
      </c>
      <c r="O688">
        <v>13.03</v>
      </c>
      <c r="P688" t="s">
        <v>32</v>
      </c>
      <c r="Q688">
        <v>16928944</v>
      </c>
      <c r="R688">
        <v>0.96</v>
      </c>
      <c r="S688" t="s">
        <v>104</v>
      </c>
      <c r="T688" t="s">
        <v>31</v>
      </c>
      <c r="U688">
        <v>2.3</v>
      </c>
      <c r="V688">
        <v>13.09</v>
      </c>
      <c r="W688">
        <v>7487</v>
      </c>
      <c r="X688">
        <v>5447</v>
      </c>
      <c r="Y688">
        <v>1.37</v>
      </c>
      <c r="Z688">
        <v>222</v>
      </c>
      <c r="AA688">
        <v>171</v>
      </c>
      <c r="AB688" t="s">
        <v>32</v>
      </c>
      <c r="AC688">
        <v>2.2</v>
      </c>
    </row>
    <row r="689" spans="1:29">
      <c r="A689" t="str">
        <f>"002228"</f>
        <v>002228</v>
      </c>
      <c r="B689" t="s">
        <v>852</v>
      </c>
      <c r="C689">
        <v>0</v>
      </c>
      <c r="D689">
        <v>5.88</v>
      </c>
      <c r="E689">
        <v>0</v>
      </c>
      <c r="F689">
        <v>5.87</v>
      </c>
      <c r="G689">
        <v>5.88</v>
      </c>
      <c r="H689">
        <v>165715</v>
      </c>
      <c r="I689">
        <v>2303</v>
      </c>
      <c r="J689">
        <v>0</v>
      </c>
      <c r="K689">
        <v>1.6</v>
      </c>
      <c r="L689">
        <v>5.9</v>
      </c>
      <c r="M689">
        <v>6</v>
      </c>
      <c r="N689">
        <v>5.78</v>
      </c>
      <c r="O689">
        <v>5.88</v>
      </c>
      <c r="P689">
        <v>34.95</v>
      </c>
      <c r="Q689">
        <v>97770064</v>
      </c>
      <c r="R689">
        <v>0.59</v>
      </c>
      <c r="S689" t="s">
        <v>91</v>
      </c>
      <c r="T689" t="s">
        <v>236</v>
      </c>
      <c r="U689">
        <v>3.74</v>
      </c>
      <c r="V689">
        <v>5.9</v>
      </c>
      <c r="W689">
        <v>82266</v>
      </c>
      <c r="X689">
        <v>83449</v>
      </c>
      <c r="Y689">
        <v>0.99</v>
      </c>
      <c r="Z689">
        <v>507</v>
      </c>
      <c r="AA689">
        <v>192</v>
      </c>
      <c r="AB689" t="s">
        <v>32</v>
      </c>
      <c r="AC689">
        <v>10.39</v>
      </c>
    </row>
    <row r="690" spans="1:29">
      <c r="A690" t="str">
        <f>"002229"</f>
        <v>002229</v>
      </c>
      <c r="B690" t="s">
        <v>853</v>
      </c>
      <c r="C690">
        <v>1.38</v>
      </c>
      <c r="D690">
        <v>8.06</v>
      </c>
      <c r="E690">
        <v>0.11</v>
      </c>
      <c r="F690">
        <v>8.05</v>
      </c>
      <c r="G690">
        <v>8.06</v>
      </c>
      <c r="H690">
        <v>127093</v>
      </c>
      <c r="I690">
        <v>2844</v>
      </c>
      <c r="J690">
        <v>0.12</v>
      </c>
      <c r="K690">
        <v>3.06</v>
      </c>
      <c r="L690">
        <v>7.9</v>
      </c>
      <c r="M690">
        <v>8.07</v>
      </c>
      <c r="N690">
        <v>7.84</v>
      </c>
      <c r="O690">
        <v>7.95</v>
      </c>
      <c r="P690" t="s">
        <v>32</v>
      </c>
      <c r="Q690">
        <v>101385384</v>
      </c>
      <c r="R690">
        <v>0.75</v>
      </c>
      <c r="S690" t="s">
        <v>91</v>
      </c>
      <c r="T690" t="s">
        <v>236</v>
      </c>
      <c r="U690">
        <v>2.89</v>
      </c>
      <c r="V690">
        <v>7.98</v>
      </c>
      <c r="W690">
        <v>58091</v>
      </c>
      <c r="X690">
        <v>69002</v>
      </c>
      <c r="Y690">
        <v>0.84</v>
      </c>
      <c r="Z690">
        <v>609</v>
      </c>
      <c r="AA690">
        <v>174</v>
      </c>
      <c r="AB690" t="s">
        <v>32</v>
      </c>
      <c r="AC690">
        <v>4.15</v>
      </c>
    </row>
    <row r="691" spans="1:29">
      <c r="A691" t="str">
        <f>"002230"</f>
        <v>002230</v>
      </c>
      <c r="B691" t="s">
        <v>854</v>
      </c>
      <c r="C691">
        <v>1.54</v>
      </c>
      <c r="D691">
        <v>32.9</v>
      </c>
      <c r="E691">
        <v>0.5</v>
      </c>
      <c r="F691">
        <v>32.9</v>
      </c>
      <c r="G691">
        <v>32.91</v>
      </c>
      <c r="H691">
        <v>440120</v>
      </c>
      <c r="I691">
        <v>4516</v>
      </c>
      <c r="J691">
        <v>-0.02</v>
      </c>
      <c r="K691">
        <v>2.42</v>
      </c>
      <c r="L691">
        <v>32.61</v>
      </c>
      <c r="M691">
        <v>33.16</v>
      </c>
      <c r="N691">
        <v>32.22</v>
      </c>
      <c r="O691">
        <v>32.4</v>
      </c>
      <c r="P691">
        <v>208.9</v>
      </c>
      <c r="Q691">
        <v>1445287680</v>
      </c>
      <c r="R691">
        <v>1.77</v>
      </c>
      <c r="S691" t="s">
        <v>270</v>
      </c>
      <c r="T691" t="s">
        <v>143</v>
      </c>
      <c r="U691">
        <v>2.9</v>
      </c>
      <c r="V691">
        <v>32.84</v>
      </c>
      <c r="W691">
        <v>212466</v>
      </c>
      <c r="X691">
        <v>227653</v>
      </c>
      <c r="Y691">
        <v>0.93</v>
      </c>
      <c r="Z691">
        <v>634</v>
      </c>
      <c r="AA691">
        <v>549</v>
      </c>
      <c r="AB691" t="s">
        <v>32</v>
      </c>
      <c r="AC691">
        <v>18.15</v>
      </c>
    </row>
    <row r="692" spans="1:29">
      <c r="A692" t="str">
        <f>"002231"</f>
        <v>002231</v>
      </c>
      <c r="B692" t="s">
        <v>855</v>
      </c>
      <c r="C692">
        <v>4.83</v>
      </c>
      <c r="D692">
        <v>7.38</v>
      </c>
      <c r="E692">
        <v>0.34</v>
      </c>
      <c r="F692">
        <v>7.37</v>
      </c>
      <c r="G692">
        <v>7.38</v>
      </c>
      <c r="H692">
        <v>149093</v>
      </c>
      <c r="I692">
        <v>3984</v>
      </c>
      <c r="J692">
        <v>1.1</v>
      </c>
      <c r="K692">
        <v>5.16</v>
      </c>
      <c r="L692">
        <v>7.03</v>
      </c>
      <c r="M692">
        <v>7.56</v>
      </c>
      <c r="N692">
        <v>6.87</v>
      </c>
      <c r="O692">
        <v>7.04</v>
      </c>
      <c r="P692">
        <v>217.76</v>
      </c>
      <c r="Q692">
        <v>106827552</v>
      </c>
      <c r="R692">
        <v>0.94</v>
      </c>
      <c r="S692" t="s">
        <v>119</v>
      </c>
      <c r="T692" t="s">
        <v>111</v>
      </c>
      <c r="U692">
        <v>9.8</v>
      </c>
      <c r="V692">
        <v>7.17</v>
      </c>
      <c r="W692">
        <v>68820</v>
      </c>
      <c r="X692">
        <v>80272</v>
      </c>
      <c r="Y692">
        <v>0.86</v>
      </c>
      <c r="Z692">
        <v>44</v>
      </c>
      <c r="AA692">
        <v>3164</v>
      </c>
      <c r="AB692" t="s">
        <v>32</v>
      </c>
      <c r="AC692">
        <v>2.89</v>
      </c>
    </row>
    <row r="693" spans="1:29">
      <c r="A693" t="str">
        <f>"002232"</f>
        <v>002232</v>
      </c>
      <c r="B693" t="s">
        <v>856</v>
      </c>
      <c r="C693">
        <v>0.35</v>
      </c>
      <c r="D693">
        <v>8.6</v>
      </c>
      <c r="E693">
        <v>0.03</v>
      </c>
      <c r="F693">
        <v>8.6</v>
      </c>
      <c r="G693">
        <v>8.61</v>
      </c>
      <c r="H693">
        <v>34566</v>
      </c>
      <c r="I693">
        <v>422</v>
      </c>
      <c r="J693">
        <v>0</v>
      </c>
      <c r="K693">
        <v>0.86</v>
      </c>
      <c r="L693">
        <v>8.57</v>
      </c>
      <c r="M693">
        <v>8.64</v>
      </c>
      <c r="N693">
        <v>8.44</v>
      </c>
      <c r="O693">
        <v>8.57</v>
      </c>
      <c r="P693">
        <v>747.81</v>
      </c>
      <c r="Q693">
        <v>29578650</v>
      </c>
      <c r="R693">
        <v>1.1</v>
      </c>
      <c r="S693" t="s">
        <v>270</v>
      </c>
      <c r="T693" t="s">
        <v>81</v>
      </c>
      <c r="U693">
        <v>2.33</v>
      </c>
      <c r="V693">
        <v>8.56</v>
      </c>
      <c r="W693">
        <v>18383</v>
      </c>
      <c r="X693">
        <v>16182</v>
      </c>
      <c r="Y693">
        <v>1.14</v>
      </c>
      <c r="Z693">
        <v>143</v>
      </c>
      <c r="AA693">
        <v>539</v>
      </c>
      <c r="AB693" t="s">
        <v>32</v>
      </c>
      <c r="AC693">
        <v>4.02</v>
      </c>
    </row>
    <row r="694" spans="1:29">
      <c r="A694" t="str">
        <f>"002233"</f>
        <v>002233</v>
      </c>
      <c r="B694" t="s">
        <v>857</v>
      </c>
      <c r="C694">
        <v>4.42</v>
      </c>
      <c r="D694">
        <v>11.8</v>
      </c>
      <c r="E694">
        <v>0.5</v>
      </c>
      <c r="F694">
        <v>11.79</v>
      </c>
      <c r="G694">
        <v>11.8</v>
      </c>
      <c r="H694">
        <v>275048</v>
      </c>
      <c r="I694">
        <v>2988</v>
      </c>
      <c r="J694">
        <v>0.08</v>
      </c>
      <c r="K694">
        <v>3.42</v>
      </c>
      <c r="L694">
        <v>11.37</v>
      </c>
      <c r="M694">
        <v>11.88</v>
      </c>
      <c r="N694">
        <v>11.37</v>
      </c>
      <c r="O694">
        <v>11.3</v>
      </c>
      <c r="P694">
        <v>9.47</v>
      </c>
      <c r="Q694">
        <v>321425536</v>
      </c>
      <c r="R694">
        <v>3.09</v>
      </c>
      <c r="S694" t="s">
        <v>166</v>
      </c>
      <c r="T694" t="s">
        <v>136</v>
      </c>
      <c r="U694">
        <v>4.51</v>
      </c>
      <c r="V694">
        <v>11.69</v>
      </c>
      <c r="W694">
        <v>123436</v>
      </c>
      <c r="X694">
        <v>151611</v>
      </c>
      <c r="Y694">
        <v>0.81</v>
      </c>
      <c r="Z694">
        <v>812</v>
      </c>
      <c r="AA694">
        <v>137</v>
      </c>
      <c r="AB694" t="s">
        <v>32</v>
      </c>
      <c r="AC694">
        <v>8.04</v>
      </c>
    </row>
    <row r="695" spans="1:29">
      <c r="A695" t="str">
        <f>"002234"</f>
        <v>002234</v>
      </c>
      <c r="B695" t="s">
        <v>858</v>
      </c>
      <c r="C695">
        <v>-2.35</v>
      </c>
      <c r="D695">
        <v>14.53</v>
      </c>
      <c r="E695">
        <v>-0.35</v>
      </c>
      <c r="F695">
        <v>14.53</v>
      </c>
      <c r="G695">
        <v>14.54</v>
      </c>
      <c r="H695">
        <v>69200</v>
      </c>
      <c r="I695">
        <v>660</v>
      </c>
      <c r="J695">
        <v>0.28</v>
      </c>
      <c r="K695">
        <v>3.36</v>
      </c>
      <c r="L695">
        <v>14.81</v>
      </c>
      <c r="M695">
        <v>14.88</v>
      </c>
      <c r="N695">
        <v>14.3</v>
      </c>
      <c r="O695">
        <v>14.88</v>
      </c>
      <c r="P695" t="s">
        <v>32</v>
      </c>
      <c r="Q695">
        <v>100722560</v>
      </c>
      <c r="R695">
        <v>0.59</v>
      </c>
      <c r="S695" t="s">
        <v>115</v>
      </c>
      <c r="T695" t="s">
        <v>162</v>
      </c>
      <c r="U695">
        <v>3.9</v>
      </c>
      <c r="V695">
        <v>14.56</v>
      </c>
      <c r="W695">
        <v>44295</v>
      </c>
      <c r="X695">
        <v>24904</v>
      </c>
      <c r="Y695">
        <v>1.78</v>
      </c>
      <c r="Z695">
        <v>243</v>
      </c>
      <c r="AA695">
        <v>25</v>
      </c>
      <c r="AB695" t="s">
        <v>32</v>
      </c>
      <c r="AC695">
        <v>2.06</v>
      </c>
    </row>
    <row r="696" spans="1:29">
      <c r="A696" t="str">
        <f>"002235"</f>
        <v>002235</v>
      </c>
      <c r="B696" t="s">
        <v>859</v>
      </c>
      <c r="C696">
        <v>1.78</v>
      </c>
      <c r="D696">
        <v>6.88</v>
      </c>
      <c r="E696">
        <v>0.12</v>
      </c>
      <c r="F696">
        <v>6.88</v>
      </c>
      <c r="G696">
        <v>6.89</v>
      </c>
      <c r="H696">
        <v>252740</v>
      </c>
      <c r="I696">
        <v>3376</v>
      </c>
      <c r="J696">
        <v>0</v>
      </c>
      <c r="K696">
        <v>5.05</v>
      </c>
      <c r="L696">
        <v>6.68</v>
      </c>
      <c r="M696">
        <v>7.04</v>
      </c>
      <c r="N696">
        <v>6.65</v>
      </c>
      <c r="O696">
        <v>6.76</v>
      </c>
      <c r="P696">
        <v>40.91</v>
      </c>
      <c r="Q696">
        <v>173089728</v>
      </c>
      <c r="R696">
        <v>1.25</v>
      </c>
      <c r="S696" t="s">
        <v>204</v>
      </c>
      <c r="T696" t="s">
        <v>236</v>
      </c>
      <c r="U696">
        <v>5.77</v>
      </c>
      <c r="V696">
        <v>6.85</v>
      </c>
      <c r="W696">
        <v>120219</v>
      </c>
      <c r="X696">
        <v>132521</v>
      </c>
      <c r="Y696">
        <v>0.91</v>
      </c>
      <c r="Z696">
        <v>341</v>
      </c>
      <c r="AA696">
        <v>2095</v>
      </c>
      <c r="AB696" t="s">
        <v>32</v>
      </c>
      <c r="AC696">
        <v>5</v>
      </c>
    </row>
    <row r="697" spans="1:29">
      <c r="A697" t="str">
        <f>"002236"</f>
        <v>002236</v>
      </c>
      <c r="B697" t="s">
        <v>860</v>
      </c>
      <c r="C697">
        <v>3.3</v>
      </c>
      <c r="D697">
        <v>20.97</v>
      </c>
      <c r="E697">
        <v>0.67</v>
      </c>
      <c r="F697">
        <v>20.97</v>
      </c>
      <c r="G697">
        <v>20.98</v>
      </c>
      <c r="H697">
        <v>354444</v>
      </c>
      <c r="I697">
        <v>1759</v>
      </c>
      <c r="J697">
        <v>0</v>
      </c>
      <c r="K697">
        <v>2.08</v>
      </c>
      <c r="L697">
        <v>20.35</v>
      </c>
      <c r="M697">
        <v>21.28</v>
      </c>
      <c r="N697">
        <v>20.35</v>
      </c>
      <c r="O697">
        <v>20.3</v>
      </c>
      <c r="P697">
        <v>51.42</v>
      </c>
      <c r="Q697">
        <v>742762176</v>
      </c>
      <c r="R697">
        <v>1.18</v>
      </c>
      <c r="S697" t="s">
        <v>606</v>
      </c>
      <c r="T697" t="s">
        <v>149</v>
      </c>
      <c r="U697">
        <v>4.58</v>
      </c>
      <c r="V697">
        <v>20.96</v>
      </c>
      <c r="W697">
        <v>168232</v>
      </c>
      <c r="X697">
        <v>186212</v>
      </c>
      <c r="Y697">
        <v>0.9</v>
      </c>
      <c r="Z697">
        <v>1021</v>
      </c>
      <c r="AA697">
        <v>648</v>
      </c>
      <c r="AB697" t="s">
        <v>32</v>
      </c>
      <c r="AC697">
        <v>17.02</v>
      </c>
    </row>
    <row r="698" spans="1:29">
      <c r="A698" t="str">
        <f>"002237"</f>
        <v>002237</v>
      </c>
      <c r="B698" t="s">
        <v>861</v>
      </c>
      <c r="C698">
        <v>1.07</v>
      </c>
      <c r="D698">
        <v>9.46</v>
      </c>
      <c r="E698">
        <v>0.1</v>
      </c>
      <c r="F698">
        <v>9.45</v>
      </c>
      <c r="G698">
        <v>9.46</v>
      </c>
      <c r="H698">
        <v>223117</v>
      </c>
      <c r="I698">
        <v>3301</v>
      </c>
      <c r="J698">
        <v>0.11</v>
      </c>
      <c r="K698">
        <v>2.67</v>
      </c>
      <c r="L698">
        <v>9.24</v>
      </c>
      <c r="M698">
        <v>9.48</v>
      </c>
      <c r="N698">
        <v>9.23</v>
      </c>
      <c r="O698">
        <v>9.36</v>
      </c>
      <c r="P698">
        <v>17.52</v>
      </c>
      <c r="Q698">
        <v>209397360</v>
      </c>
      <c r="R698">
        <v>1.67</v>
      </c>
      <c r="S698" t="s">
        <v>778</v>
      </c>
      <c r="T698" t="s">
        <v>162</v>
      </c>
      <c r="U698">
        <v>2.67</v>
      </c>
      <c r="V698">
        <v>9.39</v>
      </c>
      <c r="W698">
        <v>110115</v>
      </c>
      <c r="X698">
        <v>113001</v>
      </c>
      <c r="Y698">
        <v>0.97</v>
      </c>
      <c r="Z698">
        <v>1858</v>
      </c>
      <c r="AA698">
        <v>612</v>
      </c>
      <c r="AB698" t="s">
        <v>32</v>
      </c>
      <c r="AC698">
        <v>8.36</v>
      </c>
    </row>
    <row r="699" spans="1:29">
      <c r="A699" t="str">
        <f>"002238"</f>
        <v>002238</v>
      </c>
      <c r="B699" t="s">
        <v>862</v>
      </c>
      <c r="C699">
        <v>1.02</v>
      </c>
      <c r="D699">
        <v>6.94</v>
      </c>
      <c r="E699">
        <v>0.07</v>
      </c>
      <c r="F699">
        <v>6.94</v>
      </c>
      <c r="G699">
        <v>6.95</v>
      </c>
      <c r="H699">
        <v>17236</v>
      </c>
      <c r="I699">
        <v>390</v>
      </c>
      <c r="J699">
        <v>0.14</v>
      </c>
      <c r="K699">
        <v>0.28</v>
      </c>
      <c r="L699">
        <v>6.88</v>
      </c>
      <c r="M699">
        <v>6.99</v>
      </c>
      <c r="N699">
        <v>6.84</v>
      </c>
      <c r="O699">
        <v>6.87</v>
      </c>
      <c r="P699">
        <v>18.77</v>
      </c>
      <c r="Q699">
        <v>11940097</v>
      </c>
      <c r="R699">
        <v>1.6</v>
      </c>
      <c r="S699" t="s">
        <v>148</v>
      </c>
      <c r="T699" t="s">
        <v>31</v>
      </c>
      <c r="U699">
        <v>2.18</v>
      </c>
      <c r="V699">
        <v>6.93</v>
      </c>
      <c r="W699">
        <v>8702</v>
      </c>
      <c r="X699">
        <v>8533</v>
      </c>
      <c r="Y699">
        <v>1.02</v>
      </c>
      <c r="Z699">
        <v>196</v>
      </c>
      <c r="AA699">
        <v>401</v>
      </c>
      <c r="AB699" t="s">
        <v>32</v>
      </c>
      <c r="AC699">
        <v>6.17</v>
      </c>
    </row>
    <row r="700" spans="1:29">
      <c r="A700" t="str">
        <f>"002239"</f>
        <v>002239</v>
      </c>
      <c r="B700" t="s">
        <v>863</v>
      </c>
      <c r="C700" t="s">
        <v>32</v>
      </c>
      <c r="D700">
        <v>3.62</v>
      </c>
      <c r="E700" t="s">
        <v>32</v>
      </c>
      <c r="F700" t="s">
        <v>32</v>
      </c>
      <c r="G700" t="s">
        <v>32</v>
      </c>
      <c r="H700">
        <v>0</v>
      </c>
      <c r="I700">
        <v>0</v>
      </c>
      <c r="J700" t="s">
        <v>32</v>
      </c>
      <c r="K700">
        <v>0</v>
      </c>
      <c r="L700" t="s">
        <v>32</v>
      </c>
      <c r="M700" t="s">
        <v>32</v>
      </c>
      <c r="N700" t="s">
        <v>32</v>
      </c>
      <c r="O700">
        <v>3.62</v>
      </c>
      <c r="P700">
        <v>33.14</v>
      </c>
      <c r="Q700">
        <v>0</v>
      </c>
      <c r="R700">
        <v>0</v>
      </c>
      <c r="S700" t="s">
        <v>80</v>
      </c>
      <c r="T700" t="s">
        <v>87</v>
      </c>
      <c r="U700">
        <v>0</v>
      </c>
      <c r="V700">
        <v>3.62</v>
      </c>
      <c r="W700">
        <v>0</v>
      </c>
      <c r="X700">
        <v>0</v>
      </c>
      <c r="Y700" t="s">
        <v>32</v>
      </c>
      <c r="Z700">
        <v>0</v>
      </c>
      <c r="AA700">
        <v>0</v>
      </c>
      <c r="AB700" t="s">
        <v>32</v>
      </c>
      <c r="AC700">
        <v>30.09</v>
      </c>
    </row>
    <row r="701" spans="1:29">
      <c r="A701" t="str">
        <f>"002240"</f>
        <v>002240</v>
      </c>
      <c r="B701" t="s">
        <v>864</v>
      </c>
      <c r="C701">
        <v>2.35</v>
      </c>
      <c r="D701">
        <v>13.94</v>
      </c>
      <c r="E701">
        <v>0.32</v>
      </c>
      <c r="F701">
        <v>13.93</v>
      </c>
      <c r="G701">
        <v>13.94</v>
      </c>
      <c r="H701">
        <v>40745</v>
      </c>
      <c r="I701">
        <v>410</v>
      </c>
      <c r="J701">
        <v>0.07</v>
      </c>
      <c r="K701">
        <v>0.83</v>
      </c>
      <c r="L701">
        <v>13.59</v>
      </c>
      <c r="M701">
        <v>13.96</v>
      </c>
      <c r="N701">
        <v>13.55</v>
      </c>
      <c r="O701">
        <v>13.62</v>
      </c>
      <c r="P701">
        <v>64.88</v>
      </c>
      <c r="Q701">
        <v>56412136</v>
      </c>
      <c r="R701">
        <v>1.28</v>
      </c>
      <c r="S701" t="s">
        <v>545</v>
      </c>
      <c r="T701" t="s">
        <v>136</v>
      </c>
      <c r="U701">
        <v>3.01</v>
      </c>
      <c r="V701">
        <v>13.85</v>
      </c>
      <c r="W701">
        <v>16729</v>
      </c>
      <c r="X701">
        <v>24016</v>
      </c>
      <c r="Y701">
        <v>0.7</v>
      </c>
      <c r="Z701">
        <v>56</v>
      </c>
      <c r="AA701">
        <v>316</v>
      </c>
      <c r="AB701" t="s">
        <v>32</v>
      </c>
      <c r="AC701">
        <v>4.91</v>
      </c>
    </row>
    <row r="702" spans="1:29">
      <c r="A702" t="str">
        <f>"002241"</f>
        <v>002241</v>
      </c>
      <c r="B702" t="s">
        <v>865</v>
      </c>
      <c r="C702">
        <v>2.21</v>
      </c>
      <c r="D702">
        <v>10.17</v>
      </c>
      <c r="E702">
        <v>0.22</v>
      </c>
      <c r="F702">
        <v>10.16</v>
      </c>
      <c r="G702">
        <v>10.17</v>
      </c>
      <c r="H702">
        <v>268368</v>
      </c>
      <c r="I702">
        <v>2929</v>
      </c>
      <c r="J702">
        <v>-0.09</v>
      </c>
      <c r="K702">
        <v>0.99</v>
      </c>
      <c r="L702">
        <v>9.95</v>
      </c>
      <c r="M702">
        <v>10.27</v>
      </c>
      <c r="N702">
        <v>9.86</v>
      </c>
      <c r="O702">
        <v>9.95</v>
      </c>
      <c r="P702">
        <v>44.89</v>
      </c>
      <c r="Q702">
        <v>271892800</v>
      </c>
      <c r="R702">
        <v>1.8</v>
      </c>
      <c r="S702" t="s">
        <v>63</v>
      </c>
      <c r="T702" t="s">
        <v>162</v>
      </c>
      <c r="U702">
        <v>4.12</v>
      </c>
      <c r="V702">
        <v>10.13</v>
      </c>
      <c r="W702">
        <v>133984</v>
      </c>
      <c r="X702">
        <v>134383</v>
      </c>
      <c r="Y702">
        <v>1</v>
      </c>
      <c r="Z702">
        <v>924</v>
      </c>
      <c r="AA702">
        <v>418</v>
      </c>
      <c r="AB702" t="s">
        <v>32</v>
      </c>
      <c r="AC702">
        <v>27.23</v>
      </c>
    </row>
    <row r="703" spans="1:29">
      <c r="A703" t="str">
        <f>"002242"</f>
        <v>002242</v>
      </c>
      <c r="B703" t="s">
        <v>866</v>
      </c>
      <c r="C703">
        <v>1.99</v>
      </c>
      <c r="D703">
        <v>17.97</v>
      </c>
      <c r="E703">
        <v>0.35</v>
      </c>
      <c r="F703">
        <v>17.97</v>
      </c>
      <c r="G703">
        <v>17.98</v>
      </c>
      <c r="H703">
        <v>71369</v>
      </c>
      <c r="I703">
        <v>1340</v>
      </c>
      <c r="J703">
        <v>0.11</v>
      </c>
      <c r="K703">
        <v>0.94</v>
      </c>
      <c r="L703">
        <v>17.49</v>
      </c>
      <c r="M703">
        <v>18.12</v>
      </c>
      <c r="N703">
        <v>17.43</v>
      </c>
      <c r="O703">
        <v>17.62</v>
      </c>
      <c r="P703">
        <v>23.46</v>
      </c>
      <c r="Q703">
        <v>127377008</v>
      </c>
      <c r="R703">
        <v>1.75</v>
      </c>
      <c r="S703" t="s">
        <v>55</v>
      </c>
      <c r="T703" t="s">
        <v>162</v>
      </c>
      <c r="U703">
        <v>3.92</v>
      </c>
      <c r="V703">
        <v>17.85</v>
      </c>
      <c r="W703">
        <v>31221</v>
      </c>
      <c r="X703">
        <v>40147</v>
      </c>
      <c r="Y703">
        <v>0.78</v>
      </c>
      <c r="Z703">
        <v>128</v>
      </c>
      <c r="AA703">
        <v>204</v>
      </c>
      <c r="AB703" t="s">
        <v>32</v>
      </c>
      <c r="AC703">
        <v>7.62</v>
      </c>
    </row>
    <row r="704" spans="1:29">
      <c r="A704" t="str">
        <f>"002243"</f>
        <v>002243</v>
      </c>
      <c r="B704" t="s">
        <v>867</v>
      </c>
      <c r="C704">
        <v>-6.86</v>
      </c>
      <c r="D704">
        <v>10.04</v>
      </c>
      <c r="E704">
        <v>-0.74</v>
      </c>
      <c r="F704">
        <v>10.04</v>
      </c>
      <c r="G704">
        <v>10.05</v>
      </c>
      <c r="H704">
        <v>595454</v>
      </c>
      <c r="I704">
        <v>22834</v>
      </c>
      <c r="J704">
        <v>-0.29</v>
      </c>
      <c r="K704">
        <v>16.32</v>
      </c>
      <c r="L704">
        <v>10.5</v>
      </c>
      <c r="M704">
        <v>10.97</v>
      </c>
      <c r="N704">
        <v>10</v>
      </c>
      <c r="O704">
        <v>10.78</v>
      </c>
      <c r="P704">
        <v>72.26</v>
      </c>
      <c r="Q704">
        <v>620613824</v>
      </c>
      <c r="R704">
        <v>1.56</v>
      </c>
      <c r="S704" t="s">
        <v>508</v>
      </c>
      <c r="T704" t="s">
        <v>31</v>
      </c>
      <c r="U704">
        <v>9</v>
      </c>
      <c r="V704">
        <v>10.42</v>
      </c>
      <c r="W704">
        <v>325318</v>
      </c>
      <c r="X704">
        <v>270135</v>
      </c>
      <c r="Y704">
        <v>1.2</v>
      </c>
      <c r="Z704">
        <v>273</v>
      </c>
      <c r="AA704">
        <v>1249</v>
      </c>
      <c r="AB704" t="s">
        <v>32</v>
      </c>
      <c r="AC704">
        <v>3.65</v>
      </c>
    </row>
    <row r="705" spans="1:29">
      <c r="A705" t="str">
        <f>"002244"</f>
        <v>002244</v>
      </c>
      <c r="B705" t="s">
        <v>868</v>
      </c>
      <c r="C705">
        <v>2.04</v>
      </c>
      <c r="D705">
        <v>4.99</v>
      </c>
      <c r="E705">
        <v>0.1</v>
      </c>
      <c r="F705">
        <v>4.98</v>
      </c>
      <c r="G705">
        <v>4.99</v>
      </c>
      <c r="H705">
        <v>137534</v>
      </c>
      <c r="I705">
        <v>1800</v>
      </c>
      <c r="J705">
        <v>0</v>
      </c>
      <c r="K705">
        <v>0.51</v>
      </c>
      <c r="L705">
        <v>4.89</v>
      </c>
      <c r="M705">
        <v>5.04</v>
      </c>
      <c r="N705">
        <v>4.89</v>
      </c>
      <c r="O705">
        <v>4.89</v>
      </c>
      <c r="P705">
        <v>11.27</v>
      </c>
      <c r="Q705">
        <v>68518616</v>
      </c>
      <c r="R705">
        <v>1.39</v>
      </c>
      <c r="S705" t="s">
        <v>40</v>
      </c>
      <c r="T705" t="s">
        <v>149</v>
      </c>
      <c r="U705">
        <v>3.07</v>
      </c>
      <c r="V705">
        <v>4.98</v>
      </c>
      <c r="W705">
        <v>67205</v>
      </c>
      <c r="X705">
        <v>70329</v>
      </c>
      <c r="Y705">
        <v>0.96</v>
      </c>
      <c r="Z705">
        <v>1148</v>
      </c>
      <c r="AA705">
        <v>710</v>
      </c>
      <c r="AB705" t="s">
        <v>32</v>
      </c>
      <c r="AC705">
        <v>27.03</v>
      </c>
    </row>
    <row r="706" spans="1:29">
      <c r="A706" t="str">
        <f>"002245"</f>
        <v>002245</v>
      </c>
      <c r="B706" t="s">
        <v>869</v>
      </c>
      <c r="C706">
        <v>2.75</v>
      </c>
      <c r="D706">
        <v>6.72</v>
      </c>
      <c r="E706">
        <v>0.18</v>
      </c>
      <c r="F706">
        <v>6.72</v>
      </c>
      <c r="G706">
        <v>6.73</v>
      </c>
      <c r="H706">
        <v>257792</v>
      </c>
      <c r="I706">
        <v>3445</v>
      </c>
      <c r="J706">
        <v>0.3</v>
      </c>
      <c r="K706">
        <v>2.82</v>
      </c>
      <c r="L706">
        <v>6.54</v>
      </c>
      <c r="M706">
        <v>6.73</v>
      </c>
      <c r="N706">
        <v>6.48</v>
      </c>
      <c r="O706">
        <v>6.54</v>
      </c>
      <c r="P706">
        <v>18.46</v>
      </c>
      <c r="Q706">
        <v>170359696</v>
      </c>
      <c r="R706">
        <v>2.35</v>
      </c>
      <c r="S706" t="s">
        <v>742</v>
      </c>
      <c r="T706" t="s">
        <v>87</v>
      </c>
      <c r="U706">
        <v>3.82</v>
      </c>
      <c r="V706">
        <v>6.61</v>
      </c>
      <c r="W706">
        <v>114907</v>
      </c>
      <c r="X706">
        <v>142884</v>
      </c>
      <c r="Y706">
        <v>0.8</v>
      </c>
      <c r="Z706">
        <v>1739</v>
      </c>
      <c r="AA706">
        <v>2603</v>
      </c>
      <c r="AB706" t="s">
        <v>32</v>
      </c>
      <c r="AC706">
        <v>9.14</v>
      </c>
    </row>
    <row r="707" spans="1:29">
      <c r="A707" t="str">
        <f>"002246"</f>
        <v>002246</v>
      </c>
      <c r="B707" t="s">
        <v>870</v>
      </c>
      <c r="C707">
        <v>1.96</v>
      </c>
      <c r="D707">
        <v>8.83</v>
      </c>
      <c r="E707">
        <v>0.17</v>
      </c>
      <c r="F707">
        <v>8.82</v>
      </c>
      <c r="G707">
        <v>8.83</v>
      </c>
      <c r="H707">
        <v>71702</v>
      </c>
      <c r="I707">
        <v>949</v>
      </c>
      <c r="J707">
        <v>0.11</v>
      </c>
      <c r="K707">
        <v>1.73</v>
      </c>
      <c r="L707">
        <v>8.58</v>
      </c>
      <c r="M707">
        <v>9.09</v>
      </c>
      <c r="N707">
        <v>8.56</v>
      </c>
      <c r="O707">
        <v>8.66</v>
      </c>
      <c r="P707" t="s">
        <v>32</v>
      </c>
      <c r="Q707">
        <v>63480944</v>
      </c>
      <c r="R707">
        <v>2.13</v>
      </c>
      <c r="S707" t="s">
        <v>218</v>
      </c>
      <c r="T707" t="s">
        <v>146</v>
      </c>
      <c r="U707">
        <v>6.12</v>
      </c>
      <c r="V707">
        <v>8.85</v>
      </c>
      <c r="W707">
        <v>33533</v>
      </c>
      <c r="X707">
        <v>38168</v>
      </c>
      <c r="Y707">
        <v>0.88</v>
      </c>
      <c r="Z707">
        <v>252</v>
      </c>
      <c r="AA707">
        <v>212</v>
      </c>
      <c r="AB707" t="s">
        <v>32</v>
      </c>
      <c r="AC707">
        <v>4.14</v>
      </c>
    </row>
    <row r="708" spans="1:29">
      <c r="A708" t="str">
        <f>"002247"</f>
        <v>002247</v>
      </c>
      <c r="B708" t="s">
        <v>871</v>
      </c>
      <c r="C708">
        <v>3.38</v>
      </c>
      <c r="D708">
        <v>7.64</v>
      </c>
      <c r="E708">
        <v>0.25</v>
      </c>
      <c r="F708">
        <v>7.64</v>
      </c>
      <c r="G708">
        <v>7.65</v>
      </c>
      <c r="H708">
        <v>122301</v>
      </c>
      <c r="I708">
        <v>910</v>
      </c>
      <c r="J708">
        <v>0</v>
      </c>
      <c r="K708">
        <v>2.33</v>
      </c>
      <c r="L708">
        <v>7.43</v>
      </c>
      <c r="M708">
        <v>7.66</v>
      </c>
      <c r="N708">
        <v>7.37</v>
      </c>
      <c r="O708">
        <v>7.39</v>
      </c>
      <c r="P708">
        <v>9.8</v>
      </c>
      <c r="Q708">
        <v>92657704</v>
      </c>
      <c r="R708">
        <v>1.12</v>
      </c>
      <c r="S708" t="s">
        <v>270</v>
      </c>
      <c r="T708" t="s">
        <v>149</v>
      </c>
      <c r="U708">
        <v>3.92</v>
      </c>
      <c r="V708">
        <v>7.58</v>
      </c>
      <c r="W708">
        <v>49945</v>
      </c>
      <c r="X708">
        <v>72356</v>
      </c>
      <c r="Y708">
        <v>0.69</v>
      </c>
      <c r="Z708">
        <v>724</v>
      </c>
      <c r="AA708">
        <v>1384</v>
      </c>
      <c r="AB708" t="s">
        <v>32</v>
      </c>
      <c r="AC708">
        <v>5.24</v>
      </c>
    </row>
    <row r="709" spans="1:29">
      <c r="A709" t="str">
        <f>"002248"</f>
        <v>002248</v>
      </c>
      <c r="B709" t="s">
        <v>872</v>
      </c>
      <c r="C709">
        <v>1.08</v>
      </c>
      <c r="D709">
        <v>9.39</v>
      </c>
      <c r="E709">
        <v>0.1</v>
      </c>
      <c r="F709">
        <v>9.38</v>
      </c>
      <c r="G709">
        <v>9.39</v>
      </c>
      <c r="H709">
        <v>14545</v>
      </c>
      <c r="I709">
        <v>73</v>
      </c>
      <c r="J709">
        <v>0.11</v>
      </c>
      <c r="K709">
        <v>0.47</v>
      </c>
      <c r="L709">
        <v>9.29</v>
      </c>
      <c r="M709">
        <v>9.44</v>
      </c>
      <c r="N709">
        <v>9.29</v>
      </c>
      <c r="O709">
        <v>9.29</v>
      </c>
      <c r="P709" t="s">
        <v>32</v>
      </c>
      <c r="Q709">
        <v>13658607</v>
      </c>
      <c r="R709">
        <v>1.24</v>
      </c>
      <c r="S709" t="s">
        <v>179</v>
      </c>
      <c r="T709" t="s">
        <v>162</v>
      </c>
      <c r="U709">
        <v>1.61</v>
      </c>
      <c r="V709">
        <v>9.39</v>
      </c>
      <c r="W709">
        <v>6396</v>
      </c>
      <c r="X709">
        <v>8148</v>
      </c>
      <c r="Y709">
        <v>0.78</v>
      </c>
      <c r="Z709">
        <v>67</v>
      </c>
      <c r="AA709">
        <v>70</v>
      </c>
      <c r="AB709" t="s">
        <v>32</v>
      </c>
      <c r="AC709">
        <v>3.07</v>
      </c>
    </row>
    <row r="710" spans="1:29">
      <c r="A710" t="str">
        <f>"002249"</f>
        <v>002249</v>
      </c>
      <c r="B710" t="s">
        <v>873</v>
      </c>
      <c r="C710">
        <v>1.56</v>
      </c>
      <c r="D710">
        <v>4.56</v>
      </c>
      <c r="E710">
        <v>0.07</v>
      </c>
      <c r="F710">
        <v>4.55</v>
      </c>
      <c r="G710">
        <v>4.56</v>
      </c>
      <c r="H710">
        <v>97398</v>
      </c>
      <c r="I710">
        <v>1376</v>
      </c>
      <c r="J710">
        <v>0</v>
      </c>
      <c r="K710">
        <v>0.71</v>
      </c>
      <c r="L710">
        <v>4.49</v>
      </c>
      <c r="M710">
        <v>4.59</v>
      </c>
      <c r="N710">
        <v>4.48</v>
      </c>
      <c r="O710">
        <v>4.49</v>
      </c>
      <c r="P710">
        <v>86.39</v>
      </c>
      <c r="Q710">
        <v>44294376</v>
      </c>
      <c r="R710">
        <v>0.93</v>
      </c>
      <c r="S710" t="s">
        <v>104</v>
      </c>
      <c r="T710" t="s">
        <v>136</v>
      </c>
      <c r="U710">
        <v>2.45</v>
      </c>
      <c r="V710">
        <v>4.55</v>
      </c>
      <c r="W710">
        <v>46406</v>
      </c>
      <c r="X710">
        <v>50992</v>
      </c>
      <c r="Y710">
        <v>0.91</v>
      </c>
      <c r="Z710">
        <v>1397</v>
      </c>
      <c r="AA710">
        <v>1510</v>
      </c>
      <c r="AB710" t="s">
        <v>32</v>
      </c>
      <c r="AC710">
        <v>13.65</v>
      </c>
    </row>
    <row r="711" spans="1:29">
      <c r="A711" t="str">
        <f>"002250"</f>
        <v>002250</v>
      </c>
      <c r="B711" t="s">
        <v>874</v>
      </c>
      <c r="C711">
        <v>1.36</v>
      </c>
      <c r="D711">
        <v>8.19</v>
      </c>
      <c r="E711">
        <v>0.11</v>
      </c>
      <c r="F711">
        <v>8.19</v>
      </c>
      <c r="G711">
        <v>8.2</v>
      </c>
      <c r="H711">
        <v>78867</v>
      </c>
      <c r="I711">
        <v>476</v>
      </c>
      <c r="J711">
        <v>0</v>
      </c>
      <c r="K711">
        <v>0.89</v>
      </c>
      <c r="L711">
        <v>8.11</v>
      </c>
      <c r="M711">
        <v>8.26</v>
      </c>
      <c r="N711">
        <v>8.09</v>
      </c>
      <c r="O711">
        <v>8.08</v>
      </c>
      <c r="P711">
        <v>30.8</v>
      </c>
      <c r="Q711">
        <v>64461956</v>
      </c>
      <c r="R711">
        <v>1.2</v>
      </c>
      <c r="S711" t="s">
        <v>218</v>
      </c>
      <c r="T711" t="s">
        <v>149</v>
      </c>
      <c r="U711">
        <v>2.1</v>
      </c>
      <c r="V711">
        <v>8.17</v>
      </c>
      <c r="W711">
        <v>35377</v>
      </c>
      <c r="X711">
        <v>43490</v>
      </c>
      <c r="Y711">
        <v>0.81</v>
      </c>
      <c r="Z711">
        <v>162</v>
      </c>
      <c r="AA711">
        <v>1113</v>
      </c>
      <c r="AB711" t="s">
        <v>32</v>
      </c>
      <c r="AC711">
        <v>8.89</v>
      </c>
    </row>
    <row r="712" spans="1:29">
      <c r="A712" t="str">
        <f>"002251"</f>
        <v>002251</v>
      </c>
      <c r="B712" t="s">
        <v>875</v>
      </c>
      <c r="C712">
        <v>4.04</v>
      </c>
      <c r="D712">
        <v>11.08</v>
      </c>
      <c r="E712">
        <v>0.43</v>
      </c>
      <c r="F712">
        <v>11.07</v>
      </c>
      <c r="G712">
        <v>11.08</v>
      </c>
      <c r="H712">
        <v>77918</v>
      </c>
      <c r="I712">
        <v>1296</v>
      </c>
      <c r="J712">
        <v>0.18</v>
      </c>
      <c r="K712">
        <v>0.95</v>
      </c>
      <c r="L712">
        <v>10.7</v>
      </c>
      <c r="M712">
        <v>11.08</v>
      </c>
      <c r="N712">
        <v>10.65</v>
      </c>
      <c r="O712">
        <v>10.65</v>
      </c>
      <c r="P712">
        <v>14.29</v>
      </c>
      <c r="Q712">
        <v>85098480</v>
      </c>
      <c r="R712">
        <v>1.77</v>
      </c>
      <c r="S712" t="s">
        <v>439</v>
      </c>
      <c r="T712" t="s">
        <v>152</v>
      </c>
      <c r="U712">
        <v>4.04</v>
      </c>
      <c r="V712">
        <v>10.92</v>
      </c>
      <c r="W712">
        <v>28823</v>
      </c>
      <c r="X712">
        <v>49095</v>
      </c>
      <c r="Y712">
        <v>0.59</v>
      </c>
      <c r="Z712">
        <v>873</v>
      </c>
      <c r="AA712">
        <v>202</v>
      </c>
      <c r="AB712" t="s">
        <v>32</v>
      </c>
      <c r="AC712">
        <v>8.19</v>
      </c>
    </row>
    <row r="713" spans="1:29">
      <c r="A713" t="str">
        <f>"002252"</f>
        <v>002252</v>
      </c>
      <c r="B713" t="s">
        <v>876</v>
      </c>
      <c r="C713" t="s">
        <v>32</v>
      </c>
      <c r="D713">
        <v>19.52</v>
      </c>
      <c r="E713" t="s">
        <v>32</v>
      </c>
      <c r="F713" t="s">
        <v>32</v>
      </c>
      <c r="G713" t="s">
        <v>32</v>
      </c>
      <c r="H713">
        <v>0</v>
      </c>
      <c r="I713">
        <v>0</v>
      </c>
      <c r="J713" t="s">
        <v>32</v>
      </c>
      <c r="K713">
        <v>0</v>
      </c>
      <c r="L713" t="s">
        <v>32</v>
      </c>
      <c r="M713" t="s">
        <v>32</v>
      </c>
      <c r="N713" t="s">
        <v>32</v>
      </c>
      <c r="O713">
        <v>19.52</v>
      </c>
      <c r="P713" t="s">
        <v>32</v>
      </c>
      <c r="Q713">
        <v>0</v>
      </c>
      <c r="R713">
        <v>0</v>
      </c>
      <c r="S713" t="s">
        <v>36</v>
      </c>
      <c r="T713" t="s">
        <v>366</v>
      </c>
      <c r="U713">
        <v>0</v>
      </c>
      <c r="V713">
        <v>19.52</v>
      </c>
      <c r="W713">
        <v>0</v>
      </c>
      <c r="X713">
        <v>0</v>
      </c>
      <c r="Y713" t="s">
        <v>32</v>
      </c>
      <c r="Z713">
        <v>0</v>
      </c>
      <c r="AA713">
        <v>0</v>
      </c>
      <c r="AB713" t="s">
        <v>32</v>
      </c>
      <c r="AC713">
        <v>49.73</v>
      </c>
    </row>
    <row r="714" spans="1:29">
      <c r="A714" t="str">
        <f>"002253"</f>
        <v>002253</v>
      </c>
      <c r="B714" t="s">
        <v>877</v>
      </c>
      <c r="C714">
        <v>0.86</v>
      </c>
      <c r="D714">
        <v>15.29</v>
      </c>
      <c r="E714">
        <v>0.13</v>
      </c>
      <c r="F714">
        <v>15.28</v>
      </c>
      <c r="G714">
        <v>15.29</v>
      </c>
      <c r="H714">
        <v>35366</v>
      </c>
      <c r="I714">
        <v>585</v>
      </c>
      <c r="J714">
        <v>0.13</v>
      </c>
      <c r="K714">
        <v>1.7</v>
      </c>
      <c r="L714">
        <v>15.16</v>
      </c>
      <c r="M714">
        <v>15.38</v>
      </c>
      <c r="N714">
        <v>15</v>
      </c>
      <c r="O714">
        <v>15.16</v>
      </c>
      <c r="P714">
        <v>119.83</v>
      </c>
      <c r="Q714">
        <v>53801424</v>
      </c>
      <c r="R714">
        <v>1.39</v>
      </c>
      <c r="S714" t="s">
        <v>270</v>
      </c>
      <c r="T714" t="s">
        <v>146</v>
      </c>
      <c r="U714">
        <v>2.51</v>
      </c>
      <c r="V714">
        <v>15.21</v>
      </c>
      <c r="W714">
        <v>19234</v>
      </c>
      <c r="X714">
        <v>16132</v>
      </c>
      <c r="Y714">
        <v>1.19</v>
      </c>
      <c r="Z714">
        <v>237</v>
      </c>
      <c r="AA714">
        <v>71</v>
      </c>
      <c r="AB714" t="s">
        <v>32</v>
      </c>
      <c r="AC714">
        <v>2.09</v>
      </c>
    </row>
    <row r="715" spans="1:29">
      <c r="A715" t="str">
        <f>"002254"</f>
        <v>002254</v>
      </c>
      <c r="B715" t="s">
        <v>878</v>
      </c>
      <c r="C715">
        <v>-0.26</v>
      </c>
      <c r="D715">
        <v>11.45</v>
      </c>
      <c r="E715">
        <v>-0.03</v>
      </c>
      <c r="F715">
        <v>11.44</v>
      </c>
      <c r="G715">
        <v>11.45</v>
      </c>
      <c r="H715">
        <v>51287</v>
      </c>
      <c r="I715">
        <v>2141</v>
      </c>
      <c r="J715">
        <v>-0.25</v>
      </c>
      <c r="K715">
        <v>0.84</v>
      </c>
      <c r="L715">
        <v>11.43</v>
      </c>
      <c r="M715">
        <v>11.63</v>
      </c>
      <c r="N715">
        <v>11.42</v>
      </c>
      <c r="O715">
        <v>11.48</v>
      </c>
      <c r="P715">
        <v>48.96</v>
      </c>
      <c r="Q715">
        <v>58990576</v>
      </c>
      <c r="R715">
        <v>1.78</v>
      </c>
      <c r="S715" t="s">
        <v>190</v>
      </c>
      <c r="T715" t="s">
        <v>162</v>
      </c>
      <c r="U715">
        <v>1.83</v>
      </c>
      <c r="V715">
        <v>11.5</v>
      </c>
      <c r="W715">
        <v>23220</v>
      </c>
      <c r="X715">
        <v>28067</v>
      </c>
      <c r="Y715">
        <v>0.83</v>
      </c>
      <c r="Z715">
        <v>364</v>
      </c>
      <c r="AA715">
        <v>40</v>
      </c>
      <c r="AB715" t="s">
        <v>32</v>
      </c>
      <c r="AC715">
        <v>6.11</v>
      </c>
    </row>
    <row r="716" spans="1:29">
      <c r="A716" t="str">
        <f>"002255"</f>
        <v>002255</v>
      </c>
      <c r="B716" t="s">
        <v>879</v>
      </c>
      <c r="C716">
        <v>2.54</v>
      </c>
      <c r="D716">
        <v>5.25</v>
      </c>
      <c r="E716">
        <v>0.13</v>
      </c>
      <c r="F716">
        <v>5.25</v>
      </c>
      <c r="G716">
        <v>5.26</v>
      </c>
      <c r="H716">
        <v>35653</v>
      </c>
      <c r="I716">
        <v>361</v>
      </c>
      <c r="J716">
        <v>0.19</v>
      </c>
      <c r="K716">
        <v>0.73</v>
      </c>
      <c r="L716">
        <v>5.12</v>
      </c>
      <c r="M716">
        <v>5.27</v>
      </c>
      <c r="N716">
        <v>5.08</v>
      </c>
      <c r="O716">
        <v>5.12</v>
      </c>
      <c r="P716">
        <v>36.02</v>
      </c>
      <c r="Q716">
        <v>18560090</v>
      </c>
      <c r="R716">
        <v>1.34</v>
      </c>
      <c r="S716" t="s">
        <v>171</v>
      </c>
      <c r="T716" t="s">
        <v>87</v>
      </c>
      <c r="U716">
        <v>3.71</v>
      </c>
      <c r="V716">
        <v>5.21</v>
      </c>
      <c r="W716">
        <v>16179</v>
      </c>
      <c r="X716">
        <v>19473</v>
      </c>
      <c r="Y716">
        <v>0.83</v>
      </c>
      <c r="Z716">
        <v>563</v>
      </c>
      <c r="AA716">
        <v>472</v>
      </c>
      <c r="AB716" t="s">
        <v>32</v>
      </c>
      <c r="AC716">
        <v>4.89</v>
      </c>
    </row>
    <row r="717" spans="1:29">
      <c r="A717" t="str">
        <f>"002256"</f>
        <v>002256</v>
      </c>
      <c r="B717" t="s">
        <v>880</v>
      </c>
      <c r="C717">
        <v>9.96</v>
      </c>
      <c r="D717">
        <v>5.52</v>
      </c>
      <c r="E717">
        <v>0.5</v>
      </c>
      <c r="F717">
        <v>5.52</v>
      </c>
      <c r="G717" t="s">
        <v>32</v>
      </c>
      <c r="H717">
        <v>2033148</v>
      </c>
      <c r="I717">
        <v>869</v>
      </c>
      <c r="J717">
        <v>0</v>
      </c>
      <c r="K717">
        <v>16.23</v>
      </c>
      <c r="L717">
        <v>5</v>
      </c>
      <c r="M717">
        <v>5.52</v>
      </c>
      <c r="N717">
        <v>4.89</v>
      </c>
      <c r="O717">
        <v>5.02</v>
      </c>
      <c r="P717">
        <v>83.09</v>
      </c>
      <c r="Q717">
        <v>1072963264</v>
      </c>
      <c r="R717">
        <v>3</v>
      </c>
      <c r="S717" t="s">
        <v>281</v>
      </c>
      <c r="T717" t="s">
        <v>31</v>
      </c>
      <c r="U717">
        <v>12.55</v>
      </c>
      <c r="V717">
        <v>5.28</v>
      </c>
      <c r="W717">
        <v>977511</v>
      </c>
      <c r="X717">
        <v>1055636</v>
      </c>
      <c r="Y717">
        <v>0.93</v>
      </c>
      <c r="Z717">
        <v>26331</v>
      </c>
      <c r="AA717">
        <v>0</v>
      </c>
      <c r="AB717" t="s">
        <v>32</v>
      </c>
      <c r="AC717">
        <v>12.53</v>
      </c>
    </row>
    <row r="718" spans="1:29">
      <c r="A718" t="str">
        <f>"002258"</f>
        <v>002258</v>
      </c>
      <c r="B718" t="s">
        <v>881</v>
      </c>
      <c r="C718">
        <v>-0.63</v>
      </c>
      <c r="D718">
        <v>20.56</v>
      </c>
      <c r="E718">
        <v>-0.13</v>
      </c>
      <c r="F718">
        <v>20.56</v>
      </c>
      <c r="G718">
        <v>20.57</v>
      </c>
      <c r="H718">
        <v>54893</v>
      </c>
      <c r="I718">
        <v>849</v>
      </c>
      <c r="J718">
        <v>0</v>
      </c>
      <c r="K718">
        <v>1.05</v>
      </c>
      <c r="L718">
        <v>20.8</v>
      </c>
      <c r="M718">
        <v>20.8</v>
      </c>
      <c r="N718">
        <v>20.45</v>
      </c>
      <c r="O718">
        <v>20.69</v>
      </c>
      <c r="P718">
        <v>23.31</v>
      </c>
      <c r="Q718">
        <v>113260640</v>
      </c>
      <c r="R718">
        <v>1.2</v>
      </c>
      <c r="S718" t="s">
        <v>145</v>
      </c>
      <c r="T718" t="s">
        <v>146</v>
      </c>
      <c r="U718">
        <v>1.69</v>
      </c>
      <c r="V718">
        <v>20.63</v>
      </c>
      <c r="W718">
        <v>22056</v>
      </c>
      <c r="X718">
        <v>32837</v>
      </c>
      <c r="Y718">
        <v>0.67</v>
      </c>
      <c r="Z718">
        <v>140</v>
      </c>
      <c r="AA718">
        <v>925</v>
      </c>
      <c r="AB718" t="s">
        <v>32</v>
      </c>
      <c r="AC718">
        <v>5.24</v>
      </c>
    </row>
    <row r="719" spans="1:29">
      <c r="A719" t="str">
        <f>"002259"</f>
        <v>002259</v>
      </c>
      <c r="B719" t="s">
        <v>882</v>
      </c>
      <c r="C719">
        <v>1.97</v>
      </c>
      <c r="D719">
        <v>3.11</v>
      </c>
      <c r="E719">
        <v>0.06</v>
      </c>
      <c r="F719">
        <v>3.1</v>
      </c>
      <c r="G719">
        <v>3.11</v>
      </c>
      <c r="H719">
        <v>138665</v>
      </c>
      <c r="I719">
        <v>2054</v>
      </c>
      <c r="J719">
        <v>0</v>
      </c>
      <c r="K719">
        <v>1.92</v>
      </c>
      <c r="L719">
        <v>3.05</v>
      </c>
      <c r="M719">
        <v>3.14</v>
      </c>
      <c r="N719">
        <v>3.04</v>
      </c>
      <c r="O719">
        <v>3.05</v>
      </c>
      <c r="P719" t="s">
        <v>32</v>
      </c>
      <c r="Q719">
        <v>42963476</v>
      </c>
      <c r="R719">
        <v>1.48</v>
      </c>
      <c r="S719" t="s">
        <v>545</v>
      </c>
      <c r="T719" t="s">
        <v>146</v>
      </c>
      <c r="U719">
        <v>3.28</v>
      </c>
      <c r="V719">
        <v>3.1</v>
      </c>
      <c r="W719">
        <v>72398</v>
      </c>
      <c r="X719">
        <v>66267</v>
      </c>
      <c r="Y719">
        <v>1.09</v>
      </c>
      <c r="Z719">
        <v>2571</v>
      </c>
      <c r="AA719">
        <v>2471</v>
      </c>
      <c r="AB719" t="s">
        <v>32</v>
      </c>
      <c r="AC719">
        <v>7.24</v>
      </c>
    </row>
    <row r="720" spans="1:29">
      <c r="A720" t="str">
        <f>"002260"</f>
        <v>002260</v>
      </c>
      <c r="B720" t="s">
        <v>883</v>
      </c>
      <c r="C720">
        <v>1.33</v>
      </c>
      <c r="D720">
        <v>3.05</v>
      </c>
      <c r="E720">
        <v>0.04</v>
      </c>
      <c r="F720">
        <v>3.05</v>
      </c>
      <c r="G720">
        <v>3.06</v>
      </c>
      <c r="H720">
        <v>179521</v>
      </c>
      <c r="I720">
        <v>2283</v>
      </c>
      <c r="J720">
        <v>0</v>
      </c>
      <c r="K720">
        <v>6.77</v>
      </c>
      <c r="L720">
        <v>3</v>
      </c>
      <c r="M720">
        <v>3.13</v>
      </c>
      <c r="N720">
        <v>2.99</v>
      </c>
      <c r="O720">
        <v>3.01</v>
      </c>
      <c r="P720" t="s">
        <v>32</v>
      </c>
      <c r="Q720">
        <v>54742620</v>
      </c>
      <c r="R720">
        <v>0.79</v>
      </c>
      <c r="S720" t="s">
        <v>389</v>
      </c>
      <c r="T720" t="s">
        <v>136</v>
      </c>
      <c r="U720">
        <v>4.65</v>
      </c>
      <c r="V720">
        <v>3.05</v>
      </c>
      <c r="W720">
        <v>82824</v>
      </c>
      <c r="X720">
        <v>96697</v>
      </c>
      <c r="Y720">
        <v>0.86</v>
      </c>
      <c r="Z720">
        <v>2019</v>
      </c>
      <c r="AA720">
        <v>2390</v>
      </c>
      <c r="AB720" t="s">
        <v>32</v>
      </c>
      <c r="AC720">
        <v>2.65</v>
      </c>
    </row>
    <row r="721" spans="1:29">
      <c r="A721" t="str">
        <f>"002261"</f>
        <v>002261</v>
      </c>
      <c r="B721" t="s">
        <v>884</v>
      </c>
      <c r="C721">
        <v>2.48</v>
      </c>
      <c r="D721">
        <v>4.54</v>
      </c>
      <c r="E721">
        <v>0.11</v>
      </c>
      <c r="F721">
        <v>4.53</v>
      </c>
      <c r="G721">
        <v>4.54</v>
      </c>
      <c r="H721">
        <v>94232</v>
      </c>
      <c r="I721">
        <v>1405</v>
      </c>
      <c r="J721">
        <v>0</v>
      </c>
      <c r="K721">
        <v>0.97</v>
      </c>
      <c r="L721">
        <v>4.43</v>
      </c>
      <c r="M721">
        <v>4.57</v>
      </c>
      <c r="N721">
        <v>4.4</v>
      </c>
      <c r="O721">
        <v>4.43</v>
      </c>
      <c r="P721">
        <v>477.77</v>
      </c>
      <c r="Q721">
        <v>42436544</v>
      </c>
      <c r="R721">
        <v>1.43</v>
      </c>
      <c r="S721" t="s">
        <v>316</v>
      </c>
      <c r="T721" t="s">
        <v>152</v>
      </c>
      <c r="U721">
        <v>3.84</v>
      </c>
      <c r="V721">
        <v>4.5</v>
      </c>
      <c r="W721">
        <v>41055</v>
      </c>
      <c r="X721">
        <v>53177</v>
      </c>
      <c r="Y721">
        <v>0.77</v>
      </c>
      <c r="Z721">
        <v>337</v>
      </c>
      <c r="AA721">
        <v>405</v>
      </c>
      <c r="AB721" t="s">
        <v>32</v>
      </c>
      <c r="AC721">
        <v>9.72</v>
      </c>
    </row>
    <row r="722" spans="1:29">
      <c r="A722" t="str">
        <f>"002262"</f>
        <v>002262</v>
      </c>
      <c r="B722" t="s">
        <v>885</v>
      </c>
      <c r="C722">
        <v>1.15</v>
      </c>
      <c r="D722">
        <v>17.58</v>
      </c>
      <c r="E722">
        <v>0.2</v>
      </c>
      <c r="F722">
        <v>17.58</v>
      </c>
      <c r="G722">
        <v>17.59</v>
      </c>
      <c r="H722">
        <v>138170</v>
      </c>
      <c r="I722">
        <v>496</v>
      </c>
      <c r="J722">
        <v>0.11</v>
      </c>
      <c r="K722">
        <v>1.56</v>
      </c>
      <c r="L722">
        <v>17.08</v>
      </c>
      <c r="M722">
        <v>17.82</v>
      </c>
      <c r="N722">
        <v>16.89</v>
      </c>
      <c r="O722">
        <v>17.38</v>
      </c>
      <c r="P722">
        <v>44.06</v>
      </c>
      <c r="Q722">
        <v>241102976</v>
      </c>
      <c r="R722">
        <v>1.22</v>
      </c>
      <c r="S722" t="s">
        <v>142</v>
      </c>
      <c r="T722" t="s">
        <v>87</v>
      </c>
      <c r="U722">
        <v>5.35</v>
      </c>
      <c r="V722">
        <v>17.45</v>
      </c>
      <c r="W722">
        <v>67588</v>
      </c>
      <c r="X722">
        <v>70582</v>
      </c>
      <c r="Y722">
        <v>0.96</v>
      </c>
      <c r="Z722">
        <v>81</v>
      </c>
      <c r="AA722">
        <v>66</v>
      </c>
      <c r="AB722" t="s">
        <v>32</v>
      </c>
      <c r="AC722">
        <v>8.84</v>
      </c>
    </row>
    <row r="723" spans="1:29">
      <c r="A723" t="str">
        <f>"002263"</f>
        <v>002263</v>
      </c>
      <c r="B723" t="s">
        <v>886</v>
      </c>
      <c r="C723" t="s">
        <v>32</v>
      </c>
      <c r="D723">
        <v>2.96</v>
      </c>
      <c r="E723" t="s">
        <v>32</v>
      </c>
      <c r="F723" t="s">
        <v>32</v>
      </c>
      <c r="G723" t="s">
        <v>32</v>
      </c>
      <c r="H723">
        <v>0</v>
      </c>
      <c r="I723">
        <v>0</v>
      </c>
      <c r="J723" t="s">
        <v>32</v>
      </c>
      <c r="K723">
        <v>0</v>
      </c>
      <c r="L723" t="s">
        <v>32</v>
      </c>
      <c r="M723" t="s">
        <v>32</v>
      </c>
      <c r="N723" t="s">
        <v>32</v>
      </c>
      <c r="O723">
        <v>2.96</v>
      </c>
      <c r="P723" t="s">
        <v>32</v>
      </c>
      <c r="Q723">
        <v>0</v>
      </c>
      <c r="R723">
        <v>0</v>
      </c>
      <c r="S723" t="s">
        <v>508</v>
      </c>
      <c r="T723" t="s">
        <v>149</v>
      </c>
      <c r="U723">
        <v>0</v>
      </c>
      <c r="V723">
        <v>2.96</v>
      </c>
      <c r="W723">
        <v>0</v>
      </c>
      <c r="X723">
        <v>0</v>
      </c>
      <c r="Y723" t="s">
        <v>32</v>
      </c>
      <c r="Z723">
        <v>0</v>
      </c>
      <c r="AA723">
        <v>0</v>
      </c>
      <c r="AB723" t="s">
        <v>32</v>
      </c>
      <c r="AC723">
        <v>18.78</v>
      </c>
    </row>
    <row r="724" spans="1:29">
      <c r="A724" t="str">
        <f>"002264"</f>
        <v>002264</v>
      </c>
      <c r="B724" t="s">
        <v>887</v>
      </c>
      <c r="C724">
        <v>3.17</v>
      </c>
      <c r="D724">
        <v>9.44</v>
      </c>
      <c r="E724">
        <v>0.29</v>
      </c>
      <c r="F724">
        <v>9.44</v>
      </c>
      <c r="G724">
        <v>9.45</v>
      </c>
      <c r="H724">
        <v>258032</v>
      </c>
      <c r="I724">
        <v>3427</v>
      </c>
      <c r="J724">
        <v>0</v>
      </c>
      <c r="K724">
        <v>4.29</v>
      </c>
      <c r="L724">
        <v>9.25</v>
      </c>
      <c r="M724">
        <v>9.58</v>
      </c>
      <c r="N724">
        <v>9.17</v>
      </c>
      <c r="O724">
        <v>9.15</v>
      </c>
      <c r="P724">
        <v>56.95</v>
      </c>
      <c r="Q724">
        <v>241563184</v>
      </c>
      <c r="R724">
        <v>1.17</v>
      </c>
      <c r="S724" t="s">
        <v>439</v>
      </c>
      <c r="T724" t="s">
        <v>236</v>
      </c>
      <c r="U724">
        <v>4.48</v>
      </c>
      <c r="V724">
        <v>9.36</v>
      </c>
      <c r="W724">
        <v>112326</v>
      </c>
      <c r="X724">
        <v>145706</v>
      </c>
      <c r="Y724">
        <v>0.77</v>
      </c>
      <c r="Z724">
        <v>1815</v>
      </c>
      <c r="AA724">
        <v>2115</v>
      </c>
      <c r="AB724" t="s">
        <v>32</v>
      </c>
      <c r="AC724">
        <v>6.02</v>
      </c>
    </row>
    <row r="725" spans="1:29">
      <c r="A725" t="str">
        <f>"002265"</f>
        <v>002265</v>
      </c>
      <c r="B725" t="s">
        <v>888</v>
      </c>
      <c r="C725">
        <v>2.72</v>
      </c>
      <c r="D725">
        <v>12.45</v>
      </c>
      <c r="E725">
        <v>0.33</v>
      </c>
      <c r="F725">
        <v>12.44</v>
      </c>
      <c r="G725">
        <v>12.45</v>
      </c>
      <c r="H725">
        <v>234567</v>
      </c>
      <c r="I725">
        <v>3076</v>
      </c>
      <c r="J725">
        <v>0.57</v>
      </c>
      <c r="K725">
        <v>7.74</v>
      </c>
      <c r="L725">
        <v>13.33</v>
      </c>
      <c r="M725">
        <v>13.33</v>
      </c>
      <c r="N725">
        <v>12.36</v>
      </c>
      <c r="O725">
        <v>12.12</v>
      </c>
      <c r="P725">
        <v>283.54</v>
      </c>
      <c r="Q725">
        <v>304197472</v>
      </c>
      <c r="R725">
        <v>7.82</v>
      </c>
      <c r="S725" t="s">
        <v>80</v>
      </c>
      <c r="T725" t="s">
        <v>250</v>
      </c>
      <c r="U725">
        <v>8</v>
      </c>
      <c r="V725">
        <v>12.97</v>
      </c>
      <c r="W725">
        <v>132801</v>
      </c>
      <c r="X725">
        <v>101766</v>
      </c>
      <c r="Y725">
        <v>1.3</v>
      </c>
      <c r="Z725">
        <v>32</v>
      </c>
      <c r="AA725">
        <v>223</v>
      </c>
      <c r="AB725" t="s">
        <v>32</v>
      </c>
      <c r="AC725">
        <v>3.03</v>
      </c>
    </row>
    <row r="726" spans="1:29">
      <c r="A726" t="str">
        <f>"002266"</f>
        <v>002266</v>
      </c>
      <c r="B726" t="s">
        <v>889</v>
      </c>
      <c r="C726">
        <v>1.07</v>
      </c>
      <c r="D726">
        <v>3.78</v>
      </c>
      <c r="E726">
        <v>0.04</v>
      </c>
      <c r="F726">
        <v>3.78</v>
      </c>
      <c r="G726">
        <v>3.79</v>
      </c>
      <c r="H726">
        <v>100384</v>
      </c>
      <c r="I726">
        <v>3018</v>
      </c>
      <c r="J726">
        <v>0</v>
      </c>
      <c r="K726">
        <v>0.62</v>
      </c>
      <c r="L726">
        <v>3.75</v>
      </c>
      <c r="M726">
        <v>3.81</v>
      </c>
      <c r="N726">
        <v>3.73</v>
      </c>
      <c r="O726">
        <v>3.74</v>
      </c>
      <c r="P726">
        <v>109.76</v>
      </c>
      <c r="Q726">
        <v>37971516</v>
      </c>
      <c r="R726">
        <v>2.1</v>
      </c>
      <c r="S726" t="s">
        <v>104</v>
      </c>
      <c r="T726" t="s">
        <v>149</v>
      </c>
      <c r="U726">
        <v>2.14</v>
      </c>
      <c r="V726">
        <v>3.78</v>
      </c>
      <c r="W726">
        <v>40294</v>
      </c>
      <c r="X726">
        <v>60089</v>
      </c>
      <c r="Y726">
        <v>0.67</v>
      </c>
      <c r="Z726">
        <v>1960</v>
      </c>
      <c r="AA726">
        <v>1482</v>
      </c>
      <c r="AB726" t="s">
        <v>32</v>
      </c>
      <c r="AC726">
        <v>16.32</v>
      </c>
    </row>
    <row r="727" spans="1:29">
      <c r="A727" t="str">
        <f>"002267"</f>
        <v>002267</v>
      </c>
      <c r="B727" t="s">
        <v>890</v>
      </c>
      <c r="C727">
        <v>0.79</v>
      </c>
      <c r="D727">
        <v>7.64</v>
      </c>
      <c r="E727">
        <v>0.06</v>
      </c>
      <c r="F727">
        <v>7.63</v>
      </c>
      <c r="G727">
        <v>7.64</v>
      </c>
      <c r="H727">
        <v>84235</v>
      </c>
      <c r="I727">
        <v>683</v>
      </c>
      <c r="J727">
        <v>0.26</v>
      </c>
      <c r="K727">
        <v>0.76</v>
      </c>
      <c r="L727">
        <v>7.5</v>
      </c>
      <c r="M727">
        <v>7.67</v>
      </c>
      <c r="N727">
        <v>7.48</v>
      </c>
      <c r="O727">
        <v>7.58</v>
      </c>
      <c r="P727">
        <v>6.76</v>
      </c>
      <c r="Q727">
        <v>63780160</v>
      </c>
      <c r="R727">
        <v>1.25</v>
      </c>
      <c r="S727" t="s">
        <v>174</v>
      </c>
      <c r="T727" t="s">
        <v>223</v>
      </c>
      <c r="U727">
        <v>2.51</v>
      </c>
      <c r="V727">
        <v>7.57</v>
      </c>
      <c r="W727">
        <v>44775</v>
      </c>
      <c r="X727">
        <v>39459</v>
      </c>
      <c r="Y727">
        <v>1.13</v>
      </c>
      <c r="Z727">
        <v>189</v>
      </c>
      <c r="AA727">
        <v>115</v>
      </c>
      <c r="AB727" t="s">
        <v>32</v>
      </c>
      <c r="AC727">
        <v>11.12</v>
      </c>
    </row>
    <row r="728" spans="1:29">
      <c r="A728" t="str">
        <f>"002268"</f>
        <v>002268</v>
      </c>
      <c r="B728" t="s">
        <v>891</v>
      </c>
      <c r="C728">
        <v>1.42</v>
      </c>
      <c r="D728">
        <v>21.41</v>
      </c>
      <c r="E728">
        <v>0.3</v>
      </c>
      <c r="F728">
        <v>21.41</v>
      </c>
      <c r="G728">
        <v>21.42</v>
      </c>
      <c r="H728">
        <v>129690</v>
      </c>
      <c r="I728">
        <v>1214</v>
      </c>
      <c r="J728">
        <v>-0.08</v>
      </c>
      <c r="K728">
        <v>1.6</v>
      </c>
      <c r="L728">
        <v>21.05</v>
      </c>
      <c r="M728">
        <v>21.92</v>
      </c>
      <c r="N728">
        <v>20.53</v>
      </c>
      <c r="O728">
        <v>21.11</v>
      </c>
      <c r="P728" t="s">
        <v>32</v>
      </c>
      <c r="Q728">
        <v>276353728</v>
      </c>
      <c r="R728">
        <v>1.31</v>
      </c>
      <c r="S728" t="s">
        <v>270</v>
      </c>
      <c r="T728" t="s">
        <v>146</v>
      </c>
      <c r="U728">
        <v>6.58</v>
      </c>
      <c r="V728">
        <v>21.31</v>
      </c>
      <c r="W728">
        <v>60333</v>
      </c>
      <c r="X728">
        <v>69357</v>
      </c>
      <c r="Y728">
        <v>0.87</v>
      </c>
      <c r="Z728">
        <v>782</v>
      </c>
      <c r="AA728">
        <v>58</v>
      </c>
      <c r="AB728" t="s">
        <v>32</v>
      </c>
      <c r="AC728">
        <v>8.1</v>
      </c>
    </row>
    <row r="729" spans="1:29">
      <c r="A729" t="str">
        <f>"002269"</f>
        <v>002269</v>
      </c>
      <c r="B729" t="s">
        <v>892</v>
      </c>
      <c r="C729">
        <v>1.61</v>
      </c>
      <c r="D729">
        <v>3.15</v>
      </c>
      <c r="E729">
        <v>0.05</v>
      </c>
      <c r="F729">
        <v>3.15</v>
      </c>
      <c r="G729">
        <v>3.16</v>
      </c>
      <c r="H729">
        <v>46474</v>
      </c>
      <c r="I729">
        <v>299</v>
      </c>
      <c r="J729">
        <v>-0.31</v>
      </c>
      <c r="K729">
        <v>0.18</v>
      </c>
      <c r="L729">
        <v>3.08</v>
      </c>
      <c r="M729">
        <v>3.17</v>
      </c>
      <c r="N729">
        <v>3.08</v>
      </c>
      <c r="O729">
        <v>3.1</v>
      </c>
      <c r="P729">
        <v>39.25</v>
      </c>
      <c r="Q729">
        <v>14577254</v>
      </c>
      <c r="R729">
        <v>1.46</v>
      </c>
      <c r="S729" t="s">
        <v>622</v>
      </c>
      <c r="T729" t="s">
        <v>366</v>
      </c>
      <c r="U729">
        <v>2.9</v>
      </c>
      <c r="V729">
        <v>3.14</v>
      </c>
      <c r="W729">
        <v>18610</v>
      </c>
      <c r="X729">
        <v>27863</v>
      </c>
      <c r="Y729">
        <v>0.67</v>
      </c>
      <c r="Z729">
        <v>65</v>
      </c>
      <c r="AA729">
        <v>1841</v>
      </c>
      <c r="AB729" t="s">
        <v>32</v>
      </c>
      <c r="AC729">
        <v>25.13</v>
      </c>
    </row>
    <row r="730" spans="1:29">
      <c r="A730" t="str">
        <f>"002270"</f>
        <v>002270</v>
      </c>
      <c r="B730" t="s">
        <v>893</v>
      </c>
      <c r="C730">
        <v>0.22</v>
      </c>
      <c r="D730">
        <v>4.63</v>
      </c>
      <c r="E730">
        <v>0.01</v>
      </c>
      <c r="F730">
        <v>4.62</v>
      </c>
      <c r="G730">
        <v>4.63</v>
      </c>
      <c r="H730">
        <v>20541</v>
      </c>
      <c r="I730">
        <v>569</v>
      </c>
      <c r="J730">
        <v>-0.21</v>
      </c>
      <c r="K730">
        <v>0.48</v>
      </c>
      <c r="L730">
        <v>4.65</v>
      </c>
      <c r="M730">
        <v>4.66</v>
      </c>
      <c r="N730">
        <v>4.6</v>
      </c>
      <c r="O730">
        <v>4.62</v>
      </c>
      <c r="P730">
        <v>31.5</v>
      </c>
      <c r="Q730">
        <v>9498506</v>
      </c>
      <c r="R730">
        <v>1.19</v>
      </c>
      <c r="S730" t="s">
        <v>104</v>
      </c>
      <c r="T730" t="s">
        <v>162</v>
      </c>
      <c r="U730">
        <v>1.3</v>
      </c>
      <c r="V730">
        <v>4.62</v>
      </c>
      <c r="W730">
        <v>10688</v>
      </c>
      <c r="X730">
        <v>9853</v>
      </c>
      <c r="Y730">
        <v>1.08</v>
      </c>
      <c r="Z730">
        <v>625</v>
      </c>
      <c r="AA730">
        <v>327</v>
      </c>
      <c r="AB730" t="s">
        <v>32</v>
      </c>
      <c r="AC730">
        <v>4.31</v>
      </c>
    </row>
    <row r="731" spans="1:29">
      <c r="A731" t="str">
        <f>"002271"</f>
        <v>002271</v>
      </c>
      <c r="B731" t="s">
        <v>894</v>
      </c>
      <c r="C731">
        <v>8.14</v>
      </c>
      <c r="D731">
        <v>18.6</v>
      </c>
      <c r="E731">
        <v>1.4</v>
      </c>
      <c r="F731">
        <v>18.59</v>
      </c>
      <c r="G731">
        <v>18.6</v>
      </c>
      <c r="H731">
        <v>486027</v>
      </c>
      <c r="I731">
        <v>2112</v>
      </c>
      <c r="J731">
        <v>0.54</v>
      </c>
      <c r="K731">
        <v>5</v>
      </c>
      <c r="L731">
        <v>18.18</v>
      </c>
      <c r="M731">
        <v>18.77</v>
      </c>
      <c r="N731">
        <v>17.69</v>
      </c>
      <c r="O731">
        <v>17.2</v>
      </c>
      <c r="P731">
        <v>70.52</v>
      </c>
      <c r="Q731">
        <v>892369152</v>
      </c>
      <c r="R731">
        <v>2.01</v>
      </c>
      <c r="S731" t="s">
        <v>69</v>
      </c>
      <c r="T731" t="s">
        <v>45</v>
      </c>
      <c r="U731">
        <v>6.28</v>
      </c>
      <c r="V731">
        <v>18.36</v>
      </c>
      <c r="W731">
        <v>238168</v>
      </c>
      <c r="X731">
        <v>247858</v>
      </c>
      <c r="Y731">
        <v>0.96</v>
      </c>
      <c r="Z731">
        <v>93</v>
      </c>
      <c r="AA731">
        <v>2541</v>
      </c>
      <c r="AB731" t="s">
        <v>32</v>
      </c>
      <c r="AC731">
        <v>9.72</v>
      </c>
    </row>
    <row r="732" spans="1:29">
      <c r="A732" t="str">
        <f>"002272"</f>
        <v>002272</v>
      </c>
      <c r="B732" t="s">
        <v>895</v>
      </c>
      <c r="C732">
        <v>2.15</v>
      </c>
      <c r="D732">
        <v>4.28</v>
      </c>
      <c r="E732">
        <v>0.09</v>
      </c>
      <c r="F732">
        <v>4.27</v>
      </c>
      <c r="G732">
        <v>4.28</v>
      </c>
      <c r="H732">
        <v>45934</v>
      </c>
      <c r="I732">
        <v>630</v>
      </c>
      <c r="J732">
        <v>0</v>
      </c>
      <c r="K732">
        <v>1.44</v>
      </c>
      <c r="L732">
        <v>4.19</v>
      </c>
      <c r="M732">
        <v>4.3</v>
      </c>
      <c r="N732">
        <v>4.16</v>
      </c>
      <c r="O732">
        <v>4.19</v>
      </c>
      <c r="P732" t="s">
        <v>32</v>
      </c>
      <c r="Q732">
        <v>19568432</v>
      </c>
      <c r="R732">
        <v>3.99</v>
      </c>
      <c r="S732" t="s">
        <v>241</v>
      </c>
      <c r="T732" t="s">
        <v>146</v>
      </c>
      <c r="U732">
        <v>3.34</v>
      </c>
      <c r="V732">
        <v>4.26</v>
      </c>
      <c r="W732">
        <v>14949</v>
      </c>
      <c r="X732">
        <v>30984</v>
      </c>
      <c r="Y732">
        <v>0.48</v>
      </c>
      <c r="Z732">
        <v>216</v>
      </c>
      <c r="AA732">
        <v>347</v>
      </c>
      <c r="AB732" t="s">
        <v>32</v>
      </c>
      <c r="AC732">
        <v>3.18</v>
      </c>
    </row>
    <row r="733" spans="1:29">
      <c r="A733" t="str">
        <f>"002273"</f>
        <v>002273</v>
      </c>
      <c r="B733" t="s">
        <v>896</v>
      </c>
      <c r="C733">
        <v>1.06</v>
      </c>
      <c r="D733">
        <v>13.4</v>
      </c>
      <c r="E733">
        <v>0.14</v>
      </c>
      <c r="F733">
        <v>13.4</v>
      </c>
      <c r="G733">
        <v>13.41</v>
      </c>
      <c r="H733">
        <v>163948</v>
      </c>
      <c r="I733">
        <v>1442</v>
      </c>
      <c r="J733">
        <v>-0.06</v>
      </c>
      <c r="K733">
        <v>2.05</v>
      </c>
      <c r="L733">
        <v>13.31</v>
      </c>
      <c r="M733">
        <v>13.48</v>
      </c>
      <c r="N733">
        <v>13.08</v>
      </c>
      <c r="O733">
        <v>13.26</v>
      </c>
      <c r="P733">
        <v>49.31</v>
      </c>
      <c r="Q733">
        <v>218739088</v>
      </c>
      <c r="R733">
        <v>1.36</v>
      </c>
      <c r="S733" t="s">
        <v>63</v>
      </c>
      <c r="T733" t="s">
        <v>149</v>
      </c>
      <c r="U733">
        <v>3.02</v>
      </c>
      <c r="V733">
        <v>13.34</v>
      </c>
      <c r="W733">
        <v>75122</v>
      </c>
      <c r="X733">
        <v>88825</v>
      </c>
      <c r="Y733">
        <v>0.85</v>
      </c>
      <c r="Z733">
        <v>931</v>
      </c>
      <c r="AA733">
        <v>599</v>
      </c>
      <c r="AB733" t="s">
        <v>32</v>
      </c>
      <c r="AC733">
        <v>7.99</v>
      </c>
    </row>
    <row r="734" spans="1:29">
      <c r="A734" t="str">
        <f>"002274"</f>
        <v>002274</v>
      </c>
      <c r="B734" t="s">
        <v>897</v>
      </c>
      <c r="C734">
        <v>1</v>
      </c>
      <c r="D734">
        <v>6.08</v>
      </c>
      <c r="E734">
        <v>0.06</v>
      </c>
      <c r="F734">
        <v>6.07</v>
      </c>
      <c r="G734">
        <v>6.08</v>
      </c>
      <c r="H734">
        <v>20015</v>
      </c>
      <c r="I734">
        <v>2088</v>
      </c>
      <c r="J734">
        <v>0</v>
      </c>
      <c r="K734">
        <v>0.41</v>
      </c>
      <c r="L734">
        <v>6.02</v>
      </c>
      <c r="M734">
        <v>6.09</v>
      </c>
      <c r="N734">
        <v>5.99</v>
      </c>
      <c r="O734">
        <v>6.02</v>
      </c>
      <c r="P734">
        <v>307.46</v>
      </c>
      <c r="Q734">
        <v>12132130</v>
      </c>
      <c r="R734">
        <v>2.25</v>
      </c>
      <c r="S734" t="s">
        <v>145</v>
      </c>
      <c r="T734" t="s">
        <v>87</v>
      </c>
      <c r="U734">
        <v>1.66</v>
      </c>
      <c r="V734">
        <v>6.06</v>
      </c>
      <c r="W734">
        <v>9120</v>
      </c>
      <c r="X734">
        <v>10895</v>
      </c>
      <c r="Y734">
        <v>0.84</v>
      </c>
      <c r="Z734">
        <v>470</v>
      </c>
      <c r="AA734">
        <v>372</v>
      </c>
      <c r="AB734" t="s">
        <v>32</v>
      </c>
      <c r="AC734">
        <v>4.9</v>
      </c>
    </row>
    <row r="735" spans="1:29">
      <c r="A735" t="str">
        <f>"002275"</f>
        <v>002275</v>
      </c>
      <c r="B735" t="s">
        <v>898</v>
      </c>
      <c r="C735">
        <v>2.59</v>
      </c>
      <c r="D735">
        <v>15.05</v>
      </c>
      <c r="E735">
        <v>0.38</v>
      </c>
      <c r="F735">
        <v>15.05</v>
      </c>
      <c r="G735">
        <v>15.07</v>
      </c>
      <c r="H735">
        <v>21754</v>
      </c>
      <c r="I735">
        <v>262</v>
      </c>
      <c r="J735">
        <v>0</v>
      </c>
      <c r="K735">
        <v>0.41</v>
      </c>
      <c r="L735">
        <v>14.68</v>
      </c>
      <c r="M735">
        <v>15.11</v>
      </c>
      <c r="N735">
        <v>14.46</v>
      </c>
      <c r="O735">
        <v>14.67</v>
      </c>
      <c r="P735">
        <v>26.59</v>
      </c>
      <c r="Q735">
        <v>32351980</v>
      </c>
      <c r="R735">
        <v>2.59</v>
      </c>
      <c r="S735" t="s">
        <v>195</v>
      </c>
      <c r="T735" t="s">
        <v>238</v>
      </c>
      <c r="U735">
        <v>4.43</v>
      </c>
      <c r="V735">
        <v>14.87</v>
      </c>
      <c r="W735">
        <v>8595</v>
      </c>
      <c r="X735">
        <v>13159</v>
      </c>
      <c r="Y735">
        <v>0.65</v>
      </c>
      <c r="Z735">
        <v>207</v>
      </c>
      <c r="AA735">
        <v>27</v>
      </c>
      <c r="AB735" t="s">
        <v>32</v>
      </c>
      <c r="AC735">
        <v>5.33</v>
      </c>
    </row>
    <row r="736" spans="1:29">
      <c r="A736" t="str">
        <f>"002276"</f>
        <v>002276</v>
      </c>
      <c r="B736" t="s">
        <v>899</v>
      </c>
      <c r="C736">
        <v>0.84</v>
      </c>
      <c r="D736">
        <v>6.01</v>
      </c>
      <c r="E736">
        <v>0.05</v>
      </c>
      <c r="F736">
        <v>6</v>
      </c>
      <c r="G736">
        <v>6.01</v>
      </c>
      <c r="H736">
        <v>110898</v>
      </c>
      <c r="I736">
        <v>1876</v>
      </c>
      <c r="J736">
        <v>0.33</v>
      </c>
      <c r="K736">
        <v>1.07</v>
      </c>
      <c r="L736">
        <v>5.98</v>
      </c>
      <c r="M736">
        <v>6.05</v>
      </c>
      <c r="N736">
        <v>5.93</v>
      </c>
      <c r="O736">
        <v>5.96</v>
      </c>
      <c r="P736" t="s">
        <v>32</v>
      </c>
      <c r="Q736">
        <v>66533892</v>
      </c>
      <c r="R736">
        <v>1.05</v>
      </c>
      <c r="S736" t="s">
        <v>104</v>
      </c>
      <c r="T736" t="s">
        <v>149</v>
      </c>
      <c r="U736">
        <v>2.01</v>
      </c>
      <c r="V736">
        <v>6</v>
      </c>
      <c r="W736">
        <v>52348</v>
      </c>
      <c r="X736">
        <v>58549</v>
      </c>
      <c r="Y736">
        <v>0.89</v>
      </c>
      <c r="Z736">
        <v>74</v>
      </c>
      <c r="AA736">
        <v>867</v>
      </c>
      <c r="AB736" t="s">
        <v>32</v>
      </c>
      <c r="AC736">
        <v>10.34</v>
      </c>
    </row>
    <row r="737" spans="1:29">
      <c r="A737" t="str">
        <f>"002277"</f>
        <v>002277</v>
      </c>
      <c r="B737" t="s">
        <v>900</v>
      </c>
      <c r="C737">
        <v>2.6</v>
      </c>
      <c r="D737">
        <v>4.34</v>
      </c>
      <c r="E737">
        <v>0.11</v>
      </c>
      <c r="F737">
        <v>4.34</v>
      </c>
      <c r="G737">
        <v>4.35</v>
      </c>
      <c r="H737">
        <v>166748</v>
      </c>
      <c r="I737">
        <v>2885</v>
      </c>
      <c r="J737">
        <v>0</v>
      </c>
      <c r="K737">
        <v>1.18</v>
      </c>
      <c r="L737">
        <v>4.24</v>
      </c>
      <c r="M737">
        <v>4.36</v>
      </c>
      <c r="N737">
        <v>4.22</v>
      </c>
      <c r="O737">
        <v>4.23</v>
      </c>
      <c r="P737">
        <v>8.75</v>
      </c>
      <c r="Q737">
        <v>71946528</v>
      </c>
      <c r="R737">
        <v>1.45</v>
      </c>
      <c r="S737" t="s">
        <v>186</v>
      </c>
      <c r="T737" t="s">
        <v>152</v>
      </c>
      <c r="U737">
        <v>3.31</v>
      </c>
      <c r="V737">
        <v>4.31</v>
      </c>
      <c r="W737">
        <v>72942</v>
      </c>
      <c r="X737">
        <v>93805</v>
      </c>
      <c r="Y737">
        <v>0.78</v>
      </c>
      <c r="Z737">
        <v>107</v>
      </c>
      <c r="AA737">
        <v>1471</v>
      </c>
      <c r="AB737" t="s">
        <v>32</v>
      </c>
      <c r="AC737">
        <v>14.17</v>
      </c>
    </row>
    <row r="738" spans="1:29">
      <c r="A738" t="str">
        <f>"002278"</f>
        <v>002278</v>
      </c>
      <c r="B738" t="s">
        <v>901</v>
      </c>
      <c r="C738">
        <v>-1.87</v>
      </c>
      <c r="D738">
        <v>9.46</v>
      </c>
      <c r="E738">
        <v>-0.18</v>
      </c>
      <c r="F738">
        <v>9.46</v>
      </c>
      <c r="G738">
        <v>9.47</v>
      </c>
      <c r="H738">
        <v>59897</v>
      </c>
      <c r="I738">
        <v>2192</v>
      </c>
      <c r="J738">
        <v>0</v>
      </c>
      <c r="K738">
        <v>1.74</v>
      </c>
      <c r="L738">
        <v>9.52</v>
      </c>
      <c r="M738">
        <v>9.63</v>
      </c>
      <c r="N738">
        <v>9.31</v>
      </c>
      <c r="O738">
        <v>9.64</v>
      </c>
      <c r="P738" t="s">
        <v>32</v>
      </c>
      <c r="Q738">
        <v>56737496</v>
      </c>
      <c r="R738">
        <v>0.72</v>
      </c>
      <c r="S738" t="s">
        <v>504</v>
      </c>
      <c r="T738" t="s">
        <v>366</v>
      </c>
      <c r="U738">
        <v>3.32</v>
      </c>
      <c r="V738">
        <v>9.47</v>
      </c>
      <c r="W738">
        <v>33048</v>
      </c>
      <c r="X738">
        <v>26849</v>
      </c>
      <c r="Y738">
        <v>1.23</v>
      </c>
      <c r="Z738">
        <v>378</v>
      </c>
      <c r="AA738">
        <v>195</v>
      </c>
      <c r="AB738" t="s">
        <v>32</v>
      </c>
      <c r="AC738">
        <v>3.44</v>
      </c>
    </row>
    <row r="739" spans="1:29">
      <c r="A739" t="str">
        <f>"002279"</f>
        <v>002279</v>
      </c>
      <c r="B739" t="s">
        <v>902</v>
      </c>
      <c r="C739">
        <v>1.57</v>
      </c>
      <c r="D739">
        <v>9.7</v>
      </c>
      <c r="E739">
        <v>0.15</v>
      </c>
      <c r="F739">
        <v>9.7</v>
      </c>
      <c r="G739">
        <v>9.71</v>
      </c>
      <c r="H739">
        <v>139993</v>
      </c>
      <c r="I739">
        <v>1009</v>
      </c>
      <c r="J739">
        <v>0.1</v>
      </c>
      <c r="K739">
        <v>2.38</v>
      </c>
      <c r="L739">
        <v>9.54</v>
      </c>
      <c r="M739">
        <v>9.74</v>
      </c>
      <c r="N739">
        <v>9.42</v>
      </c>
      <c r="O739">
        <v>9.55</v>
      </c>
      <c r="P739">
        <v>231.3</v>
      </c>
      <c r="Q739">
        <v>134877904</v>
      </c>
      <c r="R739">
        <v>1.25</v>
      </c>
      <c r="S739" t="s">
        <v>270</v>
      </c>
      <c r="T739" t="s">
        <v>45</v>
      </c>
      <c r="U739">
        <v>3.35</v>
      </c>
      <c r="V739">
        <v>9.63</v>
      </c>
      <c r="W739">
        <v>71437</v>
      </c>
      <c r="X739">
        <v>68555</v>
      </c>
      <c r="Y739">
        <v>1.04</v>
      </c>
      <c r="Z739">
        <v>704</v>
      </c>
      <c r="AA739">
        <v>1060</v>
      </c>
      <c r="AB739" t="s">
        <v>32</v>
      </c>
      <c r="AC739">
        <v>5.89</v>
      </c>
    </row>
    <row r="740" spans="1:29">
      <c r="A740" t="str">
        <f>"002280"</f>
        <v>002280</v>
      </c>
      <c r="B740" t="s">
        <v>903</v>
      </c>
      <c r="C740">
        <v>2.38</v>
      </c>
      <c r="D740">
        <v>5.6</v>
      </c>
      <c r="E740">
        <v>0.13</v>
      </c>
      <c r="F740">
        <v>5.59</v>
      </c>
      <c r="G740">
        <v>5.6</v>
      </c>
      <c r="H740">
        <v>225655</v>
      </c>
      <c r="I740">
        <v>1877</v>
      </c>
      <c r="J740">
        <v>0</v>
      </c>
      <c r="K740">
        <v>1.22</v>
      </c>
      <c r="L740">
        <v>5.49</v>
      </c>
      <c r="M740">
        <v>5.67</v>
      </c>
      <c r="N740">
        <v>5.42</v>
      </c>
      <c r="O740">
        <v>5.47</v>
      </c>
      <c r="P740">
        <v>29.35</v>
      </c>
      <c r="Q740">
        <v>125472496</v>
      </c>
      <c r="R740">
        <v>1.51</v>
      </c>
      <c r="S740" t="s">
        <v>270</v>
      </c>
      <c r="T740" t="s">
        <v>149</v>
      </c>
      <c r="U740">
        <v>4.57</v>
      </c>
      <c r="V740">
        <v>5.56</v>
      </c>
      <c r="W740">
        <v>102373</v>
      </c>
      <c r="X740">
        <v>123282</v>
      </c>
      <c r="Y740">
        <v>0.83</v>
      </c>
      <c r="Z740">
        <v>877</v>
      </c>
      <c r="AA740">
        <v>1139</v>
      </c>
      <c r="AB740" t="s">
        <v>32</v>
      </c>
      <c r="AC740">
        <v>18.5</v>
      </c>
    </row>
    <row r="741" spans="1:29">
      <c r="A741" t="str">
        <f>"002281"</f>
        <v>002281</v>
      </c>
      <c r="B741" t="s">
        <v>904</v>
      </c>
      <c r="C741">
        <v>-0.18</v>
      </c>
      <c r="D741">
        <v>22.7</v>
      </c>
      <c r="E741">
        <v>-0.04</v>
      </c>
      <c r="F741">
        <v>22.69</v>
      </c>
      <c r="G741">
        <v>22.7</v>
      </c>
      <c r="H741">
        <v>91412</v>
      </c>
      <c r="I741">
        <v>1181</v>
      </c>
      <c r="J741">
        <v>0.04</v>
      </c>
      <c r="K741">
        <v>1.47</v>
      </c>
      <c r="L741">
        <v>22.7</v>
      </c>
      <c r="M741">
        <v>22.88</v>
      </c>
      <c r="N741">
        <v>22.3</v>
      </c>
      <c r="O741">
        <v>22.74</v>
      </c>
      <c r="P741">
        <v>47.26</v>
      </c>
      <c r="Q741">
        <v>206890928</v>
      </c>
      <c r="R741">
        <v>1.02</v>
      </c>
      <c r="S741" t="s">
        <v>119</v>
      </c>
      <c r="T741" t="s">
        <v>193</v>
      </c>
      <c r="U741">
        <v>2.55</v>
      </c>
      <c r="V741">
        <v>22.63</v>
      </c>
      <c r="W741">
        <v>50933</v>
      </c>
      <c r="X741">
        <v>40478</v>
      </c>
      <c r="Y741">
        <v>1.26</v>
      </c>
      <c r="Z741">
        <v>125</v>
      </c>
      <c r="AA741">
        <v>143</v>
      </c>
      <c r="AB741" t="s">
        <v>32</v>
      </c>
      <c r="AC741">
        <v>6.23</v>
      </c>
    </row>
    <row r="742" spans="1:29">
      <c r="A742" t="str">
        <f>"002282"</f>
        <v>002282</v>
      </c>
      <c r="B742" t="s">
        <v>905</v>
      </c>
      <c r="C742">
        <v>3.88</v>
      </c>
      <c r="D742">
        <v>10.44</v>
      </c>
      <c r="E742">
        <v>0.39</v>
      </c>
      <c r="F742">
        <v>10.43</v>
      </c>
      <c r="G742">
        <v>10.44</v>
      </c>
      <c r="H742">
        <v>46497</v>
      </c>
      <c r="I742">
        <v>406</v>
      </c>
      <c r="J742">
        <v>0.1</v>
      </c>
      <c r="K742">
        <v>2.53</v>
      </c>
      <c r="L742">
        <v>10</v>
      </c>
      <c r="M742">
        <v>10.56</v>
      </c>
      <c r="N742">
        <v>9.99</v>
      </c>
      <c r="O742">
        <v>10.05</v>
      </c>
      <c r="P742">
        <v>76.24</v>
      </c>
      <c r="Q742">
        <v>48134560</v>
      </c>
      <c r="R742">
        <v>2.94</v>
      </c>
      <c r="S742" t="s">
        <v>93</v>
      </c>
      <c r="T742" t="s">
        <v>154</v>
      </c>
      <c r="U742">
        <v>5.67</v>
      </c>
      <c r="V742">
        <v>10.35</v>
      </c>
      <c r="W742">
        <v>19592</v>
      </c>
      <c r="X742">
        <v>26904</v>
      </c>
      <c r="Y742">
        <v>0.73</v>
      </c>
      <c r="Z742">
        <v>231</v>
      </c>
      <c r="AA742">
        <v>564</v>
      </c>
      <c r="AB742" t="s">
        <v>32</v>
      </c>
      <c r="AC742">
        <v>1.84</v>
      </c>
    </row>
    <row r="743" spans="1:29">
      <c r="A743" t="str">
        <f>"002283"</f>
        <v>002283</v>
      </c>
      <c r="B743" t="s">
        <v>906</v>
      </c>
      <c r="C743">
        <v>3.55</v>
      </c>
      <c r="D743">
        <v>4.08</v>
      </c>
      <c r="E743">
        <v>0.14</v>
      </c>
      <c r="F743">
        <v>4.07</v>
      </c>
      <c r="G743">
        <v>4.08</v>
      </c>
      <c r="H743">
        <v>122766</v>
      </c>
      <c r="I743">
        <v>2096</v>
      </c>
      <c r="J743">
        <v>0.25</v>
      </c>
      <c r="K743">
        <v>1.09</v>
      </c>
      <c r="L743">
        <v>3.95</v>
      </c>
      <c r="M743">
        <v>4.15</v>
      </c>
      <c r="N743">
        <v>3.91</v>
      </c>
      <c r="O743">
        <v>3.94</v>
      </c>
      <c r="P743">
        <v>13.6</v>
      </c>
      <c r="Q743">
        <v>49607076</v>
      </c>
      <c r="R743">
        <v>2.36</v>
      </c>
      <c r="S743" t="s">
        <v>80</v>
      </c>
      <c r="T743" t="s">
        <v>162</v>
      </c>
      <c r="U743">
        <v>6.09</v>
      </c>
      <c r="V743">
        <v>4.04</v>
      </c>
      <c r="W743">
        <v>52460</v>
      </c>
      <c r="X743">
        <v>70306</v>
      </c>
      <c r="Y743">
        <v>0.75</v>
      </c>
      <c r="Z743">
        <v>2</v>
      </c>
      <c r="AA743">
        <v>1455</v>
      </c>
      <c r="AB743" t="s">
        <v>32</v>
      </c>
      <c r="AC743">
        <v>11.25</v>
      </c>
    </row>
    <row r="744" spans="1:29">
      <c r="A744" t="str">
        <f>"002284"</f>
        <v>002284</v>
      </c>
      <c r="B744" t="s">
        <v>907</v>
      </c>
      <c r="C744">
        <v>1.35</v>
      </c>
      <c r="D744">
        <v>6</v>
      </c>
      <c r="E744">
        <v>0.08</v>
      </c>
      <c r="F744">
        <v>5.99</v>
      </c>
      <c r="G744">
        <v>6</v>
      </c>
      <c r="H744">
        <v>41849</v>
      </c>
      <c r="I744">
        <v>1456</v>
      </c>
      <c r="J744">
        <v>0.17</v>
      </c>
      <c r="K744">
        <v>0.61</v>
      </c>
      <c r="L744">
        <v>5.89</v>
      </c>
      <c r="M744">
        <v>6.02</v>
      </c>
      <c r="N744">
        <v>5.86</v>
      </c>
      <c r="O744">
        <v>5.92</v>
      </c>
      <c r="P744">
        <v>49.04</v>
      </c>
      <c r="Q744">
        <v>25002962</v>
      </c>
      <c r="R744">
        <v>1.19</v>
      </c>
      <c r="S744" t="s">
        <v>80</v>
      </c>
      <c r="T744" t="s">
        <v>149</v>
      </c>
      <c r="U744">
        <v>2.7</v>
      </c>
      <c r="V744">
        <v>5.97</v>
      </c>
      <c r="W744">
        <v>22263</v>
      </c>
      <c r="X744">
        <v>19585</v>
      </c>
      <c r="Y744">
        <v>1.14</v>
      </c>
      <c r="Z744">
        <v>296</v>
      </c>
      <c r="AA744">
        <v>1537</v>
      </c>
      <c r="AB744" t="s">
        <v>32</v>
      </c>
      <c r="AC744">
        <v>6.86</v>
      </c>
    </row>
    <row r="745" spans="1:29">
      <c r="A745" t="str">
        <f>"002285"</f>
        <v>002285</v>
      </c>
      <c r="B745" t="s">
        <v>908</v>
      </c>
      <c r="C745">
        <v>2.1</v>
      </c>
      <c r="D745">
        <v>6.33</v>
      </c>
      <c r="E745">
        <v>0.13</v>
      </c>
      <c r="F745">
        <v>6.32</v>
      </c>
      <c r="G745">
        <v>6.33</v>
      </c>
      <c r="H745">
        <v>180779</v>
      </c>
      <c r="I745">
        <v>2293</v>
      </c>
      <c r="J745">
        <v>0</v>
      </c>
      <c r="K745">
        <v>0.91</v>
      </c>
      <c r="L745">
        <v>6.16</v>
      </c>
      <c r="M745">
        <v>6.4</v>
      </c>
      <c r="N745">
        <v>6.15</v>
      </c>
      <c r="O745">
        <v>6.2</v>
      </c>
      <c r="P745" t="s">
        <v>32</v>
      </c>
      <c r="Q745">
        <v>114130232</v>
      </c>
      <c r="R745">
        <v>1.27</v>
      </c>
      <c r="S745" t="s">
        <v>38</v>
      </c>
      <c r="T745" t="s">
        <v>31</v>
      </c>
      <c r="U745">
        <v>4.03</v>
      </c>
      <c r="V745">
        <v>6.31</v>
      </c>
      <c r="W745">
        <v>71868</v>
      </c>
      <c r="X745">
        <v>108911</v>
      </c>
      <c r="Y745">
        <v>0.66</v>
      </c>
      <c r="Z745">
        <v>2674</v>
      </c>
      <c r="AA745">
        <v>455</v>
      </c>
      <c r="AB745" t="s">
        <v>32</v>
      </c>
      <c r="AC745">
        <v>19.93</v>
      </c>
    </row>
    <row r="746" spans="1:29">
      <c r="A746" t="str">
        <f>"002286"</f>
        <v>002286</v>
      </c>
      <c r="B746" t="s">
        <v>909</v>
      </c>
      <c r="C746">
        <v>0.68</v>
      </c>
      <c r="D746">
        <v>8.94</v>
      </c>
      <c r="E746">
        <v>0.06</v>
      </c>
      <c r="F746">
        <v>8.93</v>
      </c>
      <c r="G746">
        <v>8.94</v>
      </c>
      <c r="H746">
        <v>11240</v>
      </c>
      <c r="I746">
        <v>372</v>
      </c>
      <c r="J746">
        <v>0.11</v>
      </c>
      <c r="K746">
        <v>0.34</v>
      </c>
      <c r="L746">
        <v>8.78</v>
      </c>
      <c r="M746">
        <v>8.96</v>
      </c>
      <c r="N746">
        <v>8.78</v>
      </c>
      <c r="O746">
        <v>8.88</v>
      </c>
      <c r="P746">
        <v>57.82</v>
      </c>
      <c r="Q746">
        <v>10007137</v>
      </c>
      <c r="R746">
        <v>1.34</v>
      </c>
      <c r="S746" t="s">
        <v>213</v>
      </c>
      <c r="T746" t="s">
        <v>162</v>
      </c>
      <c r="U746">
        <v>2.03</v>
      </c>
      <c r="V746">
        <v>8.9</v>
      </c>
      <c r="W746">
        <v>5154</v>
      </c>
      <c r="X746">
        <v>6085</v>
      </c>
      <c r="Y746">
        <v>0.85</v>
      </c>
      <c r="Z746">
        <v>120</v>
      </c>
      <c r="AA746">
        <v>150</v>
      </c>
      <c r="AB746" t="s">
        <v>32</v>
      </c>
      <c r="AC746">
        <v>3.29</v>
      </c>
    </row>
    <row r="747" spans="1:29">
      <c r="A747" t="str">
        <f>"002287"</f>
        <v>002287</v>
      </c>
      <c r="B747" t="s">
        <v>910</v>
      </c>
      <c r="C747">
        <v>0.94</v>
      </c>
      <c r="D747">
        <v>28.99</v>
      </c>
      <c r="E747">
        <v>0.27</v>
      </c>
      <c r="F747">
        <v>28.98</v>
      </c>
      <c r="G747">
        <v>28.99</v>
      </c>
      <c r="H747">
        <v>7826</v>
      </c>
      <c r="I747">
        <v>82</v>
      </c>
      <c r="J747">
        <v>0.07</v>
      </c>
      <c r="K747">
        <v>0.19</v>
      </c>
      <c r="L747">
        <v>28.72</v>
      </c>
      <c r="M747">
        <v>29.11</v>
      </c>
      <c r="N747">
        <v>28.54</v>
      </c>
      <c r="O747">
        <v>28.72</v>
      </c>
      <c r="P747">
        <v>38.17</v>
      </c>
      <c r="Q747">
        <v>22636980</v>
      </c>
      <c r="R747">
        <v>1.42</v>
      </c>
      <c r="S747" t="s">
        <v>195</v>
      </c>
      <c r="T747" t="s">
        <v>432</v>
      </c>
      <c r="U747">
        <v>1.98</v>
      </c>
      <c r="V747">
        <v>28.92</v>
      </c>
      <c r="W747">
        <v>3908</v>
      </c>
      <c r="X747">
        <v>3918</v>
      </c>
      <c r="Y747">
        <v>1</v>
      </c>
      <c r="Z747">
        <v>69</v>
      </c>
      <c r="AA747">
        <v>10</v>
      </c>
      <c r="AB747" t="s">
        <v>32</v>
      </c>
      <c r="AC747">
        <v>4.06</v>
      </c>
    </row>
    <row r="748" spans="1:29">
      <c r="A748" t="str">
        <f>"002288"</f>
        <v>002288</v>
      </c>
      <c r="B748" t="s">
        <v>911</v>
      </c>
      <c r="C748">
        <v>0.9</v>
      </c>
      <c r="D748">
        <v>4.5</v>
      </c>
      <c r="E748">
        <v>0.04</v>
      </c>
      <c r="F748">
        <v>4.49</v>
      </c>
      <c r="G748">
        <v>4.5</v>
      </c>
      <c r="H748">
        <v>134127</v>
      </c>
      <c r="I748">
        <v>1647</v>
      </c>
      <c r="J748">
        <v>0.45</v>
      </c>
      <c r="K748">
        <v>1.68</v>
      </c>
      <c r="L748">
        <v>4.49</v>
      </c>
      <c r="M748">
        <v>4.52</v>
      </c>
      <c r="N748">
        <v>4.41</v>
      </c>
      <c r="O748">
        <v>4.46</v>
      </c>
      <c r="P748">
        <v>68.11</v>
      </c>
      <c r="Q748">
        <v>59973904</v>
      </c>
      <c r="R748">
        <v>0.56</v>
      </c>
      <c r="S748" t="s">
        <v>63</v>
      </c>
      <c r="T748" t="s">
        <v>136</v>
      </c>
      <c r="U748">
        <v>2.47</v>
      </c>
      <c r="V748">
        <v>4.47</v>
      </c>
      <c r="W748">
        <v>69531</v>
      </c>
      <c r="X748">
        <v>64595</v>
      </c>
      <c r="Y748">
        <v>1.08</v>
      </c>
      <c r="Z748">
        <v>1008</v>
      </c>
      <c r="AA748">
        <v>3352</v>
      </c>
      <c r="AB748" t="s">
        <v>32</v>
      </c>
      <c r="AC748">
        <v>8</v>
      </c>
    </row>
    <row r="749" spans="1:29">
      <c r="A749" t="str">
        <f>"002289"</f>
        <v>002289</v>
      </c>
      <c r="B749" t="s">
        <v>912</v>
      </c>
      <c r="C749">
        <v>0.88</v>
      </c>
      <c r="D749">
        <v>8</v>
      </c>
      <c r="E749">
        <v>0.07</v>
      </c>
      <c r="F749">
        <v>8</v>
      </c>
      <c r="G749">
        <v>8.01</v>
      </c>
      <c r="H749">
        <v>71169</v>
      </c>
      <c r="I749">
        <v>677</v>
      </c>
      <c r="J749">
        <v>-0.11</v>
      </c>
      <c r="K749">
        <v>2.74</v>
      </c>
      <c r="L749">
        <v>7.93</v>
      </c>
      <c r="M749">
        <v>8.11</v>
      </c>
      <c r="N749">
        <v>7.86</v>
      </c>
      <c r="O749">
        <v>7.93</v>
      </c>
      <c r="P749" t="s">
        <v>32</v>
      </c>
      <c r="Q749">
        <v>56830960</v>
      </c>
      <c r="R749">
        <v>1.03</v>
      </c>
      <c r="S749" t="s">
        <v>63</v>
      </c>
      <c r="T749" t="s">
        <v>31</v>
      </c>
      <c r="U749">
        <v>3.15</v>
      </c>
      <c r="V749">
        <v>7.99</v>
      </c>
      <c r="W749">
        <v>38047</v>
      </c>
      <c r="X749">
        <v>33121</v>
      </c>
      <c r="Y749">
        <v>1.15</v>
      </c>
      <c r="Z749">
        <v>247</v>
      </c>
      <c r="AA749">
        <v>232</v>
      </c>
      <c r="AB749" t="s">
        <v>32</v>
      </c>
      <c r="AC749">
        <v>2.6</v>
      </c>
    </row>
    <row r="750" spans="1:29">
      <c r="A750" t="str">
        <f>"002290"</f>
        <v>002290</v>
      </c>
      <c r="B750" t="s">
        <v>913</v>
      </c>
      <c r="C750">
        <v>0.98</v>
      </c>
      <c r="D750">
        <v>11.31</v>
      </c>
      <c r="E750">
        <v>0.11</v>
      </c>
      <c r="F750">
        <v>11.31</v>
      </c>
      <c r="G750">
        <v>11.32</v>
      </c>
      <c r="H750">
        <v>30669</v>
      </c>
      <c r="I750">
        <v>561</v>
      </c>
      <c r="J750">
        <v>0.09</v>
      </c>
      <c r="K750">
        <v>1.87</v>
      </c>
      <c r="L750">
        <v>11.3</v>
      </c>
      <c r="M750">
        <v>11.37</v>
      </c>
      <c r="N750">
        <v>11.15</v>
      </c>
      <c r="O750">
        <v>11.2</v>
      </c>
      <c r="P750">
        <v>34.35</v>
      </c>
      <c r="Q750">
        <v>34516860</v>
      </c>
      <c r="R750">
        <v>1.4</v>
      </c>
      <c r="S750" t="s">
        <v>55</v>
      </c>
      <c r="T750" t="s">
        <v>87</v>
      </c>
      <c r="U750">
        <v>1.96</v>
      </c>
      <c r="V750">
        <v>11.25</v>
      </c>
      <c r="W750">
        <v>16669</v>
      </c>
      <c r="X750">
        <v>13999</v>
      </c>
      <c r="Y750">
        <v>1.19</v>
      </c>
      <c r="Z750">
        <v>211</v>
      </c>
      <c r="AA750">
        <v>268</v>
      </c>
      <c r="AB750" t="s">
        <v>32</v>
      </c>
      <c r="AC750">
        <v>1.64</v>
      </c>
    </row>
    <row r="751" spans="1:29">
      <c r="A751" t="str">
        <f>"002291"</f>
        <v>002291</v>
      </c>
      <c r="B751" t="s">
        <v>914</v>
      </c>
      <c r="C751">
        <v>0.76</v>
      </c>
      <c r="D751">
        <v>5.27</v>
      </c>
      <c r="E751">
        <v>0.04</v>
      </c>
      <c r="F751">
        <v>5.26</v>
      </c>
      <c r="G751">
        <v>5.27</v>
      </c>
      <c r="H751">
        <v>23570</v>
      </c>
      <c r="I751">
        <v>278</v>
      </c>
      <c r="J751">
        <v>0.19</v>
      </c>
      <c r="K751">
        <v>0.59</v>
      </c>
      <c r="L751">
        <v>5.22</v>
      </c>
      <c r="M751">
        <v>5.32</v>
      </c>
      <c r="N751">
        <v>5.17</v>
      </c>
      <c r="O751">
        <v>5.23</v>
      </c>
      <c r="P751">
        <v>27.32</v>
      </c>
      <c r="Q751">
        <v>12390207</v>
      </c>
      <c r="R751">
        <v>0.65</v>
      </c>
      <c r="S751" t="s">
        <v>622</v>
      </c>
      <c r="T751" t="s">
        <v>136</v>
      </c>
      <c r="U751">
        <v>2.87</v>
      </c>
      <c r="V751">
        <v>5.26</v>
      </c>
      <c r="W751">
        <v>12649</v>
      </c>
      <c r="X751">
        <v>10921</v>
      </c>
      <c r="Y751">
        <v>1.16</v>
      </c>
      <c r="Z751">
        <v>161</v>
      </c>
      <c r="AA751">
        <v>499</v>
      </c>
      <c r="AB751" t="s">
        <v>32</v>
      </c>
      <c r="AC751">
        <v>3.97</v>
      </c>
    </row>
    <row r="752" spans="1:29">
      <c r="A752" t="str">
        <f>"002292"</f>
        <v>002292</v>
      </c>
      <c r="B752" t="s">
        <v>915</v>
      </c>
      <c r="C752">
        <v>0.94</v>
      </c>
      <c r="D752">
        <v>8.56</v>
      </c>
      <c r="E752">
        <v>0.08</v>
      </c>
      <c r="F752">
        <v>8.55</v>
      </c>
      <c r="G752">
        <v>8.56</v>
      </c>
      <c r="H752">
        <v>69796</v>
      </c>
      <c r="I752">
        <v>2500</v>
      </c>
      <c r="J752">
        <v>-0.22</v>
      </c>
      <c r="K752">
        <v>0.91</v>
      </c>
      <c r="L752">
        <v>8.5</v>
      </c>
      <c r="M752">
        <v>8.6</v>
      </c>
      <c r="N752">
        <v>8.39</v>
      </c>
      <c r="O752">
        <v>8.48</v>
      </c>
      <c r="P752">
        <v>62.51</v>
      </c>
      <c r="Q752">
        <v>59498876</v>
      </c>
      <c r="R752">
        <v>1.05</v>
      </c>
      <c r="S752" t="s">
        <v>148</v>
      </c>
      <c r="T752" t="s">
        <v>136</v>
      </c>
      <c r="U752">
        <v>2.48</v>
      </c>
      <c r="V752">
        <v>8.52</v>
      </c>
      <c r="W752">
        <v>34694</v>
      </c>
      <c r="X752">
        <v>35102</v>
      </c>
      <c r="Y752">
        <v>0.99</v>
      </c>
      <c r="Z752">
        <v>368</v>
      </c>
      <c r="AA752">
        <v>210</v>
      </c>
      <c r="AB752" t="s">
        <v>32</v>
      </c>
      <c r="AC752">
        <v>7.63</v>
      </c>
    </row>
    <row r="753" spans="1:29">
      <c r="A753" t="str">
        <f>"002293"</f>
        <v>002293</v>
      </c>
      <c r="B753" t="s">
        <v>916</v>
      </c>
      <c r="C753">
        <v>2.05</v>
      </c>
      <c r="D753">
        <v>14.96</v>
      </c>
      <c r="E753">
        <v>0.3</v>
      </c>
      <c r="F753">
        <v>14.96</v>
      </c>
      <c r="G753">
        <v>14.97</v>
      </c>
      <c r="H753">
        <v>43651</v>
      </c>
      <c r="I753">
        <v>792</v>
      </c>
      <c r="J753">
        <v>0</v>
      </c>
      <c r="K753">
        <v>0.62</v>
      </c>
      <c r="L753">
        <v>14.56</v>
      </c>
      <c r="M753">
        <v>14.99</v>
      </c>
      <c r="N753">
        <v>14.42</v>
      </c>
      <c r="O753">
        <v>14.66</v>
      </c>
      <c r="P753">
        <v>17.8</v>
      </c>
      <c r="Q753">
        <v>64392448</v>
      </c>
      <c r="R753">
        <v>1.58</v>
      </c>
      <c r="S753" t="s">
        <v>99</v>
      </c>
      <c r="T753" t="s">
        <v>87</v>
      </c>
      <c r="U753">
        <v>3.89</v>
      </c>
      <c r="V753">
        <v>14.75</v>
      </c>
      <c r="W753">
        <v>23355</v>
      </c>
      <c r="X753">
        <v>20296</v>
      </c>
      <c r="Y753">
        <v>1.15</v>
      </c>
      <c r="Z753">
        <v>426</v>
      </c>
      <c r="AA753">
        <v>82</v>
      </c>
      <c r="AB753" t="s">
        <v>32</v>
      </c>
      <c r="AC753">
        <v>7</v>
      </c>
    </row>
    <row r="754" spans="1:29">
      <c r="A754" t="str">
        <f>"002294"</f>
        <v>002294</v>
      </c>
      <c r="B754" t="s">
        <v>917</v>
      </c>
      <c r="C754">
        <v>2.18</v>
      </c>
      <c r="D754">
        <v>35.68</v>
      </c>
      <c r="E754">
        <v>0.76</v>
      </c>
      <c r="F754">
        <v>35.68</v>
      </c>
      <c r="G754">
        <v>35.69</v>
      </c>
      <c r="H754">
        <v>70616</v>
      </c>
      <c r="I754">
        <v>388</v>
      </c>
      <c r="J754">
        <v>0.2</v>
      </c>
      <c r="K754">
        <v>0.68</v>
      </c>
      <c r="L754">
        <v>34.8</v>
      </c>
      <c r="M754">
        <v>36.06</v>
      </c>
      <c r="N754">
        <v>34.64</v>
      </c>
      <c r="O754">
        <v>34.92</v>
      </c>
      <c r="P754">
        <v>22.47</v>
      </c>
      <c r="Q754">
        <v>250408496</v>
      </c>
      <c r="R754">
        <v>1.29</v>
      </c>
      <c r="S754" t="s">
        <v>142</v>
      </c>
      <c r="T754" t="s">
        <v>31</v>
      </c>
      <c r="U754">
        <v>4.07</v>
      </c>
      <c r="V754">
        <v>35.46</v>
      </c>
      <c r="W754">
        <v>32147</v>
      </c>
      <c r="X754">
        <v>38468</v>
      </c>
      <c r="Y754">
        <v>0.84</v>
      </c>
      <c r="Z754">
        <v>127</v>
      </c>
      <c r="AA754">
        <v>2</v>
      </c>
      <c r="AB754" t="s">
        <v>32</v>
      </c>
      <c r="AC754">
        <v>10.46</v>
      </c>
    </row>
    <row r="755" spans="1:29">
      <c r="A755" t="str">
        <f>"002295"</f>
        <v>002295</v>
      </c>
      <c r="B755" t="s">
        <v>918</v>
      </c>
      <c r="C755">
        <v>0.73</v>
      </c>
      <c r="D755">
        <v>6.93</v>
      </c>
      <c r="E755">
        <v>0.05</v>
      </c>
      <c r="F755">
        <v>6.92</v>
      </c>
      <c r="G755">
        <v>6.93</v>
      </c>
      <c r="H755">
        <v>34292</v>
      </c>
      <c r="I755">
        <v>663</v>
      </c>
      <c r="J755">
        <v>0.14</v>
      </c>
      <c r="K755">
        <v>1.48</v>
      </c>
      <c r="L755">
        <v>6.82</v>
      </c>
      <c r="M755">
        <v>6.96</v>
      </c>
      <c r="N755">
        <v>6.8</v>
      </c>
      <c r="O755">
        <v>6.88</v>
      </c>
      <c r="P755">
        <v>25.09</v>
      </c>
      <c r="Q755">
        <v>23675172</v>
      </c>
      <c r="R755">
        <v>1.91</v>
      </c>
      <c r="S755" t="s">
        <v>340</v>
      </c>
      <c r="T755" t="s">
        <v>136</v>
      </c>
      <c r="U755">
        <v>2.33</v>
      </c>
      <c r="V755">
        <v>6.9</v>
      </c>
      <c r="W755">
        <v>18430</v>
      </c>
      <c r="X755">
        <v>15861</v>
      </c>
      <c r="Y755">
        <v>1.16</v>
      </c>
      <c r="Z755">
        <v>59</v>
      </c>
      <c r="AA755">
        <v>169</v>
      </c>
      <c r="AB755" t="s">
        <v>32</v>
      </c>
      <c r="AC755">
        <v>2.31</v>
      </c>
    </row>
    <row r="756" spans="1:29">
      <c r="A756" t="str">
        <f>"002296"</f>
        <v>002296</v>
      </c>
      <c r="B756" t="s">
        <v>919</v>
      </c>
      <c r="C756">
        <v>1.37</v>
      </c>
      <c r="D756">
        <v>6.67</v>
      </c>
      <c r="E756">
        <v>0.09</v>
      </c>
      <c r="F756">
        <v>6.66</v>
      </c>
      <c r="G756">
        <v>6.67</v>
      </c>
      <c r="H756">
        <v>33902</v>
      </c>
      <c r="I756">
        <v>628</v>
      </c>
      <c r="J756">
        <v>-0.14</v>
      </c>
      <c r="K756">
        <v>1.07</v>
      </c>
      <c r="L756">
        <v>6.6</v>
      </c>
      <c r="M756">
        <v>6.69</v>
      </c>
      <c r="N756">
        <v>6.56</v>
      </c>
      <c r="O756">
        <v>6.58</v>
      </c>
      <c r="P756">
        <v>204.38</v>
      </c>
      <c r="Q756">
        <v>22554192</v>
      </c>
      <c r="R756">
        <v>1.47</v>
      </c>
      <c r="S756" t="s">
        <v>119</v>
      </c>
      <c r="T756" t="s">
        <v>164</v>
      </c>
      <c r="U756">
        <v>1.98</v>
      </c>
      <c r="V756">
        <v>6.65</v>
      </c>
      <c r="W756">
        <v>17471</v>
      </c>
      <c r="X756">
        <v>16431</v>
      </c>
      <c r="Y756">
        <v>1.06</v>
      </c>
      <c r="Z756">
        <v>340</v>
      </c>
      <c r="AA756">
        <v>832</v>
      </c>
      <c r="AB756" t="s">
        <v>32</v>
      </c>
      <c r="AC756">
        <v>3.17</v>
      </c>
    </row>
    <row r="757" spans="1:29">
      <c r="A757" t="str">
        <f>"002297"</f>
        <v>002297</v>
      </c>
      <c r="B757" t="s">
        <v>920</v>
      </c>
      <c r="C757">
        <v>1.09</v>
      </c>
      <c r="D757">
        <v>6.47</v>
      </c>
      <c r="E757">
        <v>0.07</v>
      </c>
      <c r="F757">
        <v>6.47</v>
      </c>
      <c r="G757">
        <v>6.48</v>
      </c>
      <c r="H757">
        <v>76339</v>
      </c>
      <c r="I757">
        <v>702</v>
      </c>
      <c r="J757">
        <v>-0.14</v>
      </c>
      <c r="K757">
        <v>1.92</v>
      </c>
      <c r="L757">
        <v>6.38</v>
      </c>
      <c r="M757">
        <v>6.6</v>
      </c>
      <c r="N757">
        <v>6.35</v>
      </c>
      <c r="O757">
        <v>6.4</v>
      </c>
      <c r="P757">
        <v>93.82</v>
      </c>
      <c r="Q757">
        <v>49245456</v>
      </c>
      <c r="R757">
        <v>1.31</v>
      </c>
      <c r="S757" t="s">
        <v>227</v>
      </c>
      <c r="T757" t="s">
        <v>152</v>
      </c>
      <c r="U757">
        <v>3.91</v>
      </c>
      <c r="V757">
        <v>6.45</v>
      </c>
      <c r="W757">
        <v>37307</v>
      </c>
      <c r="X757">
        <v>39031</v>
      </c>
      <c r="Y757">
        <v>0.96</v>
      </c>
      <c r="Z757">
        <v>406</v>
      </c>
      <c r="AA757">
        <v>611</v>
      </c>
      <c r="AB757" t="s">
        <v>32</v>
      </c>
      <c r="AC757">
        <v>3.97</v>
      </c>
    </row>
    <row r="758" spans="1:29">
      <c r="A758" t="str">
        <f>"002298"</f>
        <v>002298</v>
      </c>
      <c r="B758" t="s">
        <v>921</v>
      </c>
      <c r="C758">
        <v>1.55</v>
      </c>
      <c r="D758">
        <v>7.22</v>
      </c>
      <c r="E758">
        <v>0.11</v>
      </c>
      <c r="F758">
        <v>7.21</v>
      </c>
      <c r="G758">
        <v>7.22</v>
      </c>
      <c r="H758">
        <v>38539</v>
      </c>
      <c r="I758">
        <v>609</v>
      </c>
      <c r="J758">
        <v>0.14</v>
      </c>
      <c r="K758">
        <v>0.82</v>
      </c>
      <c r="L758">
        <v>7.12</v>
      </c>
      <c r="M758">
        <v>7.23</v>
      </c>
      <c r="N758">
        <v>7.07</v>
      </c>
      <c r="O758">
        <v>7.11</v>
      </c>
      <c r="P758">
        <v>32.1</v>
      </c>
      <c r="Q758">
        <v>27636424</v>
      </c>
      <c r="R758">
        <v>1.75</v>
      </c>
      <c r="S758" t="s">
        <v>270</v>
      </c>
      <c r="T758" t="s">
        <v>143</v>
      </c>
      <c r="U758">
        <v>2.25</v>
      </c>
      <c r="V758">
        <v>7.17</v>
      </c>
      <c r="W758">
        <v>15227</v>
      </c>
      <c r="X758">
        <v>23312</v>
      </c>
      <c r="Y758">
        <v>0.65</v>
      </c>
      <c r="Z758">
        <v>182</v>
      </c>
      <c r="AA758">
        <v>218</v>
      </c>
      <c r="AB758" t="s">
        <v>32</v>
      </c>
      <c r="AC758">
        <v>4.68</v>
      </c>
    </row>
    <row r="759" spans="1:29">
      <c r="A759" t="str">
        <f>"002299"</f>
        <v>002299</v>
      </c>
      <c r="B759" t="s">
        <v>922</v>
      </c>
      <c r="C759">
        <v>-2.66</v>
      </c>
      <c r="D759">
        <v>18.3</v>
      </c>
      <c r="E759">
        <v>-0.5</v>
      </c>
      <c r="F759">
        <v>18.29</v>
      </c>
      <c r="G759">
        <v>18.3</v>
      </c>
      <c r="H759">
        <v>159673</v>
      </c>
      <c r="I759">
        <v>1198</v>
      </c>
      <c r="J759">
        <v>0.05</v>
      </c>
      <c r="K759">
        <v>1.45</v>
      </c>
      <c r="L759">
        <v>18.8</v>
      </c>
      <c r="M759">
        <v>18.8</v>
      </c>
      <c r="N759">
        <v>17.98</v>
      </c>
      <c r="O759">
        <v>18.8</v>
      </c>
      <c r="P759">
        <v>44.66</v>
      </c>
      <c r="Q759">
        <v>291375488</v>
      </c>
      <c r="R759">
        <v>0.82</v>
      </c>
      <c r="S759" t="s">
        <v>115</v>
      </c>
      <c r="T759" t="s">
        <v>236</v>
      </c>
      <c r="U759">
        <v>4.36</v>
      </c>
      <c r="V759">
        <v>18.25</v>
      </c>
      <c r="W759">
        <v>103027</v>
      </c>
      <c r="X759">
        <v>56645</v>
      </c>
      <c r="Y759">
        <v>1.82</v>
      </c>
      <c r="Z759">
        <v>332</v>
      </c>
      <c r="AA759">
        <v>107</v>
      </c>
      <c r="AB759" t="s">
        <v>32</v>
      </c>
      <c r="AC759">
        <v>11.01</v>
      </c>
    </row>
    <row r="760" spans="1:29">
      <c r="A760" t="str">
        <f>"002300"</f>
        <v>002300</v>
      </c>
      <c r="B760" t="s">
        <v>923</v>
      </c>
      <c r="C760">
        <v>-0.78</v>
      </c>
      <c r="D760">
        <v>6.4</v>
      </c>
      <c r="E760">
        <v>-0.05</v>
      </c>
      <c r="F760">
        <v>6.39</v>
      </c>
      <c r="G760">
        <v>6.4</v>
      </c>
      <c r="H760">
        <v>116426</v>
      </c>
      <c r="I760">
        <v>1415</v>
      </c>
      <c r="J760">
        <v>0</v>
      </c>
      <c r="K760">
        <v>2.15</v>
      </c>
      <c r="L760">
        <v>6.32</v>
      </c>
      <c r="M760">
        <v>6.44</v>
      </c>
      <c r="N760">
        <v>6.24</v>
      </c>
      <c r="O760">
        <v>6.45</v>
      </c>
      <c r="P760">
        <v>69.9</v>
      </c>
      <c r="Q760">
        <v>73955488</v>
      </c>
      <c r="R760">
        <v>1.14</v>
      </c>
      <c r="S760" t="s">
        <v>104</v>
      </c>
      <c r="T760" t="s">
        <v>236</v>
      </c>
      <c r="U760">
        <v>3.1</v>
      </c>
      <c r="V760">
        <v>6.35</v>
      </c>
      <c r="W760">
        <v>71213</v>
      </c>
      <c r="X760">
        <v>45212</v>
      </c>
      <c r="Y760">
        <v>1.58</v>
      </c>
      <c r="Z760">
        <v>855</v>
      </c>
      <c r="AA760">
        <v>811</v>
      </c>
      <c r="AB760" t="s">
        <v>32</v>
      </c>
      <c r="AC760">
        <v>5.42</v>
      </c>
    </row>
    <row r="761" spans="1:29">
      <c r="A761" t="str">
        <f>"002301"</f>
        <v>002301</v>
      </c>
      <c r="B761" t="s">
        <v>924</v>
      </c>
      <c r="C761">
        <v>0.09</v>
      </c>
      <c r="D761">
        <v>10.66</v>
      </c>
      <c r="E761">
        <v>0.01</v>
      </c>
      <c r="F761">
        <v>10.66</v>
      </c>
      <c r="G761">
        <v>10.67</v>
      </c>
      <c r="H761">
        <v>49494</v>
      </c>
      <c r="I761">
        <v>574</v>
      </c>
      <c r="J761">
        <v>0</v>
      </c>
      <c r="K761">
        <v>0.77</v>
      </c>
      <c r="L761">
        <v>10.66</v>
      </c>
      <c r="M761">
        <v>10.88</v>
      </c>
      <c r="N761">
        <v>10.5</v>
      </c>
      <c r="O761">
        <v>10.65</v>
      </c>
      <c r="P761">
        <v>57.3</v>
      </c>
      <c r="Q761">
        <v>52807852</v>
      </c>
      <c r="R761">
        <v>0.94</v>
      </c>
      <c r="S761" t="s">
        <v>57</v>
      </c>
      <c r="T761" t="s">
        <v>31</v>
      </c>
      <c r="U761">
        <v>3.57</v>
      </c>
      <c r="V761">
        <v>10.67</v>
      </c>
      <c r="W761">
        <v>28785</v>
      </c>
      <c r="X761">
        <v>20708</v>
      </c>
      <c r="Y761">
        <v>1.39</v>
      </c>
      <c r="Z761">
        <v>212</v>
      </c>
      <c r="AA761">
        <v>705</v>
      </c>
      <c r="AB761" t="s">
        <v>32</v>
      </c>
      <c r="AC761">
        <v>6.4</v>
      </c>
    </row>
    <row r="762" spans="1:29">
      <c r="A762" t="str">
        <f>"002302"</f>
        <v>002302</v>
      </c>
      <c r="B762" t="s">
        <v>925</v>
      </c>
      <c r="C762">
        <v>3.2</v>
      </c>
      <c r="D762">
        <v>12.9</v>
      </c>
      <c r="E762">
        <v>0.4</v>
      </c>
      <c r="F762">
        <v>12.9</v>
      </c>
      <c r="G762">
        <v>12.91</v>
      </c>
      <c r="H762">
        <v>366183</v>
      </c>
      <c r="I762">
        <v>3899</v>
      </c>
      <c r="J762">
        <v>0.08</v>
      </c>
      <c r="K762">
        <v>3.55</v>
      </c>
      <c r="L762">
        <v>12.48</v>
      </c>
      <c r="M762">
        <v>13.49</v>
      </c>
      <c r="N762">
        <v>12.48</v>
      </c>
      <c r="O762">
        <v>12.5</v>
      </c>
      <c r="P762" t="s">
        <v>32</v>
      </c>
      <c r="Q762">
        <v>472825728</v>
      </c>
      <c r="R762">
        <v>2.36</v>
      </c>
      <c r="S762" t="s">
        <v>166</v>
      </c>
      <c r="T762" t="s">
        <v>156</v>
      </c>
      <c r="U762">
        <v>8.08</v>
      </c>
      <c r="V762">
        <v>12.91</v>
      </c>
      <c r="W762">
        <v>169797</v>
      </c>
      <c r="X762">
        <v>196386</v>
      </c>
      <c r="Y762">
        <v>0.86</v>
      </c>
      <c r="Z762">
        <v>1901</v>
      </c>
      <c r="AA762">
        <v>733</v>
      </c>
      <c r="AB762" t="s">
        <v>32</v>
      </c>
      <c r="AC762">
        <v>10.32</v>
      </c>
    </row>
    <row r="763" spans="1:29">
      <c r="A763" t="str">
        <f>"002303"</f>
        <v>002303</v>
      </c>
      <c r="B763" t="s">
        <v>926</v>
      </c>
      <c r="C763">
        <v>0.17</v>
      </c>
      <c r="D763">
        <v>5.75</v>
      </c>
      <c r="E763">
        <v>0.01</v>
      </c>
      <c r="F763">
        <v>5.74</v>
      </c>
      <c r="G763">
        <v>5.75</v>
      </c>
      <c r="H763">
        <v>57162</v>
      </c>
      <c r="I763">
        <v>698</v>
      </c>
      <c r="J763">
        <v>0.17</v>
      </c>
      <c r="K763">
        <v>0.37</v>
      </c>
      <c r="L763">
        <v>5.76</v>
      </c>
      <c r="M763">
        <v>5.8</v>
      </c>
      <c r="N763">
        <v>5.7</v>
      </c>
      <c r="O763">
        <v>5.74</v>
      </c>
      <c r="P763">
        <v>26.88</v>
      </c>
      <c r="Q763">
        <v>32885260</v>
      </c>
      <c r="R763">
        <v>1.16</v>
      </c>
      <c r="S763" t="s">
        <v>204</v>
      </c>
      <c r="T763" t="s">
        <v>31</v>
      </c>
      <c r="U763">
        <v>1.74</v>
      </c>
      <c r="V763">
        <v>5.75</v>
      </c>
      <c r="W763">
        <v>32988</v>
      </c>
      <c r="X763">
        <v>24173</v>
      </c>
      <c r="Y763">
        <v>1.36</v>
      </c>
      <c r="Z763">
        <v>1223</v>
      </c>
      <c r="AA763">
        <v>875</v>
      </c>
      <c r="AB763" t="s">
        <v>32</v>
      </c>
      <c r="AC763">
        <v>15.42</v>
      </c>
    </row>
    <row r="764" spans="1:29">
      <c r="A764" t="str">
        <f>"002304"</f>
        <v>002304</v>
      </c>
      <c r="B764" t="s">
        <v>927</v>
      </c>
      <c r="C764">
        <v>3.01</v>
      </c>
      <c r="D764">
        <v>133.81</v>
      </c>
      <c r="E764">
        <v>3.91</v>
      </c>
      <c r="F764">
        <v>133.8</v>
      </c>
      <c r="G764">
        <v>133.81</v>
      </c>
      <c r="H764">
        <v>35993</v>
      </c>
      <c r="I764">
        <v>457</v>
      </c>
      <c r="J764">
        <v>0.07</v>
      </c>
      <c r="K764">
        <v>0.29</v>
      </c>
      <c r="L764">
        <v>130.1</v>
      </c>
      <c r="M764">
        <v>134.11</v>
      </c>
      <c r="N764">
        <v>128.5</v>
      </c>
      <c r="O764">
        <v>129.9</v>
      </c>
      <c r="P764">
        <v>14.51</v>
      </c>
      <c r="Q764">
        <v>476101248</v>
      </c>
      <c r="R764">
        <v>1.13</v>
      </c>
      <c r="S764" t="s">
        <v>285</v>
      </c>
      <c r="T764" t="s">
        <v>87</v>
      </c>
      <c r="U764">
        <v>4.32</v>
      </c>
      <c r="V764">
        <v>132.28</v>
      </c>
      <c r="W764">
        <v>14496</v>
      </c>
      <c r="X764">
        <v>21497</v>
      </c>
      <c r="Y764">
        <v>0.67</v>
      </c>
      <c r="Z764">
        <v>88</v>
      </c>
      <c r="AA764">
        <v>957</v>
      </c>
      <c r="AB764" t="s">
        <v>32</v>
      </c>
      <c r="AC764">
        <v>12.42</v>
      </c>
    </row>
    <row r="765" spans="1:29">
      <c r="A765" t="str">
        <f>"002305"</f>
        <v>002305</v>
      </c>
      <c r="B765" t="s">
        <v>928</v>
      </c>
      <c r="C765">
        <v>2.5</v>
      </c>
      <c r="D765">
        <v>2.87</v>
      </c>
      <c r="E765">
        <v>0.07</v>
      </c>
      <c r="F765">
        <v>2.87</v>
      </c>
      <c r="G765">
        <v>2.88</v>
      </c>
      <c r="H765">
        <v>67178</v>
      </c>
      <c r="I765">
        <v>259</v>
      </c>
      <c r="J765">
        <v>0.35</v>
      </c>
      <c r="K765">
        <v>0.41</v>
      </c>
      <c r="L765">
        <v>2.81</v>
      </c>
      <c r="M765">
        <v>2.88</v>
      </c>
      <c r="N765">
        <v>2.8</v>
      </c>
      <c r="O765">
        <v>2.8</v>
      </c>
      <c r="P765">
        <v>129.17</v>
      </c>
      <c r="Q765">
        <v>19189764</v>
      </c>
      <c r="R765">
        <v>2.17</v>
      </c>
      <c r="S765" t="s">
        <v>40</v>
      </c>
      <c r="T765" t="s">
        <v>193</v>
      </c>
      <c r="U765">
        <v>2.86</v>
      </c>
      <c r="V765">
        <v>2.86</v>
      </c>
      <c r="W765">
        <v>23747</v>
      </c>
      <c r="X765">
        <v>43430</v>
      </c>
      <c r="Y765">
        <v>0.55</v>
      </c>
      <c r="Z765">
        <v>530</v>
      </c>
      <c r="AA765">
        <v>2288</v>
      </c>
      <c r="AB765" t="s">
        <v>32</v>
      </c>
      <c r="AC765">
        <v>16.23</v>
      </c>
    </row>
    <row r="766" spans="1:29">
      <c r="A766" t="str">
        <f>"002306"</f>
        <v>002306</v>
      </c>
      <c r="B766" t="s">
        <v>929</v>
      </c>
      <c r="C766">
        <v>-0.79</v>
      </c>
      <c r="D766">
        <v>3.75</v>
      </c>
      <c r="E766">
        <v>-0.03</v>
      </c>
      <c r="F766">
        <v>3.74</v>
      </c>
      <c r="G766">
        <v>3.75</v>
      </c>
      <c r="H766">
        <v>28976</v>
      </c>
      <c r="I766">
        <v>221</v>
      </c>
      <c r="J766">
        <v>0.54</v>
      </c>
      <c r="K766">
        <v>0.36</v>
      </c>
      <c r="L766">
        <v>3.76</v>
      </c>
      <c r="M766">
        <v>3.78</v>
      </c>
      <c r="N766">
        <v>3.7</v>
      </c>
      <c r="O766">
        <v>3.78</v>
      </c>
      <c r="P766" t="s">
        <v>32</v>
      </c>
      <c r="Q766">
        <v>10821865</v>
      </c>
      <c r="R766">
        <v>1.33</v>
      </c>
      <c r="S766" t="s">
        <v>42</v>
      </c>
      <c r="T766" t="s">
        <v>45</v>
      </c>
      <c r="U766">
        <v>2.12</v>
      </c>
      <c r="V766">
        <v>3.73</v>
      </c>
      <c r="W766">
        <v>19160</v>
      </c>
      <c r="X766">
        <v>9816</v>
      </c>
      <c r="Y766">
        <v>1.95</v>
      </c>
      <c r="Z766">
        <v>324</v>
      </c>
      <c r="AA766">
        <v>433</v>
      </c>
      <c r="AB766" t="s">
        <v>32</v>
      </c>
      <c r="AC766">
        <v>7.95</v>
      </c>
    </row>
    <row r="767" spans="1:29">
      <c r="A767" t="str">
        <f>"002307"</f>
        <v>002307</v>
      </c>
      <c r="B767" t="s">
        <v>930</v>
      </c>
      <c r="C767">
        <v>9.95</v>
      </c>
      <c r="D767">
        <v>6.08</v>
      </c>
      <c r="E767">
        <v>0.55</v>
      </c>
      <c r="F767">
        <v>6.08</v>
      </c>
      <c r="G767" t="s">
        <v>32</v>
      </c>
      <c r="H767">
        <v>633059</v>
      </c>
      <c r="I767">
        <v>3182</v>
      </c>
      <c r="J767">
        <v>0</v>
      </c>
      <c r="K767">
        <v>7.1</v>
      </c>
      <c r="L767">
        <v>5.68</v>
      </c>
      <c r="M767">
        <v>6.08</v>
      </c>
      <c r="N767">
        <v>5.63</v>
      </c>
      <c r="O767">
        <v>5.53</v>
      </c>
      <c r="P767">
        <v>228.28</v>
      </c>
      <c r="Q767">
        <v>378214432</v>
      </c>
      <c r="R767">
        <v>3.71</v>
      </c>
      <c r="S767" t="s">
        <v>49</v>
      </c>
      <c r="T767" t="s">
        <v>156</v>
      </c>
      <c r="U767">
        <v>8.14</v>
      </c>
      <c r="V767">
        <v>5.97</v>
      </c>
      <c r="W767">
        <v>327057</v>
      </c>
      <c r="X767">
        <v>306001</v>
      </c>
      <c r="Y767">
        <v>1.07</v>
      </c>
      <c r="Z767">
        <v>26698</v>
      </c>
      <c r="AA767">
        <v>0</v>
      </c>
      <c r="AB767" t="s">
        <v>32</v>
      </c>
      <c r="AC767">
        <v>8.92</v>
      </c>
    </row>
    <row r="768" spans="1:29">
      <c r="A768" t="str">
        <f>"002308"</f>
        <v>002308</v>
      </c>
      <c r="B768" t="s">
        <v>931</v>
      </c>
      <c r="C768">
        <v>1.25</v>
      </c>
      <c r="D768">
        <v>8.09</v>
      </c>
      <c r="E768">
        <v>0.1</v>
      </c>
      <c r="F768">
        <v>8.08</v>
      </c>
      <c r="G768">
        <v>8.09</v>
      </c>
      <c r="H768">
        <v>76872</v>
      </c>
      <c r="I768">
        <v>934</v>
      </c>
      <c r="J768">
        <v>0.12</v>
      </c>
      <c r="K768">
        <v>0.92</v>
      </c>
      <c r="L768">
        <v>7.98</v>
      </c>
      <c r="M768">
        <v>8.18</v>
      </c>
      <c r="N768">
        <v>7.92</v>
      </c>
      <c r="O768">
        <v>7.99</v>
      </c>
      <c r="P768">
        <v>59.49</v>
      </c>
      <c r="Q768">
        <v>62042968</v>
      </c>
      <c r="R768">
        <v>1.08</v>
      </c>
      <c r="S768" t="s">
        <v>65</v>
      </c>
      <c r="T768" t="s">
        <v>136</v>
      </c>
      <c r="U768">
        <v>3.25</v>
      </c>
      <c r="V768">
        <v>8.07</v>
      </c>
      <c r="W768">
        <v>35826</v>
      </c>
      <c r="X768">
        <v>41046</v>
      </c>
      <c r="Y768">
        <v>0.87</v>
      </c>
      <c r="Z768">
        <v>309</v>
      </c>
      <c r="AA768">
        <v>1070</v>
      </c>
      <c r="AB768" t="s">
        <v>32</v>
      </c>
      <c r="AC768">
        <v>8.35</v>
      </c>
    </row>
    <row r="769" spans="1:29">
      <c r="A769" t="str">
        <f>"002309"</f>
        <v>002309</v>
      </c>
      <c r="B769" t="s">
        <v>932</v>
      </c>
      <c r="C769" t="s">
        <v>32</v>
      </c>
      <c r="D769">
        <v>14.2</v>
      </c>
      <c r="E769" t="s">
        <v>32</v>
      </c>
      <c r="F769" t="s">
        <v>32</v>
      </c>
      <c r="G769" t="s">
        <v>32</v>
      </c>
      <c r="H769">
        <v>0</v>
      </c>
      <c r="I769">
        <v>0</v>
      </c>
      <c r="J769" t="s">
        <v>32</v>
      </c>
      <c r="K769">
        <v>0</v>
      </c>
      <c r="L769" t="s">
        <v>32</v>
      </c>
      <c r="M769" t="s">
        <v>32</v>
      </c>
      <c r="N769" t="s">
        <v>32</v>
      </c>
      <c r="O769">
        <v>14.2</v>
      </c>
      <c r="P769">
        <v>141.58</v>
      </c>
      <c r="Q769">
        <v>0</v>
      </c>
      <c r="R769">
        <v>0</v>
      </c>
      <c r="S769" t="s">
        <v>104</v>
      </c>
      <c r="T769" t="s">
        <v>87</v>
      </c>
      <c r="U769">
        <v>0</v>
      </c>
      <c r="V769">
        <v>14.2</v>
      </c>
      <c r="W769">
        <v>0</v>
      </c>
      <c r="X769">
        <v>0</v>
      </c>
      <c r="Y769" t="s">
        <v>32</v>
      </c>
      <c r="Z769">
        <v>0</v>
      </c>
      <c r="AA769">
        <v>0</v>
      </c>
      <c r="AB769" t="s">
        <v>32</v>
      </c>
      <c r="AC769">
        <v>4.69</v>
      </c>
    </row>
    <row r="770" spans="1:29">
      <c r="A770" t="str">
        <f>"002310"</f>
        <v>002310</v>
      </c>
      <c r="B770" t="s">
        <v>933</v>
      </c>
      <c r="C770" t="s">
        <v>32</v>
      </c>
      <c r="D770">
        <v>14.97</v>
      </c>
      <c r="E770" t="s">
        <v>32</v>
      </c>
      <c r="F770" t="s">
        <v>32</v>
      </c>
      <c r="G770" t="s">
        <v>32</v>
      </c>
      <c r="H770">
        <v>0</v>
      </c>
      <c r="I770">
        <v>0</v>
      </c>
      <c r="J770" t="s">
        <v>32</v>
      </c>
      <c r="K770">
        <v>0</v>
      </c>
      <c r="L770" t="s">
        <v>32</v>
      </c>
      <c r="M770" t="s">
        <v>32</v>
      </c>
      <c r="N770" t="s">
        <v>32</v>
      </c>
      <c r="O770">
        <v>14.97</v>
      </c>
      <c r="P770">
        <v>1026.83</v>
      </c>
      <c r="Q770">
        <v>0</v>
      </c>
      <c r="R770">
        <v>0</v>
      </c>
      <c r="S770" t="s">
        <v>49</v>
      </c>
      <c r="T770" t="s">
        <v>45</v>
      </c>
      <c r="U770">
        <v>0</v>
      </c>
      <c r="V770">
        <v>14.97</v>
      </c>
      <c r="W770">
        <v>0</v>
      </c>
      <c r="X770">
        <v>0</v>
      </c>
      <c r="Y770" t="s">
        <v>32</v>
      </c>
      <c r="Z770">
        <v>0</v>
      </c>
      <c r="AA770">
        <v>0</v>
      </c>
      <c r="AB770" t="s">
        <v>32</v>
      </c>
      <c r="AC770">
        <v>16.23</v>
      </c>
    </row>
    <row r="771" spans="1:29">
      <c r="A771" t="str">
        <f>"002311"</f>
        <v>002311</v>
      </c>
      <c r="B771" t="s">
        <v>934</v>
      </c>
      <c r="C771">
        <v>-0.51</v>
      </c>
      <c r="D771">
        <v>21.36</v>
      </c>
      <c r="E771">
        <v>-0.11</v>
      </c>
      <c r="F771">
        <v>21.35</v>
      </c>
      <c r="G771">
        <v>21.36</v>
      </c>
      <c r="H771">
        <v>34051</v>
      </c>
      <c r="I771">
        <v>386</v>
      </c>
      <c r="J771">
        <v>-0.64</v>
      </c>
      <c r="K771">
        <v>0.22</v>
      </c>
      <c r="L771">
        <v>21.43</v>
      </c>
      <c r="M771">
        <v>21.97</v>
      </c>
      <c r="N771">
        <v>21.3</v>
      </c>
      <c r="O771">
        <v>21.47</v>
      </c>
      <c r="P771">
        <v>83.99</v>
      </c>
      <c r="Q771">
        <v>73491216</v>
      </c>
      <c r="R771">
        <v>1.13</v>
      </c>
      <c r="S771" t="s">
        <v>102</v>
      </c>
      <c r="T771" t="s">
        <v>136</v>
      </c>
      <c r="U771">
        <v>3.12</v>
      </c>
      <c r="V771">
        <v>21.58</v>
      </c>
      <c r="W771">
        <v>18122</v>
      </c>
      <c r="X771">
        <v>15928</v>
      </c>
      <c r="Y771">
        <v>1.14</v>
      </c>
      <c r="Z771">
        <v>107</v>
      </c>
      <c r="AA771">
        <v>175</v>
      </c>
      <c r="AB771" t="s">
        <v>32</v>
      </c>
      <c r="AC771">
        <v>15.44</v>
      </c>
    </row>
    <row r="772" spans="1:29">
      <c r="A772" t="str">
        <f>"002312"</f>
        <v>002312</v>
      </c>
      <c r="B772" t="s">
        <v>935</v>
      </c>
      <c r="C772">
        <v>2.88</v>
      </c>
      <c r="D772">
        <v>3.57</v>
      </c>
      <c r="E772">
        <v>0.1</v>
      </c>
      <c r="F772">
        <v>3.57</v>
      </c>
      <c r="G772">
        <v>3.58</v>
      </c>
      <c r="H772">
        <v>211182</v>
      </c>
      <c r="I772">
        <v>3183</v>
      </c>
      <c r="J772">
        <v>0</v>
      </c>
      <c r="K772">
        <v>1.97</v>
      </c>
      <c r="L772">
        <v>3.47</v>
      </c>
      <c r="M772">
        <v>3.62</v>
      </c>
      <c r="N772">
        <v>3.47</v>
      </c>
      <c r="O772">
        <v>3.47</v>
      </c>
      <c r="P772" t="s">
        <v>32</v>
      </c>
      <c r="Q772">
        <v>75022592</v>
      </c>
      <c r="R772">
        <v>1.26</v>
      </c>
      <c r="S772" t="s">
        <v>65</v>
      </c>
      <c r="T772" t="s">
        <v>146</v>
      </c>
      <c r="U772">
        <v>4.32</v>
      </c>
      <c r="V772">
        <v>3.55</v>
      </c>
      <c r="W772">
        <v>99053</v>
      </c>
      <c r="X772">
        <v>112129</v>
      </c>
      <c r="Y772">
        <v>0.88</v>
      </c>
      <c r="Z772">
        <v>819</v>
      </c>
      <c r="AA772">
        <v>6028</v>
      </c>
      <c r="AB772" t="s">
        <v>32</v>
      </c>
      <c r="AC772">
        <v>10.73</v>
      </c>
    </row>
    <row r="773" spans="1:29">
      <c r="A773" t="str">
        <f>"002313"</f>
        <v>002313</v>
      </c>
      <c r="B773" t="s">
        <v>936</v>
      </c>
      <c r="C773">
        <v>1.29</v>
      </c>
      <c r="D773">
        <v>23.5</v>
      </c>
      <c r="E773">
        <v>0.3</v>
      </c>
      <c r="F773">
        <v>23.49</v>
      </c>
      <c r="G773">
        <v>23.5</v>
      </c>
      <c r="H773">
        <v>35580</v>
      </c>
      <c r="I773">
        <v>315</v>
      </c>
      <c r="J773">
        <v>0</v>
      </c>
      <c r="K773">
        <v>1.14</v>
      </c>
      <c r="L773">
        <v>23.2</v>
      </c>
      <c r="M773">
        <v>23.54</v>
      </c>
      <c r="N773">
        <v>22.92</v>
      </c>
      <c r="O773">
        <v>23.2</v>
      </c>
      <c r="P773" t="s">
        <v>32</v>
      </c>
      <c r="Q773">
        <v>82787376</v>
      </c>
      <c r="R773">
        <v>0.99</v>
      </c>
      <c r="S773" t="s">
        <v>119</v>
      </c>
      <c r="T773" t="s">
        <v>31</v>
      </c>
      <c r="U773">
        <v>2.67</v>
      </c>
      <c r="V773">
        <v>23.27</v>
      </c>
      <c r="W773">
        <v>16818</v>
      </c>
      <c r="X773">
        <v>18762</v>
      </c>
      <c r="Y773">
        <v>0.9</v>
      </c>
      <c r="Z773">
        <v>21</v>
      </c>
      <c r="AA773">
        <v>556</v>
      </c>
      <c r="AB773" t="s">
        <v>32</v>
      </c>
      <c r="AC773">
        <v>3.12</v>
      </c>
    </row>
    <row r="774" spans="1:29">
      <c r="A774" t="str">
        <f>"002314"</f>
        <v>002314</v>
      </c>
      <c r="B774" t="s">
        <v>937</v>
      </c>
      <c r="C774">
        <v>1.33</v>
      </c>
      <c r="D774">
        <v>3.8</v>
      </c>
      <c r="E774">
        <v>0.05</v>
      </c>
      <c r="F774">
        <v>3.8</v>
      </c>
      <c r="G774">
        <v>3.81</v>
      </c>
      <c r="H774">
        <v>122647</v>
      </c>
      <c r="I774">
        <v>908</v>
      </c>
      <c r="J774">
        <v>0</v>
      </c>
      <c r="K774">
        <v>1.08</v>
      </c>
      <c r="L774">
        <v>3.77</v>
      </c>
      <c r="M774">
        <v>3.83</v>
      </c>
      <c r="N774">
        <v>3.75</v>
      </c>
      <c r="O774">
        <v>3.75</v>
      </c>
      <c r="P774" t="s">
        <v>32</v>
      </c>
      <c r="Q774">
        <v>46575584</v>
      </c>
      <c r="R774">
        <v>0.85</v>
      </c>
      <c r="S774" t="s">
        <v>40</v>
      </c>
      <c r="T774" t="s">
        <v>31</v>
      </c>
      <c r="U774">
        <v>2.13</v>
      </c>
      <c r="V774">
        <v>3.8</v>
      </c>
      <c r="W774">
        <v>63996</v>
      </c>
      <c r="X774">
        <v>58651</v>
      </c>
      <c r="Y774">
        <v>1.09</v>
      </c>
      <c r="Z774">
        <v>1310</v>
      </c>
      <c r="AA774">
        <v>4750</v>
      </c>
      <c r="AB774" t="s">
        <v>32</v>
      </c>
      <c r="AC774">
        <v>11.38</v>
      </c>
    </row>
    <row r="775" spans="1:29">
      <c r="A775" t="str">
        <f>"002315"</f>
        <v>002315</v>
      </c>
      <c r="B775" t="s">
        <v>938</v>
      </c>
      <c r="C775">
        <v>1.2</v>
      </c>
      <c r="D775">
        <v>14.31</v>
      </c>
      <c r="E775">
        <v>0.17</v>
      </c>
      <c r="F775">
        <v>14.31</v>
      </c>
      <c r="G775">
        <v>14.32</v>
      </c>
      <c r="H775">
        <v>18211</v>
      </c>
      <c r="I775">
        <v>386</v>
      </c>
      <c r="J775">
        <v>0</v>
      </c>
      <c r="K775">
        <v>1.45</v>
      </c>
      <c r="L775">
        <v>14.09</v>
      </c>
      <c r="M775">
        <v>14.48</v>
      </c>
      <c r="N775">
        <v>13.99</v>
      </c>
      <c r="O775">
        <v>14.14</v>
      </c>
      <c r="P775">
        <v>88.35</v>
      </c>
      <c r="Q775">
        <v>25959836</v>
      </c>
      <c r="R775">
        <v>1.29</v>
      </c>
      <c r="S775" t="s">
        <v>316</v>
      </c>
      <c r="T775" t="s">
        <v>87</v>
      </c>
      <c r="U775">
        <v>3.47</v>
      </c>
      <c r="V775">
        <v>14.25</v>
      </c>
      <c r="W775">
        <v>9684</v>
      </c>
      <c r="X775">
        <v>8527</v>
      </c>
      <c r="Y775">
        <v>1.14</v>
      </c>
      <c r="Z775">
        <v>144</v>
      </c>
      <c r="AA775">
        <v>126</v>
      </c>
      <c r="AB775" t="s">
        <v>32</v>
      </c>
      <c r="AC775">
        <v>1.26</v>
      </c>
    </row>
    <row r="776" spans="1:29">
      <c r="A776" t="str">
        <f>"002316"</f>
        <v>002316</v>
      </c>
      <c r="B776" t="s">
        <v>939</v>
      </c>
      <c r="C776">
        <v>1.62</v>
      </c>
      <c r="D776">
        <v>9.41</v>
      </c>
      <c r="E776">
        <v>0.15</v>
      </c>
      <c r="F776">
        <v>9.4</v>
      </c>
      <c r="G776">
        <v>9.41</v>
      </c>
      <c r="H776">
        <v>13877</v>
      </c>
      <c r="I776">
        <v>58</v>
      </c>
      <c r="J776">
        <v>0</v>
      </c>
      <c r="K776">
        <v>0.44</v>
      </c>
      <c r="L776">
        <v>9.33</v>
      </c>
      <c r="M776">
        <v>9.47</v>
      </c>
      <c r="N776">
        <v>9.3</v>
      </c>
      <c r="O776">
        <v>9.26</v>
      </c>
      <c r="P776">
        <v>53.03</v>
      </c>
      <c r="Q776">
        <v>13033746</v>
      </c>
      <c r="R776">
        <v>0.71</v>
      </c>
      <c r="S776" t="s">
        <v>270</v>
      </c>
      <c r="T776" t="s">
        <v>31</v>
      </c>
      <c r="U776">
        <v>1.84</v>
      </c>
      <c r="V776">
        <v>9.39</v>
      </c>
      <c r="W776">
        <v>5670</v>
      </c>
      <c r="X776">
        <v>8207</v>
      </c>
      <c r="Y776">
        <v>0.69</v>
      </c>
      <c r="Z776">
        <v>364</v>
      </c>
      <c r="AA776">
        <v>134</v>
      </c>
      <c r="AB776" t="s">
        <v>32</v>
      </c>
      <c r="AC776">
        <v>3.15</v>
      </c>
    </row>
    <row r="777" spans="1:29">
      <c r="A777" t="str">
        <f>"002317"</f>
        <v>002317</v>
      </c>
      <c r="B777" t="s">
        <v>940</v>
      </c>
      <c r="C777">
        <v>1.31</v>
      </c>
      <c r="D777">
        <v>10.79</v>
      </c>
      <c r="E777">
        <v>0.14</v>
      </c>
      <c r="F777">
        <v>10.79</v>
      </c>
      <c r="G777">
        <v>10.8</v>
      </c>
      <c r="H777">
        <v>35668</v>
      </c>
      <c r="I777">
        <v>500</v>
      </c>
      <c r="J777">
        <v>0.28</v>
      </c>
      <c r="K777">
        <v>0.55</v>
      </c>
      <c r="L777">
        <v>10.63</v>
      </c>
      <c r="M777">
        <v>10.88</v>
      </c>
      <c r="N777">
        <v>10.59</v>
      </c>
      <c r="O777">
        <v>10.65</v>
      </c>
      <c r="P777">
        <v>17.95</v>
      </c>
      <c r="Q777">
        <v>38426172</v>
      </c>
      <c r="R777">
        <v>1.16</v>
      </c>
      <c r="S777" t="s">
        <v>195</v>
      </c>
      <c r="T777" t="s">
        <v>136</v>
      </c>
      <c r="U777">
        <v>2.72</v>
      </c>
      <c r="V777">
        <v>10.77</v>
      </c>
      <c r="W777">
        <v>15045</v>
      </c>
      <c r="X777">
        <v>20623</v>
      </c>
      <c r="Y777">
        <v>0.73</v>
      </c>
      <c r="Z777">
        <v>556</v>
      </c>
      <c r="AA777">
        <v>277</v>
      </c>
      <c r="AB777" t="s">
        <v>32</v>
      </c>
      <c r="AC777">
        <v>6.43</v>
      </c>
    </row>
    <row r="778" spans="1:29">
      <c r="A778" t="str">
        <f>"002318"</f>
        <v>002318</v>
      </c>
      <c r="B778" t="s">
        <v>941</v>
      </c>
      <c r="C778">
        <v>0.97</v>
      </c>
      <c r="D778">
        <v>6.23</v>
      </c>
      <c r="E778">
        <v>0.06</v>
      </c>
      <c r="F778">
        <v>6.23</v>
      </c>
      <c r="G778">
        <v>6.24</v>
      </c>
      <c r="H778">
        <v>79067</v>
      </c>
      <c r="I778">
        <v>863</v>
      </c>
      <c r="J778">
        <v>0.16</v>
      </c>
      <c r="K778">
        <v>0.96</v>
      </c>
      <c r="L778">
        <v>6.17</v>
      </c>
      <c r="M778">
        <v>6.45</v>
      </c>
      <c r="N778">
        <v>6.14</v>
      </c>
      <c r="O778">
        <v>6.17</v>
      </c>
      <c r="P778">
        <v>27.18</v>
      </c>
      <c r="Q778">
        <v>49709168</v>
      </c>
      <c r="R778">
        <v>2.03</v>
      </c>
      <c r="S778" t="s">
        <v>398</v>
      </c>
      <c r="T778" t="s">
        <v>149</v>
      </c>
      <c r="U778">
        <v>5.02</v>
      </c>
      <c r="V778">
        <v>6.29</v>
      </c>
      <c r="W778">
        <v>45438</v>
      </c>
      <c r="X778">
        <v>33629</v>
      </c>
      <c r="Y778">
        <v>1.35</v>
      </c>
      <c r="Z778">
        <v>82</v>
      </c>
      <c r="AA778">
        <v>444</v>
      </c>
      <c r="AB778" t="s">
        <v>32</v>
      </c>
      <c r="AC778">
        <v>8.21</v>
      </c>
    </row>
    <row r="779" spans="1:29">
      <c r="A779" t="str">
        <f>"002319"</f>
        <v>002319</v>
      </c>
      <c r="B779" t="s">
        <v>942</v>
      </c>
      <c r="C779">
        <v>0.69</v>
      </c>
      <c r="D779">
        <v>14.49</v>
      </c>
      <c r="E779">
        <v>0.1</v>
      </c>
      <c r="F779">
        <v>14.48</v>
      </c>
      <c r="G779">
        <v>14.49</v>
      </c>
      <c r="H779">
        <v>4920</v>
      </c>
      <c r="I779">
        <v>150</v>
      </c>
      <c r="J779">
        <v>0</v>
      </c>
      <c r="K779">
        <v>0.25</v>
      </c>
      <c r="L779">
        <v>14.41</v>
      </c>
      <c r="M779">
        <v>14.5</v>
      </c>
      <c r="N779">
        <v>14.34</v>
      </c>
      <c r="O779">
        <v>14.39</v>
      </c>
      <c r="P779" t="s">
        <v>32</v>
      </c>
      <c r="Q779">
        <v>7109115</v>
      </c>
      <c r="R779">
        <v>0.79</v>
      </c>
      <c r="S779" t="s">
        <v>281</v>
      </c>
      <c r="T779" t="s">
        <v>136</v>
      </c>
      <c r="U779">
        <v>1.11</v>
      </c>
      <c r="V779">
        <v>14.45</v>
      </c>
      <c r="W779">
        <v>2102</v>
      </c>
      <c r="X779">
        <v>2818</v>
      </c>
      <c r="Y779">
        <v>0.75</v>
      </c>
      <c r="Z779">
        <v>39</v>
      </c>
      <c r="AA779">
        <v>71</v>
      </c>
      <c r="AB779" t="s">
        <v>32</v>
      </c>
      <c r="AC779">
        <v>2</v>
      </c>
    </row>
    <row r="780" spans="1:29">
      <c r="A780" t="str">
        <f>"002320"</f>
        <v>002320</v>
      </c>
      <c r="B780" t="s">
        <v>943</v>
      </c>
      <c r="C780">
        <v>1.36</v>
      </c>
      <c r="D780">
        <v>17.15</v>
      </c>
      <c r="E780">
        <v>0.23</v>
      </c>
      <c r="F780">
        <v>17.15</v>
      </c>
      <c r="G780">
        <v>17.16</v>
      </c>
      <c r="H780">
        <v>79512</v>
      </c>
      <c r="I780">
        <v>743</v>
      </c>
      <c r="J780">
        <v>0.06</v>
      </c>
      <c r="K780">
        <v>1.42</v>
      </c>
      <c r="L780">
        <v>16.8</v>
      </c>
      <c r="M780">
        <v>17.25</v>
      </c>
      <c r="N780">
        <v>16.75</v>
      </c>
      <c r="O780">
        <v>16.92</v>
      </c>
      <c r="P780">
        <v>25.92</v>
      </c>
      <c r="Q780">
        <v>135704096</v>
      </c>
      <c r="R780">
        <v>1.33</v>
      </c>
      <c r="S780" t="s">
        <v>229</v>
      </c>
      <c r="T780" t="s">
        <v>209</v>
      </c>
      <c r="U780">
        <v>2.96</v>
      </c>
      <c r="V780">
        <v>17.07</v>
      </c>
      <c r="W780">
        <v>36168</v>
      </c>
      <c r="X780">
        <v>43343</v>
      </c>
      <c r="Y780">
        <v>0.83</v>
      </c>
      <c r="Z780">
        <v>528</v>
      </c>
      <c r="AA780">
        <v>383</v>
      </c>
      <c r="AB780" t="s">
        <v>32</v>
      </c>
      <c r="AC780">
        <v>5.58</v>
      </c>
    </row>
    <row r="781" spans="1:29">
      <c r="A781" t="str">
        <f>"002321"</f>
        <v>002321</v>
      </c>
      <c r="B781" t="s">
        <v>944</v>
      </c>
      <c r="C781">
        <v>0.15</v>
      </c>
      <c r="D781">
        <v>6.56</v>
      </c>
      <c r="E781">
        <v>0.01</v>
      </c>
      <c r="F781">
        <v>6.56</v>
      </c>
      <c r="G781">
        <v>6.57</v>
      </c>
      <c r="H781">
        <v>176478</v>
      </c>
      <c r="I781">
        <v>1850</v>
      </c>
      <c r="J781">
        <v>-0.14</v>
      </c>
      <c r="K781">
        <v>4.17</v>
      </c>
      <c r="L781">
        <v>6.5</v>
      </c>
      <c r="M781">
        <v>6.66</v>
      </c>
      <c r="N781">
        <v>6.43</v>
      </c>
      <c r="O781">
        <v>6.55</v>
      </c>
      <c r="P781">
        <v>69.34</v>
      </c>
      <c r="Q781">
        <v>115339576</v>
      </c>
      <c r="R781">
        <v>0.85</v>
      </c>
      <c r="S781" t="s">
        <v>115</v>
      </c>
      <c r="T781" t="s">
        <v>164</v>
      </c>
      <c r="U781">
        <v>3.51</v>
      </c>
      <c r="V781">
        <v>6.54</v>
      </c>
      <c r="W781">
        <v>88217</v>
      </c>
      <c r="X781">
        <v>88260</v>
      </c>
      <c r="Y781">
        <v>1</v>
      </c>
      <c r="Z781">
        <v>2311</v>
      </c>
      <c r="AA781">
        <v>424</v>
      </c>
      <c r="AB781" t="s">
        <v>32</v>
      </c>
      <c r="AC781">
        <v>4.24</v>
      </c>
    </row>
    <row r="782" spans="1:29">
      <c r="A782" t="str">
        <f>"002322"</f>
        <v>002322</v>
      </c>
      <c r="B782" t="s">
        <v>945</v>
      </c>
      <c r="C782">
        <v>0.8</v>
      </c>
      <c r="D782">
        <v>12.6</v>
      </c>
      <c r="E782">
        <v>0.1</v>
      </c>
      <c r="F782">
        <v>12.58</v>
      </c>
      <c r="G782">
        <v>12.6</v>
      </c>
      <c r="H782">
        <v>11781</v>
      </c>
      <c r="I782">
        <v>246</v>
      </c>
      <c r="J782">
        <v>0.32</v>
      </c>
      <c r="K782">
        <v>0.41</v>
      </c>
      <c r="L782">
        <v>12.49</v>
      </c>
      <c r="M782">
        <v>12.68</v>
      </c>
      <c r="N782">
        <v>12.42</v>
      </c>
      <c r="O782">
        <v>12.5</v>
      </c>
      <c r="P782">
        <v>90.73</v>
      </c>
      <c r="Q782">
        <v>14832090</v>
      </c>
      <c r="R782">
        <v>1.75</v>
      </c>
      <c r="S782" t="s">
        <v>86</v>
      </c>
      <c r="T782" t="s">
        <v>149</v>
      </c>
      <c r="U782">
        <v>2.08</v>
      </c>
      <c r="V782">
        <v>12.59</v>
      </c>
      <c r="W782">
        <v>7953</v>
      </c>
      <c r="X782">
        <v>3828</v>
      </c>
      <c r="Y782">
        <v>2.08</v>
      </c>
      <c r="Z782">
        <v>81</v>
      </c>
      <c r="AA782">
        <v>57</v>
      </c>
      <c r="AB782" t="s">
        <v>32</v>
      </c>
      <c r="AC782">
        <v>2.86</v>
      </c>
    </row>
    <row r="783" spans="1:29">
      <c r="A783" t="str">
        <f>"002323"</f>
        <v>002323</v>
      </c>
      <c r="B783" t="s">
        <v>946</v>
      </c>
      <c r="C783">
        <v>-5.17</v>
      </c>
      <c r="D783">
        <v>2.57</v>
      </c>
      <c r="E783">
        <v>-0.14</v>
      </c>
      <c r="F783" t="s">
        <v>32</v>
      </c>
      <c r="G783">
        <v>2.57</v>
      </c>
      <c r="H783">
        <v>2006</v>
      </c>
      <c r="I783">
        <v>90</v>
      </c>
      <c r="J783">
        <v>0</v>
      </c>
      <c r="K783">
        <v>0.06</v>
      </c>
      <c r="L783">
        <v>2.57</v>
      </c>
      <c r="M783">
        <v>2.57</v>
      </c>
      <c r="N783">
        <v>2.57</v>
      </c>
      <c r="O783">
        <v>2.71</v>
      </c>
      <c r="P783">
        <v>135.37</v>
      </c>
      <c r="Q783">
        <v>515542</v>
      </c>
      <c r="R783">
        <v>8.36</v>
      </c>
      <c r="S783" t="s">
        <v>49</v>
      </c>
      <c r="T783" t="s">
        <v>87</v>
      </c>
      <c r="U783">
        <v>0</v>
      </c>
      <c r="V783">
        <v>2.57</v>
      </c>
      <c r="W783">
        <v>58</v>
      </c>
      <c r="X783">
        <v>1948</v>
      </c>
      <c r="Y783">
        <v>0.03</v>
      </c>
      <c r="Z783">
        <v>0</v>
      </c>
      <c r="AA783">
        <v>477774</v>
      </c>
      <c r="AB783" t="s">
        <v>32</v>
      </c>
      <c r="AC783">
        <v>3.18</v>
      </c>
    </row>
    <row r="784" spans="1:29">
      <c r="A784" t="str">
        <f>"002324"</f>
        <v>002324</v>
      </c>
      <c r="B784" t="s">
        <v>947</v>
      </c>
      <c r="C784">
        <v>1.88</v>
      </c>
      <c r="D784">
        <v>11.92</v>
      </c>
      <c r="E784">
        <v>0.22</v>
      </c>
      <c r="F784">
        <v>11.91</v>
      </c>
      <c r="G784">
        <v>11.92</v>
      </c>
      <c r="H784">
        <v>23949</v>
      </c>
      <c r="I784">
        <v>76</v>
      </c>
      <c r="J784">
        <v>0.08</v>
      </c>
      <c r="K784">
        <v>1.02</v>
      </c>
      <c r="L784">
        <v>12.3</v>
      </c>
      <c r="M784">
        <v>12.3</v>
      </c>
      <c r="N784">
        <v>11.73</v>
      </c>
      <c r="O784">
        <v>11.7</v>
      </c>
      <c r="P784">
        <v>25.97</v>
      </c>
      <c r="Q784">
        <v>28999342</v>
      </c>
      <c r="R784">
        <v>4.75</v>
      </c>
      <c r="S784" t="s">
        <v>508</v>
      </c>
      <c r="T784" t="s">
        <v>366</v>
      </c>
      <c r="U784">
        <v>4.87</v>
      </c>
      <c r="V784">
        <v>12.11</v>
      </c>
      <c r="W784">
        <v>13248</v>
      </c>
      <c r="X784">
        <v>10701</v>
      </c>
      <c r="Y784">
        <v>1.24</v>
      </c>
      <c r="Z784">
        <v>12</v>
      </c>
      <c r="AA784">
        <v>94</v>
      </c>
      <c r="AB784" t="s">
        <v>32</v>
      </c>
      <c r="AC784">
        <v>2.35</v>
      </c>
    </row>
    <row r="785" spans="1:29">
      <c r="A785" t="str">
        <f>"002325"</f>
        <v>002325</v>
      </c>
      <c r="B785" t="s">
        <v>948</v>
      </c>
      <c r="C785">
        <v>4.38</v>
      </c>
      <c r="D785">
        <v>3.81</v>
      </c>
      <c r="E785">
        <v>0.16</v>
      </c>
      <c r="F785">
        <v>3.81</v>
      </c>
      <c r="G785">
        <v>3.82</v>
      </c>
      <c r="H785">
        <v>170581</v>
      </c>
      <c r="I785">
        <v>1429</v>
      </c>
      <c r="J785">
        <v>0</v>
      </c>
      <c r="K785">
        <v>1.85</v>
      </c>
      <c r="L785">
        <v>3.66</v>
      </c>
      <c r="M785">
        <v>3.84</v>
      </c>
      <c r="N785">
        <v>3.65</v>
      </c>
      <c r="O785">
        <v>3.65</v>
      </c>
      <c r="P785">
        <v>21.11</v>
      </c>
      <c r="Q785">
        <v>64532384</v>
      </c>
      <c r="R785">
        <v>3.72</v>
      </c>
      <c r="S785" t="s">
        <v>59</v>
      </c>
      <c r="T785" t="s">
        <v>31</v>
      </c>
      <c r="U785">
        <v>5.21</v>
      </c>
      <c r="V785">
        <v>3.78</v>
      </c>
      <c r="W785">
        <v>63397</v>
      </c>
      <c r="X785">
        <v>107184</v>
      </c>
      <c r="Y785">
        <v>0.59</v>
      </c>
      <c r="Z785">
        <v>1291</v>
      </c>
      <c r="AA785">
        <v>2295</v>
      </c>
      <c r="AB785" t="s">
        <v>32</v>
      </c>
      <c r="AC785">
        <v>9.2</v>
      </c>
    </row>
    <row r="786" spans="1:29">
      <c r="A786" t="str">
        <f>"002326"</f>
        <v>002326</v>
      </c>
      <c r="B786" t="s">
        <v>949</v>
      </c>
      <c r="C786">
        <v>0.5</v>
      </c>
      <c r="D786">
        <v>8.01</v>
      </c>
      <c r="E786">
        <v>0.04</v>
      </c>
      <c r="F786">
        <v>8.01</v>
      </c>
      <c r="G786">
        <v>8.02</v>
      </c>
      <c r="H786">
        <v>62360</v>
      </c>
      <c r="I786">
        <v>687</v>
      </c>
      <c r="J786">
        <v>0.13</v>
      </c>
      <c r="K786">
        <v>1.19</v>
      </c>
      <c r="L786">
        <v>7.97</v>
      </c>
      <c r="M786">
        <v>8.08</v>
      </c>
      <c r="N786">
        <v>7.89</v>
      </c>
      <c r="O786">
        <v>7.97</v>
      </c>
      <c r="P786">
        <v>19.15</v>
      </c>
      <c r="Q786">
        <v>49909776</v>
      </c>
      <c r="R786">
        <v>0.61</v>
      </c>
      <c r="S786" t="s">
        <v>218</v>
      </c>
      <c r="T786" t="s">
        <v>149</v>
      </c>
      <c r="U786">
        <v>2.38</v>
      </c>
      <c r="V786">
        <v>8</v>
      </c>
      <c r="W786">
        <v>31876</v>
      </c>
      <c r="X786">
        <v>30484</v>
      </c>
      <c r="Y786">
        <v>1.05</v>
      </c>
      <c r="Z786">
        <v>218</v>
      </c>
      <c r="AA786">
        <v>751</v>
      </c>
      <c r="AB786" t="s">
        <v>32</v>
      </c>
      <c r="AC786">
        <v>5.25</v>
      </c>
    </row>
    <row r="787" spans="1:29">
      <c r="A787" t="str">
        <f>"002327"</f>
        <v>002327</v>
      </c>
      <c r="B787" t="s">
        <v>950</v>
      </c>
      <c r="C787">
        <v>4.99</v>
      </c>
      <c r="D787">
        <v>10.31</v>
      </c>
      <c r="E787">
        <v>0.49</v>
      </c>
      <c r="F787">
        <v>10.3</v>
      </c>
      <c r="G787">
        <v>10.31</v>
      </c>
      <c r="H787">
        <v>99570</v>
      </c>
      <c r="I787">
        <v>416</v>
      </c>
      <c r="J787">
        <v>0.19</v>
      </c>
      <c r="K787">
        <v>1.93</v>
      </c>
      <c r="L787">
        <v>9.87</v>
      </c>
      <c r="M787">
        <v>10.36</v>
      </c>
      <c r="N787">
        <v>9.74</v>
      </c>
      <c r="O787">
        <v>9.82</v>
      </c>
      <c r="P787">
        <v>23.18</v>
      </c>
      <c r="Q787">
        <v>100620184</v>
      </c>
      <c r="R787">
        <v>2</v>
      </c>
      <c r="S787" t="s">
        <v>99</v>
      </c>
      <c r="T787" t="s">
        <v>31</v>
      </c>
      <c r="U787">
        <v>6.31</v>
      </c>
      <c r="V787">
        <v>10.11</v>
      </c>
      <c r="W787">
        <v>40713</v>
      </c>
      <c r="X787">
        <v>58856</v>
      </c>
      <c r="Y787">
        <v>0.69</v>
      </c>
      <c r="Z787">
        <v>561</v>
      </c>
      <c r="AA787">
        <v>820</v>
      </c>
      <c r="AB787" t="s">
        <v>32</v>
      </c>
      <c r="AC787">
        <v>5.16</v>
      </c>
    </row>
    <row r="788" spans="1:29">
      <c r="A788" t="str">
        <f>"002328"</f>
        <v>002328</v>
      </c>
      <c r="B788" t="s">
        <v>951</v>
      </c>
      <c r="C788">
        <v>2.36</v>
      </c>
      <c r="D788">
        <v>5.65</v>
      </c>
      <c r="E788">
        <v>0.13</v>
      </c>
      <c r="F788">
        <v>5.65</v>
      </c>
      <c r="G788">
        <v>5.66</v>
      </c>
      <c r="H788">
        <v>37986</v>
      </c>
      <c r="I788">
        <v>389</v>
      </c>
      <c r="J788">
        <v>0.18</v>
      </c>
      <c r="K788">
        <v>1.17</v>
      </c>
      <c r="L788">
        <v>5.51</v>
      </c>
      <c r="M788">
        <v>5.68</v>
      </c>
      <c r="N788">
        <v>5.48</v>
      </c>
      <c r="O788">
        <v>5.52</v>
      </c>
      <c r="P788">
        <v>33.92</v>
      </c>
      <c r="Q788">
        <v>21241772</v>
      </c>
      <c r="R788">
        <v>2.29</v>
      </c>
      <c r="S788" t="s">
        <v>80</v>
      </c>
      <c r="T788" t="s">
        <v>366</v>
      </c>
      <c r="U788">
        <v>3.62</v>
      </c>
      <c r="V788">
        <v>5.59</v>
      </c>
      <c r="W788">
        <v>15664</v>
      </c>
      <c r="X788">
        <v>22322</v>
      </c>
      <c r="Y788">
        <v>0.7</v>
      </c>
      <c r="Z788">
        <v>21</v>
      </c>
      <c r="AA788">
        <v>801</v>
      </c>
      <c r="AB788" t="s">
        <v>32</v>
      </c>
      <c r="AC788">
        <v>3.25</v>
      </c>
    </row>
    <row r="789" spans="1:29">
      <c r="A789" t="str">
        <f>"002329"</f>
        <v>002329</v>
      </c>
      <c r="B789" t="s">
        <v>952</v>
      </c>
      <c r="C789">
        <v>2.38</v>
      </c>
      <c r="D789">
        <v>4.31</v>
      </c>
      <c r="E789">
        <v>0.1</v>
      </c>
      <c r="F789">
        <v>4.3</v>
      </c>
      <c r="G789">
        <v>4.31</v>
      </c>
      <c r="H789">
        <v>91442</v>
      </c>
      <c r="I789">
        <v>1428</v>
      </c>
      <c r="J789">
        <v>0.23</v>
      </c>
      <c r="K789">
        <v>1.78</v>
      </c>
      <c r="L789">
        <v>4.21</v>
      </c>
      <c r="M789">
        <v>4.35</v>
      </c>
      <c r="N789">
        <v>4.19</v>
      </c>
      <c r="O789">
        <v>4.21</v>
      </c>
      <c r="P789">
        <v>94.74</v>
      </c>
      <c r="Q789">
        <v>39181964</v>
      </c>
      <c r="R789">
        <v>2.04</v>
      </c>
      <c r="S789" t="s">
        <v>953</v>
      </c>
      <c r="T789" t="s">
        <v>238</v>
      </c>
      <c r="U789">
        <v>3.8</v>
      </c>
      <c r="V789">
        <v>4.28</v>
      </c>
      <c r="W789">
        <v>43273</v>
      </c>
      <c r="X789">
        <v>48168</v>
      </c>
      <c r="Y789">
        <v>0.9</v>
      </c>
      <c r="Z789">
        <v>1169</v>
      </c>
      <c r="AA789">
        <v>3113</v>
      </c>
      <c r="AB789" t="s">
        <v>32</v>
      </c>
      <c r="AC789">
        <v>5.14</v>
      </c>
    </row>
    <row r="790" spans="1:29">
      <c r="A790" t="str">
        <f>"002330"</f>
        <v>002330</v>
      </c>
      <c r="B790" t="s">
        <v>954</v>
      </c>
      <c r="C790">
        <v>1.17</v>
      </c>
      <c r="D790">
        <v>5.18</v>
      </c>
      <c r="E790">
        <v>0.06</v>
      </c>
      <c r="F790">
        <v>5.17</v>
      </c>
      <c r="G790">
        <v>5.18</v>
      </c>
      <c r="H790">
        <v>42548</v>
      </c>
      <c r="I790">
        <v>529</v>
      </c>
      <c r="J790">
        <v>0</v>
      </c>
      <c r="K790">
        <v>0.85</v>
      </c>
      <c r="L790">
        <v>5.1</v>
      </c>
      <c r="M790">
        <v>5.2</v>
      </c>
      <c r="N790">
        <v>5.1</v>
      </c>
      <c r="O790">
        <v>5.12</v>
      </c>
      <c r="P790">
        <v>66.01</v>
      </c>
      <c r="Q790">
        <v>21921294</v>
      </c>
      <c r="R790">
        <v>2.65</v>
      </c>
      <c r="S790" t="s">
        <v>213</v>
      </c>
      <c r="T790" t="s">
        <v>162</v>
      </c>
      <c r="U790">
        <v>1.95</v>
      </c>
      <c r="V790">
        <v>5.15</v>
      </c>
      <c r="W790">
        <v>19453</v>
      </c>
      <c r="X790">
        <v>23095</v>
      </c>
      <c r="Y790">
        <v>0.84</v>
      </c>
      <c r="Z790">
        <v>607</v>
      </c>
      <c r="AA790">
        <v>54</v>
      </c>
      <c r="AB790" t="s">
        <v>32</v>
      </c>
      <c r="AC790">
        <v>5.02</v>
      </c>
    </row>
    <row r="791" spans="1:29">
      <c r="A791" t="str">
        <f>"002331"</f>
        <v>002331</v>
      </c>
      <c r="B791" t="s">
        <v>955</v>
      </c>
      <c r="C791">
        <v>1.33</v>
      </c>
      <c r="D791">
        <v>7.62</v>
      </c>
      <c r="E791">
        <v>0.1</v>
      </c>
      <c r="F791">
        <v>7.61</v>
      </c>
      <c r="G791">
        <v>7.62</v>
      </c>
      <c r="H791">
        <v>63260</v>
      </c>
      <c r="I791">
        <v>1622</v>
      </c>
      <c r="J791">
        <v>0.13</v>
      </c>
      <c r="K791">
        <v>2.15</v>
      </c>
      <c r="L791">
        <v>7.47</v>
      </c>
      <c r="M791">
        <v>7.66</v>
      </c>
      <c r="N791">
        <v>7.44</v>
      </c>
      <c r="O791">
        <v>7.52</v>
      </c>
      <c r="P791">
        <v>57.97</v>
      </c>
      <c r="Q791">
        <v>47922524</v>
      </c>
      <c r="R791">
        <v>1.33</v>
      </c>
      <c r="S791" t="s">
        <v>270</v>
      </c>
      <c r="T791" t="s">
        <v>143</v>
      </c>
      <c r="U791">
        <v>2.93</v>
      </c>
      <c r="V791">
        <v>7.58</v>
      </c>
      <c r="W791">
        <v>36432</v>
      </c>
      <c r="X791">
        <v>26828</v>
      </c>
      <c r="Y791">
        <v>1.36</v>
      </c>
      <c r="Z791">
        <v>1580</v>
      </c>
      <c r="AA791">
        <v>142</v>
      </c>
      <c r="AB791" t="s">
        <v>32</v>
      </c>
      <c r="AC791">
        <v>2.95</v>
      </c>
    </row>
    <row r="792" spans="1:29">
      <c r="A792" t="str">
        <f>"002332"</f>
        <v>002332</v>
      </c>
      <c r="B792" t="s">
        <v>956</v>
      </c>
      <c r="C792">
        <v>-1.15</v>
      </c>
      <c r="D792">
        <v>8.63</v>
      </c>
      <c r="E792">
        <v>-0.1</v>
      </c>
      <c r="F792">
        <v>8.63</v>
      </c>
      <c r="G792">
        <v>8.64</v>
      </c>
      <c r="H792">
        <v>129943</v>
      </c>
      <c r="I792">
        <v>537</v>
      </c>
      <c r="J792">
        <v>0.23</v>
      </c>
      <c r="K792">
        <v>1.8</v>
      </c>
      <c r="L792">
        <v>8.51</v>
      </c>
      <c r="M792">
        <v>8.81</v>
      </c>
      <c r="N792">
        <v>8.47</v>
      </c>
      <c r="O792">
        <v>8.73</v>
      </c>
      <c r="P792">
        <v>48.81</v>
      </c>
      <c r="Q792">
        <v>112591120</v>
      </c>
      <c r="R792">
        <v>2.04</v>
      </c>
      <c r="S792" t="s">
        <v>36</v>
      </c>
      <c r="T792" t="s">
        <v>149</v>
      </c>
      <c r="U792">
        <v>3.89</v>
      </c>
      <c r="V792">
        <v>8.66</v>
      </c>
      <c r="W792">
        <v>78279</v>
      </c>
      <c r="X792">
        <v>51663</v>
      </c>
      <c r="Y792">
        <v>1.52</v>
      </c>
      <c r="Z792">
        <v>427</v>
      </c>
      <c r="AA792">
        <v>114</v>
      </c>
      <c r="AB792" t="s">
        <v>32</v>
      </c>
      <c r="AC792">
        <v>7.21</v>
      </c>
    </row>
    <row r="793" spans="1:29">
      <c r="A793" t="str">
        <f>"002333"</f>
        <v>002333</v>
      </c>
      <c r="B793" t="s">
        <v>957</v>
      </c>
      <c r="C793">
        <v>-2.41</v>
      </c>
      <c r="D793">
        <v>16.99</v>
      </c>
      <c r="E793">
        <v>-0.42</v>
      </c>
      <c r="F793">
        <v>16.98</v>
      </c>
      <c r="G793">
        <v>16.99</v>
      </c>
      <c r="H793">
        <v>78267</v>
      </c>
      <c r="I793">
        <v>465</v>
      </c>
      <c r="J793">
        <v>-0.34</v>
      </c>
      <c r="K793">
        <v>1.61</v>
      </c>
      <c r="L793">
        <v>18.99</v>
      </c>
      <c r="M793">
        <v>18.99</v>
      </c>
      <c r="N793">
        <v>16.96</v>
      </c>
      <c r="O793">
        <v>17.41</v>
      </c>
      <c r="P793" t="s">
        <v>32</v>
      </c>
      <c r="Q793">
        <v>139879936</v>
      </c>
      <c r="R793">
        <v>2.26</v>
      </c>
      <c r="S793" t="s">
        <v>324</v>
      </c>
      <c r="T793" t="s">
        <v>87</v>
      </c>
      <c r="U793">
        <v>11.66</v>
      </c>
      <c r="V793">
        <v>17.87</v>
      </c>
      <c r="W793">
        <v>43645</v>
      </c>
      <c r="X793">
        <v>34622</v>
      </c>
      <c r="Y793">
        <v>1.26</v>
      </c>
      <c r="Z793">
        <v>14</v>
      </c>
      <c r="AA793">
        <v>170</v>
      </c>
      <c r="AB793" t="s">
        <v>32</v>
      </c>
      <c r="AC793">
        <v>4.85</v>
      </c>
    </row>
    <row r="794" spans="1:29">
      <c r="A794" t="str">
        <f>"002334"</f>
        <v>002334</v>
      </c>
      <c r="B794" t="s">
        <v>958</v>
      </c>
      <c r="C794">
        <v>0.16</v>
      </c>
      <c r="D794">
        <v>6.16</v>
      </c>
      <c r="E794">
        <v>0.01</v>
      </c>
      <c r="F794">
        <v>6.16</v>
      </c>
      <c r="G794">
        <v>6.17</v>
      </c>
      <c r="H794">
        <v>57019</v>
      </c>
      <c r="I794">
        <v>479</v>
      </c>
      <c r="J794">
        <v>0</v>
      </c>
      <c r="K794">
        <v>0.99</v>
      </c>
      <c r="L794">
        <v>6.13</v>
      </c>
      <c r="M794">
        <v>6.22</v>
      </c>
      <c r="N794">
        <v>6.1</v>
      </c>
      <c r="O794">
        <v>6.15</v>
      </c>
      <c r="P794">
        <v>47.02</v>
      </c>
      <c r="Q794">
        <v>35194076</v>
      </c>
      <c r="R794">
        <v>1.02</v>
      </c>
      <c r="S794" t="s">
        <v>104</v>
      </c>
      <c r="T794" t="s">
        <v>31</v>
      </c>
      <c r="U794">
        <v>1.95</v>
      </c>
      <c r="V794">
        <v>6.17</v>
      </c>
      <c r="W794">
        <v>34143</v>
      </c>
      <c r="X794">
        <v>22875</v>
      </c>
      <c r="Y794">
        <v>1.49</v>
      </c>
      <c r="Z794">
        <v>1175</v>
      </c>
      <c r="AA794">
        <v>714</v>
      </c>
      <c r="AB794" t="s">
        <v>32</v>
      </c>
      <c r="AC794">
        <v>5.78</v>
      </c>
    </row>
    <row r="795" spans="1:29">
      <c r="A795" t="str">
        <f>"002335"</f>
        <v>002335</v>
      </c>
      <c r="B795" t="s">
        <v>959</v>
      </c>
      <c r="C795">
        <v>-0.11</v>
      </c>
      <c r="D795">
        <v>18.75</v>
      </c>
      <c r="E795">
        <v>-0.02</v>
      </c>
      <c r="F795">
        <v>18.75</v>
      </c>
      <c r="G795">
        <v>18.77</v>
      </c>
      <c r="H795">
        <v>28544</v>
      </c>
      <c r="I795">
        <v>331</v>
      </c>
      <c r="J795">
        <v>0.05</v>
      </c>
      <c r="K795">
        <v>1.27</v>
      </c>
      <c r="L795">
        <v>18.65</v>
      </c>
      <c r="M795">
        <v>18.94</v>
      </c>
      <c r="N795">
        <v>18.65</v>
      </c>
      <c r="O795">
        <v>18.77</v>
      </c>
      <c r="P795">
        <v>42.99</v>
      </c>
      <c r="Q795">
        <v>53681924</v>
      </c>
      <c r="R795">
        <v>0.64</v>
      </c>
      <c r="S795" t="s">
        <v>104</v>
      </c>
      <c r="T795" t="s">
        <v>236</v>
      </c>
      <c r="U795">
        <v>1.55</v>
      </c>
      <c r="V795">
        <v>18.81</v>
      </c>
      <c r="W795">
        <v>18083</v>
      </c>
      <c r="X795">
        <v>10460</v>
      </c>
      <c r="Y795">
        <v>1.73</v>
      </c>
      <c r="Z795">
        <v>182</v>
      </c>
      <c r="AA795">
        <v>65</v>
      </c>
      <c r="AB795" t="s">
        <v>32</v>
      </c>
      <c r="AC795">
        <v>2.25</v>
      </c>
    </row>
    <row r="796" spans="1:29">
      <c r="A796" t="str">
        <f>"002336"</f>
        <v>002336</v>
      </c>
      <c r="B796" t="s">
        <v>960</v>
      </c>
      <c r="C796">
        <v>0.89</v>
      </c>
      <c r="D796">
        <v>11.28</v>
      </c>
      <c r="E796">
        <v>0.1</v>
      </c>
      <c r="F796">
        <v>11.27</v>
      </c>
      <c r="G796">
        <v>11.28</v>
      </c>
      <c r="H796">
        <v>15876</v>
      </c>
      <c r="I796">
        <v>483</v>
      </c>
      <c r="J796">
        <v>0.27</v>
      </c>
      <c r="K796">
        <v>0.47</v>
      </c>
      <c r="L796">
        <v>11.17</v>
      </c>
      <c r="M796">
        <v>11.4</v>
      </c>
      <c r="N796">
        <v>11.07</v>
      </c>
      <c r="O796">
        <v>11.18</v>
      </c>
      <c r="P796">
        <v>20.06</v>
      </c>
      <c r="Q796">
        <v>17835138</v>
      </c>
      <c r="R796">
        <v>1.1</v>
      </c>
      <c r="S796" t="s">
        <v>439</v>
      </c>
      <c r="T796" t="s">
        <v>31</v>
      </c>
      <c r="U796">
        <v>2.95</v>
      </c>
      <c r="V796">
        <v>11.23</v>
      </c>
      <c r="W796">
        <v>7087</v>
      </c>
      <c r="X796">
        <v>8789</v>
      </c>
      <c r="Y796">
        <v>0.81</v>
      </c>
      <c r="Z796">
        <v>90</v>
      </c>
      <c r="AA796">
        <v>110</v>
      </c>
      <c r="AB796" t="s">
        <v>32</v>
      </c>
      <c r="AC796">
        <v>3.39</v>
      </c>
    </row>
    <row r="797" spans="1:29">
      <c r="A797" t="str">
        <f>"002337"</f>
        <v>002337</v>
      </c>
      <c r="B797" t="s">
        <v>961</v>
      </c>
      <c r="C797">
        <v>9.91</v>
      </c>
      <c r="D797">
        <v>3.66</v>
      </c>
      <c r="E797">
        <v>0.33</v>
      </c>
      <c r="F797">
        <v>3.66</v>
      </c>
      <c r="G797" t="s">
        <v>32</v>
      </c>
      <c r="H797">
        <v>116523</v>
      </c>
      <c r="I797">
        <v>253</v>
      </c>
      <c r="J797">
        <v>0</v>
      </c>
      <c r="K797">
        <v>1.98</v>
      </c>
      <c r="L797">
        <v>3.35</v>
      </c>
      <c r="M797">
        <v>3.66</v>
      </c>
      <c r="N797">
        <v>3.32</v>
      </c>
      <c r="O797">
        <v>3.33</v>
      </c>
      <c r="P797" t="s">
        <v>32</v>
      </c>
      <c r="Q797">
        <v>41976452</v>
      </c>
      <c r="R797">
        <v>6.74</v>
      </c>
      <c r="S797" t="s">
        <v>504</v>
      </c>
      <c r="T797" t="s">
        <v>248</v>
      </c>
      <c r="U797">
        <v>10.21</v>
      </c>
      <c r="V797">
        <v>3.6</v>
      </c>
      <c r="W797">
        <v>82506</v>
      </c>
      <c r="X797">
        <v>34017</v>
      </c>
      <c r="Y797">
        <v>2.43</v>
      </c>
      <c r="Z797">
        <v>13316</v>
      </c>
      <c r="AA797">
        <v>0</v>
      </c>
      <c r="AB797" t="s">
        <v>32</v>
      </c>
      <c r="AC797">
        <v>5.88</v>
      </c>
    </row>
    <row r="798" spans="1:29">
      <c r="A798" t="str">
        <f>"002338"</f>
        <v>002338</v>
      </c>
      <c r="B798" t="s">
        <v>962</v>
      </c>
      <c r="C798">
        <v>0.83</v>
      </c>
      <c r="D798">
        <v>10.97</v>
      </c>
      <c r="E798">
        <v>0.09</v>
      </c>
      <c r="F798">
        <v>10.97</v>
      </c>
      <c r="G798">
        <v>10.98</v>
      </c>
      <c r="H798">
        <v>34647</v>
      </c>
      <c r="I798">
        <v>423</v>
      </c>
      <c r="J798">
        <v>-0.08</v>
      </c>
      <c r="K798">
        <v>1.44</v>
      </c>
      <c r="L798">
        <v>10.88</v>
      </c>
      <c r="M798">
        <v>11.14</v>
      </c>
      <c r="N798">
        <v>10.75</v>
      </c>
      <c r="O798">
        <v>10.88</v>
      </c>
      <c r="P798">
        <v>70.28</v>
      </c>
      <c r="Q798">
        <v>37993300</v>
      </c>
      <c r="R798">
        <v>1.59</v>
      </c>
      <c r="S798" t="s">
        <v>606</v>
      </c>
      <c r="T798" t="s">
        <v>81</v>
      </c>
      <c r="U798">
        <v>3.58</v>
      </c>
      <c r="V798">
        <v>10.97</v>
      </c>
      <c r="W798">
        <v>17577</v>
      </c>
      <c r="X798">
        <v>17069</v>
      </c>
      <c r="Y798">
        <v>1.03</v>
      </c>
      <c r="Z798">
        <v>282</v>
      </c>
      <c r="AA798">
        <v>60</v>
      </c>
      <c r="AB798" t="s">
        <v>32</v>
      </c>
      <c r="AC798">
        <v>2.4</v>
      </c>
    </row>
    <row r="799" spans="1:29">
      <c r="A799" t="str">
        <f>"002339"</f>
        <v>002339</v>
      </c>
      <c r="B799" t="s">
        <v>963</v>
      </c>
      <c r="C799">
        <v>1.08</v>
      </c>
      <c r="D799">
        <v>7.48</v>
      </c>
      <c r="E799">
        <v>0.08</v>
      </c>
      <c r="F799">
        <v>7.47</v>
      </c>
      <c r="G799">
        <v>7.48</v>
      </c>
      <c r="H799">
        <v>19332</v>
      </c>
      <c r="I799">
        <v>96</v>
      </c>
      <c r="J799">
        <v>0</v>
      </c>
      <c r="K799">
        <v>0.64</v>
      </c>
      <c r="L799">
        <v>7.38</v>
      </c>
      <c r="M799">
        <v>7.5</v>
      </c>
      <c r="N799">
        <v>7.35</v>
      </c>
      <c r="O799">
        <v>7.4</v>
      </c>
      <c r="P799" t="s">
        <v>32</v>
      </c>
      <c r="Q799">
        <v>14434942</v>
      </c>
      <c r="R799">
        <v>1.3</v>
      </c>
      <c r="S799" t="s">
        <v>104</v>
      </c>
      <c r="T799" t="s">
        <v>162</v>
      </c>
      <c r="U799">
        <v>2.03</v>
      </c>
      <c r="V799">
        <v>7.47</v>
      </c>
      <c r="W799">
        <v>9920</v>
      </c>
      <c r="X799">
        <v>9411</v>
      </c>
      <c r="Y799">
        <v>1.05</v>
      </c>
      <c r="Z799">
        <v>225</v>
      </c>
      <c r="AA799">
        <v>462</v>
      </c>
      <c r="AB799" t="s">
        <v>32</v>
      </c>
      <c r="AC799">
        <v>3.03</v>
      </c>
    </row>
    <row r="800" spans="1:29">
      <c r="A800" t="str">
        <f>"002340"</f>
        <v>002340</v>
      </c>
      <c r="B800" t="s">
        <v>964</v>
      </c>
      <c r="C800">
        <v>0.48</v>
      </c>
      <c r="D800">
        <v>6.24</v>
      </c>
      <c r="E800">
        <v>0.03</v>
      </c>
      <c r="F800">
        <v>6.23</v>
      </c>
      <c r="G800">
        <v>6.24</v>
      </c>
      <c r="H800">
        <v>636393</v>
      </c>
      <c r="I800">
        <v>4505</v>
      </c>
      <c r="J800">
        <v>0.16</v>
      </c>
      <c r="K800">
        <v>2.04</v>
      </c>
      <c r="L800">
        <v>6.2</v>
      </c>
      <c r="M800">
        <v>6.29</v>
      </c>
      <c r="N800">
        <v>6.14</v>
      </c>
      <c r="O800">
        <v>6.21</v>
      </c>
      <c r="P800">
        <v>34.79</v>
      </c>
      <c r="Q800">
        <v>396707840</v>
      </c>
      <c r="R800">
        <v>1.53</v>
      </c>
      <c r="S800" t="s">
        <v>356</v>
      </c>
      <c r="T800" t="s">
        <v>31</v>
      </c>
      <c r="U800">
        <v>2.42</v>
      </c>
      <c r="V800">
        <v>6.23</v>
      </c>
      <c r="W800">
        <v>320733</v>
      </c>
      <c r="X800">
        <v>315660</v>
      </c>
      <c r="Y800">
        <v>1.02</v>
      </c>
      <c r="Z800">
        <v>3880</v>
      </c>
      <c r="AA800">
        <v>7382</v>
      </c>
      <c r="AB800" t="s">
        <v>32</v>
      </c>
      <c r="AC800">
        <v>31.14</v>
      </c>
    </row>
    <row r="801" spans="1:29">
      <c r="A801" t="str">
        <f>"002341"</f>
        <v>002341</v>
      </c>
      <c r="B801" t="s">
        <v>965</v>
      </c>
      <c r="C801">
        <v>2.47</v>
      </c>
      <c r="D801">
        <v>13.3</v>
      </c>
      <c r="E801">
        <v>0.32</v>
      </c>
      <c r="F801">
        <v>13.3</v>
      </c>
      <c r="G801">
        <v>13.31</v>
      </c>
      <c r="H801">
        <v>121112</v>
      </c>
      <c r="I801">
        <v>510</v>
      </c>
      <c r="J801">
        <v>-0.07</v>
      </c>
      <c r="K801">
        <v>1.96</v>
      </c>
      <c r="L801">
        <v>12.99</v>
      </c>
      <c r="M801">
        <v>13.45</v>
      </c>
      <c r="N801">
        <v>12.8</v>
      </c>
      <c r="O801">
        <v>12.98</v>
      </c>
      <c r="P801">
        <v>74.67</v>
      </c>
      <c r="Q801">
        <v>159949120</v>
      </c>
      <c r="R801">
        <v>1.41</v>
      </c>
      <c r="S801" t="s">
        <v>218</v>
      </c>
      <c r="T801" t="s">
        <v>31</v>
      </c>
      <c r="U801">
        <v>5.01</v>
      </c>
      <c r="V801">
        <v>13.21</v>
      </c>
      <c r="W801">
        <v>53912</v>
      </c>
      <c r="X801">
        <v>67200</v>
      </c>
      <c r="Y801">
        <v>0.8</v>
      </c>
      <c r="Z801">
        <v>460</v>
      </c>
      <c r="AA801">
        <v>489</v>
      </c>
      <c r="AB801" t="s">
        <v>32</v>
      </c>
      <c r="AC801">
        <v>6.17</v>
      </c>
    </row>
    <row r="802" spans="1:29">
      <c r="A802" t="str">
        <f>"002342"</f>
        <v>002342</v>
      </c>
      <c r="B802" t="s">
        <v>966</v>
      </c>
      <c r="C802">
        <v>3.23</v>
      </c>
      <c r="D802">
        <v>3.83</v>
      </c>
      <c r="E802">
        <v>0.12</v>
      </c>
      <c r="F802">
        <v>3.83</v>
      </c>
      <c r="G802">
        <v>3.84</v>
      </c>
      <c r="H802">
        <v>148643</v>
      </c>
      <c r="I802">
        <v>1612</v>
      </c>
      <c r="J802">
        <v>0</v>
      </c>
      <c r="K802">
        <v>1.69</v>
      </c>
      <c r="L802">
        <v>3.72</v>
      </c>
      <c r="M802">
        <v>3.95</v>
      </c>
      <c r="N802">
        <v>3.72</v>
      </c>
      <c r="O802">
        <v>3.71</v>
      </c>
      <c r="P802">
        <v>106.94</v>
      </c>
      <c r="Q802">
        <v>57193468</v>
      </c>
      <c r="R802">
        <v>2.35</v>
      </c>
      <c r="S802" t="s">
        <v>241</v>
      </c>
      <c r="T802" t="s">
        <v>154</v>
      </c>
      <c r="U802">
        <v>6.2</v>
      </c>
      <c r="V802">
        <v>3.85</v>
      </c>
      <c r="W802">
        <v>64656</v>
      </c>
      <c r="X802">
        <v>83987</v>
      </c>
      <c r="Y802">
        <v>0.77</v>
      </c>
      <c r="Z802">
        <v>1001</v>
      </c>
      <c r="AA802">
        <v>1630</v>
      </c>
      <c r="AB802" t="s">
        <v>32</v>
      </c>
      <c r="AC802">
        <v>8.81</v>
      </c>
    </row>
    <row r="803" spans="1:29">
      <c r="A803" t="str">
        <f>"002343"</f>
        <v>002343</v>
      </c>
      <c r="B803" t="s">
        <v>967</v>
      </c>
      <c r="C803">
        <v>0.46</v>
      </c>
      <c r="D803">
        <v>17.33</v>
      </c>
      <c r="E803">
        <v>0.08</v>
      </c>
      <c r="F803">
        <v>17.32</v>
      </c>
      <c r="G803">
        <v>17.33</v>
      </c>
      <c r="H803">
        <v>43846</v>
      </c>
      <c r="I803">
        <v>663</v>
      </c>
      <c r="J803">
        <v>0.35</v>
      </c>
      <c r="K803">
        <v>1.35</v>
      </c>
      <c r="L803">
        <v>17.1</v>
      </c>
      <c r="M803">
        <v>17.49</v>
      </c>
      <c r="N803">
        <v>16.92</v>
      </c>
      <c r="O803">
        <v>17.25</v>
      </c>
      <c r="P803">
        <v>23.56</v>
      </c>
      <c r="Q803">
        <v>75440720</v>
      </c>
      <c r="R803">
        <v>0.83</v>
      </c>
      <c r="S803" t="s">
        <v>148</v>
      </c>
      <c r="T803" t="s">
        <v>149</v>
      </c>
      <c r="U803">
        <v>3.3</v>
      </c>
      <c r="V803">
        <v>17.21</v>
      </c>
      <c r="W803">
        <v>26022</v>
      </c>
      <c r="X803">
        <v>17824</v>
      </c>
      <c r="Y803">
        <v>1.46</v>
      </c>
      <c r="Z803">
        <v>47</v>
      </c>
      <c r="AA803">
        <v>222</v>
      </c>
      <c r="AB803" t="s">
        <v>32</v>
      </c>
      <c r="AC803">
        <v>3.26</v>
      </c>
    </row>
    <row r="804" spans="1:29">
      <c r="A804" t="str">
        <f>"002344"</f>
        <v>002344</v>
      </c>
      <c r="B804" t="s">
        <v>968</v>
      </c>
      <c r="C804">
        <v>1.61</v>
      </c>
      <c r="D804">
        <v>5.05</v>
      </c>
      <c r="E804">
        <v>0.08</v>
      </c>
      <c r="F804">
        <v>5.05</v>
      </c>
      <c r="G804">
        <v>5.06</v>
      </c>
      <c r="H804">
        <v>67266</v>
      </c>
      <c r="I804">
        <v>788</v>
      </c>
      <c r="J804">
        <v>0</v>
      </c>
      <c r="K804">
        <v>0.53</v>
      </c>
      <c r="L804">
        <v>4.98</v>
      </c>
      <c r="M804">
        <v>5.09</v>
      </c>
      <c r="N804">
        <v>4.95</v>
      </c>
      <c r="O804">
        <v>4.97</v>
      </c>
      <c r="P804">
        <v>14</v>
      </c>
      <c r="Q804">
        <v>33824632</v>
      </c>
      <c r="R804">
        <v>1.76</v>
      </c>
      <c r="S804" t="s">
        <v>969</v>
      </c>
      <c r="T804" t="s">
        <v>149</v>
      </c>
      <c r="U804">
        <v>2.82</v>
      </c>
      <c r="V804">
        <v>5.03</v>
      </c>
      <c r="W804">
        <v>28910</v>
      </c>
      <c r="X804">
        <v>38355</v>
      </c>
      <c r="Y804">
        <v>0.75</v>
      </c>
      <c r="Z804">
        <v>175</v>
      </c>
      <c r="AA804">
        <v>561</v>
      </c>
      <c r="AB804" t="s">
        <v>32</v>
      </c>
      <c r="AC804">
        <v>12.71</v>
      </c>
    </row>
    <row r="805" spans="1:29">
      <c r="A805" t="str">
        <f>"002345"</f>
        <v>002345</v>
      </c>
      <c r="B805" t="s">
        <v>970</v>
      </c>
      <c r="C805">
        <v>1.9</v>
      </c>
      <c r="D805">
        <v>8.56</v>
      </c>
      <c r="E805">
        <v>0.16</v>
      </c>
      <c r="F805">
        <v>8.55</v>
      </c>
      <c r="G805">
        <v>8.56</v>
      </c>
      <c r="H805">
        <v>85093</v>
      </c>
      <c r="I805">
        <v>1834</v>
      </c>
      <c r="J805">
        <v>-0.11</v>
      </c>
      <c r="K805">
        <v>0.97</v>
      </c>
      <c r="L805">
        <v>8.35</v>
      </c>
      <c r="M805">
        <v>8.64</v>
      </c>
      <c r="N805">
        <v>8.24</v>
      </c>
      <c r="O805">
        <v>8.4</v>
      </c>
      <c r="P805">
        <v>20.77</v>
      </c>
      <c r="Q805">
        <v>72290608</v>
      </c>
      <c r="R805">
        <v>1.21</v>
      </c>
      <c r="S805" t="s">
        <v>622</v>
      </c>
      <c r="T805" t="s">
        <v>136</v>
      </c>
      <c r="U805">
        <v>4.76</v>
      </c>
      <c r="V805">
        <v>8.5</v>
      </c>
      <c r="W805">
        <v>34680</v>
      </c>
      <c r="X805">
        <v>50413</v>
      </c>
      <c r="Y805">
        <v>0.69</v>
      </c>
      <c r="Z805">
        <v>210</v>
      </c>
      <c r="AA805">
        <v>13</v>
      </c>
      <c r="AB805" t="s">
        <v>32</v>
      </c>
      <c r="AC805">
        <v>8.78</v>
      </c>
    </row>
    <row r="806" spans="1:29">
      <c r="A806" t="str">
        <f>"002346"</f>
        <v>002346</v>
      </c>
      <c r="B806" t="s">
        <v>971</v>
      </c>
      <c r="C806">
        <v>2.29</v>
      </c>
      <c r="D806">
        <v>13.38</v>
      </c>
      <c r="E806">
        <v>0.3</v>
      </c>
      <c r="F806">
        <v>13.38</v>
      </c>
      <c r="G806">
        <v>13.39</v>
      </c>
      <c r="H806">
        <v>29842</v>
      </c>
      <c r="I806">
        <v>675</v>
      </c>
      <c r="J806">
        <v>0.3</v>
      </c>
      <c r="K806">
        <v>0.76</v>
      </c>
      <c r="L806">
        <v>13.08</v>
      </c>
      <c r="M806">
        <v>13.83</v>
      </c>
      <c r="N806">
        <v>12.94</v>
      </c>
      <c r="O806">
        <v>13.08</v>
      </c>
      <c r="P806">
        <v>91.5</v>
      </c>
      <c r="Q806">
        <v>39972488</v>
      </c>
      <c r="R806">
        <v>1.09</v>
      </c>
      <c r="S806" t="s">
        <v>104</v>
      </c>
      <c r="T806" t="s">
        <v>366</v>
      </c>
      <c r="U806">
        <v>6.8</v>
      </c>
      <c r="V806">
        <v>13.39</v>
      </c>
      <c r="W806">
        <v>14644</v>
      </c>
      <c r="X806">
        <v>15198</v>
      </c>
      <c r="Y806">
        <v>0.96</v>
      </c>
      <c r="Z806">
        <v>355</v>
      </c>
      <c r="AA806">
        <v>76</v>
      </c>
      <c r="AB806" t="s">
        <v>32</v>
      </c>
      <c r="AC806">
        <v>3.91</v>
      </c>
    </row>
    <row r="807" spans="1:29">
      <c r="A807" t="str">
        <f>"002347"</f>
        <v>002347</v>
      </c>
      <c r="B807" t="s">
        <v>972</v>
      </c>
      <c r="C807">
        <v>-0.94</v>
      </c>
      <c r="D807">
        <v>4.21</v>
      </c>
      <c r="E807">
        <v>-0.04</v>
      </c>
      <c r="F807">
        <v>4.21</v>
      </c>
      <c r="G807">
        <v>4.22</v>
      </c>
      <c r="H807">
        <v>81191</v>
      </c>
      <c r="I807">
        <v>1063</v>
      </c>
      <c r="J807">
        <v>0</v>
      </c>
      <c r="K807">
        <v>2.55</v>
      </c>
      <c r="L807">
        <v>4.2</v>
      </c>
      <c r="M807">
        <v>4.27</v>
      </c>
      <c r="N807">
        <v>4.18</v>
      </c>
      <c r="O807">
        <v>4.25</v>
      </c>
      <c r="P807">
        <v>117.95</v>
      </c>
      <c r="Q807">
        <v>34234084</v>
      </c>
      <c r="R807">
        <v>1.02</v>
      </c>
      <c r="S807" t="s">
        <v>241</v>
      </c>
      <c r="T807" t="s">
        <v>143</v>
      </c>
      <c r="U807">
        <v>2.12</v>
      </c>
      <c r="V807">
        <v>4.22</v>
      </c>
      <c r="W807">
        <v>49586</v>
      </c>
      <c r="X807">
        <v>31605</v>
      </c>
      <c r="Y807">
        <v>1.57</v>
      </c>
      <c r="Z807">
        <v>797</v>
      </c>
      <c r="AA807">
        <v>361</v>
      </c>
      <c r="AB807" t="s">
        <v>32</v>
      </c>
      <c r="AC807">
        <v>3.19</v>
      </c>
    </row>
    <row r="808" spans="1:29">
      <c r="A808" t="str">
        <f>"002348"</f>
        <v>002348</v>
      </c>
      <c r="B808" t="s">
        <v>973</v>
      </c>
      <c r="C808">
        <v>1.57</v>
      </c>
      <c r="D808">
        <v>3.23</v>
      </c>
      <c r="E808">
        <v>0.05</v>
      </c>
      <c r="F808">
        <v>3.23</v>
      </c>
      <c r="G808">
        <v>3.24</v>
      </c>
      <c r="H808">
        <v>67708</v>
      </c>
      <c r="I808">
        <v>2525</v>
      </c>
      <c r="J808">
        <v>-0.3</v>
      </c>
      <c r="K808">
        <v>0.92</v>
      </c>
      <c r="L808">
        <v>3.19</v>
      </c>
      <c r="M808">
        <v>3.25</v>
      </c>
      <c r="N808">
        <v>3.16</v>
      </c>
      <c r="O808">
        <v>3.18</v>
      </c>
      <c r="P808" t="s">
        <v>32</v>
      </c>
      <c r="Q808">
        <v>21757624</v>
      </c>
      <c r="R808">
        <v>1.36</v>
      </c>
      <c r="S808" t="s">
        <v>57</v>
      </c>
      <c r="T808" t="s">
        <v>136</v>
      </c>
      <c r="U808">
        <v>2.83</v>
      </c>
      <c r="V808">
        <v>3.21</v>
      </c>
      <c r="W808">
        <v>31675</v>
      </c>
      <c r="X808">
        <v>36033</v>
      </c>
      <c r="Y808">
        <v>0.88</v>
      </c>
      <c r="Z808">
        <v>631</v>
      </c>
      <c r="AA808">
        <v>1471</v>
      </c>
      <c r="AB808" t="s">
        <v>32</v>
      </c>
      <c r="AC808">
        <v>7.38</v>
      </c>
    </row>
    <row r="809" spans="1:29">
      <c r="A809" t="str">
        <f>"002349"</f>
        <v>002349</v>
      </c>
      <c r="B809" t="s">
        <v>974</v>
      </c>
      <c r="C809">
        <v>2.23</v>
      </c>
      <c r="D809">
        <v>5.95</v>
      </c>
      <c r="E809">
        <v>0.13</v>
      </c>
      <c r="F809">
        <v>5.95</v>
      </c>
      <c r="G809">
        <v>5.96</v>
      </c>
      <c r="H809">
        <v>29797</v>
      </c>
      <c r="I809">
        <v>148</v>
      </c>
      <c r="J809">
        <v>0</v>
      </c>
      <c r="K809">
        <v>0.39</v>
      </c>
      <c r="L809">
        <v>5.82</v>
      </c>
      <c r="M809">
        <v>5.97</v>
      </c>
      <c r="N809">
        <v>5.75</v>
      </c>
      <c r="O809">
        <v>5.82</v>
      </c>
      <c r="P809">
        <v>20.69</v>
      </c>
      <c r="Q809">
        <v>17553240</v>
      </c>
      <c r="R809">
        <v>1.38</v>
      </c>
      <c r="S809" t="s">
        <v>195</v>
      </c>
      <c r="T809" t="s">
        <v>87</v>
      </c>
      <c r="U809">
        <v>3.78</v>
      </c>
      <c r="V809">
        <v>5.89</v>
      </c>
      <c r="W809">
        <v>10433</v>
      </c>
      <c r="X809">
        <v>19364</v>
      </c>
      <c r="Y809">
        <v>0.54</v>
      </c>
      <c r="Z809">
        <v>151</v>
      </c>
      <c r="AA809">
        <v>466</v>
      </c>
      <c r="AB809" t="s">
        <v>32</v>
      </c>
      <c r="AC809">
        <v>7.63</v>
      </c>
    </row>
    <row r="810" spans="1:29">
      <c r="A810" t="str">
        <f>"002350"</f>
        <v>002350</v>
      </c>
      <c r="B810" t="s">
        <v>975</v>
      </c>
      <c r="C810">
        <v>0.73</v>
      </c>
      <c r="D810">
        <v>6.93</v>
      </c>
      <c r="E810">
        <v>0.05</v>
      </c>
      <c r="F810">
        <v>6.92</v>
      </c>
      <c r="G810">
        <v>6.93</v>
      </c>
      <c r="H810">
        <v>79871</v>
      </c>
      <c r="I810">
        <v>524</v>
      </c>
      <c r="J810">
        <v>0</v>
      </c>
      <c r="K810">
        <v>1.64</v>
      </c>
      <c r="L810">
        <v>6.88</v>
      </c>
      <c r="M810">
        <v>6.97</v>
      </c>
      <c r="N810">
        <v>6.84</v>
      </c>
      <c r="O810">
        <v>6.88</v>
      </c>
      <c r="P810">
        <v>132.95</v>
      </c>
      <c r="Q810">
        <v>55305912</v>
      </c>
      <c r="R810">
        <v>1.34</v>
      </c>
      <c r="S810" t="s">
        <v>104</v>
      </c>
      <c r="T810" t="s">
        <v>45</v>
      </c>
      <c r="U810">
        <v>1.89</v>
      </c>
      <c r="V810">
        <v>6.92</v>
      </c>
      <c r="W810">
        <v>38078</v>
      </c>
      <c r="X810">
        <v>41793</v>
      </c>
      <c r="Y810">
        <v>0.91</v>
      </c>
      <c r="Z810">
        <v>1120</v>
      </c>
      <c r="AA810">
        <v>439</v>
      </c>
      <c r="AB810" t="s">
        <v>32</v>
      </c>
      <c r="AC810">
        <v>4.87</v>
      </c>
    </row>
    <row r="811" spans="1:29">
      <c r="A811" t="str">
        <f>"002351"</f>
        <v>002351</v>
      </c>
      <c r="B811" t="s">
        <v>976</v>
      </c>
      <c r="C811">
        <v>1.23</v>
      </c>
      <c r="D811">
        <v>6.57</v>
      </c>
      <c r="E811">
        <v>0.08</v>
      </c>
      <c r="F811">
        <v>6.57</v>
      </c>
      <c r="G811">
        <v>6.58</v>
      </c>
      <c r="H811">
        <v>34286</v>
      </c>
      <c r="I811">
        <v>514</v>
      </c>
      <c r="J811">
        <v>-0.29</v>
      </c>
      <c r="K811">
        <v>1.15</v>
      </c>
      <c r="L811">
        <v>6.45</v>
      </c>
      <c r="M811">
        <v>6.6</v>
      </c>
      <c r="N811">
        <v>6.45</v>
      </c>
      <c r="O811">
        <v>6.49</v>
      </c>
      <c r="P811">
        <v>44.38</v>
      </c>
      <c r="Q811">
        <v>22447838</v>
      </c>
      <c r="R811">
        <v>2.04</v>
      </c>
      <c r="S811" t="s">
        <v>65</v>
      </c>
      <c r="T811" t="s">
        <v>31</v>
      </c>
      <c r="U811">
        <v>2.31</v>
      </c>
      <c r="V811">
        <v>6.55</v>
      </c>
      <c r="W811">
        <v>14855</v>
      </c>
      <c r="X811">
        <v>19431</v>
      </c>
      <c r="Y811">
        <v>0.76</v>
      </c>
      <c r="Z811">
        <v>547</v>
      </c>
      <c r="AA811">
        <v>332</v>
      </c>
      <c r="AB811" t="s">
        <v>32</v>
      </c>
      <c r="AC811">
        <v>2.99</v>
      </c>
    </row>
    <row r="812" spans="1:29">
      <c r="A812" t="str">
        <f>"002352"</f>
        <v>002352</v>
      </c>
      <c r="B812" t="s">
        <v>977</v>
      </c>
      <c r="C812">
        <v>0.13</v>
      </c>
      <c r="D812">
        <v>45</v>
      </c>
      <c r="E812">
        <v>0.06</v>
      </c>
      <c r="F812">
        <v>44.99</v>
      </c>
      <c r="G812">
        <v>45</v>
      </c>
      <c r="H812">
        <v>32966</v>
      </c>
      <c r="I812">
        <v>347</v>
      </c>
      <c r="J812">
        <v>0</v>
      </c>
      <c r="K812">
        <v>0.37</v>
      </c>
      <c r="L812">
        <v>44.94</v>
      </c>
      <c r="M812">
        <v>45.09</v>
      </c>
      <c r="N812">
        <v>44.66</v>
      </c>
      <c r="O812">
        <v>44.94</v>
      </c>
      <c r="P812">
        <v>49.97</v>
      </c>
      <c r="Q812">
        <v>148265152</v>
      </c>
      <c r="R812">
        <v>1.05</v>
      </c>
      <c r="S812" t="s">
        <v>742</v>
      </c>
      <c r="T812" t="s">
        <v>143</v>
      </c>
      <c r="U812">
        <v>0.96</v>
      </c>
      <c r="V812">
        <v>44.98</v>
      </c>
      <c r="W812">
        <v>11460</v>
      </c>
      <c r="X812">
        <v>21506</v>
      </c>
      <c r="Y812">
        <v>0.53</v>
      </c>
      <c r="Z812">
        <v>37</v>
      </c>
      <c r="AA812">
        <v>9052</v>
      </c>
      <c r="AB812" t="s">
        <v>32</v>
      </c>
      <c r="AC812">
        <v>8.92</v>
      </c>
    </row>
    <row r="813" spans="1:29">
      <c r="A813" t="str">
        <f>"002353"</f>
        <v>002353</v>
      </c>
      <c r="B813" t="s">
        <v>978</v>
      </c>
      <c r="C813">
        <v>3.09</v>
      </c>
      <c r="D813">
        <v>18.01</v>
      </c>
      <c r="E813">
        <v>0.54</v>
      </c>
      <c r="F813">
        <v>18.01</v>
      </c>
      <c r="G813">
        <v>18.02</v>
      </c>
      <c r="H813">
        <v>139617</v>
      </c>
      <c r="I813">
        <v>1501</v>
      </c>
      <c r="J813">
        <v>0.06</v>
      </c>
      <c r="K813">
        <v>2.09</v>
      </c>
      <c r="L813">
        <v>17.58</v>
      </c>
      <c r="M813">
        <v>18.1</v>
      </c>
      <c r="N813">
        <v>17.33</v>
      </c>
      <c r="O813">
        <v>17.47</v>
      </c>
      <c r="P813">
        <v>128.7</v>
      </c>
      <c r="Q813">
        <v>249349360</v>
      </c>
      <c r="R813">
        <v>1.42</v>
      </c>
      <c r="S813" t="s">
        <v>504</v>
      </c>
      <c r="T813" t="s">
        <v>162</v>
      </c>
      <c r="U813">
        <v>4.41</v>
      </c>
      <c r="V813">
        <v>17.86</v>
      </c>
      <c r="W813">
        <v>67210</v>
      </c>
      <c r="X813">
        <v>72406</v>
      </c>
      <c r="Y813">
        <v>0.93</v>
      </c>
      <c r="Z813">
        <v>448</v>
      </c>
      <c r="AA813">
        <v>489</v>
      </c>
      <c r="AB813" t="s">
        <v>32</v>
      </c>
      <c r="AC813">
        <v>6.68</v>
      </c>
    </row>
    <row r="814" spans="1:29">
      <c r="A814" t="str">
        <f>"002354"</f>
        <v>002354</v>
      </c>
      <c r="B814" t="s">
        <v>979</v>
      </c>
      <c r="C814">
        <v>2.07</v>
      </c>
      <c r="D814">
        <v>8.39</v>
      </c>
      <c r="E814">
        <v>0.17</v>
      </c>
      <c r="F814">
        <v>8.38</v>
      </c>
      <c r="G814">
        <v>8.39</v>
      </c>
      <c r="H814">
        <v>161713</v>
      </c>
      <c r="I814">
        <v>2757</v>
      </c>
      <c r="J814">
        <v>0</v>
      </c>
      <c r="K814">
        <v>2.92</v>
      </c>
      <c r="L814">
        <v>8.16</v>
      </c>
      <c r="M814">
        <v>8.45</v>
      </c>
      <c r="N814">
        <v>8.13</v>
      </c>
      <c r="O814">
        <v>8.22</v>
      </c>
      <c r="P814">
        <v>11.05</v>
      </c>
      <c r="Q814">
        <v>134706384</v>
      </c>
      <c r="R814">
        <v>1.09</v>
      </c>
      <c r="S814" t="s">
        <v>316</v>
      </c>
      <c r="T814" t="s">
        <v>111</v>
      </c>
      <c r="U814">
        <v>3.89</v>
      </c>
      <c r="V814">
        <v>8.33</v>
      </c>
      <c r="W814">
        <v>74485</v>
      </c>
      <c r="X814">
        <v>87227</v>
      </c>
      <c r="Y814">
        <v>0.85</v>
      </c>
      <c r="Z814">
        <v>945</v>
      </c>
      <c r="AA814">
        <v>1547</v>
      </c>
      <c r="AB814" t="s">
        <v>32</v>
      </c>
      <c r="AC814">
        <v>5.55</v>
      </c>
    </row>
    <row r="815" spans="1:29">
      <c r="A815" t="str">
        <f>"002355"</f>
        <v>002355</v>
      </c>
      <c r="B815" t="s">
        <v>980</v>
      </c>
      <c r="C815">
        <v>0.51</v>
      </c>
      <c r="D815">
        <v>7.94</v>
      </c>
      <c r="E815">
        <v>0.04</v>
      </c>
      <c r="F815">
        <v>7.93</v>
      </c>
      <c r="G815">
        <v>7.94</v>
      </c>
      <c r="H815">
        <v>33113</v>
      </c>
      <c r="I815">
        <v>266</v>
      </c>
      <c r="J815">
        <v>0.13</v>
      </c>
      <c r="K815">
        <v>0.85</v>
      </c>
      <c r="L815">
        <v>7.89</v>
      </c>
      <c r="M815">
        <v>7.98</v>
      </c>
      <c r="N815">
        <v>7.86</v>
      </c>
      <c r="O815">
        <v>7.9</v>
      </c>
      <c r="P815">
        <v>49.44</v>
      </c>
      <c r="Q815">
        <v>26296928</v>
      </c>
      <c r="R815">
        <v>1.05</v>
      </c>
      <c r="S815" t="s">
        <v>80</v>
      </c>
      <c r="T815" t="s">
        <v>162</v>
      </c>
      <c r="U815">
        <v>1.52</v>
      </c>
      <c r="V815">
        <v>7.94</v>
      </c>
      <c r="W815">
        <v>18035</v>
      </c>
      <c r="X815">
        <v>15078</v>
      </c>
      <c r="Y815">
        <v>1.2</v>
      </c>
      <c r="Z815">
        <v>1160</v>
      </c>
      <c r="AA815">
        <v>828</v>
      </c>
      <c r="AB815" t="s">
        <v>32</v>
      </c>
      <c r="AC815">
        <v>3.9</v>
      </c>
    </row>
    <row r="816" spans="1:29">
      <c r="A816" t="str">
        <f>"002356"</f>
        <v>002356</v>
      </c>
      <c r="B816" t="s">
        <v>981</v>
      </c>
      <c r="C816">
        <v>-2.18</v>
      </c>
      <c r="D816">
        <v>12.11</v>
      </c>
      <c r="E816">
        <v>-0.27</v>
      </c>
      <c r="F816">
        <v>12.11</v>
      </c>
      <c r="G816">
        <v>12.12</v>
      </c>
      <c r="H816">
        <v>214151</v>
      </c>
      <c r="I816">
        <v>5932</v>
      </c>
      <c r="J816">
        <v>-0.15</v>
      </c>
      <c r="K816">
        <v>4.46</v>
      </c>
      <c r="L816">
        <v>12.06</v>
      </c>
      <c r="M816">
        <v>12.4</v>
      </c>
      <c r="N816">
        <v>11.79</v>
      </c>
      <c r="O816">
        <v>12.38</v>
      </c>
      <c r="P816">
        <v>69.41</v>
      </c>
      <c r="Q816">
        <v>257552496</v>
      </c>
      <c r="R816">
        <v>0.81</v>
      </c>
      <c r="S816" t="s">
        <v>73</v>
      </c>
      <c r="T816" t="s">
        <v>31</v>
      </c>
      <c r="U816">
        <v>4.93</v>
      </c>
      <c r="V816">
        <v>12.03</v>
      </c>
      <c r="W816">
        <v>122979</v>
      </c>
      <c r="X816">
        <v>91171</v>
      </c>
      <c r="Y816">
        <v>1.35</v>
      </c>
      <c r="Z816">
        <v>126</v>
      </c>
      <c r="AA816">
        <v>788</v>
      </c>
      <c r="AB816" t="s">
        <v>32</v>
      </c>
      <c r="AC816">
        <v>4.8</v>
      </c>
    </row>
    <row r="817" spans="1:29">
      <c r="A817" t="str">
        <f>"002357"</f>
        <v>002357</v>
      </c>
      <c r="B817" t="s">
        <v>982</v>
      </c>
      <c r="C817">
        <v>-0.26</v>
      </c>
      <c r="D817">
        <v>7.53</v>
      </c>
      <c r="E817">
        <v>-0.02</v>
      </c>
      <c r="F817">
        <v>7.53</v>
      </c>
      <c r="G817">
        <v>7.54</v>
      </c>
      <c r="H817">
        <v>156070</v>
      </c>
      <c r="I817">
        <v>2800</v>
      </c>
      <c r="J817">
        <v>0</v>
      </c>
      <c r="K817">
        <v>4.98</v>
      </c>
      <c r="L817">
        <v>7.49</v>
      </c>
      <c r="M817">
        <v>7.66</v>
      </c>
      <c r="N817">
        <v>7.33</v>
      </c>
      <c r="O817">
        <v>7.55</v>
      </c>
      <c r="P817">
        <v>17.67</v>
      </c>
      <c r="Q817">
        <v>116407648</v>
      </c>
      <c r="R817">
        <v>1.74</v>
      </c>
      <c r="S817" t="s">
        <v>983</v>
      </c>
      <c r="T817" t="s">
        <v>146</v>
      </c>
      <c r="U817">
        <v>4.37</v>
      </c>
      <c r="V817">
        <v>7.46</v>
      </c>
      <c r="W817">
        <v>94899</v>
      </c>
      <c r="X817">
        <v>61171</v>
      </c>
      <c r="Y817">
        <v>1.55</v>
      </c>
      <c r="Z817">
        <v>566</v>
      </c>
      <c r="AA817">
        <v>611</v>
      </c>
      <c r="AB817" t="s">
        <v>32</v>
      </c>
      <c r="AC817">
        <v>3.13</v>
      </c>
    </row>
    <row r="818" spans="1:29">
      <c r="A818" t="str">
        <f>"002358"</f>
        <v>002358</v>
      </c>
      <c r="B818" t="s">
        <v>984</v>
      </c>
      <c r="C818">
        <v>0.91</v>
      </c>
      <c r="D818">
        <v>14.41</v>
      </c>
      <c r="E818">
        <v>0.13</v>
      </c>
      <c r="F818">
        <v>14.4</v>
      </c>
      <c r="G818">
        <v>14.41</v>
      </c>
      <c r="H818">
        <v>42135</v>
      </c>
      <c r="I818">
        <v>732</v>
      </c>
      <c r="J818">
        <v>-0.06</v>
      </c>
      <c r="K818">
        <v>0.46</v>
      </c>
      <c r="L818">
        <v>14.18</v>
      </c>
      <c r="M818">
        <v>14.56</v>
      </c>
      <c r="N818">
        <v>14.18</v>
      </c>
      <c r="O818">
        <v>14.28</v>
      </c>
      <c r="P818">
        <v>41.46</v>
      </c>
      <c r="Q818">
        <v>60656124</v>
      </c>
      <c r="R818">
        <v>0.99</v>
      </c>
      <c r="S818" t="s">
        <v>104</v>
      </c>
      <c r="T818" t="s">
        <v>164</v>
      </c>
      <c r="U818">
        <v>2.66</v>
      </c>
      <c r="V818">
        <v>14.4</v>
      </c>
      <c r="W818">
        <v>17748</v>
      </c>
      <c r="X818">
        <v>24387</v>
      </c>
      <c r="Y818">
        <v>0.73</v>
      </c>
      <c r="Z818">
        <v>308</v>
      </c>
      <c r="AA818">
        <v>368</v>
      </c>
      <c r="AB818" t="s">
        <v>32</v>
      </c>
      <c r="AC818">
        <v>9.1</v>
      </c>
    </row>
    <row r="819" spans="1:29">
      <c r="A819" t="str">
        <f>"002359"</f>
        <v>002359</v>
      </c>
      <c r="B819" t="s">
        <v>985</v>
      </c>
      <c r="C819" t="s">
        <v>32</v>
      </c>
      <c r="D819">
        <v>19.58</v>
      </c>
      <c r="E819" t="s">
        <v>32</v>
      </c>
      <c r="F819" t="s">
        <v>32</v>
      </c>
      <c r="G819" t="s">
        <v>32</v>
      </c>
      <c r="H819">
        <v>0</v>
      </c>
      <c r="I819">
        <v>0</v>
      </c>
      <c r="J819" t="s">
        <v>32</v>
      </c>
      <c r="K819">
        <v>0</v>
      </c>
      <c r="L819" t="s">
        <v>32</v>
      </c>
      <c r="M819" t="s">
        <v>32</v>
      </c>
      <c r="N819" t="s">
        <v>32</v>
      </c>
      <c r="O819">
        <v>19.58</v>
      </c>
      <c r="P819">
        <v>51.12</v>
      </c>
      <c r="Q819">
        <v>0</v>
      </c>
      <c r="R819">
        <v>0</v>
      </c>
      <c r="S819" t="s">
        <v>449</v>
      </c>
      <c r="T819" t="s">
        <v>31</v>
      </c>
      <c r="U819">
        <v>0</v>
      </c>
      <c r="V819">
        <v>19.58</v>
      </c>
      <c r="W819">
        <v>0</v>
      </c>
      <c r="X819">
        <v>0</v>
      </c>
      <c r="Y819" t="s">
        <v>32</v>
      </c>
      <c r="Z819">
        <v>0</v>
      </c>
      <c r="AA819">
        <v>0</v>
      </c>
      <c r="AB819" t="s">
        <v>32</v>
      </c>
      <c r="AC819">
        <v>7.08</v>
      </c>
    </row>
    <row r="820" spans="1:29">
      <c r="A820" t="str">
        <f>"002360"</f>
        <v>002360</v>
      </c>
      <c r="B820" t="s">
        <v>986</v>
      </c>
      <c r="C820">
        <v>1.7</v>
      </c>
      <c r="D820">
        <v>5.98</v>
      </c>
      <c r="E820">
        <v>0.1</v>
      </c>
      <c r="F820">
        <v>5.97</v>
      </c>
      <c r="G820">
        <v>5.98</v>
      </c>
      <c r="H820">
        <v>40950</v>
      </c>
      <c r="I820">
        <v>407</v>
      </c>
      <c r="J820">
        <v>0.17</v>
      </c>
      <c r="K820">
        <v>1.37</v>
      </c>
      <c r="L820">
        <v>5.93</v>
      </c>
      <c r="M820">
        <v>6.06</v>
      </c>
      <c r="N820">
        <v>5.85</v>
      </c>
      <c r="O820">
        <v>5.88</v>
      </c>
      <c r="P820">
        <v>28.51</v>
      </c>
      <c r="Q820">
        <v>24406926</v>
      </c>
      <c r="R820">
        <v>1.41</v>
      </c>
      <c r="S820" t="s">
        <v>218</v>
      </c>
      <c r="T820" t="s">
        <v>169</v>
      </c>
      <c r="U820">
        <v>3.57</v>
      </c>
      <c r="V820">
        <v>5.96</v>
      </c>
      <c r="W820">
        <v>16559</v>
      </c>
      <c r="X820">
        <v>24391</v>
      </c>
      <c r="Y820">
        <v>0.68</v>
      </c>
      <c r="Z820">
        <v>180</v>
      </c>
      <c r="AA820">
        <v>403</v>
      </c>
      <c r="AB820" t="s">
        <v>32</v>
      </c>
      <c r="AC820">
        <v>2.98</v>
      </c>
    </row>
    <row r="821" spans="1:29">
      <c r="A821" t="str">
        <f>"002361"</f>
        <v>002361</v>
      </c>
      <c r="B821" t="s">
        <v>987</v>
      </c>
      <c r="C821">
        <v>0.23</v>
      </c>
      <c r="D821">
        <v>4.27</v>
      </c>
      <c r="E821">
        <v>0.01</v>
      </c>
      <c r="F821">
        <v>4.27</v>
      </c>
      <c r="G821">
        <v>4.28</v>
      </c>
      <c r="H821">
        <v>81289</v>
      </c>
      <c r="I821">
        <v>862</v>
      </c>
      <c r="J821">
        <v>0</v>
      </c>
      <c r="K821">
        <v>1.35</v>
      </c>
      <c r="L821">
        <v>4.33</v>
      </c>
      <c r="M821">
        <v>4.34</v>
      </c>
      <c r="N821">
        <v>4.26</v>
      </c>
      <c r="O821">
        <v>4.26</v>
      </c>
      <c r="P821">
        <v>52.61</v>
      </c>
      <c r="Q821">
        <v>34911432</v>
      </c>
      <c r="R821">
        <v>2.12</v>
      </c>
      <c r="S821" t="s">
        <v>218</v>
      </c>
      <c r="T821" t="s">
        <v>143</v>
      </c>
      <c r="U821">
        <v>1.88</v>
      </c>
      <c r="V821">
        <v>4.29</v>
      </c>
      <c r="W821">
        <v>43979</v>
      </c>
      <c r="X821">
        <v>37309</v>
      </c>
      <c r="Y821">
        <v>1.18</v>
      </c>
      <c r="Z821">
        <v>553</v>
      </c>
      <c r="AA821">
        <v>739</v>
      </c>
      <c r="AB821" t="s">
        <v>32</v>
      </c>
      <c r="AC821">
        <v>6</v>
      </c>
    </row>
    <row r="822" spans="1:29">
      <c r="A822" t="str">
        <f>"002362"</f>
        <v>002362</v>
      </c>
      <c r="B822" t="s">
        <v>988</v>
      </c>
      <c r="C822">
        <v>0.95</v>
      </c>
      <c r="D822">
        <v>20.09</v>
      </c>
      <c r="E822">
        <v>0.19</v>
      </c>
      <c r="F822">
        <v>20.09</v>
      </c>
      <c r="G822">
        <v>20.1</v>
      </c>
      <c r="H822">
        <v>38319</v>
      </c>
      <c r="I822">
        <v>384</v>
      </c>
      <c r="J822">
        <v>0</v>
      </c>
      <c r="K822">
        <v>2.16</v>
      </c>
      <c r="L822">
        <v>19.92</v>
      </c>
      <c r="M822">
        <v>20.18</v>
      </c>
      <c r="N822">
        <v>19.78</v>
      </c>
      <c r="O822">
        <v>19.9</v>
      </c>
      <c r="P822">
        <v>115.28</v>
      </c>
      <c r="Q822">
        <v>76776256</v>
      </c>
      <c r="R822">
        <v>1.38</v>
      </c>
      <c r="S822" t="s">
        <v>65</v>
      </c>
      <c r="T822" t="s">
        <v>45</v>
      </c>
      <c r="U822">
        <v>2.01</v>
      </c>
      <c r="V822">
        <v>20.04</v>
      </c>
      <c r="W822">
        <v>19277</v>
      </c>
      <c r="X822">
        <v>19042</v>
      </c>
      <c r="Y822">
        <v>1.01</v>
      </c>
      <c r="Z822">
        <v>663</v>
      </c>
      <c r="AA822">
        <v>355</v>
      </c>
      <c r="AB822" t="s">
        <v>32</v>
      </c>
      <c r="AC822">
        <v>1.78</v>
      </c>
    </row>
    <row r="823" spans="1:29">
      <c r="A823" t="str">
        <f>"002363"</f>
        <v>002363</v>
      </c>
      <c r="B823" t="s">
        <v>989</v>
      </c>
      <c r="C823">
        <v>1.72</v>
      </c>
      <c r="D823">
        <v>5.9</v>
      </c>
      <c r="E823">
        <v>0.1</v>
      </c>
      <c r="F823">
        <v>5.9</v>
      </c>
      <c r="G823">
        <v>5.91</v>
      </c>
      <c r="H823">
        <v>21438</v>
      </c>
      <c r="I823">
        <v>450</v>
      </c>
      <c r="J823">
        <v>-0.16</v>
      </c>
      <c r="K823">
        <v>0.56</v>
      </c>
      <c r="L823">
        <v>5.8</v>
      </c>
      <c r="M823">
        <v>5.94</v>
      </c>
      <c r="N823">
        <v>5.77</v>
      </c>
      <c r="O823">
        <v>5.8</v>
      </c>
      <c r="P823">
        <v>30.64</v>
      </c>
      <c r="Q823">
        <v>12600759</v>
      </c>
      <c r="R823">
        <v>1.33</v>
      </c>
      <c r="S823" t="s">
        <v>80</v>
      </c>
      <c r="T823" t="s">
        <v>162</v>
      </c>
      <c r="U823">
        <v>2.93</v>
      </c>
      <c r="V823">
        <v>5.88</v>
      </c>
      <c r="W823">
        <v>9582</v>
      </c>
      <c r="X823">
        <v>11856</v>
      </c>
      <c r="Y823">
        <v>0.81</v>
      </c>
      <c r="Z823">
        <v>53</v>
      </c>
      <c r="AA823">
        <v>226</v>
      </c>
      <c r="AB823" t="s">
        <v>32</v>
      </c>
      <c r="AC823">
        <v>3.86</v>
      </c>
    </row>
    <row r="824" spans="1:29">
      <c r="A824" t="str">
        <f>"002364"</f>
        <v>002364</v>
      </c>
      <c r="B824" t="s">
        <v>990</v>
      </c>
      <c r="C824">
        <v>3.62</v>
      </c>
      <c r="D824">
        <v>10.02</v>
      </c>
      <c r="E824">
        <v>0.35</v>
      </c>
      <c r="F824">
        <v>10.02</v>
      </c>
      <c r="G824">
        <v>10.03</v>
      </c>
      <c r="H824">
        <v>35154</v>
      </c>
      <c r="I824">
        <v>677</v>
      </c>
      <c r="J824">
        <v>0</v>
      </c>
      <c r="K824">
        <v>0.68</v>
      </c>
      <c r="L824">
        <v>9.66</v>
      </c>
      <c r="M824">
        <v>10.05</v>
      </c>
      <c r="N824">
        <v>9.66</v>
      </c>
      <c r="O824">
        <v>9.67</v>
      </c>
      <c r="P824">
        <v>131.29</v>
      </c>
      <c r="Q824">
        <v>34899884</v>
      </c>
      <c r="R824">
        <v>3.76</v>
      </c>
      <c r="S824" t="s">
        <v>104</v>
      </c>
      <c r="T824" t="s">
        <v>149</v>
      </c>
      <c r="U824">
        <v>4.03</v>
      </c>
      <c r="V824">
        <v>9.93</v>
      </c>
      <c r="W824">
        <v>10839</v>
      </c>
      <c r="X824">
        <v>24315</v>
      </c>
      <c r="Y824">
        <v>0.45</v>
      </c>
      <c r="Z824">
        <v>41</v>
      </c>
      <c r="AA824">
        <v>133</v>
      </c>
      <c r="AB824" t="s">
        <v>32</v>
      </c>
      <c r="AC824">
        <v>5.2</v>
      </c>
    </row>
    <row r="825" spans="1:29">
      <c r="A825" t="str">
        <f>"002365"</f>
        <v>002365</v>
      </c>
      <c r="B825" t="s">
        <v>991</v>
      </c>
      <c r="C825">
        <v>3.74</v>
      </c>
      <c r="D825">
        <v>15.52</v>
      </c>
      <c r="E825">
        <v>0.56</v>
      </c>
      <c r="F825">
        <v>15.51</v>
      </c>
      <c r="G825">
        <v>15.52</v>
      </c>
      <c r="H825">
        <v>83943</v>
      </c>
      <c r="I825">
        <v>764</v>
      </c>
      <c r="J825">
        <v>-0.12</v>
      </c>
      <c r="K825">
        <v>3.53</v>
      </c>
      <c r="L825">
        <v>15.03</v>
      </c>
      <c r="M825">
        <v>15.66</v>
      </c>
      <c r="N825">
        <v>14.84</v>
      </c>
      <c r="O825">
        <v>14.96</v>
      </c>
      <c r="P825">
        <v>25.25</v>
      </c>
      <c r="Q825">
        <v>128082904</v>
      </c>
      <c r="R825">
        <v>1.03</v>
      </c>
      <c r="S825" t="s">
        <v>142</v>
      </c>
      <c r="T825" t="s">
        <v>193</v>
      </c>
      <c r="U825">
        <v>5.48</v>
      </c>
      <c r="V825">
        <v>15.26</v>
      </c>
      <c r="W825">
        <v>35217</v>
      </c>
      <c r="X825">
        <v>48725</v>
      </c>
      <c r="Y825">
        <v>0.72</v>
      </c>
      <c r="Z825">
        <v>125</v>
      </c>
      <c r="AA825">
        <v>620</v>
      </c>
      <c r="AB825" t="s">
        <v>32</v>
      </c>
      <c r="AC825">
        <v>2.38</v>
      </c>
    </row>
    <row r="826" spans="1:29">
      <c r="A826" t="str">
        <f>"002366"</f>
        <v>002366</v>
      </c>
      <c r="B826" t="s">
        <v>992</v>
      </c>
      <c r="C826">
        <v>8.81</v>
      </c>
      <c r="D826">
        <v>15.07</v>
      </c>
      <c r="E826">
        <v>1.22</v>
      </c>
      <c r="F826">
        <v>15.06</v>
      </c>
      <c r="G826">
        <v>15.07</v>
      </c>
      <c r="H826">
        <v>325596</v>
      </c>
      <c r="I826">
        <v>1806</v>
      </c>
      <c r="J826">
        <v>0.07</v>
      </c>
      <c r="K826">
        <v>6.66</v>
      </c>
      <c r="L826">
        <v>13.91</v>
      </c>
      <c r="M826">
        <v>15.24</v>
      </c>
      <c r="N826">
        <v>13.83</v>
      </c>
      <c r="O826">
        <v>13.85</v>
      </c>
      <c r="P826">
        <v>17.77</v>
      </c>
      <c r="Q826">
        <v>482875712</v>
      </c>
      <c r="R826">
        <v>2.15</v>
      </c>
      <c r="S826" t="s">
        <v>171</v>
      </c>
      <c r="T826" t="s">
        <v>146</v>
      </c>
      <c r="U826">
        <v>10.18</v>
      </c>
      <c r="V826">
        <v>14.83</v>
      </c>
      <c r="W826">
        <v>156245</v>
      </c>
      <c r="X826">
        <v>169351</v>
      </c>
      <c r="Y826">
        <v>0.92</v>
      </c>
      <c r="Z826">
        <v>328</v>
      </c>
      <c r="AA826">
        <v>243</v>
      </c>
      <c r="AB826" t="s">
        <v>32</v>
      </c>
      <c r="AC826">
        <v>4.89</v>
      </c>
    </row>
    <row r="827" spans="1:29">
      <c r="A827" t="str">
        <f>"002367"</f>
        <v>002367</v>
      </c>
      <c r="B827" t="s">
        <v>993</v>
      </c>
      <c r="C827">
        <v>2.82</v>
      </c>
      <c r="D827">
        <v>5.84</v>
      </c>
      <c r="E827">
        <v>0.16</v>
      </c>
      <c r="F827">
        <v>5.83</v>
      </c>
      <c r="G827">
        <v>5.84</v>
      </c>
      <c r="H827">
        <v>86421</v>
      </c>
      <c r="I827">
        <v>868</v>
      </c>
      <c r="J827">
        <v>0.52</v>
      </c>
      <c r="K827">
        <v>1.66</v>
      </c>
      <c r="L827">
        <v>5.78</v>
      </c>
      <c r="M827">
        <v>5.85</v>
      </c>
      <c r="N827">
        <v>5.68</v>
      </c>
      <c r="O827">
        <v>5.68</v>
      </c>
      <c r="P827">
        <v>47.93</v>
      </c>
      <c r="Q827">
        <v>49882504</v>
      </c>
      <c r="R827">
        <v>2.14</v>
      </c>
      <c r="S827" t="s">
        <v>44</v>
      </c>
      <c r="T827" t="s">
        <v>87</v>
      </c>
      <c r="U827">
        <v>2.99</v>
      </c>
      <c r="V827">
        <v>5.77</v>
      </c>
      <c r="W827">
        <v>42433</v>
      </c>
      <c r="X827">
        <v>43987</v>
      </c>
      <c r="Y827">
        <v>0.96</v>
      </c>
      <c r="Z827">
        <v>139</v>
      </c>
      <c r="AA827">
        <v>2068</v>
      </c>
      <c r="AB827" t="s">
        <v>32</v>
      </c>
      <c r="AC827">
        <v>5.21</v>
      </c>
    </row>
    <row r="828" spans="1:29">
      <c r="A828" t="str">
        <f>"002368"</f>
        <v>002368</v>
      </c>
      <c r="B828" t="s">
        <v>994</v>
      </c>
      <c r="C828">
        <v>-0.43</v>
      </c>
      <c r="D828">
        <v>32.28</v>
      </c>
      <c r="E828">
        <v>-0.14</v>
      </c>
      <c r="F828">
        <v>32.27</v>
      </c>
      <c r="G828">
        <v>32.28</v>
      </c>
      <c r="H828">
        <v>82399</v>
      </c>
      <c r="I828">
        <v>663</v>
      </c>
      <c r="J828">
        <v>0.06</v>
      </c>
      <c r="K828">
        <v>2.06</v>
      </c>
      <c r="L828">
        <v>32.45</v>
      </c>
      <c r="M828">
        <v>32.72</v>
      </c>
      <c r="N828">
        <v>31.58</v>
      </c>
      <c r="O828">
        <v>32.42</v>
      </c>
      <c r="P828">
        <v>184.01</v>
      </c>
      <c r="Q828">
        <v>264966512</v>
      </c>
      <c r="R828">
        <v>0.81</v>
      </c>
      <c r="S828" t="s">
        <v>270</v>
      </c>
      <c r="T828" t="s">
        <v>45</v>
      </c>
      <c r="U828">
        <v>3.52</v>
      </c>
      <c r="V828">
        <v>32.16</v>
      </c>
      <c r="W828">
        <v>41987</v>
      </c>
      <c r="X828">
        <v>40412</v>
      </c>
      <c r="Y828">
        <v>1.04</v>
      </c>
      <c r="Z828">
        <v>185</v>
      </c>
      <c r="AA828">
        <v>55</v>
      </c>
      <c r="AB828" t="s">
        <v>32</v>
      </c>
      <c r="AC828">
        <v>4</v>
      </c>
    </row>
    <row r="829" spans="1:29">
      <c r="A829" t="str">
        <f>"002369"</f>
        <v>002369</v>
      </c>
      <c r="B829" t="s">
        <v>995</v>
      </c>
      <c r="C829" t="s">
        <v>32</v>
      </c>
      <c r="D829">
        <v>8.76</v>
      </c>
      <c r="E829" t="s">
        <v>32</v>
      </c>
      <c r="F829" t="s">
        <v>32</v>
      </c>
      <c r="G829" t="s">
        <v>32</v>
      </c>
      <c r="H829">
        <v>0</v>
      </c>
      <c r="I829">
        <v>0</v>
      </c>
      <c r="J829" t="s">
        <v>32</v>
      </c>
      <c r="K829">
        <v>0</v>
      </c>
      <c r="L829" t="s">
        <v>32</v>
      </c>
      <c r="M829" t="s">
        <v>32</v>
      </c>
      <c r="N829" t="s">
        <v>32</v>
      </c>
      <c r="O829">
        <v>8.76</v>
      </c>
      <c r="P829">
        <v>72.71</v>
      </c>
      <c r="Q829">
        <v>0</v>
      </c>
      <c r="R829">
        <v>0</v>
      </c>
      <c r="S829" t="s">
        <v>119</v>
      </c>
      <c r="T829" t="s">
        <v>31</v>
      </c>
      <c r="U829">
        <v>0</v>
      </c>
      <c r="V829">
        <v>8.76</v>
      </c>
      <c r="W829">
        <v>0</v>
      </c>
      <c r="X829">
        <v>0</v>
      </c>
      <c r="Y829" t="s">
        <v>32</v>
      </c>
      <c r="Z829">
        <v>0</v>
      </c>
      <c r="AA829">
        <v>0</v>
      </c>
      <c r="AB829" t="s">
        <v>32</v>
      </c>
      <c r="AC829">
        <v>4.2</v>
      </c>
    </row>
    <row r="830" spans="1:29">
      <c r="A830" t="str">
        <f>"002370"</f>
        <v>002370</v>
      </c>
      <c r="B830" t="s">
        <v>996</v>
      </c>
      <c r="C830">
        <v>10.04</v>
      </c>
      <c r="D830">
        <v>14.58</v>
      </c>
      <c r="E830">
        <v>1.33</v>
      </c>
      <c r="F830">
        <v>14.58</v>
      </c>
      <c r="G830" t="s">
        <v>32</v>
      </c>
      <c r="H830">
        <v>43181</v>
      </c>
      <c r="I830">
        <v>480</v>
      </c>
      <c r="J830">
        <v>0</v>
      </c>
      <c r="K830">
        <v>1.06</v>
      </c>
      <c r="L830">
        <v>13.44</v>
      </c>
      <c r="M830">
        <v>14.58</v>
      </c>
      <c r="N830">
        <v>13.38</v>
      </c>
      <c r="O830">
        <v>13.25</v>
      </c>
      <c r="P830">
        <v>29.86</v>
      </c>
      <c r="Q830">
        <v>60198576</v>
      </c>
      <c r="R830">
        <v>1.52</v>
      </c>
      <c r="S830" t="s">
        <v>142</v>
      </c>
      <c r="T830" t="s">
        <v>149</v>
      </c>
      <c r="U830">
        <v>9.06</v>
      </c>
      <c r="V830">
        <v>13.94</v>
      </c>
      <c r="W830">
        <v>17847</v>
      </c>
      <c r="X830">
        <v>25333</v>
      </c>
      <c r="Y830">
        <v>0.7</v>
      </c>
      <c r="Z830">
        <v>4690</v>
      </c>
      <c r="AA830">
        <v>0</v>
      </c>
      <c r="AB830" t="s">
        <v>32</v>
      </c>
      <c r="AC830">
        <v>4.08</v>
      </c>
    </row>
    <row r="831" spans="1:29">
      <c r="A831" t="str">
        <f>"002371"</f>
        <v>002371</v>
      </c>
      <c r="B831" t="s">
        <v>997</v>
      </c>
      <c r="C831">
        <v>-0.76</v>
      </c>
      <c r="D831">
        <v>55</v>
      </c>
      <c r="E831">
        <v>-0.42</v>
      </c>
      <c r="F831">
        <v>54.99</v>
      </c>
      <c r="G831">
        <v>55</v>
      </c>
      <c r="H831">
        <v>153146</v>
      </c>
      <c r="I831">
        <v>1472</v>
      </c>
      <c r="J831">
        <v>-0.14</v>
      </c>
      <c r="K831">
        <v>4.26</v>
      </c>
      <c r="L831">
        <v>55.7</v>
      </c>
      <c r="M831">
        <v>56.2</v>
      </c>
      <c r="N831">
        <v>53.5</v>
      </c>
      <c r="O831">
        <v>55.42</v>
      </c>
      <c r="P831">
        <v>410.02</v>
      </c>
      <c r="Q831">
        <v>840748480</v>
      </c>
      <c r="R831">
        <v>0.92</v>
      </c>
      <c r="S831" t="s">
        <v>171</v>
      </c>
      <c r="T831" t="s">
        <v>45</v>
      </c>
      <c r="U831">
        <v>4.87</v>
      </c>
      <c r="V831">
        <v>54.9</v>
      </c>
      <c r="W831">
        <v>82391</v>
      </c>
      <c r="X831">
        <v>70754</v>
      </c>
      <c r="Y831">
        <v>1.16</v>
      </c>
      <c r="Z831">
        <v>155</v>
      </c>
      <c r="AA831">
        <v>431</v>
      </c>
      <c r="AB831" t="s">
        <v>32</v>
      </c>
      <c r="AC831">
        <v>3.59</v>
      </c>
    </row>
    <row r="832" spans="1:29">
      <c r="A832" t="str">
        <f>"002372"</f>
        <v>002372</v>
      </c>
      <c r="B832" t="s">
        <v>998</v>
      </c>
      <c r="C832">
        <v>1.77</v>
      </c>
      <c r="D832">
        <v>17.81</v>
      </c>
      <c r="E832">
        <v>0.31</v>
      </c>
      <c r="F832">
        <v>17.81</v>
      </c>
      <c r="G832">
        <v>17.82</v>
      </c>
      <c r="H832">
        <v>114877</v>
      </c>
      <c r="I832">
        <v>845</v>
      </c>
      <c r="J832">
        <v>-0.33</v>
      </c>
      <c r="K832">
        <v>0.98</v>
      </c>
      <c r="L832">
        <v>17.85</v>
      </c>
      <c r="M832">
        <v>18.72</v>
      </c>
      <c r="N832">
        <v>17.6</v>
      </c>
      <c r="O832">
        <v>17.5</v>
      </c>
      <c r="P832">
        <v>54.27</v>
      </c>
      <c r="Q832">
        <v>208633328</v>
      </c>
      <c r="R832">
        <v>2.28</v>
      </c>
      <c r="S832" t="s">
        <v>69</v>
      </c>
      <c r="T832" t="s">
        <v>149</v>
      </c>
      <c r="U832">
        <v>6.4</v>
      </c>
      <c r="V832">
        <v>18.16</v>
      </c>
      <c r="W832">
        <v>49732</v>
      </c>
      <c r="X832">
        <v>65145</v>
      </c>
      <c r="Y832">
        <v>0.76</v>
      </c>
      <c r="Z832">
        <v>50</v>
      </c>
      <c r="AA832">
        <v>49</v>
      </c>
      <c r="AB832" t="s">
        <v>32</v>
      </c>
      <c r="AC832">
        <v>11.73</v>
      </c>
    </row>
    <row r="833" spans="1:29">
      <c r="A833" t="str">
        <f>"002373"</f>
        <v>002373</v>
      </c>
      <c r="B833" t="s">
        <v>999</v>
      </c>
      <c r="C833">
        <v>1.59</v>
      </c>
      <c r="D833">
        <v>13.42</v>
      </c>
      <c r="E833">
        <v>0.21</v>
      </c>
      <c r="F833">
        <v>13.41</v>
      </c>
      <c r="G833">
        <v>13.42</v>
      </c>
      <c r="H833">
        <v>103476</v>
      </c>
      <c r="I833">
        <v>686</v>
      </c>
      <c r="J833">
        <v>-0.21</v>
      </c>
      <c r="K833">
        <v>1.23</v>
      </c>
      <c r="L833">
        <v>13.3</v>
      </c>
      <c r="M833">
        <v>13.66</v>
      </c>
      <c r="N833">
        <v>13.15</v>
      </c>
      <c r="O833">
        <v>13.21</v>
      </c>
      <c r="P833">
        <v>48.55</v>
      </c>
      <c r="Q833">
        <v>139319728</v>
      </c>
      <c r="R833">
        <v>1.74</v>
      </c>
      <c r="S833" t="s">
        <v>270</v>
      </c>
      <c r="T833" t="s">
        <v>45</v>
      </c>
      <c r="U833">
        <v>3.86</v>
      </c>
      <c r="V833">
        <v>13.46</v>
      </c>
      <c r="W833">
        <v>36692</v>
      </c>
      <c r="X833">
        <v>66783</v>
      </c>
      <c r="Y833">
        <v>0.55</v>
      </c>
      <c r="Z833">
        <v>210</v>
      </c>
      <c r="AA833">
        <v>50</v>
      </c>
      <c r="AB833" t="s">
        <v>32</v>
      </c>
      <c r="AC833">
        <v>8.39</v>
      </c>
    </row>
    <row r="834" spans="1:29">
      <c r="A834" t="str">
        <f>"002374"</f>
        <v>002374</v>
      </c>
      <c r="B834" t="s">
        <v>1000</v>
      </c>
      <c r="C834">
        <v>1.41</v>
      </c>
      <c r="D834">
        <v>4.33</v>
      </c>
      <c r="E834">
        <v>0.06</v>
      </c>
      <c r="F834">
        <v>4.32</v>
      </c>
      <c r="G834">
        <v>4.33</v>
      </c>
      <c r="H834">
        <v>371511</v>
      </c>
      <c r="I834">
        <v>4339</v>
      </c>
      <c r="J834">
        <v>0</v>
      </c>
      <c r="K834">
        <v>5.13</v>
      </c>
      <c r="L834">
        <v>4.24</v>
      </c>
      <c r="M834">
        <v>4.58</v>
      </c>
      <c r="N834">
        <v>4.18</v>
      </c>
      <c r="O834">
        <v>4.27</v>
      </c>
      <c r="P834">
        <v>61.28</v>
      </c>
      <c r="Q834">
        <v>162260544</v>
      </c>
      <c r="R834">
        <v>1.42</v>
      </c>
      <c r="S834" t="s">
        <v>49</v>
      </c>
      <c r="T834" t="s">
        <v>162</v>
      </c>
      <c r="U834">
        <v>9.37</v>
      </c>
      <c r="V834">
        <v>4.37</v>
      </c>
      <c r="W834">
        <v>184015</v>
      </c>
      <c r="X834">
        <v>187496</v>
      </c>
      <c r="Y834">
        <v>0.98</v>
      </c>
      <c r="Z834">
        <v>2825</v>
      </c>
      <c r="AA834">
        <v>1650</v>
      </c>
      <c r="AB834" t="s">
        <v>32</v>
      </c>
      <c r="AC834">
        <v>7.24</v>
      </c>
    </row>
    <row r="835" spans="1:29">
      <c r="A835" t="str">
        <f>"002375"</f>
        <v>002375</v>
      </c>
      <c r="B835" t="s">
        <v>1001</v>
      </c>
      <c r="C835">
        <v>3.52</v>
      </c>
      <c r="D835">
        <v>6.47</v>
      </c>
      <c r="E835">
        <v>0.22</v>
      </c>
      <c r="F835">
        <v>6.47</v>
      </c>
      <c r="G835">
        <v>6.48</v>
      </c>
      <c r="H835">
        <v>887212</v>
      </c>
      <c r="I835">
        <v>10023</v>
      </c>
      <c r="J835">
        <v>-0.6</v>
      </c>
      <c r="K835">
        <v>7.08</v>
      </c>
      <c r="L835">
        <v>6.14</v>
      </c>
      <c r="M835">
        <v>6.88</v>
      </c>
      <c r="N835">
        <v>6.03</v>
      </c>
      <c r="O835">
        <v>6.25</v>
      </c>
      <c r="P835">
        <v>26.2</v>
      </c>
      <c r="Q835">
        <v>575369280</v>
      </c>
      <c r="R835">
        <v>2.64</v>
      </c>
      <c r="S835" t="s">
        <v>59</v>
      </c>
      <c r="T835" t="s">
        <v>149</v>
      </c>
      <c r="U835">
        <v>13.6</v>
      </c>
      <c r="V835">
        <v>6.49</v>
      </c>
      <c r="W835">
        <v>497576</v>
      </c>
      <c r="X835">
        <v>389635</v>
      </c>
      <c r="Y835">
        <v>1.28</v>
      </c>
      <c r="Z835">
        <v>1581</v>
      </c>
      <c r="AA835">
        <v>521</v>
      </c>
      <c r="AB835" t="s">
        <v>32</v>
      </c>
      <c r="AC835">
        <v>12.52</v>
      </c>
    </row>
    <row r="836" spans="1:29">
      <c r="A836" t="str">
        <f>"002376"</f>
        <v>002376</v>
      </c>
      <c r="B836" t="s">
        <v>1002</v>
      </c>
      <c r="C836">
        <v>4.35</v>
      </c>
      <c r="D836">
        <v>16.8</v>
      </c>
      <c r="E836">
        <v>0.7</v>
      </c>
      <c r="F836">
        <v>16.79</v>
      </c>
      <c r="G836">
        <v>16.8</v>
      </c>
      <c r="H836">
        <v>131507</v>
      </c>
      <c r="I836">
        <v>711</v>
      </c>
      <c r="J836">
        <v>-0.11</v>
      </c>
      <c r="K836">
        <v>2.29</v>
      </c>
      <c r="L836">
        <v>16.2</v>
      </c>
      <c r="M836">
        <v>16.84</v>
      </c>
      <c r="N836">
        <v>16.01</v>
      </c>
      <c r="O836">
        <v>16.1</v>
      </c>
      <c r="P836">
        <v>36.02</v>
      </c>
      <c r="Q836">
        <v>216654784</v>
      </c>
      <c r="R836">
        <v>1.86</v>
      </c>
      <c r="S836" t="s">
        <v>65</v>
      </c>
      <c r="T836" t="s">
        <v>162</v>
      </c>
      <c r="U836">
        <v>5.16</v>
      </c>
      <c r="V836">
        <v>16.47</v>
      </c>
      <c r="W836">
        <v>51244</v>
      </c>
      <c r="X836">
        <v>80263</v>
      </c>
      <c r="Y836">
        <v>0.64</v>
      </c>
      <c r="Z836">
        <v>18</v>
      </c>
      <c r="AA836">
        <v>291</v>
      </c>
      <c r="AB836" t="s">
        <v>32</v>
      </c>
      <c r="AC836">
        <v>5.74</v>
      </c>
    </row>
    <row r="837" spans="1:29">
      <c r="A837" t="str">
        <f>"002377"</f>
        <v>002377</v>
      </c>
      <c r="B837" t="s">
        <v>1003</v>
      </c>
      <c r="C837">
        <v>2.04</v>
      </c>
      <c r="D837">
        <v>6.99</v>
      </c>
      <c r="E837">
        <v>0.14</v>
      </c>
      <c r="F837">
        <v>6.99</v>
      </c>
      <c r="G837">
        <v>7</v>
      </c>
      <c r="H837">
        <v>74270</v>
      </c>
      <c r="I837">
        <v>456</v>
      </c>
      <c r="J837">
        <v>-0.7</v>
      </c>
      <c r="K837">
        <v>1.72</v>
      </c>
      <c r="L837">
        <v>6.87</v>
      </c>
      <c r="M837">
        <v>7.08</v>
      </c>
      <c r="N837">
        <v>6.8</v>
      </c>
      <c r="O837">
        <v>6.85</v>
      </c>
      <c r="P837">
        <v>21.14</v>
      </c>
      <c r="Q837">
        <v>51734216</v>
      </c>
      <c r="R837">
        <v>2.11</v>
      </c>
      <c r="S837" t="s">
        <v>110</v>
      </c>
      <c r="T837" t="s">
        <v>193</v>
      </c>
      <c r="U837">
        <v>4.09</v>
      </c>
      <c r="V837">
        <v>6.97</v>
      </c>
      <c r="W837">
        <v>35387</v>
      </c>
      <c r="X837">
        <v>38883</v>
      </c>
      <c r="Y837">
        <v>0.91</v>
      </c>
      <c r="Z837">
        <v>1336</v>
      </c>
      <c r="AA837">
        <v>424</v>
      </c>
      <c r="AB837" t="s">
        <v>32</v>
      </c>
      <c r="AC837">
        <v>4.32</v>
      </c>
    </row>
    <row r="838" spans="1:29">
      <c r="A838" t="str">
        <f>"002378"</f>
        <v>002378</v>
      </c>
      <c r="B838" t="s">
        <v>1004</v>
      </c>
      <c r="C838">
        <v>2.1</v>
      </c>
      <c r="D838">
        <v>6.8</v>
      </c>
      <c r="E838">
        <v>0.14</v>
      </c>
      <c r="F838">
        <v>6.79</v>
      </c>
      <c r="G838">
        <v>6.8</v>
      </c>
      <c r="H838">
        <v>69230</v>
      </c>
      <c r="I838">
        <v>1177</v>
      </c>
      <c r="J838">
        <v>0</v>
      </c>
      <c r="K838">
        <v>0.75</v>
      </c>
      <c r="L838">
        <v>6.66</v>
      </c>
      <c r="M838">
        <v>6.89</v>
      </c>
      <c r="N838">
        <v>6.66</v>
      </c>
      <c r="O838">
        <v>6.66</v>
      </c>
      <c r="P838">
        <v>236.71</v>
      </c>
      <c r="Q838">
        <v>46949556</v>
      </c>
      <c r="R838">
        <v>1.92</v>
      </c>
      <c r="S838" t="s">
        <v>356</v>
      </c>
      <c r="T838" t="s">
        <v>172</v>
      </c>
      <c r="U838">
        <v>3.45</v>
      </c>
      <c r="V838">
        <v>6.78</v>
      </c>
      <c r="W838">
        <v>32560</v>
      </c>
      <c r="X838">
        <v>36670</v>
      </c>
      <c r="Y838">
        <v>0.89</v>
      </c>
      <c r="Z838">
        <v>593</v>
      </c>
      <c r="AA838">
        <v>1081</v>
      </c>
      <c r="AB838" t="s">
        <v>32</v>
      </c>
      <c r="AC838">
        <v>9.23</v>
      </c>
    </row>
    <row r="839" spans="1:29">
      <c r="A839" t="str">
        <f>"002379"</f>
        <v>002379</v>
      </c>
      <c r="B839" t="s">
        <v>1005</v>
      </c>
      <c r="C839">
        <v>3.03</v>
      </c>
      <c r="D839">
        <v>3.4</v>
      </c>
      <c r="E839">
        <v>0.1</v>
      </c>
      <c r="F839">
        <v>3.39</v>
      </c>
      <c r="G839">
        <v>3.4</v>
      </c>
      <c r="H839">
        <v>59238</v>
      </c>
      <c r="I839">
        <v>714</v>
      </c>
      <c r="J839">
        <v>0</v>
      </c>
      <c r="K839">
        <v>0.99</v>
      </c>
      <c r="L839">
        <v>3.31</v>
      </c>
      <c r="M839">
        <v>3.42</v>
      </c>
      <c r="N839">
        <v>3.29</v>
      </c>
      <c r="O839">
        <v>3.3</v>
      </c>
      <c r="P839">
        <v>673.31</v>
      </c>
      <c r="Q839">
        <v>20003298</v>
      </c>
      <c r="R839">
        <v>1.88</v>
      </c>
      <c r="S839" t="s">
        <v>324</v>
      </c>
      <c r="T839" t="s">
        <v>162</v>
      </c>
      <c r="U839">
        <v>3.94</v>
      </c>
      <c r="V839">
        <v>3.38</v>
      </c>
      <c r="W839">
        <v>24249</v>
      </c>
      <c r="X839">
        <v>34988</v>
      </c>
      <c r="Y839">
        <v>0.69</v>
      </c>
      <c r="Z839">
        <v>499</v>
      </c>
      <c r="AA839">
        <v>610</v>
      </c>
      <c r="AB839" t="s">
        <v>32</v>
      </c>
      <c r="AC839">
        <v>5.97</v>
      </c>
    </row>
    <row r="840" spans="1:29">
      <c r="A840" t="str">
        <f>"002380"</f>
        <v>002380</v>
      </c>
      <c r="B840" t="s">
        <v>1006</v>
      </c>
      <c r="C840">
        <v>0.96</v>
      </c>
      <c r="D840">
        <v>13.72</v>
      </c>
      <c r="E840">
        <v>0.13</v>
      </c>
      <c r="F840">
        <v>13.71</v>
      </c>
      <c r="G840">
        <v>13.72</v>
      </c>
      <c r="H840">
        <v>26512</v>
      </c>
      <c r="I840">
        <v>182</v>
      </c>
      <c r="J840">
        <v>0.07</v>
      </c>
      <c r="K840">
        <v>1.85</v>
      </c>
      <c r="L840">
        <v>13.58</v>
      </c>
      <c r="M840">
        <v>13.78</v>
      </c>
      <c r="N840">
        <v>13.47</v>
      </c>
      <c r="O840">
        <v>13.59</v>
      </c>
      <c r="P840">
        <v>98.57</v>
      </c>
      <c r="Q840">
        <v>36205580</v>
      </c>
      <c r="R840">
        <v>0.94</v>
      </c>
      <c r="S840" t="s">
        <v>104</v>
      </c>
      <c r="T840" t="s">
        <v>87</v>
      </c>
      <c r="U840">
        <v>2.28</v>
      </c>
      <c r="V840">
        <v>13.66</v>
      </c>
      <c r="W840">
        <v>13715</v>
      </c>
      <c r="X840">
        <v>12796</v>
      </c>
      <c r="Y840">
        <v>1.07</v>
      </c>
      <c r="Z840">
        <v>88</v>
      </c>
      <c r="AA840">
        <v>231</v>
      </c>
      <c r="AB840" t="s">
        <v>32</v>
      </c>
      <c r="AC840">
        <v>1.43</v>
      </c>
    </row>
    <row r="841" spans="1:29">
      <c r="A841" t="str">
        <f>"002381"</f>
        <v>002381</v>
      </c>
      <c r="B841" t="s">
        <v>1007</v>
      </c>
      <c r="C841">
        <v>0.77</v>
      </c>
      <c r="D841">
        <v>6.51</v>
      </c>
      <c r="E841">
        <v>0.05</v>
      </c>
      <c r="F841">
        <v>6.5</v>
      </c>
      <c r="G841">
        <v>6.51</v>
      </c>
      <c r="H841">
        <v>22424</v>
      </c>
      <c r="I841">
        <v>312</v>
      </c>
      <c r="J841">
        <v>0.15</v>
      </c>
      <c r="K841">
        <v>0.96</v>
      </c>
      <c r="L841">
        <v>6.47</v>
      </c>
      <c r="M841">
        <v>6.65</v>
      </c>
      <c r="N841">
        <v>6.46</v>
      </c>
      <c r="O841">
        <v>6.46</v>
      </c>
      <c r="P841">
        <v>39.3</v>
      </c>
      <c r="Q841">
        <v>14628325</v>
      </c>
      <c r="R841">
        <v>2.4</v>
      </c>
      <c r="S841" t="s">
        <v>526</v>
      </c>
      <c r="T841" t="s">
        <v>149</v>
      </c>
      <c r="U841">
        <v>2.94</v>
      </c>
      <c r="V841">
        <v>6.52</v>
      </c>
      <c r="W841">
        <v>13604</v>
      </c>
      <c r="X841">
        <v>8820</v>
      </c>
      <c r="Y841">
        <v>1.54</v>
      </c>
      <c r="Z841">
        <v>253</v>
      </c>
      <c r="AA841">
        <v>279</v>
      </c>
      <c r="AB841" t="s">
        <v>32</v>
      </c>
      <c r="AC841">
        <v>2.32</v>
      </c>
    </row>
    <row r="842" spans="1:29">
      <c r="A842" t="str">
        <f>"002382"</f>
        <v>002382</v>
      </c>
      <c r="B842" t="s">
        <v>1008</v>
      </c>
      <c r="C842">
        <v>3.88</v>
      </c>
      <c r="D842">
        <v>21.15</v>
      </c>
      <c r="E842">
        <v>0.79</v>
      </c>
      <c r="F842">
        <v>21.11</v>
      </c>
      <c r="G842">
        <v>21.15</v>
      </c>
      <c r="H842">
        <v>78298</v>
      </c>
      <c r="I842">
        <v>276</v>
      </c>
      <c r="J842">
        <v>-0.04</v>
      </c>
      <c r="K842">
        <v>1.61</v>
      </c>
      <c r="L842">
        <v>20.36</v>
      </c>
      <c r="M842">
        <v>21.47</v>
      </c>
      <c r="N842">
        <v>20.36</v>
      </c>
      <c r="O842">
        <v>20.36</v>
      </c>
      <c r="P842">
        <v>78.33</v>
      </c>
      <c r="Q842">
        <v>164201856</v>
      </c>
      <c r="R842">
        <v>1.39</v>
      </c>
      <c r="S842" t="s">
        <v>138</v>
      </c>
      <c r="T842" t="s">
        <v>162</v>
      </c>
      <c r="U842">
        <v>5.45</v>
      </c>
      <c r="V842">
        <v>20.97</v>
      </c>
      <c r="W842">
        <v>37014</v>
      </c>
      <c r="X842">
        <v>41284</v>
      </c>
      <c r="Y842">
        <v>0.9</v>
      </c>
      <c r="Z842">
        <v>9</v>
      </c>
      <c r="AA842">
        <v>506</v>
      </c>
      <c r="AB842" t="s">
        <v>32</v>
      </c>
      <c r="AC842">
        <v>4.86</v>
      </c>
    </row>
    <row r="843" spans="1:29">
      <c r="A843" t="str">
        <f>"002383"</f>
        <v>002383</v>
      </c>
      <c r="B843" t="s">
        <v>1009</v>
      </c>
      <c r="C843">
        <v>0.27</v>
      </c>
      <c r="D843">
        <v>18.41</v>
      </c>
      <c r="E843">
        <v>0.05</v>
      </c>
      <c r="F843">
        <v>18.41</v>
      </c>
      <c r="G843">
        <v>18.42</v>
      </c>
      <c r="H843">
        <v>115920</v>
      </c>
      <c r="I843">
        <v>704</v>
      </c>
      <c r="J843">
        <v>0</v>
      </c>
      <c r="K843">
        <v>2.43</v>
      </c>
      <c r="L843">
        <v>18.37</v>
      </c>
      <c r="M843">
        <v>18.54</v>
      </c>
      <c r="N843">
        <v>18.13</v>
      </c>
      <c r="O843">
        <v>18.36</v>
      </c>
      <c r="P843">
        <v>63.58</v>
      </c>
      <c r="Q843">
        <v>212624864</v>
      </c>
      <c r="R843">
        <v>1.04</v>
      </c>
      <c r="S843" t="s">
        <v>119</v>
      </c>
      <c r="T843" t="s">
        <v>45</v>
      </c>
      <c r="U843">
        <v>2.23</v>
      </c>
      <c r="V843">
        <v>18.34</v>
      </c>
      <c r="W843">
        <v>64359</v>
      </c>
      <c r="X843">
        <v>51561</v>
      </c>
      <c r="Y843">
        <v>1.25</v>
      </c>
      <c r="Z843">
        <v>485</v>
      </c>
      <c r="AA843">
        <v>442</v>
      </c>
      <c r="AB843" t="s">
        <v>32</v>
      </c>
      <c r="AC843">
        <v>4.77</v>
      </c>
    </row>
    <row r="844" spans="1:29">
      <c r="A844" t="str">
        <f>"002384"</f>
        <v>002384</v>
      </c>
      <c r="B844" t="s">
        <v>1010</v>
      </c>
      <c r="C844">
        <v>-0.61</v>
      </c>
      <c r="D844">
        <v>26.2</v>
      </c>
      <c r="E844">
        <v>-0.16</v>
      </c>
      <c r="F844">
        <v>26.2</v>
      </c>
      <c r="G844">
        <v>26.21</v>
      </c>
      <c r="H844">
        <v>94075</v>
      </c>
      <c r="I844">
        <v>363</v>
      </c>
      <c r="J844">
        <v>0.23</v>
      </c>
      <c r="K844">
        <v>1.21</v>
      </c>
      <c r="L844">
        <v>26.86</v>
      </c>
      <c r="M844">
        <v>27.15</v>
      </c>
      <c r="N844">
        <v>25.93</v>
      </c>
      <c r="O844">
        <v>26.36</v>
      </c>
      <c r="P844">
        <v>46.33</v>
      </c>
      <c r="Q844">
        <v>251135216</v>
      </c>
      <c r="R844">
        <v>1.19</v>
      </c>
      <c r="S844" t="s">
        <v>119</v>
      </c>
      <c r="T844" t="s">
        <v>87</v>
      </c>
      <c r="U844">
        <v>4.63</v>
      </c>
      <c r="V844">
        <v>26.7</v>
      </c>
      <c r="W844">
        <v>50612</v>
      </c>
      <c r="X844">
        <v>43463</v>
      </c>
      <c r="Y844">
        <v>1.16</v>
      </c>
      <c r="Z844">
        <v>94</v>
      </c>
      <c r="AA844">
        <v>10</v>
      </c>
      <c r="AB844" t="s">
        <v>32</v>
      </c>
      <c r="AC844">
        <v>7.75</v>
      </c>
    </row>
    <row r="845" spans="1:29">
      <c r="A845" t="str">
        <f>"002385"</f>
        <v>002385</v>
      </c>
      <c r="B845" t="s">
        <v>1011</v>
      </c>
      <c r="C845">
        <v>1.67</v>
      </c>
      <c r="D845">
        <v>4.25</v>
      </c>
      <c r="E845">
        <v>0.07</v>
      </c>
      <c r="F845">
        <v>4.24</v>
      </c>
      <c r="G845">
        <v>4.25</v>
      </c>
      <c r="H845">
        <v>206765</v>
      </c>
      <c r="I845">
        <v>2283</v>
      </c>
      <c r="J845">
        <v>0</v>
      </c>
      <c r="K845">
        <v>0.91</v>
      </c>
      <c r="L845">
        <v>4.17</v>
      </c>
      <c r="M845">
        <v>4.26</v>
      </c>
      <c r="N845">
        <v>4.16</v>
      </c>
      <c r="O845">
        <v>4.18</v>
      </c>
      <c r="P845">
        <v>24.93</v>
      </c>
      <c r="Q845">
        <v>87343128</v>
      </c>
      <c r="R845">
        <v>1.96</v>
      </c>
      <c r="S845" t="s">
        <v>102</v>
      </c>
      <c r="T845" t="s">
        <v>45</v>
      </c>
      <c r="U845">
        <v>2.39</v>
      </c>
      <c r="V845">
        <v>4.22</v>
      </c>
      <c r="W845">
        <v>105871</v>
      </c>
      <c r="X845">
        <v>100894</v>
      </c>
      <c r="Y845">
        <v>1.05</v>
      </c>
      <c r="Z845">
        <v>5670</v>
      </c>
      <c r="AA845">
        <v>2771</v>
      </c>
      <c r="AB845" t="s">
        <v>32</v>
      </c>
      <c r="AC845">
        <v>22.65</v>
      </c>
    </row>
    <row r="846" spans="1:29">
      <c r="A846" t="str">
        <f>"002386"</f>
        <v>002386</v>
      </c>
      <c r="B846" t="s">
        <v>1012</v>
      </c>
      <c r="C846">
        <v>1.5</v>
      </c>
      <c r="D846">
        <v>7.42</v>
      </c>
      <c r="E846">
        <v>0.11</v>
      </c>
      <c r="F846">
        <v>7.42</v>
      </c>
      <c r="G846">
        <v>7.43</v>
      </c>
      <c r="H846">
        <v>161232</v>
      </c>
      <c r="I846">
        <v>2701</v>
      </c>
      <c r="J846">
        <v>0</v>
      </c>
      <c r="K846">
        <v>2.4</v>
      </c>
      <c r="L846">
        <v>7.29</v>
      </c>
      <c r="M846">
        <v>7.47</v>
      </c>
      <c r="N846">
        <v>7.25</v>
      </c>
      <c r="O846">
        <v>7.31</v>
      </c>
      <c r="P846">
        <v>25.02</v>
      </c>
      <c r="Q846">
        <v>119121112</v>
      </c>
      <c r="R846">
        <v>1.62</v>
      </c>
      <c r="S846" t="s">
        <v>218</v>
      </c>
      <c r="T846" t="s">
        <v>146</v>
      </c>
      <c r="U846">
        <v>3.01</v>
      </c>
      <c r="V846">
        <v>7.39</v>
      </c>
      <c r="W846">
        <v>77213</v>
      </c>
      <c r="X846">
        <v>84018</v>
      </c>
      <c r="Y846">
        <v>0.92</v>
      </c>
      <c r="Z846">
        <v>525</v>
      </c>
      <c r="AA846">
        <v>2690</v>
      </c>
      <c r="AB846" t="s">
        <v>32</v>
      </c>
      <c r="AC846">
        <v>6.72</v>
      </c>
    </row>
    <row r="847" spans="1:29">
      <c r="A847" t="str">
        <f>"002387"</f>
        <v>002387</v>
      </c>
      <c r="B847" t="s">
        <v>1013</v>
      </c>
      <c r="C847">
        <v>-0.34</v>
      </c>
      <c r="D847">
        <v>11.68</v>
      </c>
      <c r="E847">
        <v>-0.04</v>
      </c>
      <c r="F847">
        <v>11.68</v>
      </c>
      <c r="G847">
        <v>11.69</v>
      </c>
      <c r="H847">
        <v>50036</v>
      </c>
      <c r="I847">
        <v>946</v>
      </c>
      <c r="J847">
        <v>0</v>
      </c>
      <c r="K847">
        <v>1.52</v>
      </c>
      <c r="L847">
        <v>11.81</v>
      </c>
      <c r="M847">
        <v>11.99</v>
      </c>
      <c r="N847">
        <v>11.53</v>
      </c>
      <c r="O847">
        <v>11.72</v>
      </c>
      <c r="P847" t="s">
        <v>32</v>
      </c>
      <c r="Q847">
        <v>58679976</v>
      </c>
      <c r="R847">
        <v>1.16</v>
      </c>
      <c r="S847" t="s">
        <v>63</v>
      </c>
      <c r="T847" t="s">
        <v>136</v>
      </c>
      <c r="U847">
        <v>3.92</v>
      </c>
      <c r="V847">
        <v>11.73</v>
      </c>
      <c r="W847">
        <v>26308</v>
      </c>
      <c r="X847">
        <v>23727</v>
      </c>
      <c r="Y847">
        <v>1.11</v>
      </c>
      <c r="Z847">
        <v>23</v>
      </c>
      <c r="AA847">
        <v>13</v>
      </c>
      <c r="AB847" t="s">
        <v>32</v>
      </c>
      <c r="AC847">
        <v>3.29</v>
      </c>
    </row>
    <row r="848" spans="1:29">
      <c r="A848" t="str">
        <f>"002388"</f>
        <v>002388</v>
      </c>
      <c r="B848" t="s">
        <v>1014</v>
      </c>
      <c r="C848">
        <v>1.1</v>
      </c>
      <c r="D848">
        <v>6.41</v>
      </c>
      <c r="E848">
        <v>0.07</v>
      </c>
      <c r="F848">
        <v>6.4</v>
      </c>
      <c r="G848">
        <v>6.41</v>
      </c>
      <c r="H848">
        <v>32896</v>
      </c>
      <c r="I848">
        <v>649</v>
      </c>
      <c r="J848">
        <v>0</v>
      </c>
      <c r="K848">
        <v>0.82</v>
      </c>
      <c r="L848">
        <v>6.31</v>
      </c>
      <c r="M848">
        <v>6.44</v>
      </c>
      <c r="N848">
        <v>6.31</v>
      </c>
      <c r="O848">
        <v>6.34</v>
      </c>
      <c r="P848">
        <v>76.78</v>
      </c>
      <c r="Q848">
        <v>21013108</v>
      </c>
      <c r="R848">
        <v>1.07</v>
      </c>
      <c r="S848" t="s">
        <v>63</v>
      </c>
      <c r="T848" t="s">
        <v>31</v>
      </c>
      <c r="U848">
        <v>2.05</v>
      </c>
      <c r="V848">
        <v>6.39</v>
      </c>
      <c r="W848">
        <v>14593</v>
      </c>
      <c r="X848">
        <v>18302</v>
      </c>
      <c r="Y848">
        <v>0.8</v>
      </c>
      <c r="Z848">
        <v>1001</v>
      </c>
      <c r="AA848">
        <v>248</v>
      </c>
      <c r="AB848" t="s">
        <v>32</v>
      </c>
      <c r="AC848">
        <v>4</v>
      </c>
    </row>
    <row r="849" spans="1:29">
      <c r="A849" t="str">
        <f>"002389"</f>
        <v>002389</v>
      </c>
      <c r="B849" t="s">
        <v>1015</v>
      </c>
      <c r="C849">
        <v>2.41</v>
      </c>
      <c r="D849">
        <v>14.04</v>
      </c>
      <c r="E849">
        <v>0.33</v>
      </c>
      <c r="F849">
        <v>14.04</v>
      </c>
      <c r="G849">
        <v>14.05</v>
      </c>
      <c r="H849">
        <v>113796</v>
      </c>
      <c r="I849">
        <v>1192</v>
      </c>
      <c r="J849">
        <v>-0.27</v>
      </c>
      <c r="K849">
        <v>2.12</v>
      </c>
      <c r="L849">
        <v>13.74</v>
      </c>
      <c r="M849">
        <v>14.69</v>
      </c>
      <c r="N849">
        <v>13.58</v>
      </c>
      <c r="O849">
        <v>13.71</v>
      </c>
      <c r="P849">
        <v>240.92</v>
      </c>
      <c r="Q849">
        <v>161176768</v>
      </c>
      <c r="R849">
        <v>1.09</v>
      </c>
      <c r="S849" t="s">
        <v>63</v>
      </c>
      <c r="T849" t="s">
        <v>149</v>
      </c>
      <c r="U849">
        <v>8.1</v>
      </c>
      <c r="V849">
        <v>14.16</v>
      </c>
      <c r="W849">
        <v>60910</v>
      </c>
      <c r="X849">
        <v>52885</v>
      </c>
      <c r="Y849">
        <v>1.15</v>
      </c>
      <c r="Z849">
        <v>298</v>
      </c>
      <c r="AA849">
        <v>406</v>
      </c>
      <c r="AB849" t="s">
        <v>32</v>
      </c>
      <c r="AC849">
        <v>5.37</v>
      </c>
    </row>
    <row r="850" spans="1:29">
      <c r="A850" t="str">
        <f>"002390"</f>
        <v>002390</v>
      </c>
      <c r="B850" t="s">
        <v>1016</v>
      </c>
      <c r="C850">
        <v>-0.14</v>
      </c>
      <c r="D850">
        <v>6.9</v>
      </c>
      <c r="E850">
        <v>-0.01</v>
      </c>
      <c r="F850">
        <v>6.9</v>
      </c>
      <c r="G850">
        <v>6.91</v>
      </c>
      <c r="H850">
        <v>64315</v>
      </c>
      <c r="I850">
        <v>920</v>
      </c>
      <c r="J850">
        <v>-0.42</v>
      </c>
      <c r="K850">
        <v>0.57</v>
      </c>
      <c r="L850">
        <v>6.85</v>
      </c>
      <c r="M850">
        <v>7.01</v>
      </c>
      <c r="N850">
        <v>6.82</v>
      </c>
      <c r="O850">
        <v>6.91</v>
      </c>
      <c r="P850">
        <v>39.05</v>
      </c>
      <c r="Q850">
        <v>44665784</v>
      </c>
      <c r="R850">
        <v>0.9</v>
      </c>
      <c r="S850" t="s">
        <v>195</v>
      </c>
      <c r="T850" t="s">
        <v>253</v>
      </c>
      <c r="U850">
        <v>2.75</v>
      </c>
      <c r="V850">
        <v>6.94</v>
      </c>
      <c r="W850">
        <v>34670</v>
      </c>
      <c r="X850">
        <v>29644</v>
      </c>
      <c r="Y850">
        <v>1.17</v>
      </c>
      <c r="Z850">
        <v>2114</v>
      </c>
      <c r="AA850">
        <v>70</v>
      </c>
      <c r="AB850" t="s">
        <v>32</v>
      </c>
      <c r="AC850">
        <v>11.38</v>
      </c>
    </row>
    <row r="851" spans="1:29">
      <c r="A851" t="str">
        <f>"002391"</f>
        <v>002391</v>
      </c>
      <c r="B851" t="s">
        <v>1017</v>
      </c>
      <c r="C851">
        <v>1.26</v>
      </c>
      <c r="D851">
        <v>12.9</v>
      </c>
      <c r="E851">
        <v>0.16</v>
      </c>
      <c r="F851">
        <v>12.89</v>
      </c>
      <c r="G851">
        <v>12.9</v>
      </c>
      <c r="H851">
        <v>26154</v>
      </c>
      <c r="I851">
        <v>336</v>
      </c>
      <c r="J851">
        <v>0.08</v>
      </c>
      <c r="K851">
        <v>1.1</v>
      </c>
      <c r="L851">
        <v>12.78</v>
      </c>
      <c r="M851">
        <v>12.95</v>
      </c>
      <c r="N851">
        <v>12.7</v>
      </c>
      <c r="O851">
        <v>12.74</v>
      </c>
      <c r="P851">
        <v>17.45</v>
      </c>
      <c r="Q851">
        <v>33645612</v>
      </c>
      <c r="R851">
        <v>1.43</v>
      </c>
      <c r="S851" t="s">
        <v>145</v>
      </c>
      <c r="T851" t="s">
        <v>87</v>
      </c>
      <c r="U851">
        <v>1.96</v>
      </c>
      <c r="V851">
        <v>12.86</v>
      </c>
      <c r="W851">
        <v>14218</v>
      </c>
      <c r="X851">
        <v>11936</v>
      </c>
      <c r="Y851">
        <v>1.19</v>
      </c>
      <c r="Z851">
        <v>85</v>
      </c>
      <c r="AA851">
        <v>58</v>
      </c>
      <c r="AB851" t="s">
        <v>32</v>
      </c>
      <c r="AC851">
        <v>2.38</v>
      </c>
    </row>
    <row r="852" spans="1:29">
      <c r="A852" t="str">
        <f>"002392"</f>
        <v>002392</v>
      </c>
      <c r="B852" t="s">
        <v>1018</v>
      </c>
      <c r="C852">
        <v>1.39</v>
      </c>
      <c r="D852">
        <v>3.64</v>
      </c>
      <c r="E852">
        <v>0.05</v>
      </c>
      <c r="F852">
        <v>3.63</v>
      </c>
      <c r="G852">
        <v>3.64</v>
      </c>
      <c r="H852">
        <v>123889</v>
      </c>
      <c r="I852">
        <v>831</v>
      </c>
      <c r="J852">
        <v>0.28</v>
      </c>
      <c r="K852">
        <v>1.6</v>
      </c>
      <c r="L852">
        <v>3.58</v>
      </c>
      <c r="M852">
        <v>3.73</v>
      </c>
      <c r="N852">
        <v>3.57</v>
      </c>
      <c r="O852">
        <v>3.59</v>
      </c>
      <c r="P852">
        <v>18.46</v>
      </c>
      <c r="Q852">
        <v>45185356</v>
      </c>
      <c r="R852">
        <v>1.95</v>
      </c>
      <c r="S852" t="s">
        <v>69</v>
      </c>
      <c r="T852" t="s">
        <v>45</v>
      </c>
      <c r="U852">
        <v>4.46</v>
      </c>
      <c r="V852">
        <v>3.65</v>
      </c>
      <c r="W852">
        <v>54816</v>
      </c>
      <c r="X852">
        <v>69072</v>
      </c>
      <c r="Y852">
        <v>0.79</v>
      </c>
      <c r="Z852">
        <v>845</v>
      </c>
      <c r="AA852">
        <v>2034</v>
      </c>
      <c r="AB852" t="s">
        <v>32</v>
      </c>
      <c r="AC852">
        <v>7.72</v>
      </c>
    </row>
    <row r="853" spans="1:29">
      <c r="A853" t="str">
        <f>"002393"</f>
        <v>002393</v>
      </c>
      <c r="B853" t="s">
        <v>1019</v>
      </c>
      <c r="C853">
        <v>2.97</v>
      </c>
      <c r="D853">
        <v>24.61</v>
      </c>
      <c r="E853">
        <v>0.71</v>
      </c>
      <c r="F853">
        <v>24.6</v>
      </c>
      <c r="G853">
        <v>24.61</v>
      </c>
      <c r="H853">
        <v>16798</v>
      </c>
      <c r="I853">
        <v>144</v>
      </c>
      <c r="J853">
        <v>0</v>
      </c>
      <c r="K853">
        <v>0.92</v>
      </c>
      <c r="L853">
        <v>23.91</v>
      </c>
      <c r="M853">
        <v>24.7</v>
      </c>
      <c r="N853">
        <v>23.84</v>
      </c>
      <c r="O853">
        <v>23.9</v>
      </c>
      <c r="P853">
        <v>27.43</v>
      </c>
      <c r="Q853">
        <v>40932532</v>
      </c>
      <c r="R853">
        <v>1.94</v>
      </c>
      <c r="S853" t="s">
        <v>142</v>
      </c>
      <c r="T853" t="s">
        <v>248</v>
      </c>
      <c r="U853">
        <v>3.6</v>
      </c>
      <c r="V853">
        <v>24.37</v>
      </c>
      <c r="W853">
        <v>6774</v>
      </c>
      <c r="X853">
        <v>10023</v>
      </c>
      <c r="Y853">
        <v>0.68</v>
      </c>
      <c r="Z853">
        <v>87</v>
      </c>
      <c r="AA853">
        <v>4</v>
      </c>
      <c r="AB853" t="s">
        <v>32</v>
      </c>
      <c r="AC853">
        <v>1.82</v>
      </c>
    </row>
    <row r="854" spans="1:29">
      <c r="A854" t="str">
        <f>"002394"</f>
        <v>002394</v>
      </c>
      <c r="B854" t="s">
        <v>1020</v>
      </c>
      <c r="C854">
        <v>0.89</v>
      </c>
      <c r="D854">
        <v>10.2</v>
      </c>
      <c r="E854">
        <v>0.09</v>
      </c>
      <c r="F854">
        <v>10.2</v>
      </c>
      <c r="G854">
        <v>10.21</v>
      </c>
      <c r="H854">
        <v>18301</v>
      </c>
      <c r="I854">
        <v>238</v>
      </c>
      <c r="J854">
        <v>0</v>
      </c>
      <c r="K854">
        <v>0.57</v>
      </c>
      <c r="L854">
        <v>10.11</v>
      </c>
      <c r="M854">
        <v>10.24</v>
      </c>
      <c r="N854">
        <v>10.11</v>
      </c>
      <c r="O854">
        <v>10.11</v>
      </c>
      <c r="P854">
        <v>18.41</v>
      </c>
      <c r="Q854">
        <v>18646478</v>
      </c>
      <c r="R854">
        <v>1.31</v>
      </c>
      <c r="S854" t="s">
        <v>99</v>
      </c>
      <c r="T854" t="s">
        <v>87</v>
      </c>
      <c r="U854">
        <v>1.29</v>
      </c>
      <c r="V854">
        <v>10.19</v>
      </c>
      <c r="W854">
        <v>8666</v>
      </c>
      <c r="X854">
        <v>9635</v>
      </c>
      <c r="Y854">
        <v>0.9</v>
      </c>
      <c r="Z854">
        <v>131</v>
      </c>
      <c r="AA854">
        <v>531</v>
      </c>
      <c r="AB854" t="s">
        <v>32</v>
      </c>
      <c r="AC854">
        <v>3.24</v>
      </c>
    </row>
    <row r="855" spans="1:29">
      <c r="A855" t="str">
        <f>"002395"</f>
        <v>002395</v>
      </c>
      <c r="B855" t="s">
        <v>1021</v>
      </c>
      <c r="C855">
        <v>-1</v>
      </c>
      <c r="D855">
        <v>15.8</v>
      </c>
      <c r="E855">
        <v>-0.16</v>
      </c>
      <c r="F855">
        <v>15.8</v>
      </c>
      <c r="G855">
        <v>15.81</v>
      </c>
      <c r="H855">
        <v>17859</v>
      </c>
      <c r="I855">
        <v>279</v>
      </c>
      <c r="J855">
        <v>0.32</v>
      </c>
      <c r="K855">
        <v>1</v>
      </c>
      <c r="L855">
        <v>15.97</v>
      </c>
      <c r="M855">
        <v>16.4</v>
      </c>
      <c r="N855">
        <v>15.68</v>
      </c>
      <c r="O855">
        <v>15.96</v>
      </c>
      <c r="P855">
        <v>313.89</v>
      </c>
      <c r="Q855">
        <v>28634350</v>
      </c>
      <c r="R855">
        <v>1.14</v>
      </c>
      <c r="S855" t="s">
        <v>508</v>
      </c>
      <c r="T855" t="s">
        <v>87</v>
      </c>
      <c r="U855">
        <v>4.51</v>
      </c>
      <c r="V855">
        <v>16.03</v>
      </c>
      <c r="W855">
        <v>10334</v>
      </c>
      <c r="X855">
        <v>7524</v>
      </c>
      <c r="Y855">
        <v>1.37</v>
      </c>
      <c r="Z855">
        <v>97</v>
      </c>
      <c r="AA855">
        <v>272</v>
      </c>
      <c r="AB855" t="s">
        <v>32</v>
      </c>
      <c r="AC855">
        <v>1.79</v>
      </c>
    </row>
    <row r="856" spans="1:29">
      <c r="A856" t="str">
        <f>"002396"</f>
        <v>002396</v>
      </c>
      <c r="B856" t="s">
        <v>1022</v>
      </c>
      <c r="C856">
        <v>0.18</v>
      </c>
      <c r="D856">
        <v>21.7</v>
      </c>
      <c r="E856">
        <v>0.04</v>
      </c>
      <c r="F856">
        <v>21.69</v>
      </c>
      <c r="G856">
        <v>21.7</v>
      </c>
      <c r="H856">
        <v>112058</v>
      </c>
      <c r="I856">
        <v>972</v>
      </c>
      <c r="J856">
        <v>0.09</v>
      </c>
      <c r="K856">
        <v>2.1</v>
      </c>
      <c r="L856">
        <v>21.8</v>
      </c>
      <c r="M856">
        <v>21.94</v>
      </c>
      <c r="N856">
        <v>21.46</v>
      </c>
      <c r="O856">
        <v>21.66</v>
      </c>
      <c r="P856" t="s">
        <v>32</v>
      </c>
      <c r="Q856">
        <v>243278320</v>
      </c>
      <c r="R856">
        <v>1.07</v>
      </c>
      <c r="S856" t="s">
        <v>119</v>
      </c>
      <c r="T856" t="s">
        <v>236</v>
      </c>
      <c r="U856">
        <v>2.22</v>
      </c>
      <c r="V856">
        <v>21.71</v>
      </c>
      <c r="W856">
        <v>55462</v>
      </c>
      <c r="X856">
        <v>56596</v>
      </c>
      <c r="Y856">
        <v>0.98</v>
      </c>
      <c r="Z856">
        <v>639</v>
      </c>
      <c r="AA856">
        <v>1170</v>
      </c>
      <c r="AB856" t="s">
        <v>32</v>
      </c>
      <c r="AC856">
        <v>5.34</v>
      </c>
    </row>
    <row r="857" spans="1:29">
      <c r="A857" t="str">
        <f>"002397"</f>
        <v>002397</v>
      </c>
      <c r="B857" t="s">
        <v>1023</v>
      </c>
      <c r="C857">
        <v>2.73</v>
      </c>
      <c r="D857">
        <v>4.9</v>
      </c>
      <c r="E857">
        <v>0.13</v>
      </c>
      <c r="F857">
        <v>4.89</v>
      </c>
      <c r="G857">
        <v>4.9</v>
      </c>
      <c r="H857">
        <v>57119</v>
      </c>
      <c r="I857">
        <v>596</v>
      </c>
      <c r="J857">
        <v>0.41</v>
      </c>
      <c r="K857">
        <v>1.33</v>
      </c>
      <c r="L857">
        <v>4.76</v>
      </c>
      <c r="M857">
        <v>4.95</v>
      </c>
      <c r="N857">
        <v>4.74</v>
      </c>
      <c r="O857">
        <v>4.77</v>
      </c>
      <c r="P857">
        <v>18.77</v>
      </c>
      <c r="Q857">
        <v>27854296</v>
      </c>
      <c r="R857">
        <v>2.87</v>
      </c>
      <c r="S857" t="s">
        <v>99</v>
      </c>
      <c r="T857" t="s">
        <v>152</v>
      </c>
      <c r="U857">
        <v>4.4</v>
      </c>
      <c r="V857">
        <v>4.88</v>
      </c>
      <c r="W857">
        <v>25668</v>
      </c>
      <c r="X857">
        <v>31450</v>
      </c>
      <c r="Y857">
        <v>0.82</v>
      </c>
      <c r="Z857">
        <v>141</v>
      </c>
      <c r="AA857">
        <v>856</v>
      </c>
      <c r="AB857" t="s">
        <v>32</v>
      </c>
      <c r="AC857">
        <v>4.28</v>
      </c>
    </row>
    <row r="858" spans="1:29">
      <c r="A858" t="str">
        <f>"002398"</f>
        <v>002398</v>
      </c>
      <c r="B858" t="s">
        <v>1024</v>
      </c>
      <c r="C858">
        <v>5.05</v>
      </c>
      <c r="D858">
        <v>5.41</v>
      </c>
      <c r="E858">
        <v>0.26</v>
      </c>
      <c r="F858">
        <v>5.4</v>
      </c>
      <c r="G858">
        <v>5.41</v>
      </c>
      <c r="H858">
        <v>87370</v>
      </c>
      <c r="I858">
        <v>753</v>
      </c>
      <c r="J858">
        <v>0.19</v>
      </c>
      <c r="K858">
        <v>1.66</v>
      </c>
      <c r="L858">
        <v>5.17</v>
      </c>
      <c r="M858">
        <v>5.47</v>
      </c>
      <c r="N858">
        <v>5.16</v>
      </c>
      <c r="O858">
        <v>5.15</v>
      </c>
      <c r="P858">
        <v>19.83</v>
      </c>
      <c r="Q858">
        <v>46925332</v>
      </c>
      <c r="R858">
        <v>3.53</v>
      </c>
      <c r="S858" t="s">
        <v>69</v>
      </c>
      <c r="T858" t="s">
        <v>236</v>
      </c>
      <c r="U858">
        <v>6.02</v>
      </c>
      <c r="V858">
        <v>5.37</v>
      </c>
      <c r="W858">
        <v>30444</v>
      </c>
      <c r="X858">
        <v>56925</v>
      </c>
      <c r="Y858">
        <v>0.53</v>
      </c>
      <c r="Z858">
        <v>206</v>
      </c>
      <c r="AA858">
        <v>1194</v>
      </c>
      <c r="AB858" t="s">
        <v>32</v>
      </c>
      <c r="AC858">
        <v>5.25</v>
      </c>
    </row>
    <row r="859" spans="1:29">
      <c r="A859" t="str">
        <f>"002399"</f>
        <v>002399</v>
      </c>
      <c r="B859" t="s">
        <v>1025</v>
      </c>
      <c r="C859">
        <v>3.27</v>
      </c>
      <c r="D859">
        <v>19.59</v>
      </c>
      <c r="E859">
        <v>0.62</v>
      </c>
      <c r="F859">
        <v>19.59</v>
      </c>
      <c r="G859">
        <v>19.6</v>
      </c>
      <c r="H859">
        <v>68256</v>
      </c>
      <c r="I859">
        <v>835</v>
      </c>
      <c r="J859">
        <v>0.15</v>
      </c>
      <c r="K859">
        <v>0.55</v>
      </c>
      <c r="L859">
        <v>18.75</v>
      </c>
      <c r="M859">
        <v>19.6</v>
      </c>
      <c r="N859">
        <v>18.75</v>
      </c>
      <c r="O859">
        <v>18.97</v>
      </c>
      <c r="P859">
        <v>145.47</v>
      </c>
      <c r="Q859">
        <v>131633696</v>
      </c>
      <c r="R859">
        <v>0.71</v>
      </c>
      <c r="S859" t="s">
        <v>142</v>
      </c>
      <c r="T859" t="s">
        <v>31</v>
      </c>
      <c r="U859">
        <v>4.48</v>
      </c>
      <c r="V859">
        <v>19.29</v>
      </c>
      <c r="W859">
        <v>30873</v>
      </c>
      <c r="X859">
        <v>37382</v>
      </c>
      <c r="Y859">
        <v>0.83</v>
      </c>
      <c r="Z859">
        <v>6</v>
      </c>
      <c r="AA859">
        <v>163</v>
      </c>
      <c r="AB859" t="s">
        <v>32</v>
      </c>
      <c r="AC859">
        <v>12.47</v>
      </c>
    </row>
    <row r="860" spans="1:29">
      <c r="A860" t="str">
        <f>"002400"</f>
        <v>002400</v>
      </c>
      <c r="B860" t="s">
        <v>1026</v>
      </c>
      <c r="C860">
        <v>3.46</v>
      </c>
      <c r="D860">
        <v>3.29</v>
      </c>
      <c r="E860">
        <v>0.11</v>
      </c>
      <c r="F860">
        <v>3.29</v>
      </c>
      <c r="G860">
        <v>3.3</v>
      </c>
      <c r="H860">
        <v>323460</v>
      </c>
      <c r="I860">
        <v>2369</v>
      </c>
      <c r="J860">
        <v>0</v>
      </c>
      <c r="K860">
        <v>1.95</v>
      </c>
      <c r="L860">
        <v>3.16</v>
      </c>
      <c r="M860">
        <v>3.33</v>
      </c>
      <c r="N860">
        <v>3.16</v>
      </c>
      <c r="O860">
        <v>3.18</v>
      </c>
      <c r="P860">
        <v>18.09</v>
      </c>
      <c r="Q860">
        <v>105186056</v>
      </c>
      <c r="R860">
        <v>2.48</v>
      </c>
      <c r="S860" t="s">
        <v>91</v>
      </c>
      <c r="T860" t="s">
        <v>136</v>
      </c>
      <c r="U860">
        <v>5.35</v>
      </c>
      <c r="V860">
        <v>3.25</v>
      </c>
      <c r="W860">
        <v>137161</v>
      </c>
      <c r="X860">
        <v>186299</v>
      </c>
      <c r="Y860">
        <v>0.74</v>
      </c>
      <c r="Z860">
        <v>839</v>
      </c>
      <c r="AA860">
        <v>6642</v>
      </c>
      <c r="AB860" t="s">
        <v>32</v>
      </c>
      <c r="AC860">
        <v>16.57</v>
      </c>
    </row>
    <row r="861" spans="1:29">
      <c r="A861" t="str">
        <f>"002401"</f>
        <v>002401</v>
      </c>
      <c r="B861" t="s">
        <v>1027</v>
      </c>
      <c r="C861">
        <v>1.46</v>
      </c>
      <c r="D861">
        <v>10.43</v>
      </c>
      <c r="E861">
        <v>0.15</v>
      </c>
      <c r="F861">
        <v>10.43</v>
      </c>
      <c r="G861">
        <v>10.44</v>
      </c>
      <c r="H861">
        <v>44914</v>
      </c>
      <c r="I861">
        <v>231</v>
      </c>
      <c r="J861">
        <v>-0.18</v>
      </c>
      <c r="K861">
        <v>1.49</v>
      </c>
      <c r="L861">
        <v>10.13</v>
      </c>
      <c r="M861">
        <v>10.58</v>
      </c>
      <c r="N861">
        <v>10.13</v>
      </c>
      <c r="O861">
        <v>10.28</v>
      </c>
      <c r="P861">
        <v>32.65</v>
      </c>
      <c r="Q861">
        <v>46783972</v>
      </c>
      <c r="R861">
        <v>1.24</v>
      </c>
      <c r="S861" t="s">
        <v>270</v>
      </c>
      <c r="T861" t="s">
        <v>366</v>
      </c>
      <c r="U861">
        <v>4.38</v>
      </c>
      <c r="V861">
        <v>10.42</v>
      </c>
      <c r="W861">
        <v>21572</v>
      </c>
      <c r="X861">
        <v>23342</v>
      </c>
      <c r="Y861">
        <v>0.92</v>
      </c>
      <c r="Z861">
        <v>270</v>
      </c>
      <c r="AA861">
        <v>128</v>
      </c>
      <c r="AB861" t="s">
        <v>32</v>
      </c>
      <c r="AC861">
        <v>3.01</v>
      </c>
    </row>
    <row r="862" spans="1:29">
      <c r="A862" t="str">
        <f>"002402"</f>
        <v>002402</v>
      </c>
      <c r="B862" t="s">
        <v>1028</v>
      </c>
      <c r="C862">
        <v>0.11</v>
      </c>
      <c r="D862">
        <v>8.72</v>
      </c>
      <c r="E862">
        <v>0.01</v>
      </c>
      <c r="F862">
        <v>8.71</v>
      </c>
      <c r="G862">
        <v>8.72</v>
      </c>
      <c r="H862">
        <v>54137</v>
      </c>
      <c r="I862">
        <v>228</v>
      </c>
      <c r="J862">
        <v>0</v>
      </c>
      <c r="K862">
        <v>0.75</v>
      </c>
      <c r="L862">
        <v>8.77</v>
      </c>
      <c r="M862">
        <v>8.8</v>
      </c>
      <c r="N862">
        <v>8.62</v>
      </c>
      <c r="O862">
        <v>8.71</v>
      </c>
      <c r="P862">
        <v>38.15</v>
      </c>
      <c r="Q862">
        <v>47202120</v>
      </c>
      <c r="R862">
        <v>0.64</v>
      </c>
      <c r="S862" t="s">
        <v>63</v>
      </c>
      <c r="T862" t="s">
        <v>31</v>
      </c>
      <c r="U862">
        <v>2.07</v>
      </c>
      <c r="V862">
        <v>8.72</v>
      </c>
      <c r="W862">
        <v>28336</v>
      </c>
      <c r="X862">
        <v>25801</v>
      </c>
      <c r="Y862">
        <v>1.1</v>
      </c>
      <c r="Z862">
        <v>1329</v>
      </c>
      <c r="AA862">
        <v>624</v>
      </c>
      <c r="AB862" t="s">
        <v>32</v>
      </c>
      <c r="AC862">
        <v>7.19</v>
      </c>
    </row>
    <row r="863" spans="1:29">
      <c r="A863" t="str">
        <f>"002403"</f>
        <v>002403</v>
      </c>
      <c r="B863" t="s">
        <v>1029</v>
      </c>
      <c r="C863">
        <v>2.7</v>
      </c>
      <c r="D863">
        <v>9.12</v>
      </c>
      <c r="E863">
        <v>0.24</v>
      </c>
      <c r="F863">
        <v>9.12</v>
      </c>
      <c r="G863">
        <v>9.13</v>
      </c>
      <c r="H863">
        <v>16450</v>
      </c>
      <c r="I863">
        <v>186</v>
      </c>
      <c r="J863">
        <v>0</v>
      </c>
      <c r="K863">
        <v>0.57</v>
      </c>
      <c r="L863">
        <v>8.88</v>
      </c>
      <c r="M863">
        <v>9.2</v>
      </c>
      <c r="N863">
        <v>8.85</v>
      </c>
      <c r="O863">
        <v>8.88</v>
      </c>
      <c r="P863">
        <v>18.56</v>
      </c>
      <c r="Q863">
        <v>14858045</v>
      </c>
      <c r="R863">
        <v>1.96</v>
      </c>
      <c r="S863" t="s">
        <v>55</v>
      </c>
      <c r="T863" t="s">
        <v>149</v>
      </c>
      <c r="U863">
        <v>3.94</v>
      </c>
      <c r="V863">
        <v>9.03</v>
      </c>
      <c r="W863">
        <v>5560</v>
      </c>
      <c r="X863">
        <v>10889</v>
      </c>
      <c r="Y863">
        <v>0.51</v>
      </c>
      <c r="Z863">
        <v>34</v>
      </c>
      <c r="AA863">
        <v>514</v>
      </c>
      <c r="AB863" t="s">
        <v>32</v>
      </c>
      <c r="AC863">
        <v>2.89</v>
      </c>
    </row>
    <row r="864" spans="1:29">
      <c r="A864" t="str">
        <f>"002404"</f>
        <v>002404</v>
      </c>
      <c r="B864" t="s">
        <v>1030</v>
      </c>
      <c r="C864">
        <v>-2.65</v>
      </c>
      <c r="D864">
        <v>5.87</v>
      </c>
      <c r="E864">
        <v>-0.16</v>
      </c>
      <c r="F864">
        <v>5.86</v>
      </c>
      <c r="G864">
        <v>5.87</v>
      </c>
      <c r="H864">
        <v>98349</v>
      </c>
      <c r="I864">
        <v>1139</v>
      </c>
      <c r="J864">
        <v>0</v>
      </c>
      <c r="K864">
        <v>2.47</v>
      </c>
      <c r="L864">
        <v>5.55</v>
      </c>
      <c r="M864">
        <v>5.99</v>
      </c>
      <c r="N864">
        <v>5.51</v>
      </c>
      <c r="O864">
        <v>6.03</v>
      </c>
      <c r="P864">
        <v>27.14</v>
      </c>
      <c r="Q864">
        <v>56124188</v>
      </c>
      <c r="R864">
        <v>4.27</v>
      </c>
      <c r="S864" t="s">
        <v>99</v>
      </c>
      <c r="T864" t="s">
        <v>149</v>
      </c>
      <c r="U864">
        <v>7.96</v>
      </c>
      <c r="V864">
        <v>5.71</v>
      </c>
      <c r="W864">
        <v>46478</v>
      </c>
      <c r="X864">
        <v>51871</v>
      </c>
      <c r="Y864">
        <v>0.9</v>
      </c>
      <c r="Z864">
        <v>288</v>
      </c>
      <c r="AA864">
        <v>219</v>
      </c>
      <c r="AB864" t="s">
        <v>32</v>
      </c>
      <c r="AC864">
        <v>3.99</v>
      </c>
    </row>
    <row r="865" spans="1:29">
      <c r="A865" t="str">
        <f>"002405"</f>
        <v>002405</v>
      </c>
      <c r="B865" t="s">
        <v>1031</v>
      </c>
      <c r="C865">
        <v>2.25</v>
      </c>
      <c r="D865">
        <v>20.45</v>
      </c>
      <c r="E865">
        <v>0.45</v>
      </c>
      <c r="F865">
        <v>20.45</v>
      </c>
      <c r="G865">
        <v>20.46</v>
      </c>
      <c r="H865">
        <v>318353</v>
      </c>
      <c r="I865">
        <v>3556</v>
      </c>
      <c r="J865">
        <v>0.1</v>
      </c>
      <c r="K865">
        <v>3.08</v>
      </c>
      <c r="L865">
        <v>20.06</v>
      </c>
      <c r="M865">
        <v>20.58</v>
      </c>
      <c r="N865">
        <v>19.86</v>
      </c>
      <c r="O865">
        <v>20</v>
      </c>
      <c r="P865">
        <v>91.31</v>
      </c>
      <c r="Q865">
        <v>648121792</v>
      </c>
      <c r="R865">
        <v>1.81</v>
      </c>
      <c r="S865" t="s">
        <v>270</v>
      </c>
      <c r="T865" t="s">
        <v>45</v>
      </c>
      <c r="U865">
        <v>3.6</v>
      </c>
      <c r="V865">
        <v>20.36</v>
      </c>
      <c r="W865">
        <v>150164</v>
      </c>
      <c r="X865">
        <v>168188</v>
      </c>
      <c r="Y865">
        <v>0.89</v>
      </c>
      <c r="Z865">
        <v>1323</v>
      </c>
      <c r="AA865">
        <v>266</v>
      </c>
      <c r="AB865" t="s">
        <v>32</v>
      </c>
      <c r="AC865">
        <v>10.34</v>
      </c>
    </row>
    <row r="866" spans="1:29">
      <c r="A866" t="str">
        <f>"002406"</f>
        <v>002406</v>
      </c>
      <c r="B866" t="s">
        <v>1032</v>
      </c>
      <c r="C866">
        <v>0.69</v>
      </c>
      <c r="D866">
        <v>5.87</v>
      </c>
      <c r="E866">
        <v>0.04</v>
      </c>
      <c r="F866">
        <v>5.86</v>
      </c>
      <c r="G866">
        <v>5.87</v>
      </c>
      <c r="H866">
        <v>33531</v>
      </c>
      <c r="I866">
        <v>564</v>
      </c>
      <c r="J866">
        <v>0.17</v>
      </c>
      <c r="K866">
        <v>0.81</v>
      </c>
      <c r="L866">
        <v>5.8</v>
      </c>
      <c r="M866">
        <v>5.9</v>
      </c>
      <c r="N866">
        <v>5.8</v>
      </c>
      <c r="O866">
        <v>5.83</v>
      </c>
      <c r="P866">
        <v>18.17</v>
      </c>
      <c r="Q866">
        <v>19672102</v>
      </c>
      <c r="R866">
        <v>1.55</v>
      </c>
      <c r="S866" t="s">
        <v>80</v>
      </c>
      <c r="T866" t="s">
        <v>164</v>
      </c>
      <c r="U866">
        <v>1.72</v>
      </c>
      <c r="V866">
        <v>5.87</v>
      </c>
      <c r="W866">
        <v>21240</v>
      </c>
      <c r="X866">
        <v>12291</v>
      </c>
      <c r="Y866">
        <v>1.73</v>
      </c>
      <c r="Z866">
        <v>848</v>
      </c>
      <c r="AA866">
        <v>72</v>
      </c>
      <c r="AB866" t="s">
        <v>32</v>
      </c>
      <c r="AC866">
        <v>4.16</v>
      </c>
    </row>
    <row r="867" spans="1:29">
      <c r="A867" t="str">
        <f>"002407"</f>
        <v>002407</v>
      </c>
      <c r="B867" t="s">
        <v>1033</v>
      </c>
      <c r="C867">
        <v>0.98</v>
      </c>
      <c r="D867">
        <v>14.38</v>
      </c>
      <c r="E867">
        <v>0.14</v>
      </c>
      <c r="F867">
        <v>14.38</v>
      </c>
      <c r="G867">
        <v>14.39</v>
      </c>
      <c r="H867">
        <v>105065</v>
      </c>
      <c r="I867">
        <v>1229</v>
      </c>
      <c r="J867">
        <v>-0.06</v>
      </c>
      <c r="K867">
        <v>1.93</v>
      </c>
      <c r="L867">
        <v>14.19</v>
      </c>
      <c r="M867">
        <v>14.45</v>
      </c>
      <c r="N867">
        <v>14.15</v>
      </c>
      <c r="O867">
        <v>14.24</v>
      </c>
      <c r="P867">
        <v>30.54</v>
      </c>
      <c r="Q867">
        <v>150659392</v>
      </c>
      <c r="R867">
        <v>1.47</v>
      </c>
      <c r="S867" t="s">
        <v>218</v>
      </c>
      <c r="T867" t="s">
        <v>164</v>
      </c>
      <c r="U867">
        <v>2.11</v>
      </c>
      <c r="V867">
        <v>14.34</v>
      </c>
      <c r="W867">
        <v>53498</v>
      </c>
      <c r="X867">
        <v>51567</v>
      </c>
      <c r="Y867">
        <v>1.04</v>
      </c>
      <c r="Z867">
        <v>1356</v>
      </c>
      <c r="AA867">
        <v>1970</v>
      </c>
      <c r="AB867" t="s">
        <v>32</v>
      </c>
      <c r="AC867">
        <v>5.44</v>
      </c>
    </row>
    <row r="868" spans="1:29">
      <c r="A868" t="str">
        <f>"002408"</f>
        <v>002408</v>
      </c>
      <c r="B868" t="s">
        <v>1034</v>
      </c>
      <c r="C868" t="s">
        <v>32</v>
      </c>
      <c r="D868">
        <v>12.28</v>
      </c>
      <c r="E868" t="s">
        <v>32</v>
      </c>
      <c r="F868" t="s">
        <v>32</v>
      </c>
      <c r="G868" t="s">
        <v>32</v>
      </c>
      <c r="H868">
        <v>0</v>
      </c>
      <c r="I868">
        <v>0</v>
      </c>
      <c r="J868" t="s">
        <v>32</v>
      </c>
      <c r="K868">
        <v>0</v>
      </c>
      <c r="L868" t="s">
        <v>32</v>
      </c>
      <c r="M868" t="s">
        <v>32</v>
      </c>
      <c r="N868" t="s">
        <v>32</v>
      </c>
      <c r="O868">
        <v>12.28</v>
      </c>
      <c r="P868">
        <v>21.72</v>
      </c>
      <c r="Q868">
        <v>0</v>
      </c>
      <c r="R868">
        <v>0</v>
      </c>
      <c r="S868" t="s">
        <v>218</v>
      </c>
      <c r="T868" t="s">
        <v>162</v>
      </c>
      <c r="U868">
        <v>0</v>
      </c>
      <c r="V868">
        <v>12.28</v>
      </c>
      <c r="W868">
        <v>0</v>
      </c>
      <c r="X868">
        <v>0</v>
      </c>
      <c r="Y868" t="s">
        <v>32</v>
      </c>
      <c r="Z868">
        <v>0</v>
      </c>
      <c r="AA868">
        <v>0</v>
      </c>
      <c r="AB868" t="s">
        <v>32</v>
      </c>
      <c r="AC868">
        <v>16.76</v>
      </c>
    </row>
    <row r="869" spans="1:29">
      <c r="A869" t="str">
        <f>"002409"</f>
        <v>002409</v>
      </c>
      <c r="B869" t="s">
        <v>1035</v>
      </c>
      <c r="C869">
        <v>-0.19</v>
      </c>
      <c r="D869">
        <v>20.65</v>
      </c>
      <c r="E869">
        <v>-0.04</v>
      </c>
      <c r="F869">
        <v>20.65</v>
      </c>
      <c r="G869">
        <v>20.66</v>
      </c>
      <c r="H869">
        <v>35480</v>
      </c>
      <c r="I869">
        <v>391</v>
      </c>
      <c r="J869">
        <v>-0.09</v>
      </c>
      <c r="K869">
        <v>1.94</v>
      </c>
      <c r="L869">
        <v>20.5</v>
      </c>
      <c r="M869">
        <v>20.82</v>
      </c>
      <c r="N869">
        <v>20.43</v>
      </c>
      <c r="O869">
        <v>20.69</v>
      </c>
      <c r="P869">
        <v>139.32</v>
      </c>
      <c r="Q869">
        <v>73264920</v>
      </c>
      <c r="R869">
        <v>0.82</v>
      </c>
      <c r="S869" t="s">
        <v>218</v>
      </c>
      <c r="T869" t="s">
        <v>87</v>
      </c>
      <c r="U869">
        <v>1.88</v>
      </c>
      <c r="V869">
        <v>20.65</v>
      </c>
      <c r="W869">
        <v>21503</v>
      </c>
      <c r="X869">
        <v>13977</v>
      </c>
      <c r="Y869">
        <v>1.54</v>
      </c>
      <c r="Z869">
        <v>339</v>
      </c>
      <c r="AA869">
        <v>21</v>
      </c>
      <c r="AB869" t="s">
        <v>32</v>
      </c>
      <c r="AC869">
        <v>1.83</v>
      </c>
    </row>
    <row r="870" spans="1:29">
      <c r="A870" t="str">
        <f>"002410"</f>
        <v>002410</v>
      </c>
      <c r="B870" t="s">
        <v>1036</v>
      </c>
      <c r="C870">
        <v>6.27</v>
      </c>
      <c r="D870">
        <v>28.8</v>
      </c>
      <c r="E870">
        <v>1.7</v>
      </c>
      <c r="F870">
        <v>28.79</v>
      </c>
      <c r="G870">
        <v>28.8</v>
      </c>
      <c r="H870">
        <v>164511</v>
      </c>
      <c r="I870">
        <v>588</v>
      </c>
      <c r="J870">
        <v>-0.37</v>
      </c>
      <c r="K870">
        <v>1.9</v>
      </c>
      <c r="L870">
        <v>27.3</v>
      </c>
      <c r="M870">
        <v>29.28</v>
      </c>
      <c r="N870">
        <v>27.14</v>
      </c>
      <c r="O870">
        <v>27.1</v>
      </c>
      <c r="P870">
        <v>142.24</v>
      </c>
      <c r="Q870">
        <v>470840064</v>
      </c>
      <c r="R870">
        <v>2.08</v>
      </c>
      <c r="S870" t="s">
        <v>270</v>
      </c>
      <c r="T870" t="s">
        <v>45</v>
      </c>
      <c r="U870">
        <v>7.9</v>
      </c>
      <c r="V870">
        <v>28.62</v>
      </c>
      <c r="W870">
        <v>63050</v>
      </c>
      <c r="X870">
        <v>101461</v>
      </c>
      <c r="Y870">
        <v>0.62</v>
      </c>
      <c r="Z870">
        <v>13</v>
      </c>
      <c r="AA870">
        <v>196</v>
      </c>
      <c r="AB870" t="s">
        <v>32</v>
      </c>
      <c r="AC870">
        <v>8.67</v>
      </c>
    </row>
    <row r="871" spans="1:29">
      <c r="A871" t="str">
        <f>"002411"</f>
        <v>002411</v>
      </c>
      <c r="B871" t="s">
        <v>1037</v>
      </c>
      <c r="C871" t="s">
        <v>32</v>
      </c>
      <c r="D871">
        <v>28.24</v>
      </c>
      <c r="E871" t="s">
        <v>32</v>
      </c>
      <c r="F871" t="s">
        <v>32</v>
      </c>
      <c r="G871" t="s">
        <v>32</v>
      </c>
      <c r="H871">
        <v>0</v>
      </c>
      <c r="I871">
        <v>0</v>
      </c>
      <c r="J871" t="s">
        <v>32</v>
      </c>
      <c r="K871">
        <v>0</v>
      </c>
      <c r="L871" t="s">
        <v>32</v>
      </c>
      <c r="M871" t="s">
        <v>32</v>
      </c>
      <c r="N871" t="s">
        <v>32</v>
      </c>
      <c r="O871">
        <v>28.24</v>
      </c>
      <c r="P871">
        <v>50.11</v>
      </c>
      <c r="Q871">
        <v>0</v>
      </c>
      <c r="R871">
        <v>0</v>
      </c>
      <c r="S871" t="s">
        <v>142</v>
      </c>
      <c r="T871" t="s">
        <v>87</v>
      </c>
      <c r="U871">
        <v>0</v>
      </c>
      <c r="V871">
        <v>28.24</v>
      </c>
      <c r="W871">
        <v>0</v>
      </c>
      <c r="X871">
        <v>0</v>
      </c>
      <c r="Y871" t="s">
        <v>32</v>
      </c>
      <c r="Z871">
        <v>0</v>
      </c>
      <c r="AA871">
        <v>0</v>
      </c>
      <c r="AB871" t="s">
        <v>32</v>
      </c>
      <c r="AC871">
        <v>2.94</v>
      </c>
    </row>
    <row r="872" spans="1:29">
      <c r="A872" t="str">
        <f>"002412"</f>
        <v>002412</v>
      </c>
      <c r="B872" t="s">
        <v>1038</v>
      </c>
      <c r="C872">
        <v>0.26</v>
      </c>
      <c r="D872">
        <v>15.42</v>
      </c>
      <c r="E872">
        <v>0.04</v>
      </c>
      <c r="F872">
        <v>15.42</v>
      </c>
      <c r="G872">
        <v>15.43</v>
      </c>
      <c r="H872">
        <v>7105</v>
      </c>
      <c r="I872">
        <v>97</v>
      </c>
      <c r="J872">
        <v>0</v>
      </c>
      <c r="K872">
        <v>0.25</v>
      </c>
      <c r="L872">
        <v>15.3</v>
      </c>
      <c r="M872">
        <v>15.5</v>
      </c>
      <c r="N872">
        <v>15.21</v>
      </c>
      <c r="O872">
        <v>15.38</v>
      </c>
      <c r="P872">
        <v>31.35</v>
      </c>
      <c r="Q872">
        <v>10905651</v>
      </c>
      <c r="R872">
        <v>0.26</v>
      </c>
      <c r="S872" t="s">
        <v>195</v>
      </c>
      <c r="T872" t="s">
        <v>152</v>
      </c>
      <c r="U872">
        <v>1.89</v>
      </c>
      <c r="V872">
        <v>15.35</v>
      </c>
      <c r="W872">
        <v>3885</v>
      </c>
      <c r="X872">
        <v>3219</v>
      </c>
      <c r="Y872">
        <v>1.21</v>
      </c>
      <c r="Z872">
        <v>4</v>
      </c>
      <c r="AA872">
        <v>68</v>
      </c>
      <c r="AB872" t="s">
        <v>32</v>
      </c>
      <c r="AC872">
        <v>2.87</v>
      </c>
    </row>
    <row r="873" spans="1:29">
      <c r="A873" t="str">
        <f>"002413"</f>
        <v>002413</v>
      </c>
      <c r="B873" t="s">
        <v>1039</v>
      </c>
      <c r="C873">
        <v>2.92</v>
      </c>
      <c r="D873">
        <v>6.7</v>
      </c>
      <c r="E873">
        <v>0.19</v>
      </c>
      <c r="F873">
        <v>6.7</v>
      </c>
      <c r="G873">
        <v>6.71</v>
      </c>
      <c r="H873">
        <v>725634</v>
      </c>
      <c r="I873">
        <v>8551</v>
      </c>
      <c r="J873">
        <v>-0.29</v>
      </c>
      <c r="K873">
        <v>7.19</v>
      </c>
      <c r="L873">
        <v>6.9</v>
      </c>
      <c r="M873">
        <v>7.12</v>
      </c>
      <c r="N873">
        <v>6.52</v>
      </c>
      <c r="O873">
        <v>6.51</v>
      </c>
      <c r="P873">
        <v>69.73</v>
      </c>
      <c r="Q873">
        <v>492763808</v>
      </c>
      <c r="R873">
        <v>3.84</v>
      </c>
      <c r="S873" t="s">
        <v>119</v>
      </c>
      <c r="T873" t="s">
        <v>87</v>
      </c>
      <c r="U873">
        <v>9.22</v>
      </c>
      <c r="V873">
        <v>6.79</v>
      </c>
      <c r="W873">
        <v>346252</v>
      </c>
      <c r="X873">
        <v>379382</v>
      </c>
      <c r="Y873">
        <v>0.91</v>
      </c>
      <c r="Z873">
        <v>550</v>
      </c>
      <c r="AA873">
        <v>1176</v>
      </c>
      <c r="AB873" t="s">
        <v>32</v>
      </c>
      <c r="AC873">
        <v>10.09</v>
      </c>
    </row>
    <row r="874" spans="1:29">
      <c r="A874" t="str">
        <f>"002414"</f>
        <v>002414</v>
      </c>
      <c r="B874" t="s">
        <v>1040</v>
      </c>
      <c r="C874">
        <v>0.37</v>
      </c>
      <c r="D874">
        <v>16.44</v>
      </c>
      <c r="E874">
        <v>0.06</v>
      </c>
      <c r="F874">
        <v>16.43</v>
      </c>
      <c r="G874">
        <v>16.44</v>
      </c>
      <c r="H874">
        <v>56418</v>
      </c>
      <c r="I874">
        <v>240</v>
      </c>
      <c r="J874">
        <v>0.12</v>
      </c>
      <c r="K874">
        <v>1.18</v>
      </c>
      <c r="L874">
        <v>16.35</v>
      </c>
      <c r="M874">
        <v>16.58</v>
      </c>
      <c r="N874">
        <v>16.11</v>
      </c>
      <c r="O874">
        <v>16.38</v>
      </c>
      <c r="P874">
        <v>1557.04</v>
      </c>
      <c r="Q874">
        <v>92039656</v>
      </c>
      <c r="R874">
        <v>0.91</v>
      </c>
      <c r="S874" t="s">
        <v>606</v>
      </c>
      <c r="T874" t="s">
        <v>193</v>
      </c>
      <c r="U874">
        <v>2.87</v>
      </c>
      <c r="V874">
        <v>16.31</v>
      </c>
      <c r="W874">
        <v>33412</v>
      </c>
      <c r="X874">
        <v>23006</v>
      </c>
      <c r="Y874">
        <v>1.45</v>
      </c>
      <c r="Z874">
        <v>218</v>
      </c>
      <c r="AA874">
        <v>175</v>
      </c>
      <c r="AB874" t="s">
        <v>32</v>
      </c>
      <c r="AC874">
        <v>4.76</v>
      </c>
    </row>
    <row r="875" spans="1:29">
      <c r="A875" t="str">
        <f>"002415"</f>
        <v>002415</v>
      </c>
      <c r="B875" t="s">
        <v>1041</v>
      </c>
      <c r="C875">
        <v>0.3</v>
      </c>
      <c r="D875">
        <v>36.85</v>
      </c>
      <c r="E875">
        <v>0.11</v>
      </c>
      <c r="F875">
        <v>36.84</v>
      </c>
      <c r="G875">
        <v>36.85</v>
      </c>
      <c r="H875">
        <v>402456</v>
      </c>
      <c r="I875">
        <v>4359</v>
      </c>
      <c r="J875">
        <v>-0.21</v>
      </c>
      <c r="K875">
        <v>0.51</v>
      </c>
      <c r="L875">
        <v>36.35</v>
      </c>
      <c r="M875">
        <v>37.05</v>
      </c>
      <c r="N875">
        <v>35.92</v>
      </c>
      <c r="O875">
        <v>36.74</v>
      </c>
      <c r="P875">
        <v>40.99</v>
      </c>
      <c r="Q875">
        <v>1469561600</v>
      </c>
      <c r="R875">
        <v>1.83</v>
      </c>
      <c r="S875" t="s">
        <v>606</v>
      </c>
      <c r="T875" t="s">
        <v>149</v>
      </c>
      <c r="U875">
        <v>3.08</v>
      </c>
      <c r="V875">
        <v>36.51</v>
      </c>
      <c r="W875">
        <v>196751</v>
      </c>
      <c r="X875">
        <v>205705</v>
      </c>
      <c r="Y875">
        <v>0.96</v>
      </c>
      <c r="Z875">
        <v>200</v>
      </c>
      <c r="AA875">
        <v>13052</v>
      </c>
      <c r="AB875" t="s">
        <v>32</v>
      </c>
      <c r="AC875">
        <v>79.07</v>
      </c>
    </row>
    <row r="876" spans="1:29">
      <c r="A876" t="str">
        <f>"002416"</f>
        <v>002416</v>
      </c>
      <c r="B876" t="s">
        <v>1042</v>
      </c>
      <c r="C876">
        <v>1.53</v>
      </c>
      <c r="D876">
        <v>5.96</v>
      </c>
      <c r="E876">
        <v>0.09</v>
      </c>
      <c r="F876">
        <v>5.96</v>
      </c>
      <c r="G876">
        <v>5.97</v>
      </c>
      <c r="H876">
        <v>99218</v>
      </c>
      <c r="I876">
        <v>482</v>
      </c>
      <c r="J876">
        <v>-0.16</v>
      </c>
      <c r="K876">
        <v>0.85</v>
      </c>
      <c r="L876">
        <v>5.92</v>
      </c>
      <c r="M876">
        <v>6</v>
      </c>
      <c r="N876">
        <v>5.83</v>
      </c>
      <c r="O876">
        <v>5.87</v>
      </c>
      <c r="P876">
        <v>19.99</v>
      </c>
      <c r="Q876">
        <v>58759500</v>
      </c>
      <c r="R876">
        <v>2.93</v>
      </c>
      <c r="S876" t="s">
        <v>644</v>
      </c>
      <c r="T876" t="s">
        <v>31</v>
      </c>
      <c r="U876">
        <v>2.9</v>
      </c>
      <c r="V876">
        <v>5.92</v>
      </c>
      <c r="W876">
        <v>49328</v>
      </c>
      <c r="X876">
        <v>49889</v>
      </c>
      <c r="Y876">
        <v>0.99</v>
      </c>
      <c r="Z876">
        <v>1788</v>
      </c>
      <c r="AA876">
        <v>839</v>
      </c>
      <c r="AB876" t="s">
        <v>32</v>
      </c>
      <c r="AC876">
        <v>11.73</v>
      </c>
    </row>
    <row r="877" spans="1:29">
      <c r="A877" t="str">
        <f>"002417"</f>
        <v>002417</v>
      </c>
      <c r="B877" t="s">
        <v>1043</v>
      </c>
      <c r="C877">
        <v>0.9</v>
      </c>
      <c r="D877">
        <v>8.95</v>
      </c>
      <c r="E877">
        <v>0.08</v>
      </c>
      <c r="F877">
        <v>8.94</v>
      </c>
      <c r="G877">
        <v>8.95</v>
      </c>
      <c r="H877">
        <v>28932</v>
      </c>
      <c r="I877">
        <v>409</v>
      </c>
      <c r="J877">
        <v>-0.1</v>
      </c>
      <c r="K877">
        <v>1.29</v>
      </c>
      <c r="L877">
        <v>8.6</v>
      </c>
      <c r="M877">
        <v>9</v>
      </c>
      <c r="N877">
        <v>8.54</v>
      </c>
      <c r="O877">
        <v>8.87</v>
      </c>
      <c r="P877" t="s">
        <v>32</v>
      </c>
      <c r="Q877">
        <v>25447438</v>
      </c>
      <c r="R877">
        <v>0.72</v>
      </c>
      <c r="S877" t="s">
        <v>119</v>
      </c>
      <c r="T877" t="s">
        <v>87</v>
      </c>
      <c r="U877">
        <v>5.19</v>
      </c>
      <c r="V877">
        <v>8.8</v>
      </c>
      <c r="W877">
        <v>12488</v>
      </c>
      <c r="X877">
        <v>16443</v>
      </c>
      <c r="Y877">
        <v>0.76</v>
      </c>
      <c r="Z877">
        <v>88</v>
      </c>
      <c r="AA877">
        <v>117</v>
      </c>
      <c r="AB877" t="s">
        <v>32</v>
      </c>
      <c r="AC877">
        <v>2.24</v>
      </c>
    </row>
    <row r="878" spans="1:29">
      <c r="A878" t="str">
        <f>"002418"</f>
        <v>002418</v>
      </c>
      <c r="B878" t="s">
        <v>1044</v>
      </c>
      <c r="C878">
        <v>1.83</v>
      </c>
      <c r="D878">
        <v>3.9</v>
      </c>
      <c r="E878">
        <v>0.07</v>
      </c>
      <c r="F878">
        <v>3.9</v>
      </c>
      <c r="G878">
        <v>3.91</v>
      </c>
      <c r="H878">
        <v>217233</v>
      </c>
      <c r="I878">
        <v>4958</v>
      </c>
      <c r="J878">
        <v>-1.01</v>
      </c>
      <c r="K878">
        <v>2.16</v>
      </c>
      <c r="L878">
        <v>3.81</v>
      </c>
      <c r="M878">
        <v>3.95</v>
      </c>
      <c r="N878">
        <v>3.78</v>
      </c>
      <c r="O878">
        <v>3.83</v>
      </c>
      <c r="P878">
        <v>84.4</v>
      </c>
      <c r="Q878">
        <v>83973224</v>
      </c>
      <c r="R878">
        <v>1.29</v>
      </c>
      <c r="S878" t="s">
        <v>241</v>
      </c>
      <c r="T878" t="s">
        <v>149</v>
      </c>
      <c r="U878">
        <v>4.44</v>
      </c>
      <c r="V878">
        <v>3.87</v>
      </c>
      <c r="W878">
        <v>102880</v>
      </c>
      <c r="X878">
        <v>114352</v>
      </c>
      <c r="Y878">
        <v>0.9</v>
      </c>
      <c r="Z878">
        <v>1617</v>
      </c>
      <c r="AA878">
        <v>199</v>
      </c>
      <c r="AB878" t="s">
        <v>32</v>
      </c>
      <c r="AC878">
        <v>10.04</v>
      </c>
    </row>
    <row r="879" spans="1:29">
      <c r="A879" t="str">
        <f>"002419"</f>
        <v>002419</v>
      </c>
      <c r="B879" t="s">
        <v>1045</v>
      </c>
      <c r="C879">
        <v>2.5</v>
      </c>
      <c r="D879">
        <v>14.33</v>
      </c>
      <c r="E879">
        <v>0.35</v>
      </c>
      <c r="F879">
        <v>14.32</v>
      </c>
      <c r="G879">
        <v>14.33</v>
      </c>
      <c r="H879">
        <v>82934</v>
      </c>
      <c r="I879">
        <v>1790</v>
      </c>
      <c r="J879">
        <v>0.14</v>
      </c>
      <c r="K879">
        <v>0.69</v>
      </c>
      <c r="L879">
        <v>14.12</v>
      </c>
      <c r="M879">
        <v>14.44</v>
      </c>
      <c r="N879">
        <v>13.87</v>
      </c>
      <c r="O879">
        <v>13.98</v>
      </c>
      <c r="P879">
        <v>14.43</v>
      </c>
      <c r="Q879">
        <v>118018376</v>
      </c>
      <c r="R879">
        <v>1.3</v>
      </c>
      <c r="S879" t="s">
        <v>186</v>
      </c>
      <c r="T879" t="s">
        <v>31</v>
      </c>
      <c r="U879">
        <v>4.08</v>
      </c>
      <c r="V879">
        <v>14.23</v>
      </c>
      <c r="W879">
        <v>33763</v>
      </c>
      <c r="X879">
        <v>49171</v>
      </c>
      <c r="Y879">
        <v>0.69</v>
      </c>
      <c r="Z879">
        <v>256</v>
      </c>
      <c r="AA879">
        <v>249</v>
      </c>
      <c r="AB879" t="s">
        <v>32</v>
      </c>
      <c r="AC879">
        <v>12</v>
      </c>
    </row>
    <row r="880" spans="1:29">
      <c r="A880" t="str">
        <f>"002420"</f>
        <v>002420</v>
      </c>
      <c r="B880" t="s">
        <v>1046</v>
      </c>
      <c r="C880">
        <v>1.22</v>
      </c>
      <c r="D880">
        <v>4.14</v>
      </c>
      <c r="E880">
        <v>0.05</v>
      </c>
      <c r="F880">
        <v>4.13</v>
      </c>
      <c r="G880">
        <v>4.14</v>
      </c>
      <c r="H880">
        <v>25548</v>
      </c>
      <c r="I880">
        <v>324</v>
      </c>
      <c r="J880">
        <v>0.24</v>
      </c>
      <c r="K880">
        <v>0.65</v>
      </c>
      <c r="L880">
        <v>4.06</v>
      </c>
      <c r="M880">
        <v>4.16</v>
      </c>
      <c r="N880">
        <v>4.02</v>
      </c>
      <c r="O880">
        <v>4.09</v>
      </c>
      <c r="P880">
        <v>248.38</v>
      </c>
      <c r="Q880">
        <v>10497417</v>
      </c>
      <c r="R880">
        <v>1.69</v>
      </c>
      <c r="S880" t="s">
        <v>508</v>
      </c>
      <c r="T880" t="s">
        <v>136</v>
      </c>
      <c r="U880">
        <v>3.42</v>
      </c>
      <c r="V880">
        <v>4.11</v>
      </c>
      <c r="W880">
        <v>11463</v>
      </c>
      <c r="X880">
        <v>14085</v>
      </c>
      <c r="Y880">
        <v>0.81</v>
      </c>
      <c r="Z880">
        <v>230</v>
      </c>
      <c r="AA880">
        <v>206</v>
      </c>
      <c r="AB880" t="s">
        <v>32</v>
      </c>
      <c r="AC880">
        <v>3.92</v>
      </c>
    </row>
    <row r="881" spans="1:29">
      <c r="A881" t="str">
        <f>"002421"</f>
        <v>002421</v>
      </c>
      <c r="B881" t="s">
        <v>1047</v>
      </c>
      <c r="C881">
        <v>4.59</v>
      </c>
      <c r="D881">
        <v>4.1</v>
      </c>
      <c r="E881">
        <v>0.18</v>
      </c>
      <c r="F881">
        <v>4.09</v>
      </c>
      <c r="G881">
        <v>4.1</v>
      </c>
      <c r="H881">
        <v>210720</v>
      </c>
      <c r="I881">
        <v>1700</v>
      </c>
      <c r="J881">
        <v>0.24</v>
      </c>
      <c r="K881">
        <v>1.42</v>
      </c>
      <c r="L881">
        <v>3.92</v>
      </c>
      <c r="M881">
        <v>4.12</v>
      </c>
      <c r="N881">
        <v>3.91</v>
      </c>
      <c r="O881">
        <v>3.92</v>
      </c>
      <c r="P881">
        <v>54.5</v>
      </c>
      <c r="Q881">
        <v>85181224</v>
      </c>
      <c r="R881">
        <v>2.29</v>
      </c>
      <c r="S881" t="s">
        <v>270</v>
      </c>
      <c r="T881" t="s">
        <v>31</v>
      </c>
      <c r="U881">
        <v>5.36</v>
      </c>
      <c r="V881">
        <v>4.04</v>
      </c>
      <c r="W881">
        <v>77339</v>
      </c>
      <c r="X881">
        <v>133380</v>
      </c>
      <c r="Y881">
        <v>0.58</v>
      </c>
      <c r="Z881">
        <v>2553</v>
      </c>
      <c r="AA881">
        <v>1506</v>
      </c>
      <c r="AB881" t="s">
        <v>32</v>
      </c>
      <c r="AC881">
        <v>14.88</v>
      </c>
    </row>
    <row r="882" spans="1:29">
      <c r="A882" t="str">
        <f>"002422"</f>
        <v>002422</v>
      </c>
      <c r="B882" t="s">
        <v>1048</v>
      </c>
      <c r="C882">
        <v>1.54</v>
      </c>
      <c r="D882">
        <v>30.36</v>
      </c>
      <c r="E882">
        <v>0.46</v>
      </c>
      <c r="F882">
        <v>30.36</v>
      </c>
      <c r="G882">
        <v>30.37</v>
      </c>
      <c r="H882">
        <v>136200</v>
      </c>
      <c r="I882">
        <v>787</v>
      </c>
      <c r="J882">
        <v>0.1</v>
      </c>
      <c r="K882">
        <v>1.32</v>
      </c>
      <c r="L882">
        <v>29.78</v>
      </c>
      <c r="M882">
        <v>30.65</v>
      </c>
      <c r="N882">
        <v>29.35</v>
      </c>
      <c r="O882">
        <v>29.9</v>
      </c>
      <c r="P882">
        <v>28.52</v>
      </c>
      <c r="Q882">
        <v>410114912</v>
      </c>
      <c r="R882">
        <v>1.02</v>
      </c>
      <c r="S882" t="s">
        <v>142</v>
      </c>
      <c r="T882" t="s">
        <v>146</v>
      </c>
      <c r="U882">
        <v>4.35</v>
      </c>
      <c r="V882">
        <v>30.11</v>
      </c>
      <c r="W882">
        <v>72188</v>
      </c>
      <c r="X882">
        <v>64011</v>
      </c>
      <c r="Y882">
        <v>1.13</v>
      </c>
      <c r="Z882">
        <v>687</v>
      </c>
      <c r="AA882">
        <v>63</v>
      </c>
      <c r="AB882" t="s">
        <v>32</v>
      </c>
      <c r="AC882">
        <v>10.3</v>
      </c>
    </row>
    <row r="883" spans="1:29">
      <c r="A883" t="str">
        <f>"002423"</f>
        <v>002423</v>
      </c>
      <c r="B883" t="s">
        <v>1049</v>
      </c>
      <c r="C883">
        <v>0.44</v>
      </c>
      <c r="D883">
        <v>11.45</v>
      </c>
      <c r="E883">
        <v>0.05</v>
      </c>
      <c r="F883">
        <v>11.45</v>
      </c>
      <c r="G883">
        <v>11.46</v>
      </c>
      <c r="H883">
        <v>115630</v>
      </c>
      <c r="I883">
        <v>1593</v>
      </c>
      <c r="J883">
        <v>-0.42</v>
      </c>
      <c r="K883">
        <v>2.3</v>
      </c>
      <c r="L883">
        <v>11.3</v>
      </c>
      <c r="M883">
        <v>11.87</v>
      </c>
      <c r="N883">
        <v>11.3</v>
      </c>
      <c r="O883">
        <v>11.4</v>
      </c>
      <c r="P883" t="s">
        <v>32</v>
      </c>
      <c r="Q883">
        <v>134080080</v>
      </c>
      <c r="R883">
        <v>1.34</v>
      </c>
      <c r="S883" t="s">
        <v>398</v>
      </c>
      <c r="T883" t="s">
        <v>164</v>
      </c>
      <c r="U883">
        <v>5</v>
      </c>
      <c r="V883">
        <v>11.6</v>
      </c>
      <c r="W883">
        <v>58240</v>
      </c>
      <c r="X883">
        <v>57390</v>
      </c>
      <c r="Y883">
        <v>1.01</v>
      </c>
      <c r="Z883">
        <v>451</v>
      </c>
      <c r="AA883">
        <v>16</v>
      </c>
      <c r="AB883" t="s">
        <v>32</v>
      </c>
      <c r="AC883">
        <v>5.03</v>
      </c>
    </row>
    <row r="884" spans="1:29">
      <c r="A884" t="str">
        <f>"002424"</f>
        <v>002424</v>
      </c>
      <c r="B884" t="s">
        <v>1050</v>
      </c>
      <c r="C884">
        <v>2.28</v>
      </c>
      <c r="D884">
        <v>11.21</v>
      </c>
      <c r="E884">
        <v>0.25</v>
      </c>
      <c r="F884">
        <v>11.21</v>
      </c>
      <c r="G884">
        <v>11.22</v>
      </c>
      <c r="H884">
        <v>64145</v>
      </c>
      <c r="I884">
        <v>540</v>
      </c>
      <c r="J884">
        <v>0.09</v>
      </c>
      <c r="K884">
        <v>0.88</v>
      </c>
      <c r="L884">
        <v>10.84</v>
      </c>
      <c r="M884">
        <v>11.22</v>
      </c>
      <c r="N884">
        <v>10.84</v>
      </c>
      <c r="O884">
        <v>10.96</v>
      </c>
      <c r="P884">
        <v>26.56</v>
      </c>
      <c r="Q884">
        <v>71196528</v>
      </c>
      <c r="R884">
        <v>1.41</v>
      </c>
      <c r="S884" t="s">
        <v>195</v>
      </c>
      <c r="T884" t="s">
        <v>253</v>
      </c>
      <c r="U884">
        <v>3.47</v>
      </c>
      <c r="V884">
        <v>11.1</v>
      </c>
      <c r="W884">
        <v>24131</v>
      </c>
      <c r="X884">
        <v>40013</v>
      </c>
      <c r="Y884">
        <v>0.6</v>
      </c>
      <c r="Z884">
        <v>895</v>
      </c>
      <c r="AA884">
        <v>344</v>
      </c>
      <c r="AB884" t="s">
        <v>32</v>
      </c>
      <c r="AC884">
        <v>7.32</v>
      </c>
    </row>
    <row r="885" spans="1:29">
      <c r="A885" t="str">
        <f>"002425"</f>
        <v>002425</v>
      </c>
      <c r="B885" t="s">
        <v>1051</v>
      </c>
      <c r="C885">
        <v>2.11</v>
      </c>
      <c r="D885">
        <v>4.85</v>
      </c>
      <c r="E885">
        <v>0.1</v>
      </c>
      <c r="F885">
        <v>4.85</v>
      </c>
      <c r="G885">
        <v>4.86</v>
      </c>
      <c r="H885">
        <v>86199</v>
      </c>
      <c r="I885">
        <v>1168</v>
      </c>
      <c r="J885">
        <v>0</v>
      </c>
      <c r="K885">
        <v>1.07</v>
      </c>
      <c r="L885">
        <v>4.76</v>
      </c>
      <c r="M885">
        <v>4.86</v>
      </c>
      <c r="N885">
        <v>4.73</v>
      </c>
      <c r="O885">
        <v>4.75</v>
      </c>
      <c r="P885">
        <v>16.93</v>
      </c>
      <c r="Q885">
        <v>41402928</v>
      </c>
      <c r="R885">
        <v>1.26</v>
      </c>
      <c r="S885" t="s">
        <v>316</v>
      </c>
      <c r="T885" t="s">
        <v>136</v>
      </c>
      <c r="U885">
        <v>2.74</v>
      </c>
      <c r="V885">
        <v>4.8</v>
      </c>
      <c r="W885">
        <v>42290</v>
      </c>
      <c r="X885">
        <v>43908</v>
      </c>
      <c r="Y885">
        <v>0.96</v>
      </c>
      <c r="Z885">
        <v>19</v>
      </c>
      <c r="AA885">
        <v>553</v>
      </c>
      <c r="AB885" t="s">
        <v>32</v>
      </c>
      <c r="AC885">
        <v>8.04</v>
      </c>
    </row>
    <row r="886" spans="1:29">
      <c r="A886" t="str">
        <f>"002426"</f>
        <v>002426</v>
      </c>
      <c r="B886" t="s">
        <v>1052</v>
      </c>
      <c r="C886">
        <v>2.17</v>
      </c>
      <c r="D886">
        <v>4.24</v>
      </c>
      <c r="E886">
        <v>0.09</v>
      </c>
      <c r="F886">
        <v>4.23</v>
      </c>
      <c r="G886">
        <v>4.24</v>
      </c>
      <c r="H886">
        <v>279843</v>
      </c>
      <c r="I886">
        <v>3887</v>
      </c>
      <c r="J886">
        <v>0.24</v>
      </c>
      <c r="K886">
        <v>1.34</v>
      </c>
      <c r="L886">
        <v>4.11</v>
      </c>
      <c r="M886">
        <v>4.25</v>
      </c>
      <c r="N886">
        <v>4.09</v>
      </c>
      <c r="O886">
        <v>4.15</v>
      </c>
      <c r="P886">
        <v>23.77</v>
      </c>
      <c r="Q886">
        <v>117436000</v>
      </c>
      <c r="R886">
        <v>1.52</v>
      </c>
      <c r="S886" t="s">
        <v>63</v>
      </c>
      <c r="T886" t="s">
        <v>87</v>
      </c>
      <c r="U886">
        <v>3.86</v>
      </c>
      <c r="V886">
        <v>4.2</v>
      </c>
      <c r="W886">
        <v>124962</v>
      </c>
      <c r="X886">
        <v>154880</v>
      </c>
      <c r="Y886">
        <v>0.81</v>
      </c>
      <c r="Z886">
        <v>286</v>
      </c>
      <c r="AA886">
        <v>3393</v>
      </c>
      <c r="AB886" t="s">
        <v>32</v>
      </c>
      <c r="AC886">
        <v>20.88</v>
      </c>
    </row>
    <row r="887" spans="1:29">
      <c r="A887" t="str">
        <f>"002427"</f>
        <v>002427</v>
      </c>
      <c r="B887" t="s">
        <v>1053</v>
      </c>
      <c r="C887">
        <v>-0.74</v>
      </c>
      <c r="D887">
        <v>6.67</v>
      </c>
      <c r="E887">
        <v>-0.05</v>
      </c>
      <c r="F887">
        <v>6.67</v>
      </c>
      <c r="G887">
        <v>6.68</v>
      </c>
      <c r="H887">
        <v>62442</v>
      </c>
      <c r="I887">
        <v>771</v>
      </c>
      <c r="J887">
        <v>0.3</v>
      </c>
      <c r="K887">
        <v>1.62</v>
      </c>
      <c r="L887">
        <v>6.66</v>
      </c>
      <c r="M887">
        <v>6.88</v>
      </c>
      <c r="N887">
        <v>6.6</v>
      </c>
      <c r="O887">
        <v>6.72</v>
      </c>
      <c r="P887">
        <v>40.4</v>
      </c>
      <c r="Q887">
        <v>41931396</v>
      </c>
      <c r="R887">
        <v>0.89</v>
      </c>
      <c r="S887" t="s">
        <v>190</v>
      </c>
      <c r="T887" t="s">
        <v>149</v>
      </c>
      <c r="U887">
        <v>4.17</v>
      </c>
      <c r="V887">
        <v>6.72</v>
      </c>
      <c r="W887">
        <v>37530</v>
      </c>
      <c r="X887">
        <v>24911</v>
      </c>
      <c r="Y887">
        <v>1.51</v>
      </c>
      <c r="Z887">
        <v>248</v>
      </c>
      <c r="AA887">
        <v>581</v>
      </c>
      <c r="AB887" t="s">
        <v>32</v>
      </c>
      <c r="AC887">
        <v>3.85</v>
      </c>
    </row>
    <row r="888" spans="1:29">
      <c r="A888" t="str">
        <f>"002428"</f>
        <v>002428</v>
      </c>
      <c r="B888" t="s">
        <v>1054</v>
      </c>
      <c r="C888">
        <v>3.41</v>
      </c>
      <c r="D888">
        <v>7.88</v>
      </c>
      <c r="E888">
        <v>0.26</v>
      </c>
      <c r="F888">
        <v>7.87</v>
      </c>
      <c r="G888">
        <v>7.88</v>
      </c>
      <c r="H888">
        <v>175319</v>
      </c>
      <c r="I888">
        <v>1031</v>
      </c>
      <c r="J888">
        <v>0.13</v>
      </c>
      <c r="K888">
        <v>2.72</v>
      </c>
      <c r="L888">
        <v>7.65</v>
      </c>
      <c r="M888">
        <v>7.97</v>
      </c>
      <c r="N888">
        <v>7.56</v>
      </c>
      <c r="O888">
        <v>7.62</v>
      </c>
      <c r="P888">
        <v>761.78</v>
      </c>
      <c r="Q888">
        <v>137032544</v>
      </c>
      <c r="R888">
        <v>2.29</v>
      </c>
      <c r="S888" t="s">
        <v>356</v>
      </c>
      <c r="T888" t="s">
        <v>250</v>
      </c>
      <c r="U888">
        <v>5.38</v>
      </c>
      <c r="V888">
        <v>7.82</v>
      </c>
      <c r="W888">
        <v>79241</v>
      </c>
      <c r="X888">
        <v>96077</v>
      </c>
      <c r="Y888">
        <v>0.82</v>
      </c>
      <c r="Z888">
        <v>307</v>
      </c>
      <c r="AA888">
        <v>1621</v>
      </c>
      <c r="AB888" t="s">
        <v>32</v>
      </c>
      <c r="AC888">
        <v>6.44</v>
      </c>
    </row>
    <row r="889" spans="1:29">
      <c r="A889" t="str">
        <f>"002429"</f>
        <v>002429</v>
      </c>
      <c r="B889" t="s">
        <v>1055</v>
      </c>
      <c r="C889">
        <v>2.07</v>
      </c>
      <c r="D889">
        <v>2.46</v>
      </c>
      <c r="E889">
        <v>0.05</v>
      </c>
      <c r="F889">
        <v>2.46</v>
      </c>
      <c r="G889">
        <v>2.47</v>
      </c>
      <c r="H889">
        <v>200467</v>
      </c>
      <c r="I889">
        <v>1492</v>
      </c>
      <c r="J889">
        <v>0</v>
      </c>
      <c r="K889">
        <v>0.5</v>
      </c>
      <c r="L889">
        <v>2.41</v>
      </c>
      <c r="M889">
        <v>2.48</v>
      </c>
      <c r="N889">
        <v>2.39</v>
      </c>
      <c r="O889">
        <v>2.41</v>
      </c>
      <c r="P889">
        <v>16.66</v>
      </c>
      <c r="Q889">
        <v>49025904</v>
      </c>
      <c r="R889">
        <v>1.52</v>
      </c>
      <c r="S889" t="s">
        <v>55</v>
      </c>
      <c r="T889" t="s">
        <v>31</v>
      </c>
      <c r="U889">
        <v>3.73</v>
      </c>
      <c r="V889">
        <v>2.45</v>
      </c>
      <c r="W889">
        <v>73986</v>
      </c>
      <c r="X889">
        <v>126481</v>
      </c>
      <c r="Y889">
        <v>0.58</v>
      </c>
      <c r="Z889">
        <v>1681</v>
      </c>
      <c r="AA889">
        <v>14387</v>
      </c>
      <c r="AB889" t="s">
        <v>32</v>
      </c>
      <c r="AC889">
        <v>39.73</v>
      </c>
    </row>
    <row r="890" spans="1:29">
      <c r="A890" t="str">
        <f>"002430"</f>
        <v>002430</v>
      </c>
      <c r="B890" t="s">
        <v>1056</v>
      </c>
      <c r="C890">
        <v>1.05</v>
      </c>
      <c r="D890">
        <v>16.37</v>
      </c>
      <c r="E890">
        <v>0.17</v>
      </c>
      <c r="F890">
        <v>16.37</v>
      </c>
      <c r="G890">
        <v>16.38</v>
      </c>
      <c r="H890">
        <v>71847</v>
      </c>
      <c r="I890">
        <v>1057</v>
      </c>
      <c r="J890">
        <v>0.12</v>
      </c>
      <c r="K890">
        <v>0.87</v>
      </c>
      <c r="L890">
        <v>16.19</v>
      </c>
      <c r="M890">
        <v>16.56</v>
      </c>
      <c r="N890">
        <v>15.87</v>
      </c>
      <c r="O890">
        <v>16.2</v>
      </c>
      <c r="P890">
        <v>25.21</v>
      </c>
      <c r="Q890">
        <v>116744912</v>
      </c>
      <c r="R890">
        <v>1.25</v>
      </c>
      <c r="S890" t="s">
        <v>504</v>
      </c>
      <c r="T890" t="s">
        <v>149</v>
      </c>
      <c r="U890">
        <v>4.26</v>
      </c>
      <c r="V890">
        <v>16.25</v>
      </c>
      <c r="W890">
        <v>34038</v>
      </c>
      <c r="X890">
        <v>37809</v>
      </c>
      <c r="Y890">
        <v>0.9</v>
      </c>
      <c r="Z890">
        <v>6</v>
      </c>
      <c r="AA890">
        <v>202</v>
      </c>
      <c r="AB890" t="s">
        <v>32</v>
      </c>
      <c r="AC890">
        <v>8.3</v>
      </c>
    </row>
    <row r="891" spans="1:29">
      <c r="A891" t="str">
        <f>"002431"</f>
        <v>002431</v>
      </c>
      <c r="B891" t="s">
        <v>1057</v>
      </c>
      <c r="C891" t="s">
        <v>32</v>
      </c>
      <c r="D891">
        <v>6.71</v>
      </c>
      <c r="E891" t="s">
        <v>32</v>
      </c>
      <c r="F891" t="s">
        <v>32</v>
      </c>
      <c r="G891" t="s">
        <v>32</v>
      </c>
      <c r="H891">
        <v>0</v>
      </c>
      <c r="I891">
        <v>0</v>
      </c>
      <c r="J891" t="s">
        <v>32</v>
      </c>
      <c r="K891">
        <v>0</v>
      </c>
      <c r="L891" t="s">
        <v>32</v>
      </c>
      <c r="M891" t="s">
        <v>32</v>
      </c>
      <c r="N891" t="s">
        <v>32</v>
      </c>
      <c r="O891">
        <v>6.71</v>
      </c>
      <c r="P891">
        <v>482.75</v>
      </c>
      <c r="Q891">
        <v>0</v>
      </c>
      <c r="R891">
        <v>0</v>
      </c>
      <c r="S891" t="s">
        <v>49</v>
      </c>
      <c r="T891" t="s">
        <v>136</v>
      </c>
      <c r="U891">
        <v>0</v>
      </c>
      <c r="V891">
        <v>6.71</v>
      </c>
      <c r="W891">
        <v>0</v>
      </c>
      <c r="X891">
        <v>0</v>
      </c>
      <c r="Y891" t="s">
        <v>32</v>
      </c>
      <c r="Z891">
        <v>0</v>
      </c>
      <c r="AA891">
        <v>0</v>
      </c>
      <c r="AB891" t="s">
        <v>32</v>
      </c>
      <c r="AC891">
        <v>12.7</v>
      </c>
    </row>
    <row r="892" spans="1:29">
      <c r="A892" t="str">
        <f>"002432"</f>
        <v>002432</v>
      </c>
      <c r="B892" t="s">
        <v>1058</v>
      </c>
      <c r="C892">
        <v>1.15</v>
      </c>
      <c r="D892">
        <v>7.03</v>
      </c>
      <c r="E892">
        <v>0.08</v>
      </c>
      <c r="F892">
        <v>7.03</v>
      </c>
      <c r="G892">
        <v>7.04</v>
      </c>
      <c r="H892">
        <v>55978</v>
      </c>
      <c r="I892">
        <v>668</v>
      </c>
      <c r="J892">
        <v>0.14</v>
      </c>
      <c r="K892">
        <v>1.29</v>
      </c>
      <c r="L892">
        <v>6.96</v>
      </c>
      <c r="M892">
        <v>7.07</v>
      </c>
      <c r="N892">
        <v>6.89</v>
      </c>
      <c r="O892">
        <v>6.95</v>
      </c>
      <c r="P892" t="s">
        <v>32</v>
      </c>
      <c r="Q892">
        <v>39175060</v>
      </c>
      <c r="R892">
        <v>1.15</v>
      </c>
      <c r="S892" t="s">
        <v>138</v>
      </c>
      <c r="T892" t="s">
        <v>248</v>
      </c>
      <c r="U892">
        <v>2.59</v>
      </c>
      <c r="V892">
        <v>7</v>
      </c>
      <c r="W892">
        <v>25404</v>
      </c>
      <c r="X892">
        <v>30574</v>
      </c>
      <c r="Y892">
        <v>0.83</v>
      </c>
      <c r="Z892">
        <v>867</v>
      </c>
      <c r="AA892">
        <v>513</v>
      </c>
      <c r="AB892" t="s">
        <v>32</v>
      </c>
      <c r="AC892">
        <v>4.33</v>
      </c>
    </row>
    <row r="893" spans="1:29">
      <c r="A893" t="str">
        <f>"002433"</f>
        <v>002433</v>
      </c>
      <c r="B893" t="s">
        <v>1059</v>
      </c>
      <c r="C893">
        <v>1.97</v>
      </c>
      <c r="D893">
        <v>7.26</v>
      </c>
      <c r="E893">
        <v>0.14</v>
      </c>
      <c r="F893">
        <v>7.26</v>
      </c>
      <c r="G893">
        <v>7.27</v>
      </c>
      <c r="H893">
        <v>63657</v>
      </c>
      <c r="I893">
        <v>232</v>
      </c>
      <c r="J893">
        <v>0</v>
      </c>
      <c r="K893">
        <v>0.92</v>
      </c>
      <c r="L893">
        <v>7.09</v>
      </c>
      <c r="M893">
        <v>7.29</v>
      </c>
      <c r="N893">
        <v>7.07</v>
      </c>
      <c r="O893">
        <v>7.12</v>
      </c>
      <c r="P893">
        <v>25.07</v>
      </c>
      <c r="Q893">
        <v>45862704</v>
      </c>
      <c r="R893">
        <v>1.32</v>
      </c>
      <c r="S893" t="s">
        <v>195</v>
      </c>
      <c r="T893" t="s">
        <v>136</v>
      </c>
      <c r="U893">
        <v>3.09</v>
      </c>
      <c r="V893">
        <v>7.2</v>
      </c>
      <c r="W893">
        <v>25737</v>
      </c>
      <c r="X893">
        <v>37919</v>
      </c>
      <c r="Y893">
        <v>0.68</v>
      </c>
      <c r="Z893">
        <v>458</v>
      </c>
      <c r="AA893">
        <v>449</v>
      </c>
      <c r="AB893" t="s">
        <v>32</v>
      </c>
      <c r="AC893">
        <v>6.92</v>
      </c>
    </row>
    <row r="894" spans="1:29">
      <c r="A894" t="str">
        <f>"002434"</f>
        <v>002434</v>
      </c>
      <c r="B894" t="s">
        <v>1060</v>
      </c>
      <c r="C894">
        <v>1.84</v>
      </c>
      <c r="D894">
        <v>9.4</v>
      </c>
      <c r="E894">
        <v>0.17</v>
      </c>
      <c r="F894">
        <v>9.39</v>
      </c>
      <c r="G894">
        <v>9.4</v>
      </c>
      <c r="H894">
        <v>171696</v>
      </c>
      <c r="I894">
        <v>1139</v>
      </c>
      <c r="J894">
        <v>0.21</v>
      </c>
      <c r="K894">
        <v>1.68</v>
      </c>
      <c r="L894">
        <v>9.24</v>
      </c>
      <c r="M894">
        <v>9.5</v>
      </c>
      <c r="N894">
        <v>9.17</v>
      </c>
      <c r="O894">
        <v>9.23</v>
      </c>
      <c r="P894">
        <v>24.25</v>
      </c>
      <c r="Q894">
        <v>160730016</v>
      </c>
      <c r="R894">
        <v>2.19</v>
      </c>
      <c r="S894" t="s">
        <v>80</v>
      </c>
      <c r="T894" t="s">
        <v>149</v>
      </c>
      <c r="U894">
        <v>3.58</v>
      </c>
      <c r="V894">
        <v>9.36</v>
      </c>
      <c r="W894">
        <v>62049</v>
      </c>
      <c r="X894">
        <v>109647</v>
      </c>
      <c r="Y894">
        <v>0.57</v>
      </c>
      <c r="Z894">
        <v>5</v>
      </c>
      <c r="AA894">
        <v>1491</v>
      </c>
      <c r="AB894" t="s">
        <v>32</v>
      </c>
      <c r="AC894">
        <v>10.19</v>
      </c>
    </row>
    <row r="895" spans="1:29">
      <c r="A895" t="str">
        <f>"002435"</f>
        <v>002435</v>
      </c>
      <c r="B895" t="s">
        <v>1061</v>
      </c>
      <c r="C895">
        <v>-0.24</v>
      </c>
      <c r="D895">
        <v>8.21</v>
      </c>
      <c r="E895">
        <v>-0.02</v>
      </c>
      <c r="F895">
        <v>8.21</v>
      </c>
      <c r="G895">
        <v>8.22</v>
      </c>
      <c r="H895">
        <v>16845</v>
      </c>
      <c r="I895">
        <v>827</v>
      </c>
      <c r="J895">
        <v>-0.11</v>
      </c>
      <c r="K895">
        <v>0.54</v>
      </c>
      <c r="L895">
        <v>8.18</v>
      </c>
      <c r="M895">
        <v>8.25</v>
      </c>
      <c r="N895">
        <v>8.14</v>
      </c>
      <c r="O895">
        <v>8.23</v>
      </c>
      <c r="P895">
        <v>21.7</v>
      </c>
      <c r="Q895">
        <v>13818943</v>
      </c>
      <c r="R895">
        <v>0.89</v>
      </c>
      <c r="S895" t="s">
        <v>142</v>
      </c>
      <c r="T895" t="s">
        <v>87</v>
      </c>
      <c r="U895">
        <v>1.34</v>
      </c>
      <c r="V895">
        <v>8.2</v>
      </c>
      <c r="W895">
        <v>9069</v>
      </c>
      <c r="X895">
        <v>7776</v>
      </c>
      <c r="Y895">
        <v>1.17</v>
      </c>
      <c r="Z895">
        <v>102</v>
      </c>
      <c r="AA895">
        <v>277</v>
      </c>
      <c r="AB895" t="s">
        <v>32</v>
      </c>
      <c r="AC895">
        <v>3.12</v>
      </c>
    </row>
    <row r="896" spans="1:29">
      <c r="A896" t="str">
        <f>"002436"</f>
        <v>002436</v>
      </c>
      <c r="B896" t="s">
        <v>1062</v>
      </c>
      <c r="C896" t="s">
        <v>32</v>
      </c>
      <c r="D896">
        <v>4.29</v>
      </c>
      <c r="E896" t="s">
        <v>32</v>
      </c>
      <c r="F896" t="s">
        <v>32</v>
      </c>
      <c r="G896" t="s">
        <v>32</v>
      </c>
      <c r="H896">
        <v>0</v>
      </c>
      <c r="I896">
        <v>0</v>
      </c>
      <c r="J896" t="s">
        <v>32</v>
      </c>
      <c r="K896">
        <v>0</v>
      </c>
      <c r="L896" t="s">
        <v>32</v>
      </c>
      <c r="M896" t="s">
        <v>32</v>
      </c>
      <c r="N896" t="s">
        <v>32</v>
      </c>
      <c r="O896">
        <v>4.29</v>
      </c>
      <c r="P896">
        <v>77.5</v>
      </c>
      <c r="Q896">
        <v>0</v>
      </c>
      <c r="R896">
        <v>0</v>
      </c>
      <c r="S896" t="s">
        <v>63</v>
      </c>
      <c r="T896" t="s">
        <v>31</v>
      </c>
      <c r="U896">
        <v>0</v>
      </c>
      <c r="V896">
        <v>4.29</v>
      </c>
      <c r="W896">
        <v>0</v>
      </c>
      <c r="X896">
        <v>0</v>
      </c>
      <c r="Y896" t="s">
        <v>32</v>
      </c>
      <c r="Z896">
        <v>0</v>
      </c>
      <c r="AA896">
        <v>0</v>
      </c>
      <c r="AB896" t="s">
        <v>32</v>
      </c>
      <c r="AC896">
        <v>11.99</v>
      </c>
    </row>
    <row r="897" spans="1:29">
      <c r="A897" t="str">
        <f>"002437"</f>
        <v>002437</v>
      </c>
      <c r="B897" t="s">
        <v>1063</v>
      </c>
      <c r="C897" t="s">
        <v>32</v>
      </c>
      <c r="D897">
        <v>6.19</v>
      </c>
      <c r="E897" t="s">
        <v>32</v>
      </c>
      <c r="F897" t="s">
        <v>32</v>
      </c>
      <c r="G897" t="s">
        <v>32</v>
      </c>
      <c r="H897">
        <v>0</v>
      </c>
      <c r="I897">
        <v>0</v>
      </c>
      <c r="J897" t="s">
        <v>32</v>
      </c>
      <c r="K897">
        <v>0</v>
      </c>
      <c r="L897" t="s">
        <v>32</v>
      </c>
      <c r="M897" t="s">
        <v>32</v>
      </c>
      <c r="N897" t="s">
        <v>32</v>
      </c>
      <c r="O897">
        <v>6.19</v>
      </c>
      <c r="P897">
        <v>34.65</v>
      </c>
      <c r="Q897">
        <v>0</v>
      </c>
      <c r="R897">
        <v>0</v>
      </c>
      <c r="S897" t="s">
        <v>142</v>
      </c>
      <c r="T897" t="s">
        <v>297</v>
      </c>
      <c r="U897">
        <v>0</v>
      </c>
      <c r="V897">
        <v>6.19</v>
      </c>
      <c r="W897">
        <v>0</v>
      </c>
      <c r="X897">
        <v>0</v>
      </c>
      <c r="Y897" t="s">
        <v>32</v>
      </c>
      <c r="Z897">
        <v>0</v>
      </c>
      <c r="AA897">
        <v>0</v>
      </c>
      <c r="AB897" t="s">
        <v>32</v>
      </c>
      <c r="AC897">
        <v>21.66</v>
      </c>
    </row>
    <row r="898" spans="1:29">
      <c r="A898" t="str">
        <f>"002438"</f>
        <v>002438</v>
      </c>
      <c r="B898" t="s">
        <v>1064</v>
      </c>
      <c r="C898">
        <v>0.78</v>
      </c>
      <c r="D898">
        <v>6.5</v>
      </c>
      <c r="E898">
        <v>0.05</v>
      </c>
      <c r="F898">
        <v>6.5</v>
      </c>
      <c r="G898">
        <v>6.52</v>
      </c>
      <c r="H898">
        <v>12963</v>
      </c>
      <c r="I898">
        <v>191</v>
      </c>
      <c r="J898">
        <v>-0.3</v>
      </c>
      <c r="K898">
        <v>0.35</v>
      </c>
      <c r="L898">
        <v>6.42</v>
      </c>
      <c r="M898">
        <v>6.57</v>
      </c>
      <c r="N898">
        <v>6.41</v>
      </c>
      <c r="O898">
        <v>6.45</v>
      </c>
      <c r="P898">
        <v>35.21</v>
      </c>
      <c r="Q898">
        <v>8455577</v>
      </c>
      <c r="R898">
        <v>1.64</v>
      </c>
      <c r="S898" t="s">
        <v>241</v>
      </c>
      <c r="T898" t="s">
        <v>87</v>
      </c>
      <c r="U898">
        <v>2.48</v>
      </c>
      <c r="V898">
        <v>6.52</v>
      </c>
      <c r="W898">
        <v>4751</v>
      </c>
      <c r="X898">
        <v>8211</v>
      </c>
      <c r="Y898">
        <v>0.58</v>
      </c>
      <c r="Z898">
        <v>315</v>
      </c>
      <c r="AA898">
        <v>201</v>
      </c>
      <c r="AB898" t="s">
        <v>32</v>
      </c>
      <c r="AC898">
        <v>3.71</v>
      </c>
    </row>
    <row r="899" spans="1:29">
      <c r="A899" t="str">
        <f>"002439"</f>
        <v>002439</v>
      </c>
      <c r="B899" t="s">
        <v>1065</v>
      </c>
      <c r="C899">
        <v>1.72</v>
      </c>
      <c r="D899">
        <v>21.82</v>
      </c>
      <c r="E899">
        <v>0.37</v>
      </c>
      <c r="F899">
        <v>21.81</v>
      </c>
      <c r="G899">
        <v>21.82</v>
      </c>
      <c r="H899">
        <v>137281</v>
      </c>
      <c r="I899">
        <v>1223</v>
      </c>
      <c r="J899">
        <v>-0.08</v>
      </c>
      <c r="K899">
        <v>2.39</v>
      </c>
      <c r="L899">
        <v>21.35</v>
      </c>
      <c r="M899">
        <v>22.17</v>
      </c>
      <c r="N899">
        <v>21.1</v>
      </c>
      <c r="O899">
        <v>21.45</v>
      </c>
      <c r="P899">
        <v>299.62</v>
      </c>
      <c r="Q899">
        <v>299101792</v>
      </c>
      <c r="R899">
        <v>1.57</v>
      </c>
      <c r="S899" t="s">
        <v>270</v>
      </c>
      <c r="T899" t="s">
        <v>45</v>
      </c>
      <c r="U899">
        <v>4.99</v>
      </c>
      <c r="V899">
        <v>21.79</v>
      </c>
      <c r="W899">
        <v>69325</v>
      </c>
      <c r="X899">
        <v>67955</v>
      </c>
      <c r="Y899">
        <v>1.02</v>
      </c>
      <c r="Z899">
        <v>365</v>
      </c>
      <c r="AA899">
        <v>60</v>
      </c>
      <c r="AB899" t="s">
        <v>32</v>
      </c>
      <c r="AC899">
        <v>5.75</v>
      </c>
    </row>
    <row r="900" spans="1:29">
      <c r="A900" t="str">
        <f>"002440"</f>
        <v>002440</v>
      </c>
      <c r="B900" t="s">
        <v>1066</v>
      </c>
      <c r="C900">
        <v>2.43</v>
      </c>
      <c r="D900">
        <v>11.81</v>
      </c>
      <c r="E900">
        <v>0.28</v>
      </c>
      <c r="F900">
        <v>11.81</v>
      </c>
      <c r="G900">
        <v>11.82</v>
      </c>
      <c r="H900">
        <v>208020</v>
      </c>
      <c r="I900">
        <v>2256</v>
      </c>
      <c r="J900">
        <v>0.08</v>
      </c>
      <c r="K900">
        <v>2.25</v>
      </c>
      <c r="L900">
        <v>11.54</v>
      </c>
      <c r="M900">
        <v>11.93</v>
      </c>
      <c r="N900">
        <v>11.37</v>
      </c>
      <c r="O900">
        <v>11.53</v>
      </c>
      <c r="P900">
        <v>11.08</v>
      </c>
      <c r="Q900">
        <v>243545904</v>
      </c>
      <c r="R900">
        <v>2.08</v>
      </c>
      <c r="S900" t="s">
        <v>281</v>
      </c>
      <c r="T900" t="s">
        <v>149</v>
      </c>
      <c r="U900">
        <v>4.86</v>
      </c>
      <c r="V900">
        <v>11.71</v>
      </c>
      <c r="W900">
        <v>98483</v>
      </c>
      <c r="X900">
        <v>109536</v>
      </c>
      <c r="Y900">
        <v>0.9</v>
      </c>
      <c r="Z900">
        <v>3235</v>
      </c>
      <c r="AA900">
        <v>1206</v>
      </c>
      <c r="AB900" t="s">
        <v>32</v>
      </c>
      <c r="AC900">
        <v>9.24</v>
      </c>
    </row>
    <row r="901" spans="1:29">
      <c r="A901" t="str">
        <f>"002441"</f>
        <v>002441</v>
      </c>
      <c r="B901" t="s">
        <v>1067</v>
      </c>
      <c r="C901">
        <v>1.18</v>
      </c>
      <c r="D901">
        <v>7.74</v>
      </c>
      <c r="E901">
        <v>0.09</v>
      </c>
      <c r="F901">
        <v>7.73</v>
      </c>
      <c r="G901">
        <v>7.74</v>
      </c>
      <c r="H901">
        <v>35980</v>
      </c>
      <c r="I901">
        <v>450</v>
      </c>
      <c r="J901">
        <v>0.26</v>
      </c>
      <c r="K901">
        <v>0.92</v>
      </c>
      <c r="L901">
        <v>7.68</v>
      </c>
      <c r="M901">
        <v>7.75</v>
      </c>
      <c r="N901">
        <v>7.61</v>
      </c>
      <c r="O901">
        <v>7.65</v>
      </c>
      <c r="P901">
        <v>16.92</v>
      </c>
      <c r="Q901">
        <v>27722104</v>
      </c>
      <c r="R901">
        <v>1.87</v>
      </c>
      <c r="S901" t="s">
        <v>117</v>
      </c>
      <c r="T901" t="s">
        <v>136</v>
      </c>
      <c r="U901">
        <v>1.83</v>
      </c>
      <c r="V901">
        <v>7.7</v>
      </c>
      <c r="W901">
        <v>18845</v>
      </c>
      <c r="X901">
        <v>17134</v>
      </c>
      <c r="Y901">
        <v>1.1</v>
      </c>
      <c r="Z901">
        <v>240</v>
      </c>
      <c r="AA901">
        <v>19</v>
      </c>
      <c r="AB901" t="s">
        <v>32</v>
      </c>
      <c r="AC901">
        <v>3.92</v>
      </c>
    </row>
    <row r="902" spans="1:29">
      <c r="A902" t="str">
        <f>"002442"</f>
        <v>002442</v>
      </c>
      <c r="B902" t="s">
        <v>1068</v>
      </c>
      <c r="C902">
        <v>0.18</v>
      </c>
      <c r="D902">
        <v>10.88</v>
      </c>
      <c r="E902">
        <v>0.02</v>
      </c>
      <c r="F902">
        <v>10.88</v>
      </c>
      <c r="G902">
        <v>10.89</v>
      </c>
      <c r="H902">
        <v>11693</v>
      </c>
      <c r="I902">
        <v>366</v>
      </c>
      <c r="J902">
        <v>0</v>
      </c>
      <c r="K902">
        <v>0.31</v>
      </c>
      <c r="L902">
        <v>10.89</v>
      </c>
      <c r="M902">
        <v>10.89</v>
      </c>
      <c r="N902">
        <v>10.82</v>
      </c>
      <c r="O902">
        <v>10.86</v>
      </c>
      <c r="P902">
        <v>40.93</v>
      </c>
      <c r="Q902">
        <v>12693845</v>
      </c>
      <c r="R902">
        <v>1.08</v>
      </c>
      <c r="S902" t="s">
        <v>218</v>
      </c>
      <c r="T902" t="s">
        <v>154</v>
      </c>
      <c r="U902">
        <v>0.64</v>
      </c>
      <c r="V902">
        <v>10.86</v>
      </c>
      <c r="W902">
        <v>6447</v>
      </c>
      <c r="X902">
        <v>5246</v>
      </c>
      <c r="Y902">
        <v>1.23</v>
      </c>
      <c r="Z902">
        <v>276</v>
      </c>
      <c r="AA902">
        <v>45</v>
      </c>
      <c r="AB902" t="s">
        <v>32</v>
      </c>
      <c r="AC902">
        <v>3.79</v>
      </c>
    </row>
    <row r="903" spans="1:29">
      <c r="A903" t="str">
        <f>"002443"</f>
        <v>002443</v>
      </c>
      <c r="B903" t="s">
        <v>1069</v>
      </c>
      <c r="C903">
        <v>-0.14</v>
      </c>
      <c r="D903">
        <v>6.97</v>
      </c>
      <c r="E903">
        <v>-0.01</v>
      </c>
      <c r="F903">
        <v>6.96</v>
      </c>
      <c r="G903">
        <v>6.97</v>
      </c>
      <c r="H903">
        <v>74715</v>
      </c>
      <c r="I903">
        <v>2485</v>
      </c>
      <c r="J903">
        <v>0</v>
      </c>
      <c r="K903">
        <v>1.48</v>
      </c>
      <c r="L903">
        <v>7</v>
      </c>
      <c r="M903">
        <v>7.1</v>
      </c>
      <c r="N903">
        <v>6.95</v>
      </c>
      <c r="O903">
        <v>6.98</v>
      </c>
      <c r="P903">
        <v>93.66</v>
      </c>
      <c r="Q903">
        <v>52551760</v>
      </c>
      <c r="R903">
        <v>2.39</v>
      </c>
      <c r="S903" t="s">
        <v>449</v>
      </c>
      <c r="T903" t="s">
        <v>149</v>
      </c>
      <c r="U903">
        <v>2.15</v>
      </c>
      <c r="V903">
        <v>7.03</v>
      </c>
      <c r="W903">
        <v>47835</v>
      </c>
      <c r="X903">
        <v>26880</v>
      </c>
      <c r="Y903">
        <v>1.78</v>
      </c>
      <c r="Z903">
        <v>2750</v>
      </c>
      <c r="AA903">
        <v>3135</v>
      </c>
      <c r="AB903" t="s">
        <v>32</v>
      </c>
      <c r="AC903">
        <v>5.03</v>
      </c>
    </row>
    <row r="904" spans="1:29">
      <c r="A904" t="str">
        <f>"002444"</f>
        <v>002444</v>
      </c>
      <c r="B904" t="s">
        <v>1070</v>
      </c>
      <c r="C904">
        <v>1.19</v>
      </c>
      <c r="D904">
        <v>11.02</v>
      </c>
      <c r="E904">
        <v>0.13</v>
      </c>
      <c r="F904">
        <v>11.01</v>
      </c>
      <c r="G904">
        <v>11.02</v>
      </c>
      <c r="H904">
        <v>99137</v>
      </c>
      <c r="I904">
        <v>863</v>
      </c>
      <c r="J904">
        <v>0.18</v>
      </c>
      <c r="K904">
        <v>0.98</v>
      </c>
      <c r="L904">
        <v>10.81</v>
      </c>
      <c r="M904">
        <v>11.09</v>
      </c>
      <c r="N904">
        <v>10.77</v>
      </c>
      <c r="O904">
        <v>10.89</v>
      </c>
      <c r="P904">
        <v>25.43</v>
      </c>
      <c r="Q904">
        <v>109014672</v>
      </c>
      <c r="R904">
        <v>1.51</v>
      </c>
      <c r="S904" t="s">
        <v>93</v>
      </c>
      <c r="T904" t="s">
        <v>149</v>
      </c>
      <c r="U904">
        <v>2.94</v>
      </c>
      <c r="V904">
        <v>11</v>
      </c>
      <c r="W904">
        <v>48842</v>
      </c>
      <c r="X904">
        <v>50294</v>
      </c>
      <c r="Y904">
        <v>0.97</v>
      </c>
      <c r="Z904">
        <v>114</v>
      </c>
      <c r="AA904">
        <v>60</v>
      </c>
      <c r="AB904" t="s">
        <v>32</v>
      </c>
      <c r="AC904">
        <v>10.12</v>
      </c>
    </row>
    <row r="905" spans="1:29">
      <c r="A905" t="str">
        <f>"002445"</f>
        <v>002445</v>
      </c>
      <c r="B905" t="s">
        <v>1071</v>
      </c>
      <c r="C905" t="s">
        <v>32</v>
      </c>
      <c r="D905">
        <v>4.94</v>
      </c>
      <c r="E905" t="s">
        <v>32</v>
      </c>
      <c r="F905" t="s">
        <v>32</v>
      </c>
      <c r="G905" t="s">
        <v>32</v>
      </c>
      <c r="H905">
        <v>0</v>
      </c>
      <c r="I905">
        <v>0</v>
      </c>
      <c r="J905" t="s">
        <v>32</v>
      </c>
      <c r="K905">
        <v>0</v>
      </c>
      <c r="L905" t="s">
        <v>32</v>
      </c>
      <c r="M905" t="s">
        <v>32</v>
      </c>
      <c r="N905" t="s">
        <v>32</v>
      </c>
      <c r="O905">
        <v>4.94</v>
      </c>
      <c r="P905">
        <v>41.87</v>
      </c>
      <c r="Q905">
        <v>0</v>
      </c>
      <c r="R905">
        <v>0</v>
      </c>
      <c r="S905" t="s">
        <v>148</v>
      </c>
      <c r="T905" t="s">
        <v>87</v>
      </c>
      <c r="U905">
        <v>0</v>
      </c>
      <c r="V905">
        <v>4.94</v>
      </c>
      <c r="W905">
        <v>0</v>
      </c>
      <c r="X905">
        <v>0</v>
      </c>
      <c r="Y905" t="s">
        <v>32</v>
      </c>
      <c r="Z905">
        <v>0</v>
      </c>
      <c r="AA905">
        <v>0</v>
      </c>
      <c r="AB905" t="s">
        <v>32</v>
      </c>
      <c r="AC905">
        <v>12.99</v>
      </c>
    </row>
    <row r="906" spans="1:29">
      <c r="A906" t="str">
        <f>"002446"</f>
        <v>002446</v>
      </c>
      <c r="B906" t="s">
        <v>1072</v>
      </c>
      <c r="C906">
        <v>1.69</v>
      </c>
      <c r="D906">
        <v>7.22</v>
      </c>
      <c r="E906">
        <v>0.12</v>
      </c>
      <c r="F906">
        <v>7.21</v>
      </c>
      <c r="G906">
        <v>7.22</v>
      </c>
      <c r="H906">
        <v>81315</v>
      </c>
      <c r="I906">
        <v>1551</v>
      </c>
      <c r="J906">
        <v>-0.4</v>
      </c>
      <c r="K906">
        <v>1.92</v>
      </c>
      <c r="L906">
        <v>7.12</v>
      </c>
      <c r="M906">
        <v>7.33</v>
      </c>
      <c r="N906">
        <v>7.05</v>
      </c>
      <c r="O906">
        <v>7.1</v>
      </c>
      <c r="P906">
        <v>22.86</v>
      </c>
      <c r="Q906">
        <v>58307488</v>
      </c>
      <c r="R906">
        <v>1.25</v>
      </c>
      <c r="S906" t="s">
        <v>119</v>
      </c>
      <c r="T906" t="s">
        <v>136</v>
      </c>
      <c r="U906">
        <v>3.94</v>
      </c>
      <c r="V906">
        <v>7.17</v>
      </c>
      <c r="W906">
        <v>37858</v>
      </c>
      <c r="X906">
        <v>43457</v>
      </c>
      <c r="Y906">
        <v>0.87</v>
      </c>
      <c r="Z906">
        <v>328</v>
      </c>
      <c r="AA906">
        <v>178</v>
      </c>
      <c r="AB906" t="s">
        <v>32</v>
      </c>
      <c r="AC906">
        <v>4.24</v>
      </c>
    </row>
    <row r="907" spans="1:29">
      <c r="A907" t="str">
        <f>"002447"</f>
        <v>002447</v>
      </c>
      <c r="B907" t="s">
        <v>1073</v>
      </c>
      <c r="C907">
        <v>10.16</v>
      </c>
      <c r="D907">
        <v>3.47</v>
      </c>
      <c r="E907">
        <v>0.32</v>
      </c>
      <c r="F907">
        <v>3.47</v>
      </c>
      <c r="G907" t="s">
        <v>32</v>
      </c>
      <c r="H907">
        <v>681566</v>
      </c>
      <c r="I907">
        <v>319</v>
      </c>
      <c r="J907">
        <v>0</v>
      </c>
      <c r="K907">
        <v>5.93</v>
      </c>
      <c r="L907">
        <v>3.14</v>
      </c>
      <c r="M907">
        <v>3.47</v>
      </c>
      <c r="N907">
        <v>3.11</v>
      </c>
      <c r="O907">
        <v>3.15</v>
      </c>
      <c r="P907">
        <v>17.16</v>
      </c>
      <c r="Q907">
        <v>227504176</v>
      </c>
      <c r="R907">
        <v>2.52</v>
      </c>
      <c r="S907" t="s">
        <v>316</v>
      </c>
      <c r="T907" t="s">
        <v>111</v>
      </c>
      <c r="U907">
        <v>11.43</v>
      </c>
      <c r="V907">
        <v>3.34</v>
      </c>
      <c r="W907">
        <v>375963</v>
      </c>
      <c r="X907">
        <v>305603</v>
      </c>
      <c r="Y907">
        <v>1.23</v>
      </c>
      <c r="Z907">
        <v>44162</v>
      </c>
      <c r="AA907">
        <v>0</v>
      </c>
      <c r="AB907" t="s">
        <v>32</v>
      </c>
      <c r="AC907">
        <v>11.5</v>
      </c>
    </row>
    <row r="908" spans="1:29">
      <c r="A908" t="str">
        <f>"002448"</f>
        <v>002448</v>
      </c>
      <c r="B908" t="s">
        <v>1074</v>
      </c>
      <c r="C908">
        <v>1.6</v>
      </c>
      <c r="D908">
        <v>6.97</v>
      </c>
      <c r="E908">
        <v>0.11</v>
      </c>
      <c r="F908">
        <v>6.97</v>
      </c>
      <c r="G908">
        <v>6.98</v>
      </c>
      <c r="H908">
        <v>38771</v>
      </c>
      <c r="I908">
        <v>272</v>
      </c>
      <c r="J908">
        <v>-0.13</v>
      </c>
      <c r="K908">
        <v>0.85</v>
      </c>
      <c r="L908">
        <v>6.85</v>
      </c>
      <c r="M908">
        <v>7.02</v>
      </c>
      <c r="N908">
        <v>6.83</v>
      </c>
      <c r="O908">
        <v>6.86</v>
      </c>
      <c r="P908">
        <v>21.33</v>
      </c>
      <c r="Q908">
        <v>26929198</v>
      </c>
      <c r="R908">
        <v>1.12</v>
      </c>
      <c r="S908" t="s">
        <v>80</v>
      </c>
      <c r="T908" t="s">
        <v>164</v>
      </c>
      <c r="U908">
        <v>2.77</v>
      </c>
      <c r="V908">
        <v>6.95</v>
      </c>
      <c r="W908">
        <v>13815</v>
      </c>
      <c r="X908">
        <v>24956</v>
      </c>
      <c r="Y908">
        <v>0.55</v>
      </c>
      <c r="Z908">
        <v>472</v>
      </c>
      <c r="AA908">
        <v>102</v>
      </c>
      <c r="AB908" t="s">
        <v>32</v>
      </c>
      <c r="AC908">
        <v>4.59</v>
      </c>
    </row>
    <row r="909" spans="1:29">
      <c r="A909" t="str">
        <f>"002449"</f>
        <v>002449</v>
      </c>
      <c r="B909" t="s">
        <v>1075</v>
      </c>
      <c r="C909">
        <v>-0.42</v>
      </c>
      <c r="D909">
        <v>11.95</v>
      </c>
      <c r="E909">
        <v>-0.05</v>
      </c>
      <c r="F909">
        <v>11.95</v>
      </c>
      <c r="G909">
        <v>11.96</v>
      </c>
      <c r="H909">
        <v>112712</v>
      </c>
      <c r="I909">
        <v>2014</v>
      </c>
      <c r="J909">
        <v>-0.16</v>
      </c>
      <c r="K909">
        <v>1.86</v>
      </c>
      <c r="L909">
        <v>12.01</v>
      </c>
      <c r="M909">
        <v>12.17</v>
      </c>
      <c r="N909">
        <v>11.91</v>
      </c>
      <c r="O909">
        <v>12</v>
      </c>
      <c r="P909">
        <v>22.98</v>
      </c>
      <c r="Q909">
        <v>135561216</v>
      </c>
      <c r="R909">
        <v>1.19</v>
      </c>
      <c r="S909" t="s">
        <v>699</v>
      </c>
      <c r="T909" t="s">
        <v>136</v>
      </c>
      <c r="U909">
        <v>2.17</v>
      </c>
      <c r="V909">
        <v>12.03</v>
      </c>
      <c r="W909">
        <v>54595</v>
      </c>
      <c r="X909">
        <v>58116</v>
      </c>
      <c r="Y909">
        <v>0.94</v>
      </c>
      <c r="Z909">
        <v>53</v>
      </c>
      <c r="AA909">
        <v>464</v>
      </c>
      <c r="AB909" t="s">
        <v>32</v>
      </c>
      <c r="AC909">
        <v>6.08</v>
      </c>
    </row>
    <row r="910" spans="1:29">
      <c r="A910" t="str">
        <f>"002450"</f>
        <v>002450</v>
      </c>
      <c r="B910" t="s">
        <v>1076</v>
      </c>
      <c r="C910" t="s">
        <v>32</v>
      </c>
      <c r="D910">
        <v>17.08</v>
      </c>
      <c r="E910" t="s">
        <v>32</v>
      </c>
      <c r="F910" t="s">
        <v>32</v>
      </c>
      <c r="G910" t="s">
        <v>32</v>
      </c>
      <c r="H910">
        <v>0</v>
      </c>
      <c r="I910">
        <v>0</v>
      </c>
      <c r="J910" t="s">
        <v>32</v>
      </c>
      <c r="K910">
        <v>0</v>
      </c>
      <c r="L910" t="s">
        <v>32</v>
      </c>
      <c r="M910" t="s">
        <v>32</v>
      </c>
      <c r="N910" t="s">
        <v>32</v>
      </c>
      <c r="O910">
        <v>17.08</v>
      </c>
      <c r="P910">
        <v>21.12</v>
      </c>
      <c r="Q910">
        <v>0</v>
      </c>
      <c r="R910">
        <v>0</v>
      </c>
      <c r="S910" t="s">
        <v>218</v>
      </c>
      <c r="T910" t="s">
        <v>87</v>
      </c>
      <c r="U910">
        <v>0</v>
      </c>
      <c r="V910">
        <v>17.08</v>
      </c>
      <c r="W910">
        <v>0</v>
      </c>
      <c r="X910">
        <v>0</v>
      </c>
      <c r="Y910" t="s">
        <v>32</v>
      </c>
      <c r="Z910">
        <v>0</v>
      </c>
      <c r="AA910">
        <v>0</v>
      </c>
      <c r="AB910" t="s">
        <v>32</v>
      </c>
      <c r="AC910">
        <v>28.9</v>
      </c>
    </row>
    <row r="911" spans="1:29">
      <c r="A911" t="str">
        <f>"002451"</f>
        <v>002451</v>
      </c>
      <c r="B911" t="s">
        <v>1077</v>
      </c>
      <c r="C911">
        <v>0.8</v>
      </c>
      <c r="D911">
        <v>10.09</v>
      </c>
      <c r="E911">
        <v>0.08</v>
      </c>
      <c r="F911">
        <v>10.08</v>
      </c>
      <c r="G911">
        <v>10.09</v>
      </c>
      <c r="H911">
        <v>156052</v>
      </c>
      <c r="I911">
        <v>2301</v>
      </c>
      <c r="J911">
        <v>0.1</v>
      </c>
      <c r="K911">
        <v>3.78</v>
      </c>
      <c r="L911">
        <v>9.9</v>
      </c>
      <c r="M911">
        <v>10.2</v>
      </c>
      <c r="N911">
        <v>9.8</v>
      </c>
      <c r="O911">
        <v>10.01</v>
      </c>
      <c r="P911">
        <v>94.85</v>
      </c>
      <c r="Q911">
        <v>156296848</v>
      </c>
      <c r="R911">
        <v>0.68</v>
      </c>
      <c r="S911" t="s">
        <v>104</v>
      </c>
      <c r="T911" t="s">
        <v>366</v>
      </c>
      <c r="U911">
        <v>4</v>
      </c>
      <c r="V911">
        <v>10.02</v>
      </c>
      <c r="W911">
        <v>83411</v>
      </c>
      <c r="X911">
        <v>72640</v>
      </c>
      <c r="Y911">
        <v>1.15</v>
      </c>
      <c r="Z911">
        <v>194</v>
      </c>
      <c r="AA911">
        <v>1040</v>
      </c>
      <c r="AB911" t="s">
        <v>32</v>
      </c>
      <c r="AC911">
        <v>4.13</v>
      </c>
    </row>
    <row r="912" spans="1:29">
      <c r="A912" t="str">
        <f>"002452"</f>
        <v>002452</v>
      </c>
      <c r="B912" t="s">
        <v>1078</v>
      </c>
      <c r="C912">
        <v>1.21</v>
      </c>
      <c r="D912">
        <v>4.19</v>
      </c>
      <c r="E912">
        <v>0.05</v>
      </c>
      <c r="F912">
        <v>4.18</v>
      </c>
      <c r="G912">
        <v>4.19</v>
      </c>
      <c r="H912">
        <v>25367</v>
      </c>
      <c r="I912">
        <v>1232</v>
      </c>
      <c r="J912">
        <v>0</v>
      </c>
      <c r="K912">
        <v>0.69</v>
      </c>
      <c r="L912">
        <v>4.14</v>
      </c>
      <c r="M912">
        <v>4.2</v>
      </c>
      <c r="N912">
        <v>4.11</v>
      </c>
      <c r="O912">
        <v>4.14</v>
      </c>
      <c r="P912" t="s">
        <v>32</v>
      </c>
      <c r="Q912">
        <v>10575384</v>
      </c>
      <c r="R912">
        <v>0.69</v>
      </c>
      <c r="S912" t="s">
        <v>104</v>
      </c>
      <c r="T912" t="s">
        <v>152</v>
      </c>
      <c r="U912">
        <v>2.17</v>
      </c>
      <c r="V912">
        <v>4.17</v>
      </c>
      <c r="W912">
        <v>13090</v>
      </c>
      <c r="X912">
        <v>12277</v>
      </c>
      <c r="Y912">
        <v>1.07</v>
      </c>
      <c r="Z912">
        <v>2582</v>
      </c>
      <c r="AA912">
        <v>216</v>
      </c>
      <c r="AB912" t="s">
        <v>32</v>
      </c>
      <c r="AC912">
        <v>3.7</v>
      </c>
    </row>
    <row r="913" spans="1:29">
      <c r="A913" t="str">
        <f>"002453"</f>
        <v>002453</v>
      </c>
      <c r="B913" t="s">
        <v>1079</v>
      </c>
      <c r="C913">
        <v>1.04</v>
      </c>
      <c r="D913">
        <v>5.85</v>
      </c>
      <c r="E913">
        <v>0.06</v>
      </c>
      <c r="F913">
        <v>5.85</v>
      </c>
      <c r="G913">
        <v>5.86</v>
      </c>
      <c r="H913">
        <v>18713</v>
      </c>
      <c r="I913">
        <v>225</v>
      </c>
      <c r="J913">
        <v>0</v>
      </c>
      <c r="K913">
        <v>0.34</v>
      </c>
      <c r="L913">
        <v>5.8</v>
      </c>
      <c r="M913">
        <v>5.88</v>
      </c>
      <c r="N913">
        <v>5.76</v>
      </c>
      <c r="O913">
        <v>5.79</v>
      </c>
      <c r="P913">
        <v>182.72</v>
      </c>
      <c r="Q913">
        <v>10916111</v>
      </c>
      <c r="R913">
        <v>0.76</v>
      </c>
      <c r="S913" t="s">
        <v>218</v>
      </c>
      <c r="T913" t="s">
        <v>87</v>
      </c>
      <c r="U913">
        <v>2.07</v>
      </c>
      <c r="V913">
        <v>5.83</v>
      </c>
      <c r="W913">
        <v>9312</v>
      </c>
      <c r="X913">
        <v>9400</v>
      </c>
      <c r="Y913">
        <v>0.99</v>
      </c>
      <c r="Z913">
        <v>364</v>
      </c>
      <c r="AA913">
        <v>299</v>
      </c>
      <c r="AB913" t="s">
        <v>32</v>
      </c>
      <c r="AC913">
        <v>5.49</v>
      </c>
    </row>
    <row r="914" spans="1:29">
      <c r="A914" t="str">
        <f>"002454"</f>
        <v>002454</v>
      </c>
      <c r="B914" t="s">
        <v>1080</v>
      </c>
      <c r="C914">
        <v>2.05</v>
      </c>
      <c r="D914">
        <v>5.47</v>
      </c>
      <c r="E914">
        <v>0.11</v>
      </c>
      <c r="F914">
        <v>5.46</v>
      </c>
      <c r="G914">
        <v>5.47</v>
      </c>
      <c r="H914">
        <v>28376</v>
      </c>
      <c r="I914">
        <v>693</v>
      </c>
      <c r="J914">
        <v>0.55</v>
      </c>
      <c r="K914">
        <v>0.46</v>
      </c>
      <c r="L914">
        <v>5.35</v>
      </c>
      <c r="M914">
        <v>5.48</v>
      </c>
      <c r="N914">
        <v>5.33</v>
      </c>
      <c r="O914">
        <v>5.36</v>
      </c>
      <c r="P914">
        <v>21.94</v>
      </c>
      <c r="Q914">
        <v>15410257</v>
      </c>
      <c r="R914">
        <v>1.46</v>
      </c>
      <c r="S914" t="s">
        <v>80</v>
      </c>
      <c r="T914" t="s">
        <v>366</v>
      </c>
      <c r="U914">
        <v>2.8</v>
      </c>
      <c r="V914">
        <v>5.43</v>
      </c>
      <c r="W914">
        <v>9957</v>
      </c>
      <c r="X914">
        <v>18419</v>
      </c>
      <c r="Y914">
        <v>0.54</v>
      </c>
      <c r="Z914">
        <v>16</v>
      </c>
      <c r="AA914">
        <v>298</v>
      </c>
      <c r="AB914" t="s">
        <v>32</v>
      </c>
      <c r="AC914">
        <v>6.17</v>
      </c>
    </row>
    <row r="915" spans="1:29">
      <c r="A915" t="str">
        <f>"002455"</f>
        <v>002455</v>
      </c>
      <c r="B915" t="s">
        <v>1081</v>
      </c>
      <c r="C915">
        <v>2.69</v>
      </c>
      <c r="D915">
        <v>6.1</v>
      </c>
      <c r="E915">
        <v>0.16</v>
      </c>
      <c r="F915">
        <v>6.09</v>
      </c>
      <c r="G915">
        <v>6.1</v>
      </c>
      <c r="H915">
        <v>61870</v>
      </c>
      <c r="I915">
        <v>1161</v>
      </c>
      <c r="J915">
        <v>0</v>
      </c>
      <c r="K915">
        <v>1.96</v>
      </c>
      <c r="L915">
        <v>5.98</v>
      </c>
      <c r="M915">
        <v>6.12</v>
      </c>
      <c r="N915">
        <v>5.91</v>
      </c>
      <c r="O915">
        <v>5.94</v>
      </c>
      <c r="P915">
        <v>33.65</v>
      </c>
      <c r="Q915">
        <v>37429464</v>
      </c>
      <c r="R915">
        <v>0.91</v>
      </c>
      <c r="S915" t="s">
        <v>218</v>
      </c>
      <c r="T915" t="s">
        <v>87</v>
      </c>
      <c r="U915">
        <v>3.54</v>
      </c>
      <c r="V915">
        <v>6.05</v>
      </c>
      <c r="W915">
        <v>31056</v>
      </c>
      <c r="X915">
        <v>30813</v>
      </c>
      <c r="Y915">
        <v>1.01</v>
      </c>
      <c r="Z915">
        <v>1386</v>
      </c>
      <c r="AA915">
        <v>106</v>
      </c>
      <c r="AB915" t="s">
        <v>32</v>
      </c>
      <c r="AC915">
        <v>3.16</v>
      </c>
    </row>
    <row r="916" spans="1:29">
      <c r="A916" t="str">
        <f>"002456"</f>
        <v>002456</v>
      </c>
      <c r="B916" t="s">
        <v>1082</v>
      </c>
      <c r="C916">
        <v>-0.98</v>
      </c>
      <c r="D916">
        <v>18.17</v>
      </c>
      <c r="E916">
        <v>-0.18</v>
      </c>
      <c r="F916">
        <v>18.17</v>
      </c>
      <c r="G916">
        <v>18.18</v>
      </c>
      <c r="H916">
        <v>266288</v>
      </c>
      <c r="I916">
        <v>1785</v>
      </c>
      <c r="J916">
        <v>-0.04</v>
      </c>
      <c r="K916">
        <v>1</v>
      </c>
      <c r="L916">
        <v>18.35</v>
      </c>
      <c r="M916">
        <v>18.61</v>
      </c>
      <c r="N916">
        <v>18.1</v>
      </c>
      <c r="O916">
        <v>18.35</v>
      </c>
      <c r="P916">
        <v>41.74</v>
      </c>
      <c r="Q916">
        <v>488344960</v>
      </c>
      <c r="R916">
        <v>0.93</v>
      </c>
      <c r="S916" t="s">
        <v>63</v>
      </c>
      <c r="T916" t="s">
        <v>31</v>
      </c>
      <c r="U916">
        <v>2.78</v>
      </c>
      <c r="V916">
        <v>18.34</v>
      </c>
      <c r="W916">
        <v>143902</v>
      </c>
      <c r="X916">
        <v>122386</v>
      </c>
      <c r="Y916">
        <v>1.18</v>
      </c>
      <c r="Z916">
        <v>2858</v>
      </c>
      <c r="AA916">
        <v>181</v>
      </c>
      <c r="AB916" t="s">
        <v>32</v>
      </c>
      <c r="AC916">
        <v>26.57</v>
      </c>
    </row>
    <row r="917" spans="1:29">
      <c r="A917" t="str">
        <f>"002457"</f>
        <v>002457</v>
      </c>
      <c r="B917" t="s">
        <v>1083</v>
      </c>
      <c r="C917">
        <v>2.3</v>
      </c>
      <c r="D917">
        <v>8.46</v>
      </c>
      <c r="E917">
        <v>0.19</v>
      </c>
      <c r="F917">
        <v>8.45</v>
      </c>
      <c r="G917">
        <v>8.46</v>
      </c>
      <c r="H917">
        <v>169852</v>
      </c>
      <c r="I917">
        <v>2815</v>
      </c>
      <c r="J917">
        <v>-0.11</v>
      </c>
      <c r="K917">
        <v>5.78</v>
      </c>
      <c r="L917">
        <v>8.4</v>
      </c>
      <c r="M917">
        <v>8.58</v>
      </c>
      <c r="N917">
        <v>8.23</v>
      </c>
      <c r="O917">
        <v>8.27</v>
      </c>
      <c r="P917" t="s">
        <v>32</v>
      </c>
      <c r="Q917">
        <v>143394496</v>
      </c>
      <c r="R917">
        <v>2.53</v>
      </c>
      <c r="S917" t="s">
        <v>508</v>
      </c>
      <c r="T917" t="s">
        <v>273</v>
      </c>
      <c r="U917">
        <v>4.23</v>
      </c>
      <c r="V917">
        <v>8.44</v>
      </c>
      <c r="W917">
        <v>81669</v>
      </c>
      <c r="X917">
        <v>88182</v>
      </c>
      <c r="Y917">
        <v>0.93</v>
      </c>
      <c r="Z917">
        <v>618</v>
      </c>
      <c r="AA917">
        <v>204</v>
      </c>
      <c r="AB917" t="s">
        <v>32</v>
      </c>
      <c r="AC917">
        <v>2.94</v>
      </c>
    </row>
    <row r="918" spans="1:29">
      <c r="A918" t="str">
        <f>"002458"</f>
        <v>002458</v>
      </c>
      <c r="B918" t="s">
        <v>1084</v>
      </c>
      <c r="C918">
        <v>-2.18</v>
      </c>
      <c r="D918">
        <v>23.31</v>
      </c>
      <c r="E918">
        <v>-0.52</v>
      </c>
      <c r="F918">
        <v>23.31</v>
      </c>
      <c r="G918">
        <v>23.32</v>
      </c>
      <c r="H918">
        <v>55172</v>
      </c>
      <c r="I918">
        <v>928</v>
      </c>
      <c r="J918">
        <v>0.13</v>
      </c>
      <c r="K918">
        <v>3.14</v>
      </c>
      <c r="L918">
        <v>23.6</v>
      </c>
      <c r="M918">
        <v>23.75</v>
      </c>
      <c r="N918">
        <v>22.84</v>
      </c>
      <c r="O918">
        <v>23.83</v>
      </c>
      <c r="P918">
        <v>185.5</v>
      </c>
      <c r="Q918">
        <v>128428184</v>
      </c>
      <c r="R918">
        <v>0.56</v>
      </c>
      <c r="S918" t="s">
        <v>115</v>
      </c>
      <c r="T918" t="s">
        <v>162</v>
      </c>
      <c r="U918">
        <v>3.82</v>
      </c>
      <c r="V918">
        <v>23.28</v>
      </c>
      <c r="W918">
        <v>33893</v>
      </c>
      <c r="X918">
        <v>21279</v>
      </c>
      <c r="Y918">
        <v>1.59</v>
      </c>
      <c r="Z918">
        <v>16</v>
      </c>
      <c r="AA918">
        <v>4</v>
      </c>
      <c r="AB918" t="s">
        <v>32</v>
      </c>
      <c r="AC918">
        <v>1.76</v>
      </c>
    </row>
    <row r="919" spans="1:29">
      <c r="A919" t="str">
        <f>"002459"</f>
        <v>002459</v>
      </c>
      <c r="B919" t="s">
        <v>1085</v>
      </c>
      <c r="C919" t="s">
        <v>32</v>
      </c>
      <c r="D919">
        <v>12.04</v>
      </c>
      <c r="E919" t="s">
        <v>32</v>
      </c>
      <c r="F919" t="s">
        <v>32</v>
      </c>
      <c r="G919" t="s">
        <v>32</v>
      </c>
      <c r="H919">
        <v>0</v>
      </c>
      <c r="I919">
        <v>0</v>
      </c>
      <c r="J919" t="s">
        <v>32</v>
      </c>
      <c r="K919">
        <v>0</v>
      </c>
      <c r="L919" t="s">
        <v>32</v>
      </c>
      <c r="M919" t="s">
        <v>32</v>
      </c>
      <c r="N919" t="s">
        <v>32</v>
      </c>
      <c r="O919">
        <v>12.04</v>
      </c>
      <c r="P919">
        <v>370.81</v>
      </c>
      <c r="Q919">
        <v>0</v>
      </c>
      <c r="R919">
        <v>0</v>
      </c>
      <c r="S919" t="s">
        <v>151</v>
      </c>
      <c r="T919" t="s">
        <v>154</v>
      </c>
      <c r="U919">
        <v>0</v>
      </c>
      <c r="V919">
        <v>12.04</v>
      </c>
      <c r="W919">
        <v>0</v>
      </c>
      <c r="X919">
        <v>0</v>
      </c>
      <c r="Y919" t="s">
        <v>32</v>
      </c>
      <c r="Z919">
        <v>0</v>
      </c>
      <c r="AA919">
        <v>0</v>
      </c>
      <c r="AB919" t="s">
        <v>32</v>
      </c>
      <c r="AC919">
        <v>3.87</v>
      </c>
    </row>
    <row r="920" spans="1:29">
      <c r="A920" t="str">
        <f>"002460"</f>
        <v>002460</v>
      </c>
      <c r="B920" t="s">
        <v>1086</v>
      </c>
      <c r="C920">
        <v>0.96</v>
      </c>
      <c r="D920">
        <v>39.01</v>
      </c>
      <c r="E920">
        <v>0.37</v>
      </c>
      <c r="F920">
        <v>39.01</v>
      </c>
      <c r="G920">
        <v>39.02</v>
      </c>
      <c r="H920">
        <v>262600</v>
      </c>
      <c r="I920">
        <v>2209</v>
      </c>
      <c r="J920">
        <v>0.15</v>
      </c>
      <c r="K920">
        <v>3.34</v>
      </c>
      <c r="L920">
        <v>38.6</v>
      </c>
      <c r="M920">
        <v>39.42</v>
      </c>
      <c r="N920">
        <v>38.42</v>
      </c>
      <c r="O920">
        <v>38.64</v>
      </c>
      <c r="P920">
        <v>30.34</v>
      </c>
      <c r="Q920">
        <v>1026554752</v>
      </c>
      <c r="R920">
        <v>1.02</v>
      </c>
      <c r="S920" t="s">
        <v>356</v>
      </c>
      <c r="T920" t="s">
        <v>172</v>
      </c>
      <c r="U920">
        <v>2.59</v>
      </c>
      <c r="V920">
        <v>39.09</v>
      </c>
      <c r="W920">
        <v>131075</v>
      </c>
      <c r="X920">
        <v>131525</v>
      </c>
      <c r="Y920">
        <v>1</v>
      </c>
      <c r="Z920">
        <v>1350</v>
      </c>
      <c r="AA920">
        <v>454</v>
      </c>
      <c r="AB920" t="s">
        <v>32</v>
      </c>
      <c r="AC920">
        <v>7.86</v>
      </c>
    </row>
    <row r="921" spans="1:29">
      <c r="A921" t="str">
        <f>"002461"</f>
        <v>002461</v>
      </c>
      <c r="B921" t="s">
        <v>1087</v>
      </c>
      <c r="C921">
        <v>1.58</v>
      </c>
      <c r="D921">
        <v>5.15</v>
      </c>
      <c r="E921">
        <v>0.08</v>
      </c>
      <c r="F921">
        <v>5.15</v>
      </c>
      <c r="G921">
        <v>5.16</v>
      </c>
      <c r="H921">
        <v>93029</v>
      </c>
      <c r="I921">
        <v>1198</v>
      </c>
      <c r="J921">
        <v>0</v>
      </c>
      <c r="K921">
        <v>0.68</v>
      </c>
      <c r="L921">
        <v>5.06</v>
      </c>
      <c r="M921">
        <v>5.15</v>
      </c>
      <c r="N921">
        <v>5.04</v>
      </c>
      <c r="O921">
        <v>5.07</v>
      </c>
      <c r="P921">
        <v>159.58</v>
      </c>
      <c r="Q921">
        <v>47539076</v>
      </c>
      <c r="R921">
        <v>1.23</v>
      </c>
      <c r="S921" t="s">
        <v>420</v>
      </c>
      <c r="T921" t="s">
        <v>136</v>
      </c>
      <c r="U921">
        <v>2.17</v>
      </c>
      <c r="V921">
        <v>5.11</v>
      </c>
      <c r="W921">
        <v>36844</v>
      </c>
      <c r="X921">
        <v>56184</v>
      </c>
      <c r="Y921">
        <v>0.66</v>
      </c>
      <c r="Z921">
        <v>2806</v>
      </c>
      <c r="AA921">
        <v>1275</v>
      </c>
      <c r="AB921" t="s">
        <v>32</v>
      </c>
      <c r="AC921">
        <v>13.6</v>
      </c>
    </row>
    <row r="922" spans="1:29">
      <c r="A922" t="str">
        <f>"002462"</f>
        <v>002462</v>
      </c>
      <c r="B922" t="s">
        <v>1088</v>
      </c>
      <c r="C922">
        <v>1.39</v>
      </c>
      <c r="D922">
        <v>21.95</v>
      </c>
      <c r="E922">
        <v>0.3</v>
      </c>
      <c r="F922">
        <v>21.94</v>
      </c>
      <c r="G922">
        <v>21.95</v>
      </c>
      <c r="H922">
        <v>29697</v>
      </c>
      <c r="I922">
        <v>212</v>
      </c>
      <c r="J922">
        <v>0.05</v>
      </c>
      <c r="K922">
        <v>1.19</v>
      </c>
      <c r="L922">
        <v>21.63</v>
      </c>
      <c r="M922">
        <v>22.1</v>
      </c>
      <c r="N922">
        <v>21.42</v>
      </c>
      <c r="O922">
        <v>21.65</v>
      </c>
      <c r="P922">
        <v>14.83</v>
      </c>
      <c r="Q922">
        <v>64766492</v>
      </c>
      <c r="R922">
        <v>0.99</v>
      </c>
      <c r="S922" t="s">
        <v>77</v>
      </c>
      <c r="T922" t="s">
        <v>45</v>
      </c>
      <c r="U922">
        <v>3.14</v>
      </c>
      <c r="V922">
        <v>21.81</v>
      </c>
      <c r="W922">
        <v>12941</v>
      </c>
      <c r="X922">
        <v>16755</v>
      </c>
      <c r="Y922">
        <v>0.77</v>
      </c>
      <c r="Z922">
        <v>2</v>
      </c>
      <c r="AA922">
        <v>65</v>
      </c>
      <c r="AB922" t="s">
        <v>32</v>
      </c>
      <c r="AC922">
        <v>2.49</v>
      </c>
    </row>
    <row r="923" spans="1:29">
      <c r="A923" t="str">
        <f>"002463"</f>
        <v>002463</v>
      </c>
      <c r="B923" t="s">
        <v>1089</v>
      </c>
      <c r="C923">
        <v>-1.11</v>
      </c>
      <c r="D923">
        <v>4.46</v>
      </c>
      <c r="E923">
        <v>-0.05</v>
      </c>
      <c r="F923">
        <v>4.45</v>
      </c>
      <c r="G923">
        <v>4.46</v>
      </c>
      <c r="H923">
        <v>189928</v>
      </c>
      <c r="I923">
        <v>2042</v>
      </c>
      <c r="J923">
        <v>0</v>
      </c>
      <c r="K923">
        <v>1.13</v>
      </c>
      <c r="L923">
        <v>4.48</v>
      </c>
      <c r="M923">
        <v>4.52</v>
      </c>
      <c r="N923">
        <v>4.43</v>
      </c>
      <c r="O923">
        <v>4.51</v>
      </c>
      <c r="P923">
        <v>27.31</v>
      </c>
      <c r="Q923">
        <v>84948776</v>
      </c>
      <c r="R923">
        <v>0.72</v>
      </c>
      <c r="S923" t="s">
        <v>63</v>
      </c>
      <c r="T923" t="s">
        <v>87</v>
      </c>
      <c r="U923">
        <v>2</v>
      </c>
      <c r="V923">
        <v>4.47</v>
      </c>
      <c r="W923">
        <v>108724</v>
      </c>
      <c r="X923">
        <v>81204</v>
      </c>
      <c r="Y923">
        <v>1.34</v>
      </c>
      <c r="Z923">
        <v>1081</v>
      </c>
      <c r="AA923">
        <v>1289</v>
      </c>
      <c r="AB923" t="s">
        <v>32</v>
      </c>
      <c r="AC923">
        <v>16.74</v>
      </c>
    </row>
    <row r="924" spans="1:29">
      <c r="A924" t="str">
        <f>"002464"</f>
        <v>002464</v>
      </c>
      <c r="B924" t="s">
        <v>1090</v>
      </c>
      <c r="C924" t="s">
        <v>32</v>
      </c>
      <c r="D924">
        <v>21.19</v>
      </c>
      <c r="E924" t="s">
        <v>32</v>
      </c>
      <c r="F924" t="s">
        <v>32</v>
      </c>
      <c r="G924" t="s">
        <v>32</v>
      </c>
      <c r="H924">
        <v>0</v>
      </c>
      <c r="I924">
        <v>0</v>
      </c>
      <c r="J924" t="s">
        <v>32</v>
      </c>
      <c r="K924">
        <v>0</v>
      </c>
      <c r="L924" t="s">
        <v>32</v>
      </c>
      <c r="M924" t="s">
        <v>32</v>
      </c>
      <c r="N924" t="s">
        <v>32</v>
      </c>
      <c r="O924">
        <v>21.19</v>
      </c>
      <c r="P924">
        <v>28.15</v>
      </c>
      <c r="Q924">
        <v>0</v>
      </c>
      <c r="R924">
        <v>0</v>
      </c>
      <c r="S924" t="s">
        <v>316</v>
      </c>
      <c r="T924" t="s">
        <v>87</v>
      </c>
      <c r="U924">
        <v>0</v>
      </c>
      <c r="V924">
        <v>21.19</v>
      </c>
      <c r="W924">
        <v>0</v>
      </c>
      <c r="X924">
        <v>0</v>
      </c>
      <c r="Y924" t="s">
        <v>32</v>
      </c>
      <c r="Z924">
        <v>0</v>
      </c>
      <c r="AA924">
        <v>0</v>
      </c>
      <c r="AB924" t="s">
        <v>32</v>
      </c>
      <c r="AC924">
        <v>2.83</v>
      </c>
    </row>
    <row r="925" spans="1:29">
      <c r="A925" t="str">
        <f>"002465"</f>
        <v>002465</v>
      </c>
      <c r="B925" t="s">
        <v>1091</v>
      </c>
      <c r="C925">
        <v>0.77</v>
      </c>
      <c r="D925">
        <v>9.16</v>
      </c>
      <c r="E925">
        <v>0.07</v>
      </c>
      <c r="F925">
        <v>9.16</v>
      </c>
      <c r="G925">
        <v>9.17</v>
      </c>
      <c r="H925">
        <v>255941</v>
      </c>
      <c r="I925">
        <v>12043</v>
      </c>
      <c r="J925">
        <v>0.99</v>
      </c>
      <c r="K925">
        <v>1.32</v>
      </c>
      <c r="L925">
        <v>9.02</v>
      </c>
      <c r="M925">
        <v>9.21</v>
      </c>
      <c r="N925">
        <v>9.02</v>
      </c>
      <c r="O925">
        <v>9.09</v>
      </c>
      <c r="P925">
        <v>197.89</v>
      </c>
      <c r="Q925">
        <v>233434368</v>
      </c>
      <c r="R925">
        <v>1.38</v>
      </c>
      <c r="S925" t="s">
        <v>119</v>
      </c>
      <c r="T925" t="s">
        <v>136</v>
      </c>
      <c r="U925">
        <v>2.09</v>
      </c>
      <c r="V925">
        <v>9.12</v>
      </c>
      <c r="W925">
        <v>133620</v>
      </c>
      <c r="X925">
        <v>122321</v>
      </c>
      <c r="Y925">
        <v>1.09</v>
      </c>
      <c r="Z925">
        <v>1341</v>
      </c>
      <c r="AA925">
        <v>941</v>
      </c>
      <c r="AB925" t="s">
        <v>32</v>
      </c>
      <c r="AC925">
        <v>19.43</v>
      </c>
    </row>
    <row r="926" spans="1:29">
      <c r="A926" t="str">
        <f>"002466"</f>
        <v>002466</v>
      </c>
      <c r="B926" t="s">
        <v>1092</v>
      </c>
      <c r="C926">
        <v>0.49</v>
      </c>
      <c r="D926">
        <v>50.84</v>
      </c>
      <c r="E926">
        <v>0.25</v>
      </c>
      <c r="F926">
        <v>50.84</v>
      </c>
      <c r="G926">
        <v>50.85</v>
      </c>
      <c r="H926">
        <v>153682</v>
      </c>
      <c r="I926">
        <v>1118</v>
      </c>
      <c r="J926">
        <v>0.1</v>
      </c>
      <c r="K926">
        <v>1.35</v>
      </c>
      <c r="L926">
        <v>50.33</v>
      </c>
      <c r="M926">
        <v>51.58</v>
      </c>
      <c r="N926">
        <v>50.21</v>
      </c>
      <c r="O926">
        <v>50.59</v>
      </c>
      <c r="P926">
        <v>21.99</v>
      </c>
      <c r="Q926">
        <v>784156096</v>
      </c>
      <c r="R926">
        <v>1.05</v>
      </c>
      <c r="S926" t="s">
        <v>356</v>
      </c>
      <c r="T926" t="s">
        <v>146</v>
      </c>
      <c r="U926">
        <v>2.71</v>
      </c>
      <c r="V926">
        <v>51.02</v>
      </c>
      <c r="W926">
        <v>77291</v>
      </c>
      <c r="X926">
        <v>76391</v>
      </c>
      <c r="Y926">
        <v>1.01</v>
      </c>
      <c r="Z926">
        <v>1388</v>
      </c>
      <c r="AA926">
        <v>147</v>
      </c>
      <c r="AB926" t="s">
        <v>32</v>
      </c>
      <c r="AC926">
        <v>11.36</v>
      </c>
    </row>
    <row r="927" spans="1:29">
      <c r="A927" t="str">
        <f>"002467"</f>
        <v>002467</v>
      </c>
      <c r="B927" t="s">
        <v>1093</v>
      </c>
      <c r="C927">
        <v>1.73</v>
      </c>
      <c r="D927">
        <v>5.87</v>
      </c>
      <c r="E927">
        <v>0.1</v>
      </c>
      <c r="F927">
        <v>5.86</v>
      </c>
      <c r="G927">
        <v>5.87</v>
      </c>
      <c r="H927">
        <v>182981</v>
      </c>
      <c r="I927">
        <v>2376</v>
      </c>
      <c r="J927">
        <v>0</v>
      </c>
      <c r="K927">
        <v>2.91</v>
      </c>
      <c r="L927">
        <v>5.66</v>
      </c>
      <c r="M927">
        <v>5.9</v>
      </c>
      <c r="N927">
        <v>5.63</v>
      </c>
      <c r="O927">
        <v>5.77</v>
      </c>
      <c r="P927">
        <v>83.19</v>
      </c>
      <c r="Q927">
        <v>105990256</v>
      </c>
      <c r="R927">
        <v>2.64</v>
      </c>
      <c r="S927" t="s">
        <v>714</v>
      </c>
      <c r="T927" t="s">
        <v>45</v>
      </c>
      <c r="U927">
        <v>4.68</v>
      </c>
      <c r="V927">
        <v>5.79</v>
      </c>
      <c r="W927">
        <v>82482</v>
      </c>
      <c r="X927">
        <v>100498</v>
      </c>
      <c r="Y927">
        <v>0.82</v>
      </c>
      <c r="Z927">
        <v>1251</v>
      </c>
      <c r="AA927">
        <v>873</v>
      </c>
      <c r="AB927" t="s">
        <v>32</v>
      </c>
      <c r="AC927">
        <v>6.29</v>
      </c>
    </row>
    <row r="928" spans="1:29">
      <c r="A928" t="str">
        <f>"002468"</f>
        <v>002468</v>
      </c>
      <c r="B928" t="s">
        <v>1094</v>
      </c>
      <c r="C928">
        <v>6.21</v>
      </c>
      <c r="D928">
        <v>17.78</v>
      </c>
      <c r="E928">
        <v>1.04</v>
      </c>
      <c r="F928">
        <v>17.77</v>
      </c>
      <c r="G928">
        <v>17.78</v>
      </c>
      <c r="H928">
        <v>132854</v>
      </c>
      <c r="I928">
        <v>1195</v>
      </c>
      <c r="J928">
        <v>-0.16</v>
      </c>
      <c r="K928">
        <v>4</v>
      </c>
      <c r="L928">
        <v>16.77</v>
      </c>
      <c r="M928">
        <v>18.39</v>
      </c>
      <c r="N928">
        <v>16.73</v>
      </c>
      <c r="O928">
        <v>16.74</v>
      </c>
      <c r="P928">
        <v>18</v>
      </c>
      <c r="Q928">
        <v>235340992</v>
      </c>
      <c r="R928">
        <v>2.52</v>
      </c>
      <c r="S928" t="s">
        <v>742</v>
      </c>
      <c r="T928" t="s">
        <v>149</v>
      </c>
      <c r="U928">
        <v>9.92</v>
      </c>
      <c r="V928">
        <v>17.71</v>
      </c>
      <c r="W928">
        <v>54628</v>
      </c>
      <c r="X928">
        <v>78226</v>
      </c>
      <c r="Y928">
        <v>0.7</v>
      </c>
      <c r="Z928">
        <v>65</v>
      </c>
      <c r="AA928">
        <v>5</v>
      </c>
      <c r="AB928" t="s">
        <v>32</v>
      </c>
      <c r="AC928">
        <v>3.32</v>
      </c>
    </row>
    <row r="929" spans="1:29">
      <c r="A929" t="str">
        <f>"002469"</f>
        <v>002469</v>
      </c>
      <c r="B929" t="s">
        <v>1095</v>
      </c>
      <c r="C929">
        <v>3.75</v>
      </c>
      <c r="D929">
        <v>4.43</v>
      </c>
      <c r="E929">
        <v>0.16</v>
      </c>
      <c r="F929">
        <v>4.42</v>
      </c>
      <c r="G929">
        <v>4.43</v>
      </c>
      <c r="H929">
        <v>71957</v>
      </c>
      <c r="I929">
        <v>792</v>
      </c>
      <c r="J929">
        <v>0.23</v>
      </c>
      <c r="K929">
        <v>1.55</v>
      </c>
      <c r="L929">
        <v>4.27</v>
      </c>
      <c r="M929">
        <v>4.57</v>
      </c>
      <c r="N929">
        <v>4.25</v>
      </c>
      <c r="O929">
        <v>4.27</v>
      </c>
      <c r="P929">
        <v>59.47</v>
      </c>
      <c r="Q929">
        <v>31743138</v>
      </c>
      <c r="R929">
        <v>3.89</v>
      </c>
      <c r="S929" t="s">
        <v>49</v>
      </c>
      <c r="T929" t="s">
        <v>162</v>
      </c>
      <c r="U929">
        <v>7.49</v>
      </c>
      <c r="V929">
        <v>4.41</v>
      </c>
      <c r="W929">
        <v>30405</v>
      </c>
      <c r="X929">
        <v>41551</v>
      </c>
      <c r="Y929">
        <v>0.73</v>
      </c>
      <c r="Z929">
        <v>381</v>
      </c>
      <c r="AA929">
        <v>219</v>
      </c>
      <c r="AB929" t="s">
        <v>32</v>
      </c>
      <c r="AC929">
        <v>4.63</v>
      </c>
    </row>
    <row r="930" spans="1:29">
      <c r="A930" t="str">
        <f>"002470"</f>
        <v>002470</v>
      </c>
      <c r="B930" t="s">
        <v>1096</v>
      </c>
      <c r="C930">
        <v>-0.14</v>
      </c>
      <c r="D930">
        <v>7.19</v>
      </c>
      <c r="E930">
        <v>-0.01</v>
      </c>
      <c r="F930">
        <v>7.18</v>
      </c>
      <c r="G930">
        <v>7.19</v>
      </c>
      <c r="H930">
        <v>119841</v>
      </c>
      <c r="I930">
        <v>1970</v>
      </c>
      <c r="J930">
        <v>0.14</v>
      </c>
      <c r="K930">
        <v>0.44</v>
      </c>
      <c r="L930">
        <v>7.2</v>
      </c>
      <c r="M930">
        <v>7.3</v>
      </c>
      <c r="N930">
        <v>7.16</v>
      </c>
      <c r="O930">
        <v>7.2</v>
      </c>
      <c r="P930">
        <v>10.71</v>
      </c>
      <c r="Q930">
        <v>86424688</v>
      </c>
      <c r="R930">
        <v>0.86</v>
      </c>
      <c r="S930" t="s">
        <v>145</v>
      </c>
      <c r="T930" t="s">
        <v>162</v>
      </c>
      <c r="U930">
        <v>1.94</v>
      </c>
      <c r="V930">
        <v>7.21</v>
      </c>
      <c r="W930">
        <v>68902</v>
      </c>
      <c r="X930">
        <v>50939</v>
      </c>
      <c r="Y930">
        <v>1.35</v>
      </c>
      <c r="Z930">
        <v>491</v>
      </c>
      <c r="AA930">
        <v>231</v>
      </c>
      <c r="AB930" t="s">
        <v>32</v>
      </c>
      <c r="AC930">
        <v>27.27</v>
      </c>
    </row>
    <row r="931" spans="1:29">
      <c r="A931" t="str">
        <f>"002471"</f>
        <v>002471</v>
      </c>
      <c r="B931" t="s">
        <v>1097</v>
      </c>
      <c r="C931">
        <v>-0.61</v>
      </c>
      <c r="D931">
        <v>3.24</v>
      </c>
      <c r="E931">
        <v>-0.02</v>
      </c>
      <c r="F931">
        <v>3.24</v>
      </c>
      <c r="G931">
        <v>3.25</v>
      </c>
      <c r="H931">
        <v>159459</v>
      </c>
      <c r="I931">
        <v>2695</v>
      </c>
      <c r="J931">
        <v>0</v>
      </c>
      <c r="K931">
        <v>1.27</v>
      </c>
      <c r="L931">
        <v>3.19</v>
      </c>
      <c r="M931">
        <v>3.26</v>
      </c>
      <c r="N931">
        <v>3.16</v>
      </c>
      <c r="O931">
        <v>3.26</v>
      </c>
      <c r="P931">
        <v>165.93</v>
      </c>
      <c r="Q931">
        <v>51427312</v>
      </c>
      <c r="R931">
        <v>0.58</v>
      </c>
      <c r="S931" t="s">
        <v>104</v>
      </c>
      <c r="T931" t="s">
        <v>87</v>
      </c>
      <c r="U931">
        <v>3.07</v>
      </c>
      <c r="V931">
        <v>3.23</v>
      </c>
      <c r="W931">
        <v>82359</v>
      </c>
      <c r="X931">
        <v>77099</v>
      </c>
      <c r="Y931">
        <v>1.07</v>
      </c>
      <c r="Z931">
        <v>214</v>
      </c>
      <c r="AA931">
        <v>3237</v>
      </c>
      <c r="AB931" t="s">
        <v>32</v>
      </c>
      <c r="AC931">
        <v>12.59</v>
      </c>
    </row>
    <row r="932" spans="1:29">
      <c r="A932" t="str">
        <f>"002472"</f>
        <v>002472</v>
      </c>
      <c r="B932" t="s">
        <v>1098</v>
      </c>
      <c r="C932">
        <v>1.46</v>
      </c>
      <c r="D932">
        <v>8.33</v>
      </c>
      <c r="E932">
        <v>0.12</v>
      </c>
      <c r="F932">
        <v>8.32</v>
      </c>
      <c r="G932">
        <v>8.33</v>
      </c>
      <c r="H932">
        <v>44710</v>
      </c>
      <c r="I932">
        <v>394</v>
      </c>
      <c r="J932">
        <v>0.24</v>
      </c>
      <c r="K932">
        <v>0.82</v>
      </c>
      <c r="L932">
        <v>8.2</v>
      </c>
      <c r="M932">
        <v>8.38</v>
      </c>
      <c r="N932">
        <v>8.12</v>
      </c>
      <c r="O932">
        <v>8.21</v>
      </c>
      <c r="P932">
        <v>25.74</v>
      </c>
      <c r="Q932">
        <v>37052348</v>
      </c>
      <c r="R932">
        <v>2.12</v>
      </c>
      <c r="S932" t="s">
        <v>241</v>
      </c>
      <c r="T932" t="s">
        <v>149</v>
      </c>
      <c r="U932">
        <v>3.17</v>
      </c>
      <c r="V932">
        <v>8.29</v>
      </c>
      <c r="W932">
        <v>25867</v>
      </c>
      <c r="X932">
        <v>18843</v>
      </c>
      <c r="Y932">
        <v>1.37</v>
      </c>
      <c r="Z932">
        <v>340</v>
      </c>
      <c r="AA932">
        <v>221</v>
      </c>
      <c r="AB932" t="s">
        <v>32</v>
      </c>
      <c r="AC932">
        <v>5.45</v>
      </c>
    </row>
    <row r="933" spans="1:29">
      <c r="A933" t="str">
        <f>"002473"</f>
        <v>002473</v>
      </c>
      <c r="B933" t="s">
        <v>1099</v>
      </c>
      <c r="C933">
        <v>1.82</v>
      </c>
      <c r="D933">
        <v>6.14</v>
      </c>
      <c r="E933">
        <v>0.11</v>
      </c>
      <c r="F933">
        <v>6.11</v>
      </c>
      <c r="G933">
        <v>6.14</v>
      </c>
      <c r="H933">
        <v>3747</v>
      </c>
      <c r="I933">
        <v>38</v>
      </c>
      <c r="J933">
        <v>0.49</v>
      </c>
      <c r="K933">
        <v>0.23</v>
      </c>
      <c r="L933">
        <v>6.06</v>
      </c>
      <c r="M933">
        <v>6.18</v>
      </c>
      <c r="N933">
        <v>6.05</v>
      </c>
      <c r="O933">
        <v>6.03</v>
      </c>
      <c r="P933" t="s">
        <v>32</v>
      </c>
      <c r="Q933">
        <v>2291842</v>
      </c>
      <c r="R933">
        <v>0.56</v>
      </c>
      <c r="S933" t="s">
        <v>55</v>
      </c>
      <c r="T933" t="s">
        <v>149</v>
      </c>
      <c r="U933">
        <v>2.16</v>
      </c>
      <c r="V933">
        <v>6.12</v>
      </c>
      <c r="W933">
        <v>1483</v>
      </c>
      <c r="X933">
        <v>2264</v>
      </c>
      <c r="Y933">
        <v>0.66</v>
      </c>
      <c r="Z933">
        <v>243</v>
      </c>
      <c r="AA933">
        <v>20</v>
      </c>
      <c r="AB933" t="s">
        <v>32</v>
      </c>
      <c r="AC933">
        <v>1.6</v>
      </c>
    </row>
    <row r="934" spans="1:29">
      <c r="A934" t="str">
        <f>"002474"</f>
        <v>002474</v>
      </c>
      <c r="B934" t="s">
        <v>1100</v>
      </c>
      <c r="C934">
        <v>0.37</v>
      </c>
      <c r="D934">
        <v>8.18</v>
      </c>
      <c r="E934">
        <v>0.03</v>
      </c>
      <c r="F934">
        <v>8.17</v>
      </c>
      <c r="G934">
        <v>8.18</v>
      </c>
      <c r="H934">
        <v>104289</v>
      </c>
      <c r="I934">
        <v>1515</v>
      </c>
      <c r="J934">
        <v>0.12</v>
      </c>
      <c r="K934">
        <v>2.22</v>
      </c>
      <c r="L934">
        <v>8.12</v>
      </c>
      <c r="M934">
        <v>8.22</v>
      </c>
      <c r="N934">
        <v>8.03</v>
      </c>
      <c r="O934">
        <v>8.15</v>
      </c>
      <c r="P934">
        <v>87.3</v>
      </c>
      <c r="Q934">
        <v>85035728</v>
      </c>
      <c r="R934">
        <v>1.25</v>
      </c>
      <c r="S934" t="s">
        <v>270</v>
      </c>
      <c r="T934" t="s">
        <v>236</v>
      </c>
      <c r="U934">
        <v>2.33</v>
      </c>
      <c r="V934">
        <v>8.15</v>
      </c>
      <c r="W934">
        <v>56486</v>
      </c>
      <c r="X934">
        <v>47802</v>
      </c>
      <c r="Y934">
        <v>1.18</v>
      </c>
      <c r="Z934">
        <v>827</v>
      </c>
      <c r="AA934">
        <v>123</v>
      </c>
      <c r="AB934" t="s">
        <v>32</v>
      </c>
      <c r="AC934">
        <v>4.69</v>
      </c>
    </row>
    <row r="935" spans="1:29">
      <c r="A935" t="str">
        <f>"002475"</f>
        <v>002475</v>
      </c>
      <c r="B935" t="s">
        <v>1101</v>
      </c>
      <c r="C935">
        <v>-0.72</v>
      </c>
      <c r="D935">
        <v>19.18</v>
      </c>
      <c r="E935">
        <v>-0.14</v>
      </c>
      <c r="F935">
        <v>19.17</v>
      </c>
      <c r="G935">
        <v>19.18</v>
      </c>
      <c r="H935">
        <v>234518</v>
      </c>
      <c r="I935">
        <v>3110</v>
      </c>
      <c r="J935">
        <v>0.1</v>
      </c>
      <c r="K935">
        <v>0.57</v>
      </c>
      <c r="L935">
        <v>19.14</v>
      </c>
      <c r="M935">
        <v>19.58</v>
      </c>
      <c r="N935">
        <v>19.01</v>
      </c>
      <c r="O935">
        <v>19.32</v>
      </c>
      <c r="P935">
        <v>59.42</v>
      </c>
      <c r="Q935">
        <v>450968640</v>
      </c>
      <c r="R935">
        <v>1.22</v>
      </c>
      <c r="S935" t="s">
        <v>63</v>
      </c>
      <c r="T935" t="s">
        <v>31</v>
      </c>
      <c r="U935">
        <v>2.95</v>
      </c>
      <c r="V935">
        <v>19.23</v>
      </c>
      <c r="W935">
        <v>131853</v>
      </c>
      <c r="X935">
        <v>102664</v>
      </c>
      <c r="Y935">
        <v>1.28</v>
      </c>
      <c r="Z935">
        <v>22</v>
      </c>
      <c r="AA935">
        <v>491</v>
      </c>
      <c r="AB935" t="s">
        <v>32</v>
      </c>
      <c r="AC935">
        <v>41.1</v>
      </c>
    </row>
    <row r="936" spans="1:29">
      <c r="A936" t="str">
        <f>"002476"</f>
        <v>002476</v>
      </c>
      <c r="B936" t="s">
        <v>1102</v>
      </c>
      <c r="C936">
        <v>1.12</v>
      </c>
      <c r="D936">
        <v>4.53</v>
      </c>
      <c r="E936">
        <v>0.05</v>
      </c>
      <c r="F936">
        <v>4.53</v>
      </c>
      <c r="G936">
        <v>4.54</v>
      </c>
      <c r="H936">
        <v>74388</v>
      </c>
      <c r="I936">
        <v>2072</v>
      </c>
      <c r="J936">
        <v>-0.21</v>
      </c>
      <c r="K936">
        <v>1.28</v>
      </c>
      <c r="L936">
        <v>4.45</v>
      </c>
      <c r="M936">
        <v>4.63</v>
      </c>
      <c r="N936">
        <v>4.43</v>
      </c>
      <c r="O936">
        <v>4.48</v>
      </c>
      <c r="P936" t="s">
        <v>32</v>
      </c>
      <c r="Q936">
        <v>33770776</v>
      </c>
      <c r="R936">
        <v>1.35</v>
      </c>
      <c r="S936" t="s">
        <v>218</v>
      </c>
      <c r="T936" t="s">
        <v>162</v>
      </c>
      <c r="U936">
        <v>4.46</v>
      </c>
      <c r="V936">
        <v>4.54</v>
      </c>
      <c r="W936">
        <v>45550</v>
      </c>
      <c r="X936">
        <v>28838</v>
      </c>
      <c r="Y936">
        <v>1.58</v>
      </c>
      <c r="Z936">
        <v>1247</v>
      </c>
      <c r="AA936">
        <v>88</v>
      </c>
      <c r="AB936" t="s">
        <v>32</v>
      </c>
      <c r="AC936">
        <v>5.82</v>
      </c>
    </row>
    <row r="937" spans="1:29">
      <c r="A937" t="str">
        <f>"002477"</f>
        <v>002477</v>
      </c>
      <c r="B937" t="s">
        <v>1103</v>
      </c>
      <c r="C937" t="s">
        <v>32</v>
      </c>
      <c r="D937">
        <v>3.29</v>
      </c>
      <c r="E937" t="s">
        <v>32</v>
      </c>
      <c r="F937" t="s">
        <v>32</v>
      </c>
      <c r="G937" t="s">
        <v>32</v>
      </c>
      <c r="H937">
        <v>0</v>
      </c>
      <c r="I937">
        <v>0</v>
      </c>
      <c r="J937" t="s">
        <v>32</v>
      </c>
      <c r="K937">
        <v>0</v>
      </c>
      <c r="L937" t="s">
        <v>32</v>
      </c>
      <c r="M937" t="s">
        <v>32</v>
      </c>
      <c r="N937" t="s">
        <v>32</v>
      </c>
      <c r="O937">
        <v>3.29</v>
      </c>
      <c r="P937">
        <v>7.22</v>
      </c>
      <c r="Q937">
        <v>0</v>
      </c>
      <c r="R937">
        <v>0</v>
      </c>
      <c r="S937" t="s">
        <v>115</v>
      </c>
      <c r="T937" t="s">
        <v>164</v>
      </c>
      <c r="U937">
        <v>0</v>
      </c>
      <c r="V937">
        <v>3.29</v>
      </c>
      <c r="W937">
        <v>0</v>
      </c>
      <c r="X937">
        <v>0</v>
      </c>
      <c r="Y937" t="s">
        <v>32</v>
      </c>
      <c r="Z937">
        <v>0</v>
      </c>
      <c r="AA937">
        <v>0</v>
      </c>
      <c r="AB937" t="s">
        <v>32</v>
      </c>
      <c r="AC937">
        <v>19.9</v>
      </c>
    </row>
    <row r="938" spans="1:29">
      <c r="A938" t="str">
        <f>"002478"</f>
        <v>002478</v>
      </c>
      <c r="B938" t="s">
        <v>1104</v>
      </c>
      <c r="C938">
        <v>2.44</v>
      </c>
      <c r="D938">
        <v>4.61</v>
      </c>
      <c r="E938">
        <v>0.11</v>
      </c>
      <c r="F938">
        <v>4.61</v>
      </c>
      <c r="G938">
        <v>4.62</v>
      </c>
      <c r="H938">
        <v>33806</v>
      </c>
      <c r="I938">
        <v>95</v>
      </c>
      <c r="J938">
        <v>-0.21</v>
      </c>
      <c r="K938">
        <v>0.55</v>
      </c>
      <c r="L938">
        <v>4.5</v>
      </c>
      <c r="M938">
        <v>4.67</v>
      </c>
      <c r="N938">
        <v>4.5</v>
      </c>
      <c r="O938">
        <v>4.5</v>
      </c>
      <c r="P938">
        <v>24.13</v>
      </c>
      <c r="Q938">
        <v>15584164</v>
      </c>
      <c r="R938">
        <v>1.78</v>
      </c>
      <c r="S938" t="s">
        <v>449</v>
      </c>
      <c r="T938" t="s">
        <v>87</v>
      </c>
      <c r="U938">
        <v>3.78</v>
      </c>
      <c r="V938">
        <v>4.61</v>
      </c>
      <c r="W938">
        <v>13195</v>
      </c>
      <c r="X938">
        <v>20611</v>
      </c>
      <c r="Y938">
        <v>0.64</v>
      </c>
      <c r="Z938">
        <v>4091</v>
      </c>
      <c r="AA938">
        <v>397</v>
      </c>
      <c r="AB938" t="s">
        <v>32</v>
      </c>
      <c r="AC938">
        <v>6.09</v>
      </c>
    </row>
    <row r="939" spans="1:29">
      <c r="A939" t="str">
        <f>"002479"</f>
        <v>002479</v>
      </c>
      <c r="B939" t="s">
        <v>1105</v>
      </c>
      <c r="C939">
        <v>2.93</v>
      </c>
      <c r="D939">
        <v>5.63</v>
      </c>
      <c r="E939">
        <v>0.16</v>
      </c>
      <c r="F939">
        <v>5.62</v>
      </c>
      <c r="G939">
        <v>5.63</v>
      </c>
      <c r="H939">
        <v>78655</v>
      </c>
      <c r="I939">
        <v>965</v>
      </c>
      <c r="J939">
        <v>0</v>
      </c>
      <c r="K939">
        <v>1.08</v>
      </c>
      <c r="L939">
        <v>5.51</v>
      </c>
      <c r="M939">
        <v>5.65</v>
      </c>
      <c r="N939">
        <v>5.5</v>
      </c>
      <c r="O939">
        <v>5.47</v>
      </c>
      <c r="P939">
        <v>26.89</v>
      </c>
      <c r="Q939">
        <v>43984772</v>
      </c>
      <c r="R939">
        <v>1.57</v>
      </c>
      <c r="S939" t="s">
        <v>75</v>
      </c>
      <c r="T939" t="s">
        <v>149</v>
      </c>
      <c r="U939">
        <v>2.74</v>
      </c>
      <c r="V939">
        <v>5.59</v>
      </c>
      <c r="W939">
        <v>35692</v>
      </c>
      <c r="X939">
        <v>42962</v>
      </c>
      <c r="Y939">
        <v>0.83</v>
      </c>
      <c r="Z939">
        <v>271</v>
      </c>
      <c r="AA939">
        <v>19</v>
      </c>
      <c r="AB939" t="s">
        <v>32</v>
      </c>
      <c r="AC939">
        <v>7.3</v>
      </c>
    </row>
    <row r="940" spans="1:29">
      <c r="A940" t="str">
        <f>"002480"</f>
        <v>002480</v>
      </c>
      <c r="B940" t="s">
        <v>1106</v>
      </c>
      <c r="C940">
        <v>8.42</v>
      </c>
      <c r="D940">
        <v>7.73</v>
      </c>
      <c r="E940">
        <v>0.6</v>
      </c>
      <c r="F940">
        <v>7.72</v>
      </c>
      <c r="G940">
        <v>7.73</v>
      </c>
      <c r="H940">
        <v>104036</v>
      </c>
      <c r="I940">
        <v>2009</v>
      </c>
      <c r="J940">
        <v>0.26</v>
      </c>
      <c r="K940">
        <v>1.63</v>
      </c>
      <c r="L940">
        <v>7.1</v>
      </c>
      <c r="M940">
        <v>7.84</v>
      </c>
      <c r="N940">
        <v>7.1</v>
      </c>
      <c r="O940">
        <v>7.13</v>
      </c>
      <c r="P940">
        <v>252.88</v>
      </c>
      <c r="Q940">
        <v>78659776</v>
      </c>
      <c r="R940">
        <v>4.05</v>
      </c>
      <c r="S940" t="s">
        <v>241</v>
      </c>
      <c r="T940" t="s">
        <v>146</v>
      </c>
      <c r="U940">
        <v>10.38</v>
      </c>
      <c r="V940">
        <v>7.56</v>
      </c>
      <c r="W940">
        <v>35433</v>
      </c>
      <c r="X940">
        <v>68602</v>
      </c>
      <c r="Y940">
        <v>0.52</v>
      </c>
      <c r="Z940">
        <v>855</v>
      </c>
      <c r="AA940">
        <v>196</v>
      </c>
      <c r="AB940" t="s">
        <v>32</v>
      </c>
      <c r="AC940">
        <v>6.39</v>
      </c>
    </row>
    <row r="941" spans="1:29">
      <c r="A941" t="str">
        <f>"002481"</f>
        <v>002481</v>
      </c>
      <c r="B941" t="s">
        <v>1107</v>
      </c>
      <c r="C941">
        <v>2.16</v>
      </c>
      <c r="D941">
        <v>3.79</v>
      </c>
      <c r="E941">
        <v>0.08</v>
      </c>
      <c r="F941">
        <v>3.78</v>
      </c>
      <c r="G941">
        <v>3.79</v>
      </c>
      <c r="H941">
        <v>189148</v>
      </c>
      <c r="I941">
        <v>5008</v>
      </c>
      <c r="J941">
        <v>0.26</v>
      </c>
      <c r="K941">
        <v>1.68</v>
      </c>
      <c r="L941">
        <v>3.71</v>
      </c>
      <c r="M941">
        <v>3.81</v>
      </c>
      <c r="N941">
        <v>3.68</v>
      </c>
      <c r="O941">
        <v>3.71</v>
      </c>
      <c r="P941">
        <v>20.33</v>
      </c>
      <c r="Q941">
        <v>71199624</v>
      </c>
      <c r="R941">
        <v>1.23</v>
      </c>
      <c r="S941" t="s">
        <v>213</v>
      </c>
      <c r="T941" t="s">
        <v>162</v>
      </c>
      <c r="U941">
        <v>3.5</v>
      </c>
      <c r="V941">
        <v>3.76</v>
      </c>
      <c r="W941">
        <v>91293</v>
      </c>
      <c r="X941">
        <v>97855</v>
      </c>
      <c r="Y941">
        <v>0.93</v>
      </c>
      <c r="Z941">
        <v>516</v>
      </c>
      <c r="AA941">
        <v>1370</v>
      </c>
      <c r="AB941" t="s">
        <v>32</v>
      </c>
      <c r="AC941">
        <v>11.27</v>
      </c>
    </row>
    <row r="942" spans="1:29">
      <c r="A942" t="str">
        <f>"002482"</f>
        <v>002482</v>
      </c>
      <c r="B942" t="s">
        <v>1108</v>
      </c>
      <c r="C942">
        <v>5.12</v>
      </c>
      <c r="D942">
        <v>5.95</v>
      </c>
      <c r="E942">
        <v>0.29</v>
      </c>
      <c r="F942">
        <v>5.95</v>
      </c>
      <c r="G942">
        <v>5.97</v>
      </c>
      <c r="H942">
        <v>87092</v>
      </c>
      <c r="I942">
        <v>1542</v>
      </c>
      <c r="J942">
        <v>-0.32</v>
      </c>
      <c r="K942">
        <v>0.66</v>
      </c>
      <c r="L942">
        <v>5.65</v>
      </c>
      <c r="M942">
        <v>6.08</v>
      </c>
      <c r="N942">
        <v>5.64</v>
      </c>
      <c r="O942">
        <v>5.66</v>
      </c>
      <c r="P942">
        <v>31.58</v>
      </c>
      <c r="Q942">
        <v>51220136</v>
      </c>
      <c r="R942">
        <v>2.88</v>
      </c>
      <c r="S942" t="s">
        <v>59</v>
      </c>
      <c r="T942" t="s">
        <v>31</v>
      </c>
      <c r="U942">
        <v>7.77</v>
      </c>
      <c r="V942">
        <v>5.88</v>
      </c>
      <c r="W942">
        <v>28596</v>
      </c>
      <c r="X942">
        <v>58495</v>
      </c>
      <c r="Y942">
        <v>0.49</v>
      </c>
      <c r="Z942">
        <v>559</v>
      </c>
      <c r="AA942">
        <v>536</v>
      </c>
      <c r="AB942" t="s">
        <v>32</v>
      </c>
      <c r="AC942">
        <v>13.13</v>
      </c>
    </row>
    <row r="943" spans="1:29">
      <c r="A943" t="str">
        <f>"002483"</f>
        <v>002483</v>
      </c>
      <c r="B943" t="s">
        <v>1109</v>
      </c>
      <c r="C943">
        <v>2.14</v>
      </c>
      <c r="D943">
        <v>4.3</v>
      </c>
      <c r="E943">
        <v>0.09</v>
      </c>
      <c r="F943">
        <v>4.3</v>
      </c>
      <c r="G943">
        <v>4.31</v>
      </c>
      <c r="H943">
        <v>27866</v>
      </c>
      <c r="I943">
        <v>146</v>
      </c>
      <c r="J943">
        <v>0</v>
      </c>
      <c r="K943">
        <v>0.48</v>
      </c>
      <c r="L943">
        <v>4.21</v>
      </c>
      <c r="M943">
        <v>4.37</v>
      </c>
      <c r="N943">
        <v>4.18</v>
      </c>
      <c r="O943">
        <v>4.21</v>
      </c>
      <c r="P943">
        <v>25</v>
      </c>
      <c r="Q943">
        <v>11953448</v>
      </c>
      <c r="R943">
        <v>0.92</v>
      </c>
      <c r="S943" t="s">
        <v>151</v>
      </c>
      <c r="T943" t="s">
        <v>87</v>
      </c>
      <c r="U943">
        <v>4.51</v>
      </c>
      <c r="V943">
        <v>4.29</v>
      </c>
      <c r="W943">
        <v>11059</v>
      </c>
      <c r="X943">
        <v>16807</v>
      </c>
      <c r="Y943">
        <v>0.66</v>
      </c>
      <c r="Z943">
        <v>80</v>
      </c>
      <c r="AA943">
        <v>96</v>
      </c>
      <c r="AB943" t="s">
        <v>32</v>
      </c>
      <c r="AC943">
        <v>5.75</v>
      </c>
    </row>
    <row r="944" spans="1:29">
      <c r="A944" t="str">
        <f>"002484"</f>
        <v>002484</v>
      </c>
      <c r="B944" t="s">
        <v>1110</v>
      </c>
      <c r="C944">
        <v>5.33</v>
      </c>
      <c r="D944">
        <v>7.12</v>
      </c>
      <c r="E944">
        <v>0.36</v>
      </c>
      <c r="F944">
        <v>7.11</v>
      </c>
      <c r="G944">
        <v>7.12</v>
      </c>
      <c r="H944">
        <v>89401</v>
      </c>
      <c r="I944">
        <v>413</v>
      </c>
      <c r="J944">
        <v>0.42</v>
      </c>
      <c r="K944">
        <v>1.18</v>
      </c>
      <c r="L944">
        <v>6.81</v>
      </c>
      <c r="M944">
        <v>7.12</v>
      </c>
      <c r="N944">
        <v>6.77</v>
      </c>
      <c r="O944">
        <v>6.76</v>
      </c>
      <c r="P944">
        <v>43.69</v>
      </c>
      <c r="Q944">
        <v>62322856</v>
      </c>
      <c r="R944">
        <v>1.76</v>
      </c>
      <c r="S944" t="s">
        <v>63</v>
      </c>
      <c r="T944" t="s">
        <v>87</v>
      </c>
      <c r="U944">
        <v>5.18</v>
      </c>
      <c r="V944">
        <v>6.97</v>
      </c>
      <c r="W944">
        <v>31119</v>
      </c>
      <c r="X944">
        <v>58281</v>
      </c>
      <c r="Y944">
        <v>0.53</v>
      </c>
      <c r="Z944">
        <v>459</v>
      </c>
      <c r="AA944">
        <v>1494</v>
      </c>
      <c r="AB944" t="s">
        <v>32</v>
      </c>
      <c r="AC944">
        <v>7.6</v>
      </c>
    </row>
    <row r="945" spans="1:29">
      <c r="A945" t="str">
        <f>"002485"</f>
        <v>002485</v>
      </c>
      <c r="B945" t="s">
        <v>1111</v>
      </c>
      <c r="C945" t="s">
        <v>32</v>
      </c>
      <c r="D945">
        <v>14.22</v>
      </c>
      <c r="E945" t="s">
        <v>32</v>
      </c>
      <c r="F945" t="s">
        <v>32</v>
      </c>
      <c r="G945" t="s">
        <v>32</v>
      </c>
      <c r="H945">
        <v>0</v>
      </c>
      <c r="I945">
        <v>0</v>
      </c>
      <c r="J945" t="s">
        <v>32</v>
      </c>
      <c r="K945">
        <v>0</v>
      </c>
      <c r="L945" t="s">
        <v>32</v>
      </c>
      <c r="M945" t="s">
        <v>32</v>
      </c>
      <c r="N945" t="s">
        <v>32</v>
      </c>
      <c r="O945">
        <v>14.22</v>
      </c>
      <c r="P945" t="s">
        <v>32</v>
      </c>
      <c r="Q945">
        <v>0</v>
      </c>
      <c r="R945">
        <v>0</v>
      </c>
      <c r="S945" t="s">
        <v>622</v>
      </c>
      <c r="T945" t="s">
        <v>162</v>
      </c>
      <c r="U945">
        <v>0</v>
      </c>
      <c r="V945">
        <v>14.22</v>
      </c>
      <c r="W945">
        <v>0</v>
      </c>
      <c r="X945">
        <v>0</v>
      </c>
      <c r="Y945" t="s">
        <v>32</v>
      </c>
      <c r="Z945">
        <v>0</v>
      </c>
      <c r="AA945">
        <v>0</v>
      </c>
      <c r="AB945" t="s">
        <v>32</v>
      </c>
      <c r="AC945">
        <v>5.44</v>
      </c>
    </row>
    <row r="946" spans="1:29">
      <c r="A946" t="str">
        <f>"002486"</f>
        <v>002486</v>
      </c>
      <c r="B946" t="s">
        <v>1112</v>
      </c>
      <c r="C946">
        <v>1.12</v>
      </c>
      <c r="D946">
        <v>3.62</v>
      </c>
      <c r="E946">
        <v>0.04</v>
      </c>
      <c r="F946">
        <v>3.62</v>
      </c>
      <c r="G946">
        <v>3.63</v>
      </c>
      <c r="H946">
        <v>70707</v>
      </c>
      <c r="I946">
        <v>7263</v>
      </c>
      <c r="J946">
        <v>0.28</v>
      </c>
      <c r="K946">
        <v>0.86</v>
      </c>
      <c r="L946">
        <v>3.56</v>
      </c>
      <c r="M946">
        <v>3.64</v>
      </c>
      <c r="N946">
        <v>3.56</v>
      </c>
      <c r="O946">
        <v>3.58</v>
      </c>
      <c r="P946" t="s">
        <v>32</v>
      </c>
      <c r="Q946">
        <v>25562304</v>
      </c>
      <c r="R946">
        <v>0.85</v>
      </c>
      <c r="S946" t="s">
        <v>622</v>
      </c>
      <c r="T946" t="s">
        <v>366</v>
      </c>
      <c r="U946">
        <v>2.23</v>
      </c>
      <c r="V946">
        <v>3.62</v>
      </c>
      <c r="W946">
        <v>36729</v>
      </c>
      <c r="X946">
        <v>33977</v>
      </c>
      <c r="Y946">
        <v>1.08</v>
      </c>
      <c r="Z946">
        <v>56</v>
      </c>
      <c r="AA946">
        <v>2795</v>
      </c>
      <c r="AB946" t="s">
        <v>32</v>
      </c>
      <c r="AC946">
        <v>8.19</v>
      </c>
    </row>
    <row r="947" spans="1:29">
      <c r="A947" t="str">
        <f>"002487"</f>
        <v>002487</v>
      </c>
      <c r="B947" t="s">
        <v>1113</v>
      </c>
      <c r="C947">
        <v>2.12</v>
      </c>
      <c r="D947">
        <v>3.85</v>
      </c>
      <c r="E947">
        <v>0.08</v>
      </c>
      <c r="F947">
        <v>3.85</v>
      </c>
      <c r="G947">
        <v>3.86</v>
      </c>
      <c r="H947">
        <v>26065</v>
      </c>
      <c r="I947">
        <v>583</v>
      </c>
      <c r="J947">
        <v>0.26</v>
      </c>
      <c r="K947">
        <v>0.48</v>
      </c>
      <c r="L947">
        <v>3.75</v>
      </c>
      <c r="M947">
        <v>3.88</v>
      </c>
      <c r="N947">
        <v>3.75</v>
      </c>
      <c r="O947">
        <v>3.77</v>
      </c>
      <c r="P947">
        <v>66.78</v>
      </c>
      <c r="Q947">
        <v>9981286</v>
      </c>
      <c r="R947">
        <v>1.37</v>
      </c>
      <c r="S947" t="s">
        <v>449</v>
      </c>
      <c r="T947" t="s">
        <v>111</v>
      </c>
      <c r="U947">
        <v>3.45</v>
      </c>
      <c r="V947">
        <v>3.83</v>
      </c>
      <c r="W947">
        <v>12831</v>
      </c>
      <c r="X947">
        <v>13234</v>
      </c>
      <c r="Y947">
        <v>0.97</v>
      </c>
      <c r="Z947">
        <v>165</v>
      </c>
      <c r="AA947">
        <v>259</v>
      </c>
      <c r="AB947" t="s">
        <v>32</v>
      </c>
      <c r="AC947">
        <v>5.4</v>
      </c>
    </row>
    <row r="948" spans="1:29">
      <c r="A948" t="str">
        <f>"002488"</f>
        <v>002488</v>
      </c>
      <c r="B948" t="s">
        <v>1114</v>
      </c>
      <c r="C948">
        <v>4.06</v>
      </c>
      <c r="D948">
        <v>10.52</v>
      </c>
      <c r="E948">
        <v>0.41</v>
      </c>
      <c r="F948">
        <v>10.52</v>
      </c>
      <c r="G948">
        <v>10.53</v>
      </c>
      <c r="H948">
        <v>170869</v>
      </c>
      <c r="I948">
        <v>2201</v>
      </c>
      <c r="J948">
        <v>0.29</v>
      </c>
      <c r="K948">
        <v>3.34</v>
      </c>
      <c r="L948">
        <v>10.04</v>
      </c>
      <c r="M948">
        <v>10.75</v>
      </c>
      <c r="N948">
        <v>10.04</v>
      </c>
      <c r="O948">
        <v>10.11</v>
      </c>
      <c r="P948">
        <v>48.47</v>
      </c>
      <c r="Q948">
        <v>177929888</v>
      </c>
      <c r="R948">
        <v>1.64</v>
      </c>
      <c r="S948" t="s">
        <v>80</v>
      </c>
      <c r="T948" t="s">
        <v>149</v>
      </c>
      <c r="U948">
        <v>7.02</v>
      </c>
      <c r="V948">
        <v>10.41</v>
      </c>
      <c r="W948">
        <v>75165</v>
      </c>
      <c r="X948">
        <v>95704</v>
      </c>
      <c r="Y948">
        <v>0.79</v>
      </c>
      <c r="Z948">
        <v>33</v>
      </c>
      <c r="AA948">
        <v>50</v>
      </c>
      <c r="AB948" t="s">
        <v>32</v>
      </c>
      <c r="AC948">
        <v>5.12</v>
      </c>
    </row>
    <row r="949" spans="1:29">
      <c r="A949" t="str">
        <f>"002489"</f>
        <v>002489</v>
      </c>
      <c r="B949" t="s">
        <v>1115</v>
      </c>
      <c r="C949">
        <v>1.83</v>
      </c>
      <c r="D949">
        <v>3.33</v>
      </c>
      <c r="E949">
        <v>0.06</v>
      </c>
      <c r="F949">
        <v>3.33</v>
      </c>
      <c r="G949">
        <v>3.34</v>
      </c>
      <c r="H949">
        <v>81384</v>
      </c>
      <c r="I949">
        <v>1255</v>
      </c>
      <c r="J949">
        <v>0</v>
      </c>
      <c r="K949">
        <v>0.43</v>
      </c>
      <c r="L949">
        <v>3.27</v>
      </c>
      <c r="M949">
        <v>3.36</v>
      </c>
      <c r="N949">
        <v>3.26</v>
      </c>
      <c r="O949">
        <v>3.27</v>
      </c>
      <c r="P949">
        <v>63.44</v>
      </c>
      <c r="Q949">
        <v>27029892</v>
      </c>
      <c r="R949">
        <v>2.46</v>
      </c>
      <c r="S949" t="s">
        <v>545</v>
      </c>
      <c r="T949" t="s">
        <v>149</v>
      </c>
      <c r="U949">
        <v>3.06</v>
      </c>
      <c r="V949">
        <v>3.32</v>
      </c>
      <c r="W949">
        <v>32426</v>
      </c>
      <c r="X949">
        <v>48957</v>
      </c>
      <c r="Y949">
        <v>0.66</v>
      </c>
      <c r="Z949">
        <v>165</v>
      </c>
      <c r="AA949">
        <v>2688</v>
      </c>
      <c r="AB949" t="s">
        <v>32</v>
      </c>
      <c r="AC949">
        <v>18.76</v>
      </c>
    </row>
    <row r="950" spans="1:29">
      <c r="A950" t="str">
        <f>"002490"</f>
        <v>002490</v>
      </c>
      <c r="B950" t="s">
        <v>1116</v>
      </c>
      <c r="C950">
        <v>10.12</v>
      </c>
      <c r="D950">
        <v>4.57</v>
      </c>
      <c r="E950">
        <v>0.42</v>
      </c>
      <c r="F950">
        <v>4.57</v>
      </c>
      <c r="G950" t="s">
        <v>32</v>
      </c>
      <c r="H950">
        <v>131978</v>
      </c>
      <c r="I950">
        <v>105</v>
      </c>
      <c r="J950">
        <v>0</v>
      </c>
      <c r="K950">
        <v>4.31</v>
      </c>
      <c r="L950">
        <v>4.12</v>
      </c>
      <c r="M950">
        <v>4.57</v>
      </c>
      <c r="N950">
        <v>4.12</v>
      </c>
      <c r="O950">
        <v>4.15</v>
      </c>
      <c r="P950">
        <v>85.45</v>
      </c>
      <c r="Q950">
        <v>59122416</v>
      </c>
      <c r="R950">
        <v>3.33</v>
      </c>
      <c r="S950" t="s">
        <v>504</v>
      </c>
      <c r="T950" t="s">
        <v>162</v>
      </c>
      <c r="U950">
        <v>10.84</v>
      </c>
      <c r="V950">
        <v>4.48</v>
      </c>
      <c r="W950">
        <v>92539</v>
      </c>
      <c r="X950">
        <v>39439</v>
      </c>
      <c r="Y950">
        <v>2.35</v>
      </c>
      <c r="Z950">
        <v>18264</v>
      </c>
      <c r="AA950">
        <v>0</v>
      </c>
      <c r="AB950" t="s">
        <v>32</v>
      </c>
      <c r="AC950">
        <v>3.06</v>
      </c>
    </row>
    <row r="951" spans="1:29">
      <c r="A951" t="str">
        <f>"002491"</f>
        <v>002491</v>
      </c>
      <c r="B951" t="s">
        <v>1117</v>
      </c>
      <c r="C951">
        <v>2.94</v>
      </c>
      <c r="D951">
        <v>10.85</v>
      </c>
      <c r="E951">
        <v>0.31</v>
      </c>
      <c r="F951">
        <v>10.85</v>
      </c>
      <c r="G951">
        <v>10.86</v>
      </c>
      <c r="H951">
        <v>130158</v>
      </c>
      <c r="I951">
        <v>2576</v>
      </c>
      <c r="J951">
        <v>0.56</v>
      </c>
      <c r="K951">
        <v>1.1</v>
      </c>
      <c r="L951">
        <v>10.5</v>
      </c>
      <c r="M951">
        <v>10.9</v>
      </c>
      <c r="N951">
        <v>10.5</v>
      </c>
      <c r="O951">
        <v>10.54</v>
      </c>
      <c r="P951">
        <v>22.26</v>
      </c>
      <c r="Q951">
        <v>139643104</v>
      </c>
      <c r="R951">
        <v>1.23</v>
      </c>
      <c r="S951" t="s">
        <v>119</v>
      </c>
      <c r="T951" t="s">
        <v>87</v>
      </c>
      <c r="U951">
        <v>3.8</v>
      </c>
      <c r="V951">
        <v>10.73</v>
      </c>
      <c r="W951">
        <v>56600</v>
      </c>
      <c r="X951">
        <v>73557</v>
      </c>
      <c r="Y951">
        <v>0.77</v>
      </c>
      <c r="Z951">
        <v>6821</v>
      </c>
      <c r="AA951">
        <v>641</v>
      </c>
      <c r="AB951" t="s">
        <v>32</v>
      </c>
      <c r="AC951">
        <v>11.87</v>
      </c>
    </row>
    <row r="952" spans="1:29">
      <c r="A952" t="str">
        <f>"002492"</f>
        <v>002492</v>
      </c>
      <c r="B952" t="s">
        <v>1118</v>
      </c>
      <c r="C952">
        <v>2.12</v>
      </c>
      <c r="D952">
        <v>6.27</v>
      </c>
      <c r="E952">
        <v>0.13</v>
      </c>
      <c r="F952">
        <v>6.27</v>
      </c>
      <c r="G952">
        <v>6.28</v>
      </c>
      <c r="H952">
        <v>62146</v>
      </c>
      <c r="I952">
        <v>3671</v>
      </c>
      <c r="J952">
        <v>0.8</v>
      </c>
      <c r="K952">
        <v>1.56</v>
      </c>
      <c r="L952">
        <v>6.11</v>
      </c>
      <c r="M952">
        <v>6.28</v>
      </c>
      <c r="N952">
        <v>6.08</v>
      </c>
      <c r="O952">
        <v>6.14</v>
      </c>
      <c r="P952">
        <v>57.9</v>
      </c>
      <c r="Q952">
        <v>38583392</v>
      </c>
      <c r="R952">
        <v>1.18</v>
      </c>
      <c r="S952" t="s">
        <v>742</v>
      </c>
      <c r="T952" t="s">
        <v>136</v>
      </c>
      <c r="U952">
        <v>3.26</v>
      </c>
      <c r="V952">
        <v>6.21</v>
      </c>
      <c r="W952">
        <v>32702</v>
      </c>
      <c r="X952">
        <v>29443</v>
      </c>
      <c r="Y952">
        <v>1.11</v>
      </c>
      <c r="Z952">
        <v>729</v>
      </c>
      <c r="AA952">
        <v>593</v>
      </c>
      <c r="AB952" t="s">
        <v>32</v>
      </c>
      <c r="AC952">
        <v>3.98</v>
      </c>
    </row>
    <row r="953" spans="1:29">
      <c r="A953" t="str">
        <f>"002493"</f>
        <v>002493</v>
      </c>
      <c r="B953" t="s">
        <v>1119</v>
      </c>
      <c r="C953">
        <v>7.63</v>
      </c>
      <c r="D953">
        <v>11.71</v>
      </c>
      <c r="E953">
        <v>0.83</v>
      </c>
      <c r="F953">
        <v>11.71</v>
      </c>
      <c r="G953">
        <v>11.72</v>
      </c>
      <c r="H953">
        <v>530730</v>
      </c>
      <c r="I953">
        <v>5397</v>
      </c>
      <c r="J953">
        <v>0.26</v>
      </c>
      <c r="K953">
        <v>1.04</v>
      </c>
      <c r="L953">
        <v>10.99</v>
      </c>
      <c r="M953">
        <v>11.75</v>
      </c>
      <c r="N953">
        <v>10.99</v>
      </c>
      <c r="O953">
        <v>10.88</v>
      </c>
      <c r="P953">
        <v>28.95</v>
      </c>
      <c r="Q953">
        <v>609687680</v>
      </c>
      <c r="R953">
        <v>5.93</v>
      </c>
      <c r="S953" t="s">
        <v>190</v>
      </c>
      <c r="T953" t="s">
        <v>149</v>
      </c>
      <c r="U953">
        <v>6.99</v>
      </c>
      <c r="V953">
        <v>11.49</v>
      </c>
      <c r="W953">
        <v>235232</v>
      </c>
      <c r="X953">
        <v>295498</v>
      </c>
      <c r="Y953">
        <v>0.8</v>
      </c>
      <c r="Z953">
        <v>241</v>
      </c>
      <c r="AA953">
        <v>479</v>
      </c>
      <c r="AB953" t="s">
        <v>32</v>
      </c>
      <c r="AC953">
        <v>51.26</v>
      </c>
    </row>
    <row r="954" spans="1:29">
      <c r="A954" t="str">
        <f>"002494"</f>
        <v>002494</v>
      </c>
      <c r="B954" t="s">
        <v>1120</v>
      </c>
      <c r="C954">
        <v>1.14</v>
      </c>
      <c r="D954">
        <v>7.07</v>
      </c>
      <c r="E954">
        <v>0.08</v>
      </c>
      <c r="F954">
        <v>7.06</v>
      </c>
      <c r="G954">
        <v>7.07</v>
      </c>
      <c r="H954">
        <v>65141</v>
      </c>
      <c r="I954">
        <v>933</v>
      </c>
      <c r="J954">
        <v>0.14</v>
      </c>
      <c r="K954">
        <v>2.21</v>
      </c>
      <c r="L954">
        <v>6.99</v>
      </c>
      <c r="M954">
        <v>7.11</v>
      </c>
      <c r="N954">
        <v>6.93</v>
      </c>
      <c r="O954">
        <v>6.99</v>
      </c>
      <c r="P954">
        <v>264.62</v>
      </c>
      <c r="Q954">
        <v>45971816</v>
      </c>
      <c r="R954">
        <v>0.81</v>
      </c>
      <c r="S954" t="s">
        <v>622</v>
      </c>
      <c r="T954" t="s">
        <v>154</v>
      </c>
      <c r="U954">
        <v>2.58</v>
      </c>
      <c r="V954">
        <v>7.06</v>
      </c>
      <c r="W954">
        <v>34833</v>
      </c>
      <c r="X954">
        <v>30308</v>
      </c>
      <c r="Y954">
        <v>1.15</v>
      </c>
      <c r="Z954">
        <v>291</v>
      </c>
      <c r="AA954">
        <v>1887</v>
      </c>
      <c r="AB954" t="s">
        <v>32</v>
      </c>
      <c r="AC954">
        <v>2.95</v>
      </c>
    </row>
    <row r="955" spans="1:29">
      <c r="A955" t="str">
        <f>"002495"</f>
        <v>002495</v>
      </c>
      <c r="B955" t="s">
        <v>1121</v>
      </c>
      <c r="C955">
        <v>1.34</v>
      </c>
      <c r="D955">
        <v>3.02</v>
      </c>
      <c r="E955">
        <v>0.04</v>
      </c>
      <c r="F955">
        <v>3.01</v>
      </c>
      <c r="G955">
        <v>3.02</v>
      </c>
      <c r="H955">
        <v>39760</v>
      </c>
      <c r="I955">
        <v>469</v>
      </c>
      <c r="J955">
        <v>0</v>
      </c>
      <c r="K955">
        <v>0.58</v>
      </c>
      <c r="L955">
        <v>2.98</v>
      </c>
      <c r="M955">
        <v>3.02</v>
      </c>
      <c r="N955">
        <v>2.96</v>
      </c>
      <c r="O955">
        <v>2.98</v>
      </c>
      <c r="P955">
        <v>62.85</v>
      </c>
      <c r="Q955">
        <v>11932532</v>
      </c>
      <c r="R955">
        <v>1.69</v>
      </c>
      <c r="S955" t="s">
        <v>213</v>
      </c>
      <c r="T955" t="s">
        <v>136</v>
      </c>
      <c r="U955">
        <v>2.01</v>
      </c>
      <c r="V955">
        <v>3</v>
      </c>
      <c r="W955">
        <v>18631</v>
      </c>
      <c r="X955">
        <v>21128</v>
      </c>
      <c r="Y955">
        <v>0.88</v>
      </c>
      <c r="Z955">
        <v>481</v>
      </c>
      <c r="AA955">
        <v>6302</v>
      </c>
      <c r="AB955" t="s">
        <v>32</v>
      </c>
      <c r="AC955">
        <v>6.82</v>
      </c>
    </row>
    <row r="956" spans="1:29">
      <c r="A956" t="str">
        <f>"002496"</f>
        <v>002496</v>
      </c>
      <c r="B956" t="s">
        <v>1122</v>
      </c>
      <c r="C956">
        <v>2.46</v>
      </c>
      <c r="D956">
        <v>2.91</v>
      </c>
      <c r="E956">
        <v>0.07</v>
      </c>
      <c r="F956">
        <v>2.9</v>
      </c>
      <c r="G956">
        <v>2.91</v>
      </c>
      <c r="H956">
        <v>222075</v>
      </c>
      <c r="I956">
        <v>2569</v>
      </c>
      <c r="J956">
        <v>0</v>
      </c>
      <c r="K956">
        <v>2.34</v>
      </c>
      <c r="L956">
        <v>2.83</v>
      </c>
      <c r="M956">
        <v>2.92</v>
      </c>
      <c r="N956">
        <v>2.83</v>
      </c>
      <c r="O956">
        <v>2.84</v>
      </c>
      <c r="P956">
        <v>8.77</v>
      </c>
      <c r="Q956">
        <v>64096792</v>
      </c>
      <c r="R956">
        <v>1.82</v>
      </c>
      <c r="S956" t="s">
        <v>145</v>
      </c>
      <c r="T956" t="s">
        <v>87</v>
      </c>
      <c r="U956">
        <v>3.17</v>
      </c>
      <c r="V956">
        <v>2.89</v>
      </c>
      <c r="W956">
        <v>100450</v>
      </c>
      <c r="X956">
        <v>121625</v>
      </c>
      <c r="Y956">
        <v>0.83</v>
      </c>
      <c r="Z956">
        <v>2760</v>
      </c>
      <c r="AA956">
        <v>1461</v>
      </c>
      <c r="AB956" t="s">
        <v>32</v>
      </c>
      <c r="AC956">
        <v>9.47</v>
      </c>
    </row>
    <row r="957" spans="1:29">
      <c r="A957" t="str">
        <f>"002497"</f>
        <v>002497</v>
      </c>
      <c r="B957" t="s">
        <v>1123</v>
      </c>
      <c r="C957">
        <v>2.21</v>
      </c>
      <c r="D957">
        <v>10.62</v>
      </c>
      <c r="E957">
        <v>0.23</v>
      </c>
      <c r="F957">
        <v>10.62</v>
      </c>
      <c r="G957">
        <v>10.63</v>
      </c>
      <c r="H957">
        <v>313703</v>
      </c>
      <c r="I957">
        <v>4201</v>
      </c>
      <c r="J957">
        <v>-0.08</v>
      </c>
      <c r="K957">
        <v>3.81</v>
      </c>
      <c r="L957">
        <v>10.38</v>
      </c>
      <c r="M957">
        <v>10.74</v>
      </c>
      <c r="N957">
        <v>10.28</v>
      </c>
      <c r="O957">
        <v>10.39</v>
      </c>
      <c r="P957">
        <v>47.63</v>
      </c>
      <c r="Q957">
        <v>330602720</v>
      </c>
      <c r="R957">
        <v>1.49</v>
      </c>
      <c r="S957" t="s">
        <v>218</v>
      </c>
      <c r="T957" t="s">
        <v>146</v>
      </c>
      <c r="U957">
        <v>4.43</v>
      </c>
      <c r="V957">
        <v>10.54</v>
      </c>
      <c r="W957">
        <v>151108</v>
      </c>
      <c r="X957">
        <v>162594</v>
      </c>
      <c r="Y957">
        <v>0.93</v>
      </c>
      <c r="Z957">
        <v>787</v>
      </c>
      <c r="AA957">
        <v>1319</v>
      </c>
      <c r="AB957" t="s">
        <v>32</v>
      </c>
      <c r="AC957">
        <v>8.23</v>
      </c>
    </row>
    <row r="958" spans="1:29">
      <c r="A958" t="str">
        <f>"002498"</f>
        <v>002498</v>
      </c>
      <c r="B958" t="s">
        <v>1124</v>
      </c>
      <c r="C958">
        <v>1.79</v>
      </c>
      <c r="D958">
        <v>2.27</v>
      </c>
      <c r="E958">
        <v>0.04</v>
      </c>
      <c r="F958">
        <v>2.26</v>
      </c>
      <c r="G958">
        <v>2.27</v>
      </c>
      <c r="H958">
        <v>71128</v>
      </c>
      <c r="I958">
        <v>2535</v>
      </c>
      <c r="J958">
        <v>0.44</v>
      </c>
      <c r="K958">
        <v>0.21</v>
      </c>
      <c r="L958">
        <v>2.23</v>
      </c>
      <c r="M958">
        <v>2.27</v>
      </c>
      <c r="N958">
        <v>2.22</v>
      </c>
      <c r="O958">
        <v>2.23</v>
      </c>
      <c r="P958">
        <v>46.96</v>
      </c>
      <c r="Q958">
        <v>16039663</v>
      </c>
      <c r="R958">
        <v>1.54</v>
      </c>
      <c r="S958" t="s">
        <v>104</v>
      </c>
      <c r="T958" t="s">
        <v>162</v>
      </c>
      <c r="U958">
        <v>2.24</v>
      </c>
      <c r="V958">
        <v>2.26</v>
      </c>
      <c r="W958">
        <v>34939</v>
      </c>
      <c r="X958">
        <v>36188</v>
      </c>
      <c r="Y958">
        <v>0.97</v>
      </c>
      <c r="Z958">
        <v>6041</v>
      </c>
      <c r="AA958">
        <v>5234</v>
      </c>
      <c r="AB958" t="s">
        <v>32</v>
      </c>
      <c r="AC958">
        <v>33.26</v>
      </c>
    </row>
    <row r="959" spans="1:29">
      <c r="A959" t="str">
        <f>"002499"</f>
        <v>002499</v>
      </c>
      <c r="B959" t="s">
        <v>1125</v>
      </c>
      <c r="C959">
        <v>0.32</v>
      </c>
      <c r="D959">
        <v>12.54</v>
      </c>
      <c r="E959">
        <v>0.04</v>
      </c>
      <c r="F959">
        <v>12.54</v>
      </c>
      <c r="G959">
        <v>12.55</v>
      </c>
      <c r="H959">
        <v>47415</v>
      </c>
      <c r="I959">
        <v>633</v>
      </c>
      <c r="J959">
        <v>0</v>
      </c>
      <c r="K959">
        <v>2.9</v>
      </c>
      <c r="L959">
        <v>12.47</v>
      </c>
      <c r="M959">
        <v>12.75</v>
      </c>
      <c r="N959">
        <v>12.35</v>
      </c>
      <c r="O959">
        <v>12.5</v>
      </c>
      <c r="P959">
        <v>23.48</v>
      </c>
      <c r="Q959">
        <v>59453008</v>
      </c>
      <c r="R959">
        <v>0.83</v>
      </c>
      <c r="S959" t="s">
        <v>86</v>
      </c>
      <c r="T959" t="s">
        <v>87</v>
      </c>
      <c r="U959">
        <v>3.2</v>
      </c>
      <c r="V959">
        <v>12.54</v>
      </c>
      <c r="W959">
        <v>27315</v>
      </c>
      <c r="X959">
        <v>20099</v>
      </c>
      <c r="Y959">
        <v>1.36</v>
      </c>
      <c r="Z959">
        <v>154</v>
      </c>
      <c r="AA959">
        <v>629</v>
      </c>
      <c r="AB959" t="s">
        <v>32</v>
      </c>
      <c r="AC959">
        <v>1.63</v>
      </c>
    </row>
    <row r="960" spans="1:29">
      <c r="A960" t="str">
        <f>"002500"</f>
        <v>002500</v>
      </c>
      <c r="B960" t="s">
        <v>1126</v>
      </c>
      <c r="C960">
        <v>1.03</v>
      </c>
      <c r="D960">
        <v>6.84</v>
      </c>
      <c r="E960">
        <v>0.07</v>
      </c>
      <c r="F960">
        <v>6.83</v>
      </c>
      <c r="G960">
        <v>6.84</v>
      </c>
      <c r="H960">
        <v>401557</v>
      </c>
      <c r="I960">
        <v>2900</v>
      </c>
      <c r="J960">
        <v>0</v>
      </c>
      <c r="K960">
        <v>1.42</v>
      </c>
      <c r="L960">
        <v>6.74</v>
      </c>
      <c r="M960">
        <v>6.95</v>
      </c>
      <c r="N960">
        <v>6.73</v>
      </c>
      <c r="O960">
        <v>6.77</v>
      </c>
      <c r="P960">
        <v>55.09</v>
      </c>
      <c r="Q960">
        <v>275281088</v>
      </c>
      <c r="R960">
        <v>2.33</v>
      </c>
      <c r="S960" t="s">
        <v>158</v>
      </c>
      <c r="T960" t="s">
        <v>169</v>
      </c>
      <c r="U960">
        <v>3.25</v>
      </c>
      <c r="V960">
        <v>6.86</v>
      </c>
      <c r="W960">
        <v>205065</v>
      </c>
      <c r="X960">
        <v>196491</v>
      </c>
      <c r="Y960">
        <v>1.04</v>
      </c>
      <c r="Z960">
        <v>1914</v>
      </c>
      <c r="AA960">
        <v>2350</v>
      </c>
      <c r="AB960" t="s">
        <v>32</v>
      </c>
      <c r="AC960">
        <v>28.29</v>
      </c>
    </row>
    <row r="961" spans="1:29">
      <c r="A961" t="str">
        <f>"002501"</f>
        <v>002501</v>
      </c>
      <c r="B961" t="s">
        <v>1127</v>
      </c>
      <c r="C961">
        <v>2.63</v>
      </c>
      <c r="D961">
        <v>6.25</v>
      </c>
      <c r="E961">
        <v>0.16</v>
      </c>
      <c r="F961">
        <v>6.25</v>
      </c>
      <c r="G961">
        <v>6.26</v>
      </c>
      <c r="H961">
        <v>115020</v>
      </c>
      <c r="I961">
        <v>568</v>
      </c>
      <c r="J961">
        <v>-0.31</v>
      </c>
      <c r="K961">
        <v>1.23</v>
      </c>
      <c r="L961">
        <v>6.08</v>
      </c>
      <c r="M961">
        <v>6.34</v>
      </c>
      <c r="N961">
        <v>6.08</v>
      </c>
      <c r="O961">
        <v>6.09</v>
      </c>
      <c r="P961">
        <v>18.01</v>
      </c>
      <c r="Q961">
        <v>71868208</v>
      </c>
      <c r="R961">
        <v>1.86</v>
      </c>
      <c r="S961" t="s">
        <v>324</v>
      </c>
      <c r="T961" t="s">
        <v>81</v>
      </c>
      <c r="U961">
        <v>4.27</v>
      </c>
      <c r="V961">
        <v>6.25</v>
      </c>
      <c r="W961">
        <v>52748</v>
      </c>
      <c r="X961">
        <v>62271</v>
      </c>
      <c r="Y961">
        <v>0.85</v>
      </c>
      <c r="Z961">
        <v>1377</v>
      </c>
      <c r="AA961">
        <v>1409</v>
      </c>
      <c r="AB961" t="s">
        <v>32</v>
      </c>
      <c r="AC961">
        <v>9.39</v>
      </c>
    </row>
    <row r="962" spans="1:29">
      <c r="A962" t="str">
        <f>"002502"</f>
        <v>002502</v>
      </c>
      <c r="B962" t="s">
        <v>1128</v>
      </c>
      <c r="C962" t="s">
        <v>32</v>
      </c>
      <c r="D962">
        <v>5.77</v>
      </c>
      <c r="E962" t="s">
        <v>32</v>
      </c>
      <c r="F962" t="s">
        <v>32</v>
      </c>
      <c r="G962" t="s">
        <v>32</v>
      </c>
      <c r="H962">
        <v>0</v>
      </c>
      <c r="I962">
        <v>0</v>
      </c>
      <c r="J962" t="s">
        <v>32</v>
      </c>
      <c r="K962">
        <v>0</v>
      </c>
      <c r="L962" t="s">
        <v>32</v>
      </c>
      <c r="M962" t="s">
        <v>32</v>
      </c>
      <c r="N962" t="s">
        <v>32</v>
      </c>
      <c r="O962">
        <v>5.77</v>
      </c>
      <c r="P962">
        <v>200.76</v>
      </c>
      <c r="Q962">
        <v>0</v>
      </c>
      <c r="R962">
        <v>0</v>
      </c>
      <c r="S962" t="s">
        <v>148</v>
      </c>
      <c r="T962" t="s">
        <v>136</v>
      </c>
      <c r="U962">
        <v>0</v>
      </c>
      <c r="V962">
        <v>5.77</v>
      </c>
      <c r="W962">
        <v>0</v>
      </c>
      <c r="X962">
        <v>0</v>
      </c>
      <c r="Y962" t="s">
        <v>32</v>
      </c>
      <c r="Z962">
        <v>0</v>
      </c>
      <c r="AA962">
        <v>0</v>
      </c>
      <c r="AB962" t="s">
        <v>32</v>
      </c>
      <c r="AC962">
        <v>5.84</v>
      </c>
    </row>
    <row r="963" spans="1:29">
      <c r="A963" t="str">
        <f>"002503"</f>
        <v>002503</v>
      </c>
      <c r="B963" t="s">
        <v>1129</v>
      </c>
      <c r="C963">
        <v>2.1</v>
      </c>
      <c r="D963">
        <v>3.41</v>
      </c>
      <c r="E963">
        <v>0.07</v>
      </c>
      <c r="F963">
        <v>3.41</v>
      </c>
      <c r="G963">
        <v>3.42</v>
      </c>
      <c r="H963">
        <v>91970</v>
      </c>
      <c r="I963">
        <v>405</v>
      </c>
      <c r="J963">
        <v>0</v>
      </c>
      <c r="K963">
        <v>0.45</v>
      </c>
      <c r="L963">
        <v>3.32</v>
      </c>
      <c r="M963">
        <v>3.44</v>
      </c>
      <c r="N963">
        <v>3.31</v>
      </c>
      <c r="O963">
        <v>3.34</v>
      </c>
      <c r="P963">
        <v>16.87</v>
      </c>
      <c r="Q963">
        <v>31167324</v>
      </c>
      <c r="R963">
        <v>2.17</v>
      </c>
      <c r="S963" t="s">
        <v>622</v>
      </c>
      <c r="T963" t="s">
        <v>136</v>
      </c>
      <c r="U963">
        <v>3.89</v>
      </c>
      <c r="V963">
        <v>3.39</v>
      </c>
      <c r="W963">
        <v>33669</v>
      </c>
      <c r="X963">
        <v>58301</v>
      </c>
      <c r="Y963">
        <v>0.58</v>
      </c>
      <c r="Z963">
        <v>884</v>
      </c>
      <c r="AA963">
        <v>941</v>
      </c>
      <c r="AB963" t="s">
        <v>32</v>
      </c>
      <c r="AC963">
        <v>20.24</v>
      </c>
    </row>
    <row r="964" spans="1:29">
      <c r="A964" t="str">
        <f>"002504"</f>
        <v>002504</v>
      </c>
      <c r="B964" t="s">
        <v>1130</v>
      </c>
      <c r="C964">
        <v>0.95</v>
      </c>
      <c r="D964">
        <v>4.23</v>
      </c>
      <c r="E964">
        <v>0.04</v>
      </c>
      <c r="F964">
        <v>4.22</v>
      </c>
      <c r="G964">
        <v>4.23</v>
      </c>
      <c r="H964">
        <v>108014</v>
      </c>
      <c r="I964">
        <v>591</v>
      </c>
      <c r="J964">
        <v>0</v>
      </c>
      <c r="K964">
        <v>2.61</v>
      </c>
      <c r="L964">
        <v>4.17</v>
      </c>
      <c r="M964">
        <v>4.26</v>
      </c>
      <c r="N964">
        <v>4.16</v>
      </c>
      <c r="O964">
        <v>4.19</v>
      </c>
      <c r="P964" t="s">
        <v>32</v>
      </c>
      <c r="Q964">
        <v>45492460</v>
      </c>
      <c r="R964">
        <v>1.08</v>
      </c>
      <c r="S964" t="s">
        <v>59</v>
      </c>
      <c r="T964" t="s">
        <v>45</v>
      </c>
      <c r="U964">
        <v>2.39</v>
      </c>
      <c r="V964">
        <v>4.21</v>
      </c>
      <c r="W964">
        <v>61517</v>
      </c>
      <c r="X964">
        <v>46496</v>
      </c>
      <c r="Y964">
        <v>1.32</v>
      </c>
      <c r="Z964">
        <v>976</v>
      </c>
      <c r="AA964">
        <v>4241</v>
      </c>
      <c r="AB964" t="s">
        <v>32</v>
      </c>
      <c r="AC964">
        <v>4.15</v>
      </c>
    </row>
    <row r="965" spans="1:29">
      <c r="A965" t="str">
        <f>"002505"</f>
        <v>002505</v>
      </c>
      <c r="B965" t="s">
        <v>1131</v>
      </c>
      <c r="C965">
        <v>2.73</v>
      </c>
      <c r="D965">
        <v>1.88</v>
      </c>
      <c r="E965">
        <v>0.05</v>
      </c>
      <c r="F965">
        <v>1.87</v>
      </c>
      <c r="G965">
        <v>1.88</v>
      </c>
      <c r="H965">
        <v>418245</v>
      </c>
      <c r="I965">
        <v>5021</v>
      </c>
      <c r="J965">
        <v>0</v>
      </c>
      <c r="K965">
        <v>0.76</v>
      </c>
      <c r="L965">
        <v>1.84</v>
      </c>
      <c r="M965">
        <v>1.89</v>
      </c>
      <c r="N965">
        <v>1.82</v>
      </c>
      <c r="O965">
        <v>1.83</v>
      </c>
      <c r="P965">
        <v>139.39</v>
      </c>
      <c r="Q965">
        <v>77624576</v>
      </c>
      <c r="R965">
        <v>1.91</v>
      </c>
      <c r="S965" t="s">
        <v>115</v>
      </c>
      <c r="T965" t="s">
        <v>152</v>
      </c>
      <c r="U965">
        <v>3.83</v>
      </c>
      <c r="V965">
        <v>1.86</v>
      </c>
      <c r="W965">
        <v>114862</v>
      </c>
      <c r="X965">
        <v>303382</v>
      </c>
      <c r="Y965">
        <v>0.38</v>
      </c>
      <c r="Z965">
        <v>16932</v>
      </c>
      <c r="AA965">
        <v>13648</v>
      </c>
      <c r="AB965" t="s">
        <v>32</v>
      </c>
      <c r="AC965">
        <v>54.85</v>
      </c>
    </row>
    <row r="966" spans="1:29">
      <c r="A966" t="str">
        <f>"002506"</f>
        <v>002506</v>
      </c>
      <c r="B966" t="s">
        <v>1132</v>
      </c>
      <c r="C966">
        <v>0.22</v>
      </c>
      <c r="D966">
        <v>4.64</v>
      </c>
      <c r="E966">
        <v>0.01</v>
      </c>
      <c r="F966">
        <v>4.64</v>
      </c>
      <c r="G966">
        <v>4.65</v>
      </c>
      <c r="H966">
        <v>97947</v>
      </c>
      <c r="I966">
        <v>1263</v>
      </c>
      <c r="J966">
        <v>-0.21</v>
      </c>
      <c r="K966">
        <v>0.39</v>
      </c>
      <c r="L966">
        <v>4.64</v>
      </c>
      <c r="M966">
        <v>4.7</v>
      </c>
      <c r="N966">
        <v>4.63</v>
      </c>
      <c r="O966">
        <v>4.63</v>
      </c>
      <c r="P966" t="s">
        <v>32</v>
      </c>
      <c r="Q966">
        <v>45602852</v>
      </c>
      <c r="R966">
        <v>0.9</v>
      </c>
      <c r="S966" t="s">
        <v>104</v>
      </c>
      <c r="T966" t="s">
        <v>366</v>
      </c>
      <c r="U966">
        <v>1.51</v>
      </c>
      <c r="V966">
        <v>4.66</v>
      </c>
      <c r="W966">
        <v>48594</v>
      </c>
      <c r="X966">
        <v>49352</v>
      </c>
      <c r="Y966">
        <v>0.98</v>
      </c>
      <c r="Z966">
        <v>2216</v>
      </c>
      <c r="AA966">
        <v>1312</v>
      </c>
      <c r="AB966" t="s">
        <v>32</v>
      </c>
      <c r="AC966">
        <v>25.24</v>
      </c>
    </row>
    <row r="967" spans="1:29">
      <c r="A967" t="str">
        <f>"002507"</f>
        <v>002507</v>
      </c>
      <c r="B967" t="s">
        <v>1133</v>
      </c>
      <c r="C967">
        <v>0.66</v>
      </c>
      <c r="D967">
        <v>27.42</v>
      </c>
      <c r="E967">
        <v>0.18</v>
      </c>
      <c r="F967">
        <v>27.42</v>
      </c>
      <c r="G967">
        <v>27.43</v>
      </c>
      <c r="H967">
        <v>132831</v>
      </c>
      <c r="I967">
        <v>962</v>
      </c>
      <c r="J967">
        <v>0.04</v>
      </c>
      <c r="K967">
        <v>1.72</v>
      </c>
      <c r="L967">
        <v>26.81</v>
      </c>
      <c r="M967">
        <v>27.55</v>
      </c>
      <c r="N967">
        <v>26.1</v>
      </c>
      <c r="O967">
        <v>27.24</v>
      </c>
      <c r="P967">
        <v>47.11</v>
      </c>
      <c r="Q967">
        <v>356730976</v>
      </c>
      <c r="R967">
        <v>1.48</v>
      </c>
      <c r="S967" t="s">
        <v>213</v>
      </c>
      <c r="T967" t="s">
        <v>221</v>
      </c>
      <c r="U967">
        <v>5.32</v>
      </c>
      <c r="V967">
        <v>26.86</v>
      </c>
      <c r="W967">
        <v>65981</v>
      </c>
      <c r="X967">
        <v>66850</v>
      </c>
      <c r="Y967">
        <v>0.99</v>
      </c>
      <c r="Z967">
        <v>337</v>
      </c>
      <c r="AA967">
        <v>577</v>
      </c>
      <c r="AB967" t="s">
        <v>32</v>
      </c>
      <c r="AC967">
        <v>7.71</v>
      </c>
    </row>
    <row r="968" spans="1:29">
      <c r="A968" t="str">
        <f>"002508"</f>
        <v>002508</v>
      </c>
      <c r="B968" t="s">
        <v>1134</v>
      </c>
      <c r="C968">
        <v>5.3</v>
      </c>
      <c r="D968">
        <v>29.59</v>
      </c>
      <c r="E968">
        <v>1.49</v>
      </c>
      <c r="F968">
        <v>29.59</v>
      </c>
      <c r="G968">
        <v>29.6</v>
      </c>
      <c r="H968">
        <v>168668</v>
      </c>
      <c r="I968">
        <v>2625</v>
      </c>
      <c r="J968">
        <v>0.27</v>
      </c>
      <c r="K968">
        <v>1.8</v>
      </c>
      <c r="L968">
        <v>28.1</v>
      </c>
      <c r="M968">
        <v>29.59</v>
      </c>
      <c r="N968">
        <v>28.1</v>
      </c>
      <c r="O968">
        <v>28.1</v>
      </c>
      <c r="P968">
        <v>23.25</v>
      </c>
      <c r="Q968">
        <v>489651392</v>
      </c>
      <c r="R968">
        <v>2.11</v>
      </c>
      <c r="S968" t="s">
        <v>55</v>
      </c>
      <c r="T968" t="s">
        <v>149</v>
      </c>
      <c r="U968">
        <v>5.3</v>
      </c>
      <c r="V968">
        <v>29.03</v>
      </c>
      <c r="W968">
        <v>74939</v>
      </c>
      <c r="X968">
        <v>93729</v>
      </c>
      <c r="Y968">
        <v>0.8</v>
      </c>
      <c r="Z968">
        <v>82</v>
      </c>
      <c r="AA968">
        <v>448</v>
      </c>
      <c r="AB968" t="s">
        <v>32</v>
      </c>
      <c r="AC968">
        <v>9.35</v>
      </c>
    </row>
    <row r="969" spans="1:29">
      <c r="A969" t="str">
        <f>"002509"</f>
        <v>002509</v>
      </c>
      <c r="B969" t="s">
        <v>1135</v>
      </c>
      <c r="C969">
        <v>3.24</v>
      </c>
      <c r="D969">
        <v>2.87</v>
      </c>
      <c r="E969">
        <v>0.09</v>
      </c>
      <c r="F969">
        <v>2.86</v>
      </c>
      <c r="G969">
        <v>2.87</v>
      </c>
      <c r="H969">
        <v>596984</v>
      </c>
      <c r="I969">
        <v>6437</v>
      </c>
      <c r="J969">
        <v>-0.34</v>
      </c>
      <c r="K969">
        <v>3.63</v>
      </c>
      <c r="L969">
        <v>2.79</v>
      </c>
      <c r="M969">
        <v>2.91</v>
      </c>
      <c r="N969">
        <v>2.73</v>
      </c>
      <c r="O969">
        <v>2.78</v>
      </c>
      <c r="P969">
        <v>33.02</v>
      </c>
      <c r="Q969">
        <v>168770544</v>
      </c>
      <c r="R969">
        <v>0.87</v>
      </c>
      <c r="S969" t="s">
        <v>171</v>
      </c>
      <c r="T969" t="s">
        <v>236</v>
      </c>
      <c r="U969">
        <v>6.47</v>
      </c>
      <c r="V969">
        <v>2.83</v>
      </c>
      <c r="W969">
        <v>290618</v>
      </c>
      <c r="X969">
        <v>306366</v>
      </c>
      <c r="Y969">
        <v>0.95</v>
      </c>
      <c r="Z969">
        <v>5901</v>
      </c>
      <c r="AA969">
        <v>1904</v>
      </c>
      <c r="AB969" t="s">
        <v>32</v>
      </c>
      <c r="AC969">
        <v>16.45</v>
      </c>
    </row>
    <row r="970" spans="1:29">
      <c r="A970" t="str">
        <f>"002510"</f>
        <v>002510</v>
      </c>
      <c r="B970" t="s">
        <v>1136</v>
      </c>
      <c r="C970">
        <v>0</v>
      </c>
      <c r="D970">
        <v>4.84</v>
      </c>
      <c r="E970">
        <v>0</v>
      </c>
      <c r="F970">
        <v>4.84</v>
      </c>
      <c r="G970">
        <v>4.85</v>
      </c>
      <c r="H970">
        <v>157995</v>
      </c>
      <c r="I970">
        <v>3138</v>
      </c>
      <c r="J970">
        <v>0</v>
      </c>
      <c r="K970">
        <v>2.14</v>
      </c>
      <c r="L970">
        <v>4.8</v>
      </c>
      <c r="M970">
        <v>4.87</v>
      </c>
      <c r="N970">
        <v>4.78</v>
      </c>
      <c r="O970">
        <v>4.84</v>
      </c>
      <c r="P970">
        <v>41.5</v>
      </c>
      <c r="Q970">
        <v>76457080</v>
      </c>
      <c r="R970">
        <v>1.22</v>
      </c>
      <c r="S970" t="s">
        <v>80</v>
      </c>
      <c r="T970" t="s">
        <v>248</v>
      </c>
      <c r="U970">
        <v>1.86</v>
      </c>
      <c r="V970">
        <v>4.84</v>
      </c>
      <c r="W970">
        <v>75139</v>
      </c>
      <c r="X970">
        <v>82856</v>
      </c>
      <c r="Y970">
        <v>0.91</v>
      </c>
      <c r="Z970">
        <v>3513</v>
      </c>
      <c r="AA970">
        <v>672</v>
      </c>
      <c r="AB970" t="s">
        <v>32</v>
      </c>
      <c r="AC970">
        <v>7.37</v>
      </c>
    </row>
    <row r="971" spans="1:29">
      <c r="A971" t="str">
        <f>"002511"</f>
        <v>002511</v>
      </c>
      <c r="B971" t="s">
        <v>1137</v>
      </c>
      <c r="C971">
        <v>0.21</v>
      </c>
      <c r="D971">
        <v>9.69</v>
      </c>
      <c r="E971">
        <v>0.02</v>
      </c>
      <c r="F971">
        <v>9.69</v>
      </c>
      <c r="G971">
        <v>9.7</v>
      </c>
      <c r="H971">
        <v>78217</v>
      </c>
      <c r="I971">
        <v>536</v>
      </c>
      <c r="J971">
        <v>0</v>
      </c>
      <c r="K971">
        <v>0.62</v>
      </c>
      <c r="L971">
        <v>9.73</v>
      </c>
      <c r="M971">
        <v>9.8</v>
      </c>
      <c r="N971">
        <v>9.58</v>
      </c>
      <c r="O971">
        <v>9.67</v>
      </c>
      <c r="P971">
        <v>31.65</v>
      </c>
      <c r="Q971">
        <v>75708968</v>
      </c>
      <c r="R971">
        <v>1.35</v>
      </c>
      <c r="S971" t="s">
        <v>204</v>
      </c>
      <c r="T971" t="s">
        <v>136</v>
      </c>
      <c r="U971">
        <v>2.28</v>
      </c>
      <c r="V971">
        <v>9.68</v>
      </c>
      <c r="W971">
        <v>38314</v>
      </c>
      <c r="X971">
        <v>39903</v>
      </c>
      <c r="Y971">
        <v>0.96</v>
      </c>
      <c r="Z971">
        <v>633</v>
      </c>
      <c r="AA971">
        <v>641</v>
      </c>
      <c r="AB971" t="s">
        <v>32</v>
      </c>
      <c r="AC971">
        <v>12.58</v>
      </c>
    </row>
    <row r="972" spans="1:29">
      <c r="A972" t="str">
        <f>"002512"</f>
        <v>002512</v>
      </c>
      <c r="B972" t="s">
        <v>1138</v>
      </c>
      <c r="C972" t="s">
        <v>32</v>
      </c>
      <c r="D972">
        <v>9.66</v>
      </c>
      <c r="E972" t="s">
        <v>32</v>
      </c>
      <c r="F972" t="s">
        <v>32</v>
      </c>
      <c r="G972" t="s">
        <v>32</v>
      </c>
      <c r="H972">
        <v>0</v>
      </c>
      <c r="I972">
        <v>0</v>
      </c>
      <c r="J972" t="s">
        <v>32</v>
      </c>
      <c r="K972">
        <v>0</v>
      </c>
      <c r="L972" t="s">
        <v>32</v>
      </c>
      <c r="M972" t="s">
        <v>32</v>
      </c>
      <c r="N972" t="s">
        <v>32</v>
      </c>
      <c r="O972">
        <v>9.66</v>
      </c>
      <c r="P972" t="s">
        <v>32</v>
      </c>
      <c r="Q972">
        <v>0</v>
      </c>
      <c r="R972">
        <v>0</v>
      </c>
      <c r="S972" t="s">
        <v>63</v>
      </c>
      <c r="T972" t="s">
        <v>136</v>
      </c>
      <c r="U972">
        <v>0</v>
      </c>
      <c r="V972">
        <v>9.66</v>
      </c>
      <c r="W972">
        <v>0</v>
      </c>
      <c r="X972">
        <v>0</v>
      </c>
      <c r="Y972" t="s">
        <v>32</v>
      </c>
      <c r="Z972">
        <v>0</v>
      </c>
      <c r="AA972">
        <v>0</v>
      </c>
      <c r="AB972" t="s">
        <v>32</v>
      </c>
      <c r="AC972">
        <v>6.4</v>
      </c>
    </row>
    <row r="973" spans="1:29">
      <c r="A973" t="str">
        <f>"002513"</f>
        <v>002513</v>
      </c>
      <c r="B973" t="s">
        <v>1139</v>
      </c>
      <c r="C973">
        <v>1.88</v>
      </c>
      <c r="D973">
        <v>7.03</v>
      </c>
      <c r="E973">
        <v>0.13</v>
      </c>
      <c r="F973">
        <v>7.02</v>
      </c>
      <c r="G973">
        <v>7.03</v>
      </c>
      <c r="H973">
        <v>19024</v>
      </c>
      <c r="I973">
        <v>57</v>
      </c>
      <c r="J973">
        <v>-0.41</v>
      </c>
      <c r="K973">
        <v>0.76</v>
      </c>
      <c r="L973">
        <v>6.91</v>
      </c>
      <c r="M973">
        <v>7.08</v>
      </c>
      <c r="N973">
        <v>6.86</v>
      </c>
      <c r="O973">
        <v>6.9</v>
      </c>
      <c r="P973">
        <v>22.22</v>
      </c>
      <c r="Q973">
        <v>13318488</v>
      </c>
      <c r="R973">
        <v>1.3</v>
      </c>
      <c r="S973" t="s">
        <v>145</v>
      </c>
      <c r="T973" t="s">
        <v>87</v>
      </c>
      <c r="U973">
        <v>3.19</v>
      </c>
      <c r="V973">
        <v>7</v>
      </c>
      <c r="W973">
        <v>9347</v>
      </c>
      <c r="X973">
        <v>9676</v>
      </c>
      <c r="Y973">
        <v>0.97</v>
      </c>
      <c r="Z973">
        <v>110</v>
      </c>
      <c r="AA973">
        <v>205</v>
      </c>
      <c r="AB973" t="s">
        <v>32</v>
      </c>
      <c r="AC973">
        <v>2.5</v>
      </c>
    </row>
    <row r="974" spans="1:29">
      <c r="A974" t="str">
        <f>"002514"</f>
        <v>002514</v>
      </c>
      <c r="B974" t="s">
        <v>1140</v>
      </c>
      <c r="C974">
        <v>2.13</v>
      </c>
      <c r="D974">
        <v>5.76</v>
      </c>
      <c r="E974">
        <v>0.12</v>
      </c>
      <c r="F974">
        <v>5.75</v>
      </c>
      <c r="G974">
        <v>5.76</v>
      </c>
      <c r="H974">
        <v>31373</v>
      </c>
      <c r="I974">
        <v>453</v>
      </c>
      <c r="J974">
        <v>0.35</v>
      </c>
      <c r="K974">
        <v>0.88</v>
      </c>
      <c r="L974">
        <v>5.63</v>
      </c>
      <c r="M974">
        <v>5.79</v>
      </c>
      <c r="N974">
        <v>5.62</v>
      </c>
      <c r="O974">
        <v>5.64</v>
      </c>
      <c r="P974">
        <v>15.29</v>
      </c>
      <c r="Q974">
        <v>17877144</v>
      </c>
      <c r="R974">
        <v>2.14</v>
      </c>
      <c r="S974" t="s">
        <v>241</v>
      </c>
      <c r="T974" t="s">
        <v>87</v>
      </c>
      <c r="U974">
        <v>3.01</v>
      </c>
      <c r="V974">
        <v>5.7</v>
      </c>
      <c r="W974">
        <v>14524</v>
      </c>
      <c r="X974">
        <v>16849</v>
      </c>
      <c r="Y974">
        <v>0.86</v>
      </c>
      <c r="Z974">
        <v>250</v>
      </c>
      <c r="AA974">
        <v>782</v>
      </c>
      <c r="AB974" t="s">
        <v>32</v>
      </c>
      <c r="AC974">
        <v>3.58</v>
      </c>
    </row>
    <row r="975" spans="1:29">
      <c r="A975" t="str">
        <f>"002515"</f>
        <v>002515</v>
      </c>
      <c r="B975" t="s">
        <v>1141</v>
      </c>
      <c r="C975">
        <v>0.21</v>
      </c>
      <c r="D975">
        <v>4.76</v>
      </c>
      <c r="E975">
        <v>0.01</v>
      </c>
      <c r="F975">
        <v>4.76</v>
      </c>
      <c r="G975">
        <v>4.77</v>
      </c>
      <c r="H975">
        <v>145478</v>
      </c>
      <c r="I975">
        <v>4948</v>
      </c>
      <c r="J975">
        <v>-0.2</v>
      </c>
      <c r="K975">
        <v>1.52</v>
      </c>
      <c r="L975">
        <v>4.68</v>
      </c>
      <c r="M975">
        <v>4.92</v>
      </c>
      <c r="N975">
        <v>4.64</v>
      </c>
      <c r="O975">
        <v>4.75</v>
      </c>
      <c r="P975">
        <v>61.67</v>
      </c>
      <c r="Q975">
        <v>69622480</v>
      </c>
      <c r="R975">
        <v>1.39</v>
      </c>
      <c r="S975" t="s">
        <v>213</v>
      </c>
      <c r="T975" t="s">
        <v>149</v>
      </c>
      <c r="U975">
        <v>5.89</v>
      </c>
      <c r="V975">
        <v>4.79</v>
      </c>
      <c r="W975">
        <v>75208</v>
      </c>
      <c r="X975">
        <v>70270</v>
      </c>
      <c r="Y975">
        <v>1.07</v>
      </c>
      <c r="Z975">
        <v>668</v>
      </c>
      <c r="AA975">
        <v>72</v>
      </c>
      <c r="AB975" t="s">
        <v>32</v>
      </c>
      <c r="AC975">
        <v>9.55</v>
      </c>
    </row>
    <row r="976" spans="1:29">
      <c r="A976" t="str">
        <f>"002516"</f>
        <v>002516</v>
      </c>
      <c r="B976" t="s">
        <v>1142</v>
      </c>
      <c r="C976">
        <v>1.05</v>
      </c>
      <c r="D976">
        <v>3.84</v>
      </c>
      <c r="E976">
        <v>0.04</v>
      </c>
      <c r="F976">
        <v>3.84</v>
      </c>
      <c r="G976">
        <v>3.85</v>
      </c>
      <c r="H976">
        <v>199282</v>
      </c>
      <c r="I976">
        <v>2625</v>
      </c>
      <c r="J976">
        <v>0</v>
      </c>
      <c r="K976">
        <v>2.1</v>
      </c>
      <c r="L976">
        <v>3.75</v>
      </c>
      <c r="M976">
        <v>3.97</v>
      </c>
      <c r="N976">
        <v>3.75</v>
      </c>
      <c r="O976">
        <v>3.8</v>
      </c>
      <c r="P976">
        <v>20.43</v>
      </c>
      <c r="Q976">
        <v>76753736</v>
      </c>
      <c r="R976">
        <v>0.88</v>
      </c>
      <c r="S976" t="s">
        <v>99</v>
      </c>
      <c r="T976" t="s">
        <v>87</v>
      </c>
      <c r="U976">
        <v>5.79</v>
      </c>
      <c r="V976">
        <v>3.85</v>
      </c>
      <c r="W976">
        <v>113146</v>
      </c>
      <c r="X976">
        <v>86135</v>
      </c>
      <c r="Y976">
        <v>1.31</v>
      </c>
      <c r="Z976">
        <v>571</v>
      </c>
      <c r="AA976">
        <v>1814</v>
      </c>
      <c r="AB976" t="s">
        <v>32</v>
      </c>
      <c r="AC976">
        <v>9.5</v>
      </c>
    </row>
    <row r="977" spans="1:29">
      <c r="A977" t="str">
        <f>"002517"</f>
        <v>002517</v>
      </c>
      <c r="B977" t="s">
        <v>1143</v>
      </c>
      <c r="C977">
        <v>2.05</v>
      </c>
      <c r="D977">
        <v>6.47</v>
      </c>
      <c r="E977">
        <v>0.13</v>
      </c>
      <c r="F977">
        <v>6.47</v>
      </c>
      <c r="G977">
        <v>6.48</v>
      </c>
      <c r="H977">
        <v>353518</v>
      </c>
      <c r="I977">
        <v>1703</v>
      </c>
      <c r="J977">
        <v>0.15</v>
      </c>
      <c r="K977">
        <v>4.04</v>
      </c>
      <c r="L977">
        <v>6.33</v>
      </c>
      <c r="M977">
        <v>6.54</v>
      </c>
      <c r="N977">
        <v>6.26</v>
      </c>
      <c r="O977">
        <v>6.34</v>
      </c>
      <c r="P977">
        <v>14.12</v>
      </c>
      <c r="Q977">
        <v>227629728</v>
      </c>
      <c r="R977">
        <v>1.55</v>
      </c>
      <c r="S977" t="s">
        <v>316</v>
      </c>
      <c r="T977" t="s">
        <v>236</v>
      </c>
      <c r="U977">
        <v>4.42</v>
      </c>
      <c r="V977">
        <v>6.44</v>
      </c>
      <c r="W977">
        <v>179837</v>
      </c>
      <c r="X977">
        <v>173681</v>
      </c>
      <c r="Y977">
        <v>1.04</v>
      </c>
      <c r="Z977">
        <v>710</v>
      </c>
      <c r="AA977">
        <v>1538</v>
      </c>
      <c r="AB977" t="s">
        <v>32</v>
      </c>
      <c r="AC977">
        <v>8.74</v>
      </c>
    </row>
    <row r="978" spans="1:29">
      <c r="A978" t="str">
        <f>"002518"</f>
        <v>002518</v>
      </c>
      <c r="B978" t="s">
        <v>1144</v>
      </c>
      <c r="C978">
        <v>2.74</v>
      </c>
      <c r="D978">
        <v>9.39</v>
      </c>
      <c r="E978">
        <v>0.25</v>
      </c>
      <c r="F978">
        <v>9.38</v>
      </c>
      <c r="G978">
        <v>9.39</v>
      </c>
      <c r="H978">
        <v>41687</v>
      </c>
      <c r="I978">
        <v>692</v>
      </c>
      <c r="J978">
        <v>0.21</v>
      </c>
      <c r="K978">
        <v>0.75</v>
      </c>
      <c r="L978">
        <v>9.18</v>
      </c>
      <c r="M978">
        <v>9.42</v>
      </c>
      <c r="N978">
        <v>9.08</v>
      </c>
      <c r="O978">
        <v>9.14</v>
      </c>
      <c r="P978">
        <v>32.62</v>
      </c>
      <c r="Q978">
        <v>38698744</v>
      </c>
      <c r="R978">
        <v>1.01</v>
      </c>
      <c r="S978" t="s">
        <v>606</v>
      </c>
      <c r="T978" t="s">
        <v>31</v>
      </c>
      <c r="U978">
        <v>3.72</v>
      </c>
      <c r="V978">
        <v>9.28</v>
      </c>
      <c r="W978">
        <v>19480</v>
      </c>
      <c r="X978">
        <v>22206</v>
      </c>
      <c r="Y978">
        <v>0.88</v>
      </c>
      <c r="Z978">
        <v>155</v>
      </c>
      <c r="AA978">
        <v>145</v>
      </c>
      <c r="AB978" t="s">
        <v>32</v>
      </c>
      <c r="AC978">
        <v>5.54</v>
      </c>
    </row>
    <row r="979" spans="1:29">
      <c r="A979" t="str">
        <f>"002519"</f>
        <v>002519</v>
      </c>
      <c r="B979" t="s">
        <v>1145</v>
      </c>
      <c r="C979">
        <v>2.63</v>
      </c>
      <c r="D979">
        <v>4.68</v>
      </c>
      <c r="E979">
        <v>0.12</v>
      </c>
      <c r="F979">
        <v>4.67</v>
      </c>
      <c r="G979">
        <v>4.68</v>
      </c>
      <c r="H979">
        <v>88952</v>
      </c>
      <c r="I979">
        <v>619</v>
      </c>
      <c r="J979">
        <v>0.21</v>
      </c>
      <c r="K979">
        <v>1.07</v>
      </c>
      <c r="L979">
        <v>4.62</v>
      </c>
      <c r="M979">
        <v>4.93</v>
      </c>
      <c r="N979">
        <v>4.55</v>
      </c>
      <c r="O979">
        <v>4.56</v>
      </c>
      <c r="P979">
        <v>33.26</v>
      </c>
      <c r="Q979">
        <v>41471388</v>
      </c>
      <c r="R979">
        <v>2.22</v>
      </c>
      <c r="S979" t="s">
        <v>119</v>
      </c>
      <c r="T979" t="s">
        <v>87</v>
      </c>
      <c r="U979">
        <v>8.33</v>
      </c>
      <c r="V979">
        <v>4.66</v>
      </c>
      <c r="W979">
        <v>46499</v>
      </c>
      <c r="X979">
        <v>42452</v>
      </c>
      <c r="Y979">
        <v>1.1</v>
      </c>
      <c r="Z979">
        <v>279</v>
      </c>
      <c r="AA979">
        <v>1364</v>
      </c>
      <c r="AB979" t="s">
        <v>32</v>
      </c>
      <c r="AC979">
        <v>8.32</v>
      </c>
    </row>
    <row r="980" spans="1:29">
      <c r="A980" t="str">
        <f>"002520"</f>
        <v>002520</v>
      </c>
      <c r="B980" t="s">
        <v>1146</v>
      </c>
      <c r="C980">
        <v>1.66</v>
      </c>
      <c r="D980">
        <v>7.37</v>
      </c>
      <c r="E980">
        <v>0.12</v>
      </c>
      <c r="F980">
        <v>7.36</v>
      </c>
      <c r="G980">
        <v>7.37</v>
      </c>
      <c r="H980">
        <v>23894</v>
      </c>
      <c r="I980">
        <v>253</v>
      </c>
      <c r="J980">
        <v>0.14</v>
      </c>
      <c r="K980">
        <v>0.45</v>
      </c>
      <c r="L980">
        <v>7.24</v>
      </c>
      <c r="M980">
        <v>7.44</v>
      </c>
      <c r="N980">
        <v>7.24</v>
      </c>
      <c r="O980">
        <v>7.25</v>
      </c>
      <c r="P980">
        <v>52.12</v>
      </c>
      <c r="Q980">
        <v>17598476</v>
      </c>
      <c r="R980">
        <v>1.19</v>
      </c>
      <c r="S980" t="s">
        <v>179</v>
      </c>
      <c r="T980" t="s">
        <v>149</v>
      </c>
      <c r="U980">
        <v>2.76</v>
      </c>
      <c r="V980">
        <v>7.37</v>
      </c>
      <c r="W980">
        <v>11205</v>
      </c>
      <c r="X980">
        <v>12689</v>
      </c>
      <c r="Y980">
        <v>0.88</v>
      </c>
      <c r="Z980">
        <v>21</v>
      </c>
      <c r="AA980">
        <v>120</v>
      </c>
      <c r="AB980" t="s">
        <v>32</v>
      </c>
      <c r="AC980">
        <v>5.3</v>
      </c>
    </row>
    <row r="981" spans="1:29">
      <c r="A981" t="str">
        <f>"002521"</f>
        <v>002521</v>
      </c>
      <c r="B981" t="s">
        <v>1147</v>
      </c>
      <c r="C981">
        <v>2.04</v>
      </c>
      <c r="D981">
        <v>6.49</v>
      </c>
      <c r="E981">
        <v>0.13</v>
      </c>
      <c r="F981">
        <v>6.49</v>
      </c>
      <c r="G981">
        <v>6.5</v>
      </c>
      <c r="H981">
        <v>69686</v>
      </c>
      <c r="I981">
        <v>779</v>
      </c>
      <c r="J981">
        <v>0</v>
      </c>
      <c r="K981">
        <v>1.62</v>
      </c>
      <c r="L981">
        <v>6.36</v>
      </c>
      <c r="M981">
        <v>6.56</v>
      </c>
      <c r="N981">
        <v>6.33</v>
      </c>
      <c r="O981">
        <v>6.36</v>
      </c>
      <c r="P981">
        <v>36.11</v>
      </c>
      <c r="Q981">
        <v>45113692</v>
      </c>
      <c r="R981">
        <v>2.64</v>
      </c>
      <c r="S981" t="s">
        <v>204</v>
      </c>
      <c r="T981" t="s">
        <v>162</v>
      </c>
      <c r="U981">
        <v>3.62</v>
      </c>
      <c r="V981">
        <v>6.47</v>
      </c>
      <c r="W981">
        <v>26613</v>
      </c>
      <c r="X981">
        <v>43072</v>
      </c>
      <c r="Y981">
        <v>0.62</v>
      </c>
      <c r="Z981">
        <v>341</v>
      </c>
      <c r="AA981">
        <v>978</v>
      </c>
      <c r="AB981" t="s">
        <v>32</v>
      </c>
      <c r="AC981">
        <v>4.3</v>
      </c>
    </row>
    <row r="982" spans="1:29">
      <c r="A982" t="str">
        <f>"002522"</f>
        <v>002522</v>
      </c>
      <c r="B982" t="s">
        <v>1148</v>
      </c>
      <c r="C982">
        <v>0.15</v>
      </c>
      <c r="D982">
        <v>6.48</v>
      </c>
      <c r="E982">
        <v>0.01</v>
      </c>
      <c r="F982">
        <v>6.47</v>
      </c>
      <c r="G982">
        <v>6.48</v>
      </c>
      <c r="H982">
        <v>114374</v>
      </c>
      <c r="I982">
        <v>488</v>
      </c>
      <c r="J982">
        <v>0.31</v>
      </c>
      <c r="K982">
        <v>1.34</v>
      </c>
      <c r="L982">
        <v>6.47</v>
      </c>
      <c r="M982">
        <v>6.57</v>
      </c>
      <c r="N982">
        <v>6.4</v>
      </c>
      <c r="O982">
        <v>6.47</v>
      </c>
      <c r="P982">
        <v>127.79</v>
      </c>
      <c r="Q982">
        <v>74392472</v>
      </c>
      <c r="R982">
        <v>1.68</v>
      </c>
      <c r="S982" t="s">
        <v>508</v>
      </c>
      <c r="T982" t="s">
        <v>149</v>
      </c>
      <c r="U982">
        <v>2.63</v>
      </c>
      <c r="V982">
        <v>6.5</v>
      </c>
      <c r="W982">
        <v>65684</v>
      </c>
      <c r="X982">
        <v>48689</v>
      </c>
      <c r="Y982">
        <v>1.35</v>
      </c>
      <c r="Z982">
        <v>561</v>
      </c>
      <c r="AA982">
        <v>461</v>
      </c>
      <c r="AB982" t="s">
        <v>32</v>
      </c>
      <c r="AC982">
        <v>8.51</v>
      </c>
    </row>
    <row r="983" spans="1:29">
      <c r="A983" t="str">
        <f>"002523"</f>
        <v>002523</v>
      </c>
      <c r="B983" t="s">
        <v>1149</v>
      </c>
      <c r="C983">
        <v>10.13</v>
      </c>
      <c r="D983">
        <v>3.48</v>
      </c>
      <c r="E983">
        <v>0.32</v>
      </c>
      <c r="F983">
        <v>3.48</v>
      </c>
      <c r="G983" t="s">
        <v>32</v>
      </c>
      <c r="H983">
        <v>71975</v>
      </c>
      <c r="I983">
        <v>101</v>
      </c>
      <c r="J983">
        <v>0</v>
      </c>
      <c r="K983">
        <v>0.61</v>
      </c>
      <c r="L983">
        <v>3.17</v>
      </c>
      <c r="M983">
        <v>3.48</v>
      </c>
      <c r="N983">
        <v>3.16</v>
      </c>
      <c r="O983">
        <v>3.16</v>
      </c>
      <c r="P983">
        <v>83.53</v>
      </c>
      <c r="Q983">
        <v>24257626</v>
      </c>
      <c r="R983">
        <v>2.59</v>
      </c>
      <c r="S983" t="s">
        <v>151</v>
      </c>
      <c r="T983" t="s">
        <v>152</v>
      </c>
      <c r="U983">
        <v>10.13</v>
      </c>
      <c r="V983">
        <v>3.37</v>
      </c>
      <c r="W983">
        <v>32090</v>
      </c>
      <c r="X983">
        <v>39884</v>
      </c>
      <c r="Y983">
        <v>0.8</v>
      </c>
      <c r="Z983">
        <v>43961</v>
      </c>
      <c r="AA983">
        <v>0</v>
      </c>
      <c r="AB983" t="s">
        <v>32</v>
      </c>
      <c r="AC983">
        <v>11.75</v>
      </c>
    </row>
    <row r="984" spans="1:29">
      <c r="A984" t="str">
        <f>"002524"</f>
        <v>002524</v>
      </c>
      <c r="B984" t="s">
        <v>1150</v>
      </c>
      <c r="C984">
        <v>2.77</v>
      </c>
      <c r="D984">
        <v>4.83</v>
      </c>
      <c r="E984">
        <v>0.13</v>
      </c>
      <c r="F984">
        <v>4.82</v>
      </c>
      <c r="G984">
        <v>4.83</v>
      </c>
      <c r="H984">
        <v>71410</v>
      </c>
      <c r="I984">
        <v>647</v>
      </c>
      <c r="J984">
        <v>0</v>
      </c>
      <c r="K984">
        <v>1.43</v>
      </c>
      <c r="L984">
        <v>4.69</v>
      </c>
      <c r="M984">
        <v>4.89</v>
      </c>
      <c r="N984">
        <v>4.69</v>
      </c>
      <c r="O984">
        <v>4.7</v>
      </c>
      <c r="P984" t="s">
        <v>32</v>
      </c>
      <c r="Q984">
        <v>34422824</v>
      </c>
      <c r="R984">
        <v>1.55</v>
      </c>
      <c r="S984" t="s">
        <v>174</v>
      </c>
      <c r="T984" t="s">
        <v>156</v>
      </c>
      <c r="U984">
        <v>4.26</v>
      </c>
      <c r="V984">
        <v>4.82</v>
      </c>
      <c r="W984">
        <v>35070</v>
      </c>
      <c r="X984">
        <v>36340</v>
      </c>
      <c r="Y984">
        <v>0.97</v>
      </c>
      <c r="Z984">
        <v>265</v>
      </c>
      <c r="AA984">
        <v>762</v>
      </c>
      <c r="AB984" t="s">
        <v>32</v>
      </c>
      <c r="AC984">
        <v>5.01</v>
      </c>
    </row>
    <row r="985" spans="1:29">
      <c r="A985" t="str">
        <f>"002526"</f>
        <v>002526</v>
      </c>
      <c r="B985" t="s">
        <v>1151</v>
      </c>
      <c r="C985">
        <v>2.21</v>
      </c>
      <c r="D985">
        <v>3.24</v>
      </c>
      <c r="E985">
        <v>0.07</v>
      </c>
      <c r="F985">
        <v>3.24</v>
      </c>
      <c r="G985">
        <v>3.25</v>
      </c>
      <c r="H985">
        <v>88025</v>
      </c>
      <c r="I985">
        <v>913</v>
      </c>
      <c r="J985">
        <v>0.31</v>
      </c>
      <c r="K985">
        <v>0.99</v>
      </c>
      <c r="L985">
        <v>3.19</v>
      </c>
      <c r="M985">
        <v>3.26</v>
      </c>
      <c r="N985">
        <v>3.17</v>
      </c>
      <c r="O985">
        <v>3.17</v>
      </c>
      <c r="P985">
        <v>22.46</v>
      </c>
      <c r="Q985">
        <v>28452662</v>
      </c>
      <c r="R985">
        <v>3.67</v>
      </c>
      <c r="S985" t="s">
        <v>151</v>
      </c>
      <c r="T985" t="s">
        <v>162</v>
      </c>
      <c r="U985">
        <v>2.84</v>
      </c>
      <c r="V985">
        <v>3.23</v>
      </c>
      <c r="W985">
        <v>35593</v>
      </c>
      <c r="X985">
        <v>52431</v>
      </c>
      <c r="Y985">
        <v>0.68</v>
      </c>
      <c r="Z985">
        <v>591</v>
      </c>
      <c r="AA985">
        <v>2691</v>
      </c>
      <c r="AB985" t="s">
        <v>32</v>
      </c>
      <c r="AC985">
        <v>8.88</v>
      </c>
    </row>
    <row r="986" spans="1:29">
      <c r="A986" t="str">
        <f>"002527"</f>
        <v>002527</v>
      </c>
      <c r="B986" t="s">
        <v>1152</v>
      </c>
      <c r="C986">
        <v>1.05</v>
      </c>
      <c r="D986">
        <v>6.75</v>
      </c>
      <c r="E986">
        <v>0.07</v>
      </c>
      <c r="F986">
        <v>6.74</v>
      </c>
      <c r="G986">
        <v>6.75</v>
      </c>
      <c r="H986">
        <v>23012</v>
      </c>
      <c r="I986">
        <v>329</v>
      </c>
      <c r="J986">
        <v>-0.29</v>
      </c>
      <c r="K986">
        <v>0.55</v>
      </c>
      <c r="L986">
        <v>6.66</v>
      </c>
      <c r="M986">
        <v>6.78</v>
      </c>
      <c r="N986">
        <v>6.62</v>
      </c>
      <c r="O986">
        <v>6.68</v>
      </c>
      <c r="P986" t="s">
        <v>32</v>
      </c>
      <c r="Q986">
        <v>15505896</v>
      </c>
      <c r="R986">
        <v>1.18</v>
      </c>
      <c r="S986" t="s">
        <v>606</v>
      </c>
      <c r="T986" t="s">
        <v>366</v>
      </c>
      <c r="U986">
        <v>2.4</v>
      </c>
      <c r="V986">
        <v>6.74</v>
      </c>
      <c r="W986">
        <v>11583</v>
      </c>
      <c r="X986">
        <v>11429</v>
      </c>
      <c r="Y986">
        <v>1.01</v>
      </c>
      <c r="Z986">
        <v>297</v>
      </c>
      <c r="AA986">
        <v>571</v>
      </c>
      <c r="AB986" t="s">
        <v>32</v>
      </c>
      <c r="AC986">
        <v>4.22</v>
      </c>
    </row>
    <row r="987" spans="1:29">
      <c r="A987" t="str">
        <f>"002528"</f>
        <v>002528</v>
      </c>
      <c r="B987" t="s">
        <v>1153</v>
      </c>
      <c r="C987">
        <v>1.45</v>
      </c>
      <c r="D987">
        <v>4.2</v>
      </c>
      <c r="E987">
        <v>0.06</v>
      </c>
      <c r="F987">
        <v>4.2</v>
      </c>
      <c r="G987">
        <v>4.21</v>
      </c>
      <c r="H987">
        <v>53292</v>
      </c>
      <c r="I987">
        <v>944</v>
      </c>
      <c r="J987">
        <v>-0.23</v>
      </c>
      <c r="K987">
        <v>0.62</v>
      </c>
      <c r="L987">
        <v>4.11</v>
      </c>
      <c r="M987">
        <v>4.25</v>
      </c>
      <c r="N987">
        <v>4.11</v>
      </c>
      <c r="O987">
        <v>4.14</v>
      </c>
      <c r="P987" t="s">
        <v>32</v>
      </c>
      <c r="Q987">
        <v>22355694</v>
      </c>
      <c r="R987">
        <v>0.89</v>
      </c>
      <c r="S987" t="s">
        <v>65</v>
      </c>
      <c r="T987" t="s">
        <v>31</v>
      </c>
      <c r="U987">
        <v>3.38</v>
      </c>
      <c r="V987">
        <v>4.19</v>
      </c>
      <c r="W987">
        <v>23104</v>
      </c>
      <c r="X987">
        <v>30187</v>
      </c>
      <c r="Y987">
        <v>0.77</v>
      </c>
      <c r="Z987">
        <v>710</v>
      </c>
      <c r="AA987">
        <v>225</v>
      </c>
      <c r="AB987" t="s">
        <v>32</v>
      </c>
      <c r="AC987">
        <v>8.64</v>
      </c>
    </row>
    <row r="988" spans="1:29">
      <c r="A988" t="str">
        <f>"002529"</f>
        <v>002529</v>
      </c>
      <c r="B988" t="s">
        <v>1154</v>
      </c>
      <c r="C988">
        <v>1.65</v>
      </c>
      <c r="D988">
        <v>11.07</v>
      </c>
      <c r="E988">
        <v>0.18</v>
      </c>
      <c r="F988">
        <v>11.06</v>
      </c>
      <c r="G988">
        <v>11.07</v>
      </c>
      <c r="H988">
        <v>53837</v>
      </c>
      <c r="I988">
        <v>190</v>
      </c>
      <c r="J988">
        <v>0</v>
      </c>
      <c r="K988">
        <v>2.69</v>
      </c>
      <c r="L988">
        <v>10.9</v>
      </c>
      <c r="M988">
        <v>11.23</v>
      </c>
      <c r="N988">
        <v>10.81</v>
      </c>
      <c r="O988">
        <v>10.89</v>
      </c>
      <c r="P988">
        <v>27.38</v>
      </c>
      <c r="Q988">
        <v>59438604</v>
      </c>
      <c r="R988">
        <v>1.41</v>
      </c>
      <c r="S988" t="s">
        <v>171</v>
      </c>
      <c r="T988" t="s">
        <v>236</v>
      </c>
      <c r="U988">
        <v>3.86</v>
      </c>
      <c r="V988">
        <v>11.04</v>
      </c>
      <c r="W988">
        <v>25820</v>
      </c>
      <c r="X988">
        <v>28017</v>
      </c>
      <c r="Y988">
        <v>0.92</v>
      </c>
      <c r="Z988">
        <v>377</v>
      </c>
      <c r="AA988">
        <v>44</v>
      </c>
      <c r="AB988" t="s">
        <v>32</v>
      </c>
      <c r="AC988">
        <v>2</v>
      </c>
    </row>
    <row r="989" spans="1:29">
      <c r="A989" t="str">
        <f>"002530"</f>
        <v>002530</v>
      </c>
      <c r="B989" t="s">
        <v>1155</v>
      </c>
      <c r="C989">
        <v>3.49</v>
      </c>
      <c r="D989">
        <v>8.01</v>
      </c>
      <c r="E989">
        <v>0.27</v>
      </c>
      <c r="F989">
        <v>8.01</v>
      </c>
      <c r="G989">
        <v>8.02</v>
      </c>
      <c r="H989">
        <v>90967</v>
      </c>
      <c r="I989">
        <v>718</v>
      </c>
      <c r="J989">
        <v>-0.11</v>
      </c>
      <c r="K989">
        <v>2.69</v>
      </c>
      <c r="L989">
        <v>7.76</v>
      </c>
      <c r="M989">
        <v>8.18</v>
      </c>
      <c r="N989">
        <v>7.67</v>
      </c>
      <c r="O989">
        <v>7.74</v>
      </c>
      <c r="P989">
        <v>66.62</v>
      </c>
      <c r="Q989">
        <v>72310440</v>
      </c>
      <c r="R989">
        <v>1.77</v>
      </c>
      <c r="S989" t="s">
        <v>171</v>
      </c>
      <c r="T989" t="s">
        <v>87</v>
      </c>
      <c r="U989">
        <v>6.59</v>
      </c>
      <c r="V989">
        <v>7.95</v>
      </c>
      <c r="W989">
        <v>39830</v>
      </c>
      <c r="X989">
        <v>51137</v>
      </c>
      <c r="Y989">
        <v>0.78</v>
      </c>
      <c r="Z989">
        <v>26</v>
      </c>
      <c r="AA989">
        <v>581</v>
      </c>
      <c r="AB989" t="s">
        <v>32</v>
      </c>
      <c r="AC989">
        <v>3.39</v>
      </c>
    </row>
    <row r="990" spans="1:29">
      <c r="A990" t="str">
        <f>"002531"</f>
        <v>002531</v>
      </c>
      <c r="B990" t="s">
        <v>1156</v>
      </c>
      <c r="C990">
        <v>5.46</v>
      </c>
      <c r="D990">
        <v>4.44</v>
      </c>
      <c r="E990">
        <v>0.23</v>
      </c>
      <c r="F990">
        <v>4.44</v>
      </c>
      <c r="G990">
        <v>4.45</v>
      </c>
      <c r="H990">
        <v>123186</v>
      </c>
      <c r="I990">
        <v>581</v>
      </c>
      <c r="J990">
        <v>-0.21</v>
      </c>
      <c r="K990">
        <v>0.7</v>
      </c>
      <c r="L990">
        <v>4.21</v>
      </c>
      <c r="M990">
        <v>4.57</v>
      </c>
      <c r="N990">
        <v>4.21</v>
      </c>
      <c r="O990">
        <v>4.21</v>
      </c>
      <c r="P990">
        <v>24.1</v>
      </c>
      <c r="Q990">
        <v>54265228</v>
      </c>
      <c r="R990">
        <v>1.03</v>
      </c>
      <c r="S990" t="s">
        <v>104</v>
      </c>
      <c r="T990" t="s">
        <v>87</v>
      </c>
      <c r="U990">
        <v>8.55</v>
      </c>
      <c r="V990">
        <v>4.41</v>
      </c>
      <c r="W990">
        <v>45621</v>
      </c>
      <c r="X990">
        <v>77564</v>
      </c>
      <c r="Y990">
        <v>0.59</v>
      </c>
      <c r="Z990">
        <v>378</v>
      </c>
      <c r="AA990">
        <v>432</v>
      </c>
      <c r="AB990" t="s">
        <v>32</v>
      </c>
      <c r="AC990">
        <v>17.69</v>
      </c>
    </row>
    <row r="991" spans="1:29">
      <c r="A991" t="str">
        <f>"002532"</f>
        <v>002532</v>
      </c>
      <c r="B991" t="s">
        <v>1157</v>
      </c>
      <c r="C991">
        <v>0.39</v>
      </c>
      <c r="D991">
        <v>5.18</v>
      </c>
      <c r="E991">
        <v>0.02</v>
      </c>
      <c r="F991">
        <v>5.18</v>
      </c>
      <c r="G991">
        <v>5.19</v>
      </c>
      <c r="H991">
        <v>24432</v>
      </c>
      <c r="I991">
        <v>601</v>
      </c>
      <c r="J991">
        <v>-0.18</v>
      </c>
      <c r="K991">
        <v>0.61</v>
      </c>
      <c r="L991">
        <v>5.15</v>
      </c>
      <c r="M991">
        <v>5.23</v>
      </c>
      <c r="N991">
        <v>5.09</v>
      </c>
      <c r="O991">
        <v>5.16</v>
      </c>
      <c r="P991">
        <v>26.34</v>
      </c>
      <c r="Q991">
        <v>12661702</v>
      </c>
      <c r="R991">
        <v>0.96</v>
      </c>
      <c r="S991" t="s">
        <v>481</v>
      </c>
      <c r="T991" t="s">
        <v>149</v>
      </c>
      <c r="U991">
        <v>2.71</v>
      </c>
      <c r="V991">
        <v>5.18</v>
      </c>
      <c r="W991">
        <v>12899</v>
      </c>
      <c r="X991">
        <v>11533</v>
      </c>
      <c r="Y991">
        <v>1.12</v>
      </c>
      <c r="Z991">
        <v>303</v>
      </c>
      <c r="AA991">
        <v>563</v>
      </c>
      <c r="AB991" t="s">
        <v>32</v>
      </c>
      <c r="AC991">
        <v>4.03</v>
      </c>
    </row>
    <row r="992" spans="1:29">
      <c r="A992" t="str">
        <f>"002533"</f>
        <v>002533</v>
      </c>
      <c r="B992" t="s">
        <v>1158</v>
      </c>
      <c r="C992">
        <v>1.24</v>
      </c>
      <c r="D992">
        <v>4.9</v>
      </c>
      <c r="E992">
        <v>0.06</v>
      </c>
      <c r="F992">
        <v>4.9</v>
      </c>
      <c r="G992">
        <v>4.91</v>
      </c>
      <c r="H992">
        <v>35839</v>
      </c>
      <c r="I992">
        <v>141</v>
      </c>
      <c r="J992">
        <v>0</v>
      </c>
      <c r="K992">
        <v>0.7</v>
      </c>
      <c r="L992">
        <v>4.83</v>
      </c>
      <c r="M992">
        <v>4.92</v>
      </c>
      <c r="N992">
        <v>4.81</v>
      </c>
      <c r="O992">
        <v>4.84</v>
      </c>
      <c r="P992">
        <v>26.63</v>
      </c>
      <c r="Q992">
        <v>17500492</v>
      </c>
      <c r="R992">
        <v>1.96</v>
      </c>
      <c r="S992" t="s">
        <v>104</v>
      </c>
      <c r="T992" t="s">
        <v>152</v>
      </c>
      <c r="U992">
        <v>2.27</v>
      </c>
      <c r="V992">
        <v>4.88</v>
      </c>
      <c r="W992">
        <v>15851</v>
      </c>
      <c r="X992">
        <v>19988</v>
      </c>
      <c r="Y992">
        <v>0.79</v>
      </c>
      <c r="Z992">
        <v>240</v>
      </c>
      <c r="AA992">
        <v>1713</v>
      </c>
      <c r="AB992" t="s">
        <v>32</v>
      </c>
      <c r="AC992">
        <v>5.14</v>
      </c>
    </row>
    <row r="993" spans="1:29">
      <c r="A993" t="str">
        <f>"002534"</f>
        <v>002534</v>
      </c>
      <c r="B993" t="s">
        <v>1159</v>
      </c>
      <c r="C993">
        <v>1.75</v>
      </c>
      <c r="D993">
        <v>6.97</v>
      </c>
      <c r="E993">
        <v>0.12</v>
      </c>
      <c r="F993">
        <v>6.96</v>
      </c>
      <c r="G993">
        <v>6.97</v>
      </c>
      <c r="H993">
        <v>21554</v>
      </c>
      <c r="I993">
        <v>481</v>
      </c>
      <c r="J993">
        <v>0.29</v>
      </c>
      <c r="K993">
        <v>0.3</v>
      </c>
      <c r="L993">
        <v>6.85</v>
      </c>
      <c r="M993">
        <v>7</v>
      </c>
      <c r="N993">
        <v>6.84</v>
      </c>
      <c r="O993">
        <v>6.85</v>
      </c>
      <c r="P993">
        <v>16.75</v>
      </c>
      <c r="Q993">
        <v>14936496</v>
      </c>
      <c r="R993">
        <v>1.2</v>
      </c>
      <c r="S993" t="s">
        <v>171</v>
      </c>
      <c r="T993" t="s">
        <v>149</v>
      </c>
      <c r="U993">
        <v>2.34</v>
      </c>
      <c r="V993">
        <v>6.93</v>
      </c>
      <c r="W993">
        <v>7368</v>
      </c>
      <c r="X993">
        <v>14186</v>
      </c>
      <c r="Y993">
        <v>0.52</v>
      </c>
      <c r="Z993">
        <v>17</v>
      </c>
      <c r="AA993">
        <v>172</v>
      </c>
      <c r="AB993" t="s">
        <v>32</v>
      </c>
      <c r="AC993">
        <v>7.28</v>
      </c>
    </row>
    <row r="994" spans="1:29">
      <c r="A994" t="str">
        <f>"002535"</f>
        <v>002535</v>
      </c>
      <c r="B994" t="s">
        <v>1160</v>
      </c>
      <c r="C994">
        <v>2.45</v>
      </c>
      <c r="D994">
        <v>3.77</v>
      </c>
      <c r="E994">
        <v>0.09</v>
      </c>
      <c r="F994">
        <v>3.77</v>
      </c>
      <c r="G994">
        <v>3.78</v>
      </c>
      <c r="H994">
        <v>126237</v>
      </c>
      <c r="I994">
        <v>1476</v>
      </c>
      <c r="J994">
        <v>0</v>
      </c>
      <c r="K994">
        <v>2.14</v>
      </c>
      <c r="L994">
        <v>3.66</v>
      </c>
      <c r="M994">
        <v>3.83</v>
      </c>
      <c r="N994">
        <v>3.66</v>
      </c>
      <c r="O994">
        <v>3.68</v>
      </c>
      <c r="P994">
        <v>29.69</v>
      </c>
      <c r="Q994">
        <v>47633484</v>
      </c>
      <c r="R994">
        <v>2.7</v>
      </c>
      <c r="S994" t="s">
        <v>151</v>
      </c>
      <c r="T994" t="s">
        <v>164</v>
      </c>
      <c r="U994">
        <v>4.62</v>
      </c>
      <c r="V994">
        <v>3.77</v>
      </c>
      <c r="W994">
        <v>55367</v>
      </c>
      <c r="X994">
        <v>70869</v>
      </c>
      <c r="Y994">
        <v>0.78</v>
      </c>
      <c r="Z994">
        <v>86</v>
      </c>
      <c r="AA994">
        <v>677</v>
      </c>
      <c r="AB994" t="s">
        <v>32</v>
      </c>
      <c r="AC994">
        <v>5.9</v>
      </c>
    </row>
    <row r="995" spans="1:29">
      <c r="A995" t="str">
        <f>"002536"</f>
        <v>002536</v>
      </c>
      <c r="B995" t="s">
        <v>1161</v>
      </c>
      <c r="C995">
        <v>1.87</v>
      </c>
      <c r="D995">
        <v>11.47</v>
      </c>
      <c r="E995">
        <v>0.21</v>
      </c>
      <c r="F995">
        <v>11.47</v>
      </c>
      <c r="G995">
        <v>11.48</v>
      </c>
      <c r="H995">
        <v>23034</v>
      </c>
      <c r="I995">
        <v>229</v>
      </c>
      <c r="J995">
        <v>0.09</v>
      </c>
      <c r="K995">
        <v>0.73</v>
      </c>
      <c r="L995">
        <v>11.28</v>
      </c>
      <c r="M995">
        <v>11.48</v>
      </c>
      <c r="N995">
        <v>11.26</v>
      </c>
      <c r="O995">
        <v>11.26</v>
      </c>
      <c r="P995">
        <v>12.83</v>
      </c>
      <c r="Q995">
        <v>26258480</v>
      </c>
      <c r="R995">
        <v>1.96</v>
      </c>
      <c r="S995" t="s">
        <v>80</v>
      </c>
      <c r="T995" t="s">
        <v>164</v>
      </c>
      <c r="U995">
        <v>1.95</v>
      </c>
      <c r="V995">
        <v>11.4</v>
      </c>
      <c r="W995">
        <v>11037</v>
      </c>
      <c r="X995">
        <v>11997</v>
      </c>
      <c r="Y995">
        <v>0.92</v>
      </c>
      <c r="Z995">
        <v>89</v>
      </c>
      <c r="AA995">
        <v>372</v>
      </c>
      <c r="AB995" t="s">
        <v>32</v>
      </c>
      <c r="AC995">
        <v>3.14</v>
      </c>
    </row>
    <row r="996" spans="1:29">
      <c r="A996" t="str">
        <f>"002537"</f>
        <v>002537</v>
      </c>
      <c r="B996" t="s">
        <v>1162</v>
      </c>
      <c r="C996">
        <v>-0.61</v>
      </c>
      <c r="D996">
        <v>9.81</v>
      </c>
      <c r="E996">
        <v>-0.06</v>
      </c>
      <c r="F996">
        <v>9.8</v>
      </c>
      <c r="G996">
        <v>9.81</v>
      </c>
      <c r="H996">
        <v>27263</v>
      </c>
      <c r="I996">
        <v>293</v>
      </c>
      <c r="J996">
        <v>0.62</v>
      </c>
      <c r="K996">
        <v>0.23</v>
      </c>
      <c r="L996">
        <v>9.87</v>
      </c>
      <c r="M996">
        <v>9.88</v>
      </c>
      <c r="N996">
        <v>9.74</v>
      </c>
      <c r="O996">
        <v>9.87</v>
      </c>
      <c r="P996">
        <v>32.47</v>
      </c>
      <c r="Q996">
        <v>26716968</v>
      </c>
      <c r="R996">
        <v>0.89</v>
      </c>
      <c r="S996" t="s">
        <v>262</v>
      </c>
      <c r="T996" t="s">
        <v>162</v>
      </c>
      <c r="U996">
        <v>1.42</v>
      </c>
      <c r="V996">
        <v>9.8</v>
      </c>
      <c r="W996">
        <v>17619</v>
      </c>
      <c r="X996">
        <v>9644</v>
      </c>
      <c r="Y996">
        <v>1.83</v>
      </c>
      <c r="Z996">
        <v>110</v>
      </c>
      <c r="AA996">
        <v>74</v>
      </c>
      <c r="AB996" t="s">
        <v>32</v>
      </c>
      <c r="AC996">
        <v>11.69</v>
      </c>
    </row>
    <row r="997" spans="1:29">
      <c r="A997" t="str">
        <f>"002538"</f>
        <v>002538</v>
      </c>
      <c r="B997" t="s">
        <v>1163</v>
      </c>
      <c r="C997">
        <v>2.76</v>
      </c>
      <c r="D997">
        <v>4.84</v>
      </c>
      <c r="E997">
        <v>0.13</v>
      </c>
      <c r="F997">
        <v>4.83</v>
      </c>
      <c r="G997">
        <v>4.84</v>
      </c>
      <c r="H997">
        <v>108241</v>
      </c>
      <c r="I997">
        <v>1425</v>
      </c>
      <c r="J997">
        <v>0.21</v>
      </c>
      <c r="K997">
        <v>1.55</v>
      </c>
      <c r="L997">
        <v>4.7</v>
      </c>
      <c r="M997">
        <v>4.88</v>
      </c>
      <c r="N997">
        <v>4.7</v>
      </c>
      <c r="O997">
        <v>4.71</v>
      </c>
      <c r="P997">
        <v>21.03</v>
      </c>
      <c r="Q997">
        <v>52056804</v>
      </c>
      <c r="R997">
        <v>1.53</v>
      </c>
      <c r="S997" t="s">
        <v>145</v>
      </c>
      <c r="T997" t="s">
        <v>143</v>
      </c>
      <c r="U997">
        <v>3.82</v>
      </c>
      <c r="V997">
        <v>4.81</v>
      </c>
      <c r="W997">
        <v>45916</v>
      </c>
      <c r="X997">
        <v>62324</v>
      </c>
      <c r="Y997">
        <v>0.74</v>
      </c>
      <c r="Z997">
        <v>134</v>
      </c>
      <c r="AA997">
        <v>1123</v>
      </c>
      <c r="AB997" t="s">
        <v>32</v>
      </c>
      <c r="AC997">
        <v>6.99</v>
      </c>
    </row>
    <row r="998" spans="1:29">
      <c r="A998" t="str">
        <f>"002539"</f>
        <v>002539</v>
      </c>
      <c r="B998" t="s">
        <v>1164</v>
      </c>
      <c r="C998">
        <v>2.02</v>
      </c>
      <c r="D998">
        <v>4.55</v>
      </c>
      <c r="E998">
        <v>0.09</v>
      </c>
      <c r="F998">
        <v>4.54</v>
      </c>
      <c r="G998">
        <v>4.55</v>
      </c>
      <c r="H998">
        <v>32733</v>
      </c>
      <c r="I998">
        <v>943</v>
      </c>
      <c r="J998">
        <v>0</v>
      </c>
      <c r="K998">
        <v>0.68</v>
      </c>
      <c r="L998">
        <v>4.44</v>
      </c>
      <c r="M998">
        <v>4.57</v>
      </c>
      <c r="N998">
        <v>4.43</v>
      </c>
      <c r="O998">
        <v>4.46</v>
      </c>
      <c r="P998">
        <v>22.63</v>
      </c>
      <c r="Q998">
        <v>14780402</v>
      </c>
      <c r="R998">
        <v>1.08</v>
      </c>
      <c r="S998" t="s">
        <v>145</v>
      </c>
      <c r="T998" t="s">
        <v>146</v>
      </c>
      <c r="U998">
        <v>3.14</v>
      </c>
      <c r="V998">
        <v>4.52</v>
      </c>
      <c r="W998">
        <v>15782</v>
      </c>
      <c r="X998">
        <v>16950</v>
      </c>
      <c r="Y998">
        <v>0.93</v>
      </c>
      <c r="Z998">
        <v>76</v>
      </c>
      <c r="AA998">
        <v>220</v>
      </c>
      <c r="AB998" t="s">
        <v>32</v>
      </c>
      <c r="AC998">
        <v>4.78</v>
      </c>
    </row>
    <row r="999" spans="1:29">
      <c r="A999" t="str">
        <f>"002540"</f>
        <v>002540</v>
      </c>
      <c r="B999" t="s">
        <v>1165</v>
      </c>
      <c r="C999">
        <v>2.7</v>
      </c>
      <c r="D999">
        <v>5.33</v>
      </c>
      <c r="E999">
        <v>0.14</v>
      </c>
      <c r="F999">
        <v>5.33</v>
      </c>
      <c r="G999">
        <v>5.34</v>
      </c>
      <c r="H999">
        <v>88857</v>
      </c>
      <c r="I999">
        <v>1711</v>
      </c>
      <c r="J999">
        <v>0</v>
      </c>
      <c r="K999">
        <v>1.26</v>
      </c>
      <c r="L999">
        <v>5.23</v>
      </c>
      <c r="M999">
        <v>5.38</v>
      </c>
      <c r="N999">
        <v>5.2</v>
      </c>
      <c r="O999">
        <v>5.19</v>
      </c>
      <c r="P999">
        <v>20.5</v>
      </c>
      <c r="Q999">
        <v>46984220</v>
      </c>
      <c r="R999">
        <v>3.06</v>
      </c>
      <c r="S999" t="s">
        <v>324</v>
      </c>
      <c r="T999" t="s">
        <v>87</v>
      </c>
      <c r="U999">
        <v>3.47</v>
      </c>
      <c r="V999">
        <v>5.29</v>
      </c>
      <c r="W999">
        <v>31525</v>
      </c>
      <c r="X999">
        <v>57332</v>
      </c>
      <c r="Y999">
        <v>0.55</v>
      </c>
      <c r="Z999">
        <v>1390</v>
      </c>
      <c r="AA999">
        <v>1366</v>
      </c>
      <c r="AB999" t="s">
        <v>32</v>
      </c>
      <c r="AC999">
        <v>7.05</v>
      </c>
    </row>
    <row r="1000" spans="1:29">
      <c r="A1000" t="str">
        <f>"002541"</f>
        <v>002541</v>
      </c>
      <c r="B1000" t="s">
        <v>1166</v>
      </c>
      <c r="C1000">
        <v>4.08</v>
      </c>
      <c r="D1000">
        <v>7.65</v>
      </c>
      <c r="E1000">
        <v>0.3</v>
      </c>
      <c r="F1000">
        <v>7.65</v>
      </c>
      <c r="G1000">
        <v>7.66</v>
      </c>
      <c r="H1000">
        <v>55833</v>
      </c>
      <c r="I1000">
        <v>1384</v>
      </c>
      <c r="J1000">
        <v>0</v>
      </c>
      <c r="K1000">
        <v>1.5</v>
      </c>
      <c r="L1000">
        <v>7.33</v>
      </c>
      <c r="M1000">
        <v>7.68</v>
      </c>
      <c r="N1000">
        <v>7.31</v>
      </c>
      <c r="O1000">
        <v>7.35</v>
      </c>
      <c r="P1000">
        <v>19.27</v>
      </c>
      <c r="Q1000">
        <v>42353372</v>
      </c>
      <c r="R1000">
        <v>2.87</v>
      </c>
      <c r="S1000" t="s">
        <v>449</v>
      </c>
      <c r="T1000" t="s">
        <v>143</v>
      </c>
      <c r="U1000">
        <v>5.03</v>
      </c>
      <c r="V1000">
        <v>7.59</v>
      </c>
      <c r="W1000">
        <v>24876</v>
      </c>
      <c r="X1000">
        <v>30957</v>
      </c>
      <c r="Y1000">
        <v>0.8</v>
      </c>
      <c r="Z1000">
        <v>202</v>
      </c>
      <c r="AA1000">
        <v>748</v>
      </c>
      <c r="AB1000" t="s">
        <v>32</v>
      </c>
      <c r="AC1000">
        <v>3.71</v>
      </c>
    </row>
    <row r="1001" spans="1:29">
      <c r="A1001" t="str">
        <f>"002542"</f>
        <v>002542</v>
      </c>
      <c r="B1001" t="s">
        <v>1167</v>
      </c>
      <c r="C1001">
        <v>9.96</v>
      </c>
      <c r="D1001">
        <v>5.52</v>
      </c>
      <c r="E1001">
        <v>0.5</v>
      </c>
      <c r="F1001">
        <v>5.52</v>
      </c>
      <c r="G1001" t="s">
        <v>32</v>
      </c>
      <c r="H1001">
        <v>150539</v>
      </c>
      <c r="I1001">
        <v>707</v>
      </c>
      <c r="J1001">
        <v>0</v>
      </c>
      <c r="K1001">
        <v>2.2</v>
      </c>
      <c r="L1001">
        <v>5.08</v>
      </c>
      <c r="M1001">
        <v>5.52</v>
      </c>
      <c r="N1001">
        <v>5.05</v>
      </c>
      <c r="O1001">
        <v>5.02</v>
      </c>
      <c r="P1001">
        <v>57.2</v>
      </c>
      <c r="Q1001">
        <v>81801840</v>
      </c>
      <c r="R1001">
        <v>1.43</v>
      </c>
      <c r="S1001" t="s">
        <v>49</v>
      </c>
      <c r="T1001" t="s">
        <v>45</v>
      </c>
      <c r="U1001">
        <v>9.36</v>
      </c>
      <c r="V1001">
        <v>5.43</v>
      </c>
      <c r="W1001">
        <v>101613</v>
      </c>
      <c r="X1001">
        <v>48925</v>
      </c>
      <c r="Y1001">
        <v>2.08</v>
      </c>
      <c r="Z1001">
        <v>41852</v>
      </c>
      <c r="AA1001">
        <v>0</v>
      </c>
      <c r="AB1001" t="s">
        <v>32</v>
      </c>
      <c r="AC1001">
        <v>6.84</v>
      </c>
    </row>
    <row r="1002" spans="1:29">
      <c r="A1002" t="str">
        <f>"002543"</f>
        <v>002543</v>
      </c>
      <c r="B1002" t="s">
        <v>1168</v>
      </c>
      <c r="C1002">
        <v>-1.08</v>
      </c>
      <c r="D1002">
        <v>14.7</v>
      </c>
      <c r="E1002">
        <v>-0.16</v>
      </c>
      <c r="F1002">
        <v>14.7</v>
      </c>
      <c r="G1002">
        <v>14.71</v>
      </c>
      <c r="H1002">
        <v>44870</v>
      </c>
      <c r="I1002">
        <v>326</v>
      </c>
      <c r="J1002">
        <v>0.48</v>
      </c>
      <c r="K1002">
        <v>0.92</v>
      </c>
      <c r="L1002">
        <v>14.98</v>
      </c>
      <c r="M1002">
        <v>14.98</v>
      </c>
      <c r="N1002">
        <v>14.34</v>
      </c>
      <c r="O1002">
        <v>14.86</v>
      </c>
      <c r="P1002">
        <v>14.37</v>
      </c>
      <c r="Q1002">
        <v>65378500</v>
      </c>
      <c r="R1002">
        <v>1.21</v>
      </c>
      <c r="S1002" t="s">
        <v>55</v>
      </c>
      <c r="T1002" t="s">
        <v>136</v>
      </c>
      <c r="U1002">
        <v>4.31</v>
      </c>
      <c r="V1002">
        <v>14.57</v>
      </c>
      <c r="W1002">
        <v>24316</v>
      </c>
      <c r="X1002">
        <v>20554</v>
      </c>
      <c r="Y1002">
        <v>1.18</v>
      </c>
      <c r="Z1002">
        <v>1148</v>
      </c>
      <c r="AA1002">
        <v>79</v>
      </c>
      <c r="AB1002" t="s">
        <v>32</v>
      </c>
      <c r="AC1002">
        <v>4.85</v>
      </c>
    </row>
    <row r="1003" spans="1:29">
      <c r="A1003" t="str">
        <f>"002544"</f>
        <v>002544</v>
      </c>
      <c r="B1003" t="s">
        <v>1169</v>
      </c>
      <c r="C1003">
        <v>3.31</v>
      </c>
      <c r="D1003">
        <v>14.34</v>
      </c>
      <c r="E1003">
        <v>0.46</v>
      </c>
      <c r="F1003">
        <v>14.34</v>
      </c>
      <c r="G1003">
        <v>14.35</v>
      </c>
      <c r="H1003">
        <v>198743</v>
      </c>
      <c r="I1003">
        <v>2152</v>
      </c>
      <c r="J1003">
        <v>0.28</v>
      </c>
      <c r="K1003">
        <v>3.89</v>
      </c>
      <c r="L1003">
        <v>14.3</v>
      </c>
      <c r="M1003">
        <v>14.54</v>
      </c>
      <c r="N1003">
        <v>14.01</v>
      </c>
      <c r="O1003">
        <v>13.88</v>
      </c>
      <c r="P1003">
        <v>61.84</v>
      </c>
      <c r="Q1003">
        <v>284029088</v>
      </c>
      <c r="R1003">
        <v>1.85</v>
      </c>
      <c r="S1003" t="s">
        <v>270</v>
      </c>
      <c r="T1003" t="s">
        <v>136</v>
      </c>
      <c r="U1003">
        <v>3.82</v>
      </c>
      <c r="V1003">
        <v>14.29</v>
      </c>
      <c r="W1003">
        <v>92107</v>
      </c>
      <c r="X1003">
        <v>106636</v>
      </c>
      <c r="Y1003">
        <v>0.86</v>
      </c>
      <c r="Z1003">
        <v>643</v>
      </c>
      <c r="AA1003">
        <v>203</v>
      </c>
      <c r="AB1003" t="s">
        <v>32</v>
      </c>
      <c r="AC1003">
        <v>5.12</v>
      </c>
    </row>
    <row r="1004" spans="1:29">
      <c r="A1004" t="str">
        <f>"002545"</f>
        <v>002545</v>
      </c>
      <c r="B1004" t="s">
        <v>1170</v>
      </c>
      <c r="C1004">
        <v>2.24</v>
      </c>
      <c r="D1004">
        <v>5.94</v>
      </c>
      <c r="E1004">
        <v>0.13</v>
      </c>
      <c r="F1004">
        <v>5.94</v>
      </c>
      <c r="G1004">
        <v>5.95</v>
      </c>
      <c r="H1004">
        <v>65166</v>
      </c>
      <c r="I1004">
        <v>1394</v>
      </c>
      <c r="J1004">
        <v>0</v>
      </c>
      <c r="K1004">
        <v>1.05</v>
      </c>
      <c r="L1004">
        <v>5.8</v>
      </c>
      <c r="M1004">
        <v>6.04</v>
      </c>
      <c r="N1004">
        <v>5.78</v>
      </c>
      <c r="O1004">
        <v>5.81</v>
      </c>
      <c r="P1004">
        <v>71.94</v>
      </c>
      <c r="Q1004">
        <v>38631920</v>
      </c>
      <c r="R1004">
        <v>1.39</v>
      </c>
      <c r="S1004" t="s">
        <v>449</v>
      </c>
      <c r="T1004" t="s">
        <v>162</v>
      </c>
      <c r="U1004">
        <v>4.48</v>
      </c>
      <c r="V1004">
        <v>5.93</v>
      </c>
      <c r="W1004">
        <v>31042</v>
      </c>
      <c r="X1004">
        <v>34124</v>
      </c>
      <c r="Y1004">
        <v>0.91</v>
      </c>
      <c r="Z1004">
        <v>538</v>
      </c>
      <c r="AA1004">
        <v>1078</v>
      </c>
      <c r="AB1004" t="s">
        <v>32</v>
      </c>
      <c r="AC1004">
        <v>6.18</v>
      </c>
    </row>
    <row r="1005" spans="1:29">
      <c r="A1005" t="str">
        <f>"002546"</f>
        <v>002546</v>
      </c>
      <c r="B1005" t="s">
        <v>1171</v>
      </c>
      <c r="C1005">
        <v>0.79</v>
      </c>
      <c r="D1005">
        <v>3.84</v>
      </c>
      <c r="E1005">
        <v>0.03</v>
      </c>
      <c r="F1005">
        <v>3.84</v>
      </c>
      <c r="G1005">
        <v>3.85</v>
      </c>
      <c r="H1005">
        <v>53438</v>
      </c>
      <c r="I1005">
        <v>1043</v>
      </c>
      <c r="J1005">
        <v>0</v>
      </c>
      <c r="K1005">
        <v>0.68</v>
      </c>
      <c r="L1005">
        <v>3.8</v>
      </c>
      <c r="M1005">
        <v>3.87</v>
      </c>
      <c r="N1005">
        <v>3.77</v>
      </c>
      <c r="O1005">
        <v>3.81</v>
      </c>
      <c r="P1005">
        <v>32.35</v>
      </c>
      <c r="Q1005">
        <v>20526226</v>
      </c>
      <c r="R1005">
        <v>1.11</v>
      </c>
      <c r="S1005" t="s">
        <v>104</v>
      </c>
      <c r="T1005" t="s">
        <v>87</v>
      </c>
      <c r="U1005">
        <v>2.62</v>
      </c>
      <c r="V1005">
        <v>3.84</v>
      </c>
      <c r="W1005">
        <v>30740</v>
      </c>
      <c r="X1005">
        <v>22698</v>
      </c>
      <c r="Y1005">
        <v>1.35</v>
      </c>
      <c r="Z1005">
        <v>320</v>
      </c>
      <c r="AA1005">
        <v>548</v>
      </c>
      <c r="AB1005" t="s">
        <v>32</v>
      </c>
      <c r="AC1005">
        <v>7.82</v>
      </c>
    </row>
    <row r="1006" spans="1:29">
      <c r="A1006" t="str">
        <f>"002547"</f>
        <v>002547</v>
      </c>
      <c r="B1006" t="s">
        <v>1172</v>
      </c>
      <c r="C1006">
        <v>0.86</v>
      </c>
      <c r="D1006">
        <v>4.68</v>
      </c>
      <c r="E1006">
        <v>0.04</v>
      </c>
      <c r="F1006">
        <v>4.67</v>
      </c>
      <c r="G1006">
        <v>4.68</v>
      </c>
      <c r="H1006">
        <v>310091</v>
      </c>
      <c r="I1006">
        <v>3249</v>
      </c>
      <c r="J1006">
        <v>0</v>
      </c>
      <c r="K1006">
        <v>3.88</v>
      </c>
      <c r="L1006">
        <v>4.64</v>
      </c>
      <c r="M1006">
        <v>4.71</v>
      </c>
      <c r="N1006">
        <v>4.63</v>
      </c>
      <c r="O1006">
        <v>4.64</v>
      </c>
      <c r="P1006">
        <v>419.31</v>
      </c>
      <c r="Q1006">
        <v>144904528</v>
      </c>
      <c r="R1006">
        <v>1.35</v>
      </c>
      <c r="S1006" t="s">
        <v>119</v>
      </c>
      <c r="T1006" t="s">
        <v>87</v>
      </c>
      <c r="U1006">
        <v>1.72</v>
      </c>
      <c r="V1006">
        <v>4.67</v>
      </c>
      <c r="W1006">
        <v>122430</v>
      </c>
      <c r="X1006">
        <v>187661</v>
      </c>
      <c r="Y1006">
        <v>0.65</v>
      </c>
      <c r="Z1006">
        <v>15995</v>
      </c>
      <c r="AA1006">
        <v>2516</v>
      </c>
      <c r="AB1006" t="s">
        <v>32</v>
      </c>
      <c r="AC1006">
        <v>8</v>
      </c>
    </row>
    <row r="1007" spans="1:29">
      <c r="A1007" t="str">
        <f>"002548"</f>
        <v>002548</v>
      </c>
      <c r="B1007" t="s">
        <v>1173</v>
      </c>
      <c r="C1007">
        <v>-0.13</v>
      </c>
      <c r="D1007">
        <v>7.74</v>
      </c>
      <c r="E1007">
        <v>-0.01</v>
      </c>
      <c r="F1007">
        <v>7.73</v>
      </c>
      <c r="G1007">
        <v>7.74</v>
      </c>
      <c r="H1007">
        <v>9721</v>
      </c>
      <c r="I1007">
        <v>297</v>
      </c>
      <c r="J1007">
        <v>0</v>
      </c>
      <c r="K1007">
        <v>0.31</v>
      </c>
      <c r="L1007">
        <v>7.72</v>
      </c>
      <c r="M1007">
        <v>7.8</v>
      </c>
      <c r="N1007">
        <v>7.63</v>
      </c>
      <c r="O1007">
        <v>7.75</v>
      </c>
      <c r="P1007">
        <v>39.5</v>
      </c>
      <c r="Q1007">
        <v>7520380</v>
      </c>
      <c r="R1007">
        <v>0.86</v>
      </c>
      <c r="S1007" t="s">
        <v>102</v>
      </c>
      <c r="T1007" t="s">
        <v>31</v>
      </c>
      <c r="U1007">
        <v>2.19</v>
      </c>
      <c r="V1007">
        <v>7.74</v>
      </c>
      <c r="W1007">
        <v>5137</v>
      </c>
      <c r="X1007">
        <v>4584</v>
      </c>
      <c r="Y1007">
        <v>1.12</v>
      </c>
      <c r="Z1007">
        <v>343</v>
      </c>
      <c r="AA1007">
        <v>67</v>
      </c>
      <c r="AB1007" t="s">
        <v>32</v>
      </c>
      <c r="AC1007">
        <v>3.11</v>
      </c>
    </row>
    <row r="1008" spans="1:29">
      <c r="A1008" t="str">
        <f>"002549"</f>
        <v>002549</v>
      </c>
      <c r="B1008" t="s">
        <v>1174</v>
      </c>
      <c r="C1008">
        <v>0.76</v>
      </c>
      <c r="D1008">
        <v>5.3</v>
      </c>
      <c r="E1008">
        <v>0.04</v>
      </c>
      <c r="F1008">
        <v>5.3</v>
      </c>
      <c r="G1008">
        <v>5.31</v>
      </c>
      <c r="H1008">
        <v>29283</v>
      </c>
      <c r="I1008">
        <v>489</v>
      </c>
      <c r="J1008">
        <v>0.19</v>
      </c>
      <c r="K1008">
        <v>0.47</v>
      </c>
      <c r="L1008">
        <v>5.26</v>
      </c>
      <c r="M1008">
        <v>5.32</v>
      </c>
      <c r="N1008">
        <v>5.23</v>
      </c>
      <c r="O1008">
        <v>5.26</v>
      </c>
      <c r="P1008">
        <v>43.82</v>
      </c>
      <c r="Q1008">
        <v>15486789</v>
      </c>
      <c r="R1008">
        <v>1.94</v>
      </c>
      <c r="S1008" t="s">
        <v>86</v>
      </c>
      <c r="T1008" t="s">
        <v>152</v>
      </c>
      <c r="U1008">
        <v>1.71</v>
      </c>
      <c r="V1008">
        <v>5.29</v>
      </c>
      <c r="W1008">
        <v>13231</v>
      </c>
      <c r="X1008">
        <v>16051</v>
      </c>
      <c r="Y1008">
        <v>0.82</v>
      </c>
      <c r="Z1008">
        <v>297</v>
      </c>
      <c r="AA1008">
        <v>321</v>
      </c>
      <c r="AB1008" t="s">
        <v>32</v>
      </c>
      <c r="AC1008">
        <v>6.2</v>
      </c>
    </row>
    <row r="1009" spans="1:29">
      <c r="A1009" t="str">
        <f>"002550"</f>
        <v>002550</v>
      </c>
      <c r="B1009" t="s">
        <v>1175</v>
      </c>
      <c r="C1009">
        <v>0.56</v>
      </c>
      <c r="D1009">
        <v>5.34</v>
      </c>
      <c r="E1009">
        <v>0.03</v>
      </c>
      <c r="F1009">
        <v>5.34</v>
      </c>
      <c r="G1009">
        <v>5.35</v>
      </c>
      <c r="H1009">
        <v>136513</v>
      </c>
      <c r="I1009">
        <v>2087</v>
      </c>
      <c r="J1009">
        <v>-0.18</v>
      </c>
      <c r="K1009">
        <v>1.51</v>
      </c>
      <c r="L1009">
        <v>5.29</v>
      </c>
      <c r="M1009">
        <v>5.38</v>
      </c>
      <c r="N1009">
        <v>5.26</v>
      </c>
      <c r="O1009">
        <v>5.31</v>
      </c>
      <c r="P1009">
        <v>20.32</v>
      </c>
      <c r="Q1009">
        <v>72673560</v>
      </c>
      <c r="R1009">
        <v>1.94</v>
      </c>
      <c r="S1009" t="s">
        <v>36</v>
      </c>
      <c r="T1009" t="s">
        <v>87</v>
      </c>
      <c r="U1009">
        <v>2.26</v>
      </c>
      <c r="V1009">
        <v>5.32</v>
      </c>
      <c r="W1009">
        <v>91238</v>
      </c>
      <c r="X1009">
        <v>45275</v>
      </c>
      <c r="Y1009">
        <v>2.02</v>
      </c>
      <c r="Z1009">
        <v>5600</v>
      </c>
      <c r="AA1009">
        <v>626</v>
      </c>
      <c r="AB1009" t="s">
        <v>32</v>
      </c>
      <c r="AC1009">
        <v>9.04</v>
      </c>
    </row>
    <row r="1010" spans="1:29">
      <c r="A1010" t="str">
        <f>"002551"</f>
        <v>002551</v>
      </c>
      <c r="B1010" t="s">
        <v>1176</v>
      </c>
      <c r="C1010">
        <v>5.03</v>
      </c>
      <c r="D1010">
        <v>6.26</v>
      </c>
      <c r="E1010">
        <v>0.3</v>
      </c>
      <c r="F1010">
        <v>6.26</v>
      </c>
      <c r="G1010">
        <v>6.27</v>
      </c>
      <c r="H1010">
        <v>104557</v>
      </c>
      <c r="I1010">
        <v>2645</v>
      </c>
      <c r="J1010">
        <v>-0.31</v>
      </c>
      <c r="K1010">
        <v>2.56</v>
      </c>
      <c r="L1010">
        <v>5.91</v>
      </c>
      <c r="M1010">
        <v>6.28</v>
      </c>
      <c r="N1010">
        <v>5.9</v>
      </c>
      <c r="O1010">
        <v>5.96</v>
      </c>
      <c r="P1010">
        <v>20.19</v>
      </c>
      <c r="Q1010">
        <v>64365220</v>
      </c>
      <c r="R1010">
        <v>2.96</v>
      </c>
      <c r="S1010" t="s">
        <v>138</v>
      </c>
      <c r="T1010" t="s">
        <v>31</v>
      </c>
      <c r="U1010">
        <v>6.38</v>
      </c>
      <c r="V1010">
        <v>6.16</v>
      </c>
      <c r="W1010">
        <v>40635</v>
      </c>
      <c r="X1010">
        <v>63922</v>
      </c>
      <c r="Y1010">
        <v>0.64</v>
      </c>
      <c r="Z1010">
        <v>258</v>
      </c>
      <c r="AA1010">
        <v>560</v>
      </c>
      <c r="AB1010" t="s">
        <v>32</v>
      </c>
      <c r="AC1010">
        <v>4.08</v>
      </c>
    </row>
    <row r="1011" spans="1:29">
      <c r="A1011" t="str">
        <f>"002552"</f>
        <v>002552</v>
      </c>
      <c r="B1011" t="s">
        <v>1177</v>
      </c>
      <c r="C1011">
        <v>1.52</v>
      </c>
      <c r="D1011">
        <v>5.34</v>
      </c>
      <c r="E1011">
        <v>0.08</v>
      </c>
      <c r="F1011">
        <v>5.31</v>
      </c>
      <c r="G1011">
        <v>5.34</v>
      </c>
      <c r="H1011">
        <v>19339</v>
      </c>
      <c r="I1011">
        <v>669</v>
      </c>
      <c r="J1011">
        <v>0.75</v>
      </c>
      <c r="K1011">
        <v>0.97</v>
      </c>
      <c r="L1011">
        <v>5.26</v>
      </c>
      <c r="M1011">
        <v>5.38</v>
      </c>
      <c r="N1011">
        <v>5.21</v>
      </c>
      <c r="O1011">
        <v>5.26</v>
      </c>
      <c r="P1011">
        <v>80.93</v>
      </c>
      <c r="Q1011">
        <v>10217703</v>
      </c>
      <c r="R1011">
        <v>1.68</v>
      </c>
      <c r="S1011" t="s">
        <v>241</v>
      </c>
      <c r="T1011" t="s">
        <v>149</v>
      </c>
      <c r="U1011">
        <v>3.23</v>
      </c>
      <c r="V1011">
        <v>5.28</v>
      </c>
      <c r="W1011">
        <v>9980</v>
      </c>
      <c r="X1011">
        <v>9359</v>
      </c>
      <c r="Y1011">
        <v>1.07</v>
      </c>
      <c r="Z1011">
        <v>5</v>
      </c>
      <c r="AA1011">
        <v>34</v>
      </c>
      <c r="AB1011" t="s">
        <v>32</v>
      </c>
      <c r="AC1011">
        <v>2</v>
      </c>
    </row>
    <row r="1012" spans="1:29">
      <c r="A1012" t="str">
        <f>"002553"</f>
        <v>002553</v>
      </c>
      <c r="B1012" t="s">
        <v>1178</v>
      </c>
      <c r="C1012">
        <v>1.36</v>
      </c>
      <c r="D1012">
        <v>6.71</v>
      </c>
      <c r="E1012">
        <v>0.09</v>
      </c>
      <c r="F1012">
        <v>6.7</v>
      </c>
      <c r="G1012">
        <v>6.71</v>
      </c>
      <c r="H1012">
        <v>31257</v>
      </c>
      <c r="I1012">
        <v>740</v>
      </c>
      <c r="J1012">
        <v>0.3</v>
      </c>
      <c r="K1012">
        <v>1.42</v>
      </c>
      <c r="L1012">
        <v>6.77</v>
      </c>
      <c r="M1012">
        <v>6.77</v>
      </c>
      <c r="N1012">
        <v>6.62</v>
      </c>
      <c r="O1012">
        <v>6.62</v>
      </c>
      <c r="P1012">
        <v>25.9</v>
      </c>
      <c r="Q1012">
        <v>20914148</v>
      </c>
      <c r="R1012">
        <v>1.53</v>
      </c>
      <c r="S1012" t="s">
        <v>80</v>
      </c>
      <c r="T1012" t="s">
        <v>87</v>
      </c>
      <c r="U1012">
        <v>2.27</v>
      </c>
      <c r="V1012">
        <v>6.69</v>
      </c>
      <c r="W1012">
        <v>12475</v>
      </c>
      <c r="X1012">
        <v>18782</v>
      </c>
      <c r="Y1012">
        <v>0.66</v>
      </c>
      <c r="Z1012">
        <v>160</v>
      </c>
      <c r="AA1012">
        <v>820</v>
      </c>
      <c r="AB1012" t="s">
        <v>32</v>
      </c>
      <c r="AC1012">
        <v>2.21</v>
      </c>
    </row>
    <row r="1013" spans="1:29">
      <c r="A1013" t="str">
        <f>"002554"</f>
        <v>002554</v>
      </c>
      <c r="B1013" t="s">
        <v>1179</v>
      </c>
      <c r="C1013">
        <v>2.33</v>
      </c>
      <c r="D1013">
        <v>3.07</v>
      </c>
      <c r="E1013">
        <v>0.07</v>
      </c>
      <c r="F1013">
        <v>3.07</v>
      </c>
      <c r="G1013">
        <v>3.08</v>
      </c>
      <c r="H1013">
        <v>219773</v>
      </c>
      <c r="I1013">
        <v>2383</v>
      </c>
      <c r="J1013">
        <v>0</v>
      </c>
      <c r="K1013">
        <v>2.63</v>
      </c>
      <c r="L1013">
        <v>2.99</v>
      </c>
      <c r="M1013">
        <v>3.08</v>
      </c>
      <c r="N1013">
        <v>2.97</v>
      </c>
      <c r="O1013">
        <v>3</v>
      </c>
      <c r="P1013">
        <v>22.94</v>
      </c>
      <c r="Q1013">
        <v>66857968</v>
      </c>
      <c r="R1013">
        <v>1.77</v>
      </c>
      <c r="S1013" t="s">
        <v>831</v>
      </c>
      <c r="T1013" t="s">
        <v>45</v>
      </c>
      <c r="U1013">
        <v>3.67</v>
      </c>
      <c r="V1013">
        <v>3.04</v>
      </c>
      <c r="W1013">
        <v>93003</v>
      </c>
      <c r="X1013">
        <v>126770</v>
      </c>
      <c r="Y1013">
        <v>0.73</v>
      </c>
      <c r="Z1013">
        <v>4081</v>
      </c>
      <c r="AA1013">
        <v>10075</v>
      </c>
      <c r="AB1013" t="s">
        <v>32</v>
      </c>
      <c r="AC1013">
        <v>8.36</v>
      </c>
    </row>
    <row r="1014" spans="1:29">
      <c r="A1014" t="str">
        <f>"002555"</f>
        <v>002555</v>
      </c>
      <c r="B1014" t="s">
        <v>1180</v>
      </c>
      <c r="C1014">
        <v>2.63</v>
      </c>
      <c r="D1014">
        <v>12.11</v>
      </c>
      <c r="E1014">
        <v>0.31</v>
      </c>
      <c r="F1014">
        <v>12.11</v>
      </c>
      <c r="G1014">
        <v>12.12</v>
      </c>
      <c r="H1014">
        <v>74641</v>
      </c>
      <c r="I1014">
        <v>415</v>
      </c>
      <c r="J1014">
        <v>0</v>
      </c>
      <c r="K1014">
        <v>0.63</v>
      </c>
      <c r="L1014">
        <v>11.74</v>
      </c>
      <c r="M1014">
        <v>12.15</v>
      </c>
      <c r="N1014">
        <v>11.74</v>
      </c>
      <c r="O1014">
        <v>11.8</v>
      </c>
      <c r="P1014">
        <v>15.69</v>
      </c>
      <c r="Q1014">
        <v>89845184</v>
      </c>
      <c r="R1014">
        <v>1.65</v>
      </c>
      <c r="S1014" t="s">
        <v>316</v>
      </c>
      <c r="T1014" t="s">
        <v>143</v>
      </c>
      <c r="U1014">
        <v>3.47</v>
      </c>
      <c r="V1014">
        <v>12.04</v>
      </c>
      <c r="W1014">
        <v>34668</v>
      </c>
      <c r="X1014">
        <v>39972</v>
      </c>
      <c r="Y1014">
        <v>0.87</v>
      </c>
      <c r="Z1014">
        <v>341</v>
      </c>
      <c r="AA1014">
        <v>809</v>
      </c>
      <c r="AB1014" t="s">
        <v>32</v>
      </c>
      <c r="AC1014">
        <v>11.82</v>
      </c>
    </row>
    <row r="1015" spans="1:29">
      <c r="A1015" t="str">
        <f>"002556"</f>
        <v>002556</v>
      </c>
      <c r="B1015" t="s">
        <v>1181</v>
      </c>
      <c r="C1015">
        <v>3.3</v>
      </c>
      <c r="D1015">
        <v>5.32</v>
      </c>
      <c r="E1015">
        <v>0.17</v>
      </c>
      <c r="F1015">
        <v>5.32</v>
      </c>
      <c r="G1015">
        <v>5.33</v>
      </c>
      <c r="H1015">
        <v>97502</v>
      </c>
      <c r="I1015">
        <v>1171</v>
      </c>
      <c r="J1015">
        <v>-0.18</v>
      </c>
      <c r="K1015">
        <v>1.39</v>
      </c>
      <c r="L1015">
        <v>5.14</v>
      </c>
      <c r="M1015">
        <v>5.55</v>
      </c>
      <c r="N1015">
        <v>5.13</v>
      </c>
      <c r="O1015">
        <v>5.15</v>
      </c>
      <c r="P1015">
        <v>19.37</v>
      </c>
      <c r="Q1015">
        <v>51649576</v>
      </c>
      <c r="R1015">
        <v>2.23</v>
      </c>
      <c r="S1015" t="s">
        <v>73</v>
      </c>
      <c r="T1015" t="s">
        <v>143</v>
      </c>
      <c r="U1015">
        <v>8.16</v>
      </c>
      <c r="V1015">
        <v>5.3</v>
      </c>
      <c r="W1015">
        <v>41913</v>
      </c>
      <c r="X1015">
        <v>55589</v>
      </c>
      <c r="Y1015">
        <v>0.75</v>
      </c>
      <c r="Z1015">
        <v>769</v>
      </c>
      <c r="AA1015">
        <v>1222</v>
      </c>
      <c r="AB1015" t="s">
        <v>32</v>
      </c>
      <c r="AC1015">
        <v>7.01</v>
      </c>
    </row>
    <row r="1016" spans="1:29">
      <c r="A1016" t="str">
        <f>"002557"</f>
        <v>002557</v>
      </c>
      <c r="B1016" t="s">
        <v>1182</v>
      </c>
      <c r="C1016">
        <v>0</v>
      </c>
      <c r="D1016">
        <v>16.85</v>
      </c>
      <c r="E1016">
        <v>0</v>
      </c>
      <c r="F1016">
        <v>16.85</v>
      </c>
      <c r="G1016">
        <v>16.86</v>
      </c>
      <c r="H1016">
        <v>25559</v>
      </c>
      <c r="I1016">
        <v>645</v>
      </c>
      <c r="J1016">
        <v>0.36</v>
      </c>
      <c r="K1016">
        <v>0.5</v>
      </c>
      <c r="L1016">
        <v>16.75</v>
      </c>
      <c r="M1016">
        <v>16.93</v>
      </c>
      <c r="N1016">
        <v>16.45</v>
      </c>
      <c r="O1016">
        <v>16.85</v>
      </c>
      <c r="P1016">
        <v>25.47</v>
      </c>
      <c r="Q1016">
        <v>42815692</v>
      </c>
      <c r="R1016">
        <v>0.39</v>
      </c>
      <c r="S1016" t="s">
        <v>213</v>
      </c>
      <c r="T1016" t="s">
        <v>143</v>
      </c>
      <c r="U1016">
        <v>2.85</v>
      </c>
      <c r="V1016">
        <v>16.75</v>
      </c>
      <c r="W1016">
        <v>11841</v>
      </c>
      <c r="X1016">
        <v>13717</v>
      </c>
      <c r="Y1016">
        <v>0.86</v>
      </c>
      <c r="Z1016">
        <v>289</v>
      </c>
      <c r="AA1016">
        <v>65</v>
      </c>
      <c r="AB1016" t="s">
        <v>32</v>
      </c>
      <c r="AC1016">
        <v>5.07</v>
      </c>
    </row>
    <row r="1017" spans="1:29">
      <c r="A1017" t="str">
        <f>"002558"</f>
        <v>002558</v>
      </c>
      <c r="B1017" t="s">
        <v>1183</v>
      </c>
      <c r="C1017">
        <v>-0.84</v>
      </c>
      <c r="D1017">
        <v>21.19</v>
      </c>
      <c r="E1017">
        <v>-0.18</v>
      </c>
      <c r="F1017">
        <v>21.18</v>
      </c>
      <c r="G1017">
        <v>21.19</v>
      </c>
      <c r="H1017">
        <v>46830</v>
      </c>
      <c r="I1017">
        <v>847</v>
      </c>
      <c r="J1017">
        <v>0</v>
      </c>
      <c r="K1017">
        <v>1.1</v>
      </c>
      <c r="L1017">
        <v>21.22</v>
      </c>
      <c r="M1017">
        <v>21.4</v>
      </c>
      <c r="N1017">
        <v>21</v>
      </c>
      <c r="O1017">
        <v>21.37</v>
      </c>
      <c r="P1017">
        <v>31.32</v>
      </c>
      <c r="Q1017">
        <v>99050592</v>
      </c>
      <c r="R1017">
        <v>1.3</v>
      </c>
      <c r="S1017" t="s">
        <v>316</v>
      </c>
      <c r="T1017" t="s">
        <v>221</v>
      </c>
      <c r="U1017">
        <v>1.87</v>
      </c>
      <c r="V1017">
        <v>21.15</v>
      </c>
      <c r="W1017">
        <v>27965</v>
      </c>
      <c r="X1017">
        <v>18865</v>
      </c>
      <c r="Y1017">
        <v>1.48</v>
      </c>
      <c r="Z1017">
        <v>198</v>
      </c>
      <c r="AA1017">
        <v>91</v>
      </c>
      <c r="AB1017" t="s">
        <v>32</v>
      </c>
      <c r="AC1017">
        <v>4.27</v>
      </c>
    </row>
    <row r="1018" spans="1:29">
      <c r="A1018" t="str">
        <f>"002559"</f>
        <v>002559</v>
      </c>
      <c r="B1018" t="s">
        <v>1184</v>
      </c>
      <c r="C1018">
        <v>1.23</v>
      </c>
      <c r="D1018">
        <v>7.41</v>
      </c>
      <c r="E1018">
        <v>0.09</v>
      </c>
      <c r="F1018">
        <v>7.41</v>
      </c>
      <c r="G1018">
        <v>7.42</v>
      </c>
      <c r="H1018">
        <v>23532</v>
      </c>
      <c r="I1018">
        <v>164</v>
      </c>
      <c r="J1018">
        <v>0</v>
      </c>
      <c r="K1018">
        <v>0.77</v>
      </c>
      <c r="L1018">
        <v>7.32</v>
      </c>
      <c r="M1018">
        <v>7.45</v>
      </c>
      <c r="N1018">
        <v>7.29</v>
      </c>
      <c r="O1018">
        <v>7.32</v>
      </c>
      <c r="P1018">
        <v>32.3</v>
      </c>
      <c r="Q1018">
        <v>17398774</v>
      </c>
      <c r="R1018">
        <v>1.21</v>
      </c>
      <c r="S1018" t="s">
        <v>179</v>
      </c>
      <c r="T1018" t="s">
        <v>87</v>
      </c>
      <c r="U1018">
        <v>2.19</v>
      </c>
      <c r="V1018">
        <v>7.39</v>
      </c>
      <c r="W1018">
        <v>10576</v>
      </c>
      <c r="X1018">
        <v>12955</v>
      </c>
      <c r="Y1018">
        <v>0.82</v>
      </c>
      <c r="Z1018">
        <v>108</v>
      </c>
      <c r="AA1018">
        <v>208</v>
      </c>
      <c r="AB1018" t="s">
        <v>32</v>
      </c>
      <c r="AC1018">
        <v>3.06</v>
      </c>
    </row>
    <row r="1019" spans="1:29">
      <c r="A1019" t="str">
        <f>"002560"</f>
        <v>002560</v>
      </c>
      <c r="B1019" t="s">
        <v>1185</v>
      </c>
      <c r="C1019">
        <v>9.92</v>
      </c>
      <c r="D1019">
        <v>5.54</v>
      </c>
      <c r="E1019">
        <v>0.5</v>
      </c>
      <c r="F1019">
        <v>5.54</v>
      </c>
      <c r="G1019" t="s">
        <v>32</v>
      </c>
      <c r="H1019">
        <v>67523</v>
      </c>
      <c r="I1019">
        <v>5</v>
      </c>
      <c r="J1019">
        <v>0</v>
      </c>
      <c r="K1019">
        <v>2.45</v>
      </c>
      <c r="L1019">
        <v>5.52</v>
      </c>
      <c r="M1019">
        <v>5.54</v>
      </c>
      <c r="N1019">
        <v>5.49</v>
      </c>
      <c r="O1019">
        <v>5.04</v>
      </c>
      <c r="P1019">
        <v>97.02</v>
      </c>
      <c r="Q1019">
        <v>37335240</v>
      </c>
      <c r="R1019">
        <v>1.39</v>
      </c>
      <c r="S1019" t="s">
        <v>104</v>
      </c>
      <c r="T1019" t="s">
        <v>164</v>
      </c>
      <c r="U1019">
        <v>0.99</v>
      </c>
      <c r="V1019">
        <v>5.53</v>
      </c>
      <c r="W1019">
        <v>27537</v>
      </c>
      <c r="X1019">
        <v>39985</v>
      </c>
      <c r="Y1019">
        <v>0.69</v>
      </c>
      <c r="Z1019">
        <v>53597</v>
      </c>
      <c r="AA1019">
        <v>0</v>
      </c>
      <c r="AB1019" t="s">
        <v>32</v>
      </c>
      <c r="AC1019">
        <v>2.75</v>
      </c>
    </row>
    <row r="1020" spans="1:29">
      <c r="A1020" t="str">
        <f>"002561"</f>
        <v>002561</v>
      </c>
      <c r="B1020" t="s">
        <v>1186</v>
      </c>
      <c r="C1020">
        <v>2.01</v>
      </c>
      <c r="D1020">
        <v>9.15</v>
      </c>
      <c r="E1020">
        <v>0.18</v>
      </c>
      <c r="F1020">
        <v>9.14</v>
      </c>
      <c r="G1020">
        <v>9.15</v>
      </c>
      <c r="H1020">
        <v>26538</v>
      </c>
      <c r="I1020">
        <v>238</v>
      </c>
      <c r="J1020">
        <v>-0.1</v>
      </c>
      <c r="K1020">
        <v>0.67</v>
      </c>
      <c r="L1020">
        <v>8.95</v>
      </c>
      <c r="M1020">
        <v>9.17</v>
      </c>
      <c r="N1020">
        <v>8.95</v>
      </c>
      <c r="O1020">
        <v>8.97</v>
      </c>
      <c r="P1020">
        <v>13.44</v>
      </c>
      <c r="Q1020">
        <v>24126368</v>
      </c>
      <c r="R1020">
        <v>2.09</v>
      </c>
      <c r="S1020" t="s">
        <v>186</v>
      </c>
      <c r="T1020" t="s">
        <v>366</v>
      </c>
      <c r="U1020">
        <v>2.45</v>
      </c>
      <c r="V1020">
        <v>9.09</v>
      </c>
      <c r="W1020">
        <v>10848</v>
      </c>
      <c r="X1020">
        <v>15689</v>
      </c>
      <c r="Y1020">
        <v>0.69</v>
      </c>
      <c r="Z1020">
        <v>104</v>
      </c>
      <c r="AA1020">
        <v>76</v>
      </c>
      <c r="AB1020" t="s">
        <v>32</v>
      </c>
      <c r="AC1020">
        <v>3.97</v>
      </c>
    </row>
    <row r="1021" spans="1:29">
      <c r="A1021" t="str">
        <f>"002562"</f>
        <v>002562</v>
      </c>
      <c r="B1021" t="s">
        <v>1187</v>
      </c>
      <c r="C1021">
        <v>4.7</v>
      </c>
      <c r="D1021">
        <v>6.02</v>
      </c>
      <c r="E1021">
        <v>0.27</v>
      </c>
      <c r="F1021">
        <v>6.02</v>
      </c>
      <c r="G1021">
        <v>6.03</v>
      </c>
      <c r="H1021">
        <v>250444</v>
      </c>
      <c r="I1021">
        <v>2999</v>
      </c>
      <c r="J1021">
        <v>-0.16</v>
      </c>
      <c r="K1021">
        <v>5.05</v>
      </c>
      <c r="L1021">
        <v>5.84</v>
      </c>
      <c r="M1021">
        <v>6.3</v>
      </c>
      <c r="N1021">
        <v>5.84</v>
      </c>
      <c r="O1021">
        <v>5.75</v>
      </c>
      <c r="P1021">
        <v>17.99</v>
      </c>
      <c r="Q1021">
        <v>152142720</v>
      </c>
      <c r="R1021">
        <v>2.57</v>
      </c>
      <c r="S1021" t="s">
        <v>218</v>
      </c>
      <c r="T1021" t="s">
        <v>149</v>
      </c>
      <c r="U1021">
        <v>8</v>
      </c>
      <c r="V1021">
        <v>6.07</v>
      </c>
      <c r="W1021">
        <v>112287</v>
      </c>
      <c r="X1021">
        <v>138157</v>
      </c>
      <c r="Y1021">
        <v>0.81</v>
      </c>
      <c r="Z1021">
        <v>207</v>
      </c>
      <c r="AA1021">
        <v>1834</v>
      </c>
      <c r="AB1021" t="s">
        <v>32</v>
      </c>
      <c r="AC1021">
        <v>4.96</v>
      </c>
    </row>
    <row r="1022" spans="1:29">
      <c r="A1022" t="str">
        <f>"002563"</f>
        <v>002563</v>
      </c>
      <c r="B1022" t="s">
        <v>1188</v>
      </c>
      <c r="C1022">
        <v>0.53</v>
      </c>
      <c r="D1022">
        <v>13.26</v>
      </c>
      <c r="E1022">
        <v>0.07</v>
      </c>
      <c r="F1022">
        <v>13.25</v>
      </c>
      <c r="G1022">
        <v>13.26</v>
      </c>
      <c r="H1022">
        <v>98545</v>
      </c>
      <c r="I1022">
        <v>795</v>
      </c>
      <c r="J1022">
        <v>-0.52</v>
      </c>
      <c r="K1022">
        <v>0.54</v>
      </c>
      <c r="L1022">
        <v>13.11</v>
      </c>
      <c r="M1022">
        <v>13.34</v>
      </c>
      <c r="N1022">
        <v>12.82</v>
      </c>
      <c r="O1022">
        <v>13.19</v>
      </c>
      <c r="P1022">
        <v>28.5</v>
      </c>
      <c r="Q1022">
        <v>128979312</v>
      </c>
      <c r="R1022">
        <v>2.52</v>
      </c>
      <c r="S1022" t="s">
        <v>622</v>
      </c>
      <c r="T1022" t="s">
        <v>149</v>
      </c>
      <c r="U1022">
        <v>3.94</v>
      </c>
      <c r="V1022">
        <v>13.09</v>
      </c>
      <c r="W1022">
        <v>47757</v>
      </c>
      <c r="X1022">
        <v>50787</v>
      </c>
      <c r="Y1022">
        <v>0.94</v>
      </c>
      <c r="Z1022">
        <v>97</v>
      </c>
      <c r="AA1022">
        <v>481</v>
      </c>
      <c r="AB1022" t="s">
        <v>32</v>
      </c>
      <c r="AC1022">
        <v>18.39</v>
      </c>
    </row>
    <row r="1023" spans="1:29">
      <c r="A1023" t="str">
        <f>"002564"</f>
        <v>002564</v>
      </c>
      <c r="B1023" t="s">
        <v>1189</v>
      </c>
      <c r="C1023">
        <v>2.02</v>
      </c>
      <c r="D1023">
        <v>6.56</v>
      </c>
      <c r="E1023">
        <v>0.13</v>
      </c>
      <c r="F1023">
        <v>6.55</v>
      </c>
      <c r="G1023">
        <v>6.56</v>
      </c>
      <c r="H1023">
        <v>53940</v>
      </c>
      <c r="I1023">
        <v>384</v>
      </c>
      <c r="J1023">
        <v>0.15</v>
      </c>
      <c r="K1023">
        <v>0.9</v>
      </c>
      <c r="L1023">
        <v>6.37</v>
      </c>
      <c r="M1023">
        <v>6.56</v>
      </c>
      <c r="N1023">
        <v>6.35</v>
      </c>
      <c r="O1023">
        <v>6.43</v>
      </c>
      <c r="P1023" t="s">
        <v>32</v>
      </c>
      <c r="Q1023">
        <v>34795300</v>
      </c>
      <c r="R1023">
        <v>1.19</v>
      </c>
      <c r="S1023" t="s">
        <v>504</v>
      </c>
      <c r="T1023" t="s">
        <v>87</v>
      </c>
      <c r="U1023">
        <v>3.27</v>
      </c>
      <c r="V1023">
        <v>6.45</v>
      </c>
      <c r="W1023">
        <v>30831</v>
      </c>
      <c r="X1023">
        <v>23109</v>
      </c>
      <c r="Y1023">
        <v>1.33</v>
      </c>
      <c r="Z1023">
        <v>20</v>
      </c>
      <c r="AA1023">
        <v>56</v>
      </c>
      <c r="AB1023" t="s">
        <v>32</v>
      </c>
      <c r="AC1023">
        <v>6.02</v>
      </c>
    </row>
    <row r="1024" spans="1:29">
      <c r="A1024" t="str">
        <f>"002565"</f>
        <v>002565</v>
      </c>
      <c r="B1024" t="s">
        <v>1190</v>
      </c>
      <c r="C1024">
        <v>0.76</v>
      </c>
      <c r="D1024">
        <v>5.27</v>
      </c>
      <c r="E1024">
        <v>0.04</v>
      </c>
      <c r="F1024">
        <v>5.26</v>
      </c>
      <c r="G1024">
        <v>5.27</v>
      </c>
      <c r="H1024">
        <v>25195</v>
      </c>
      <c r="I1024">
        <v>469</v>
      </c>
      <c r="J1024">
        <v>0</v>
      </c>
      <c r="K1024">
        <v>0.37</v>
      </c>
      <c r="L1024">
        <v>5.22</v>
      </c>
      <c r="M1024">
        <v>5.28</v>
      </c>
      <c r="N1024">
        <v>5.2</v>
      </c>
      <c r="O1024">
        <v>5.23</v>
      </c>
      <c r="P1024">
        <v>41.16</v>
      </c>
      <c r="Q1024">
        <v>13222783</v>
      </c>
      <c r="R1024">
        <v>0.85</v>
      </c>
      <c r="S1024" t="s">
        <v>204</v>
      </c>
      <c r="T1024" t="s">
        <v>366</v>
      </c>
      <c r="U1024">
        <v>1.53</v>
      </c>
      <c r="V1024">
        <v>5.25</v>
      </c>
      <c r="W1024">
        <v>11089</v>
      </c>
      <c r="X1024">
        <v>14106</v>
      </c>
      <c r="Y1024">
        <v>0.79</v>
      </c>
      <c r="Z1024">
        <v>190</v>
      </c>
      <c r="AA1024">
        <v>596</v>
      </c>
      <c r="AB1024" t="s">
        <v>32</v>
      </c>
      <c r="AC1024">
        <v>6.85</v>
      </c>
    </row>
    <row r="1025" spans="1:29">
      <c r="A1025" t="str">
        <f>"002566"</f>
        <v>002566</v>
      </c>
      <c r="B1025" t="s">
        <v>1191</v>
      </c>
      <c r="C1025">
        <v>2.44</v>
      </c>
      <c r="D1025">
        <v>7.13</v>
      </c>
      <c r="E1025">
        <v>0.17</v>
      </c>
      <c r="F1025">
        <v>7.12</v>
      </c>
      <c r="G1025">
        <v>7.13</v>
      </c>
      <c r="H1025">
        <v>25302</v>
      </c>
      <c r="I1025">
        <v>400</v>
      </c>
      <c r="J1025">
        <v>-0.13</v>
      </c>
      <c r="K1025">
        <v>1.12</v>
      </c>
      <c r="L1025">
        <v>6.95</v>
      </c>
      <c r="M1025">
        <v>7.15</v>
      </c>
      <c r="N1025">
        <v>6.91</v>
      </c>
      <c r="O1025">
        <v>6.96</v>
      </c>
      <c r="P1025">
        <v>28.98</v>
      </c>
      <c r="Q1025">
        <v>17886290</v>
      </c>
      <c r="R1025">
        <v>1.48</v>
      </c>
      <c r="S1025" t="s">
        <v>195</v>
      </c>
      <c r="T1025" t="s">
        <v>81</v>
      </c>
      <c r="U1025">
        <v>3.45</v>
      </c>
      <c r="V1025">
        <v>7.07</v>
      </c>
      <c r="W1025">
        <v>9045</v>
      </c>
      <c r="X1025">
        <v>16257</v>
      </c>
      <c r="Y1025">
        <v>0.56</v>
      </c>
      <c r="Z1025">
        <v>591</v>
      </c>
      <c r="AA1025">
        <v>353</v>
      </c>
      <c r="AB1025" t="s">
        <v>32</v>
      </c>
      <c r="AC1025">
        <v>2.25</v>
      </c>
    </row>
    <row r="1026" spans="1:29">
      <c r="A1026" t="str">
        <f>"002567"</f>
        <v>002567</v>
      </c>
      <c r="B1026" t="s">
        <v>1192</v>
      </c>
      <c r="C1026">
        <v>1.05</v>
      </c>
      <c r="D1026">
        <v>4.81</v>
      </c>
      <c r="E1026">
        <v>0.05</v>
      </c>
      <c r="F1026">
        <v>4.8</v>
      </c>
      <c r="G1026">
        <v>4.81</v>
      </c>
      <c r="H1026">
        <v>57917</v>
      </c>
      <c r="I1026">
        <v>1224</v>
      </c>
      <c r="J1026">
        <v>0.42</v>
      </c>
      <c r="K1026">
        <v>0.89</v>
      </c>
      <c r="L1026">
        <v>4.8</v>
      </c>
      <c r="M1026">
        <v>4.82</v>
      </c>
      <c r="N1026">
        <v>4.7</v>
      </c>
      <c r="O1026">
        <v>4.76</v>
      </c>
      <c r="P1026">
        <v>22.66</v>
      </c>
      <c r="Q1026">
        <v>27663264</v>
      </c>
      <c r="R1026">
        <v>1.52</v>
      </c>
      <c r="S1026" t="s">
        <v>102</v>
      </c>
      <c r="T1026" t="s">
        <v>152</v>
      </c>
      <c r="U1026">
        <v>2.52</v>
      </c>
      <c r="V1026">
        <v>4.78</v>
      </c>
      <c r="W1026">
        <v>31562</v>
      </c>
      <c r="X1026">
        <v>26355</v>
      </c>
      <c r="Y1026">
        <v>1.2</v>
      </c>
      <c r="Z1026">
        <v>746</v>
      </c>
      <c r="AA1026">
        <v>655</v>
      </c>
      <c r="AB1026" t="s">
        <v>32</v>
      </c>
      <c r="AC1026">
        <v>6.49</v>
      </c>
    </row>
    <row r="1027" spans="1:29">
      <c r="A1027" t="str">
        <f>"002568"</f>
        <v>002568</v>
      </c>
      <c r="B1027" t="s">
        <v>1193</v>
      </c>
      <c r="C1027">
        <v>1.47</v>
      </c>
      <c r="D1027">
        <v>13.11</v>
      </c>
      <c r="E1027">
        <v>0.19</v>
      </c>
      <c r="F1027">
        <v>13.11</v>
      </c>
      <c r="G1027">
        <v>13.12</v>
      </c>
      <c r="H1027">
        <v>29319</v>
      </c>
      <c r="I1027">
        <v>368</v>
      </c>
      <c r="J1027">
        <v>0.31</v>
      </c>
      <c r="K1027">
        <v>0.64</v>
      </c>
      <c r="L1027">
        <v>12.81</v>
      </c>
      <c r="M1027">
        <v>13.12</v>
      </c>
      <c r="N1027">
        <v>12.76</v>
      </c>
      <c r="O1027">
        <v>12.92</v>
      </c>
      <c r="P1027">
        <v>67.88</v>
      </c>
      <c r="Q1027">
        <v>37974484</v>
      </c>
      <c r="R1027">
        <v>0.71</v>
      </c>
      <c r="S1027" t="s">
        <v>272</v>
      </c>
      <c r="T1027" t="s">
        <v>366</v>
      </c>
      <c r="U1027">
        <v>2.79</v>
      </c>
      <c r="V1027">
        <v>12.95</v>
      </c>
      <c r="W1027">
        <v>16209</v>
      </c>
      <c r="X1027">
        <v>13110</v>
      </c>
      <c r="Y1027">
        <v>1.24</v>
      </c>
      <c r="Z1027">
        <v>257</v>
      </c>
      <c r="AA1027">
        <v>114</v>
      </c>
      <c r="AB1027" t="s">
        <v>32</v>
      </c>
      <c r="AC1027">
        <v>4.59</v>
      </c>
    </row>
    <row r="1028" spans="1:29">
      <c r="A1028" t="str">
        <f>"002569"</f>
        <v>002569</v>
      </c>
      <c r="B1028" t="s">
        <v>1194</v>
      </c>
      <c r="C1028" t="s">
        <v>32</v>
      </c>
      <c r="D1028">
        <v>15.14</v>
      </c>
      <c r="E1028" t="s">
        <v>32</v>
      </c>
      <c r="F1028" t="s">
        <v>32</v>
      </c>
      <c r="G1028" t="s">
        <v>32</v>
      </c>
      <c r="H1028">
        <v>0</v>
      </c>
      <c r="I1028">
        <v>0</v>
      </c>
      <c r="J1028" t="s">
        <v>32</v>
      </c>
      <c r="K1028">
        <v>0</v>
      </c>
      <c r="L1028" t="s">
        <v>32</v>
      </c>
      <c r="M1028" t="s">
        <v>32</v>
      </c>
      <c r="N1028" t="s">
        <v>32</v>
      </c>
      <c r="O1028">
        <v>15.14</v>
      </c>
      <c r="P1028" t="s">
        <v>32</v>
      </c>
      <c r="Q1028">
        <v>0</v>
      </c>
      <c r="R1028">
        <v>0</v>
      </c>
      <c r="S1028" t="s">
        <v>622</v>
      </c>
      <c r="T1028" t="s">
        <v>149</v>
      </c>
      <c r="U1028">
        <v>0</v>
      </c>
      <c r="V1028">
        <v>15.14</v>
      </c>
      <c r="W1028">
        <v>0</v>
      </c>
      <c r="X1028">
        <v>0</v>
      </c>
      <c r="Y1028" t="s">
        <v>32</v>
      </c>
      <c r="Z1028">
        <v>0</v>
      </c>
      <c r="AA1028">
        <v>0</v>
      </c>
      <c r="AB1028" t="s">
        <v>32</v>
      </c>
      <c r="AC1028">
        <v>1.4</v>
      </c>
    </row>
    <row r="1029" spans="1:29">
      <c r="A1029" t="str">
        <f>"002570"</f>
        <v>002570</v>
      </c>
      <c r="B1029" t="s">
        <v>1195</v>
      </c>
      <c r="C1029">
        <v>0</v>
      </c>
      <c r="D1029">
        <v>5.26</v>
      </c>
      <c r="E1029">
        <v>0</v>
      </c>
      <c r="F1029">
        <v>5.25</v>
      </c>
      <c r="G1029">
        <v>5.26</v>
      </c>
      <c r="H1029">
        <v>66166</v>
      </c>
      <c r="I1029">
        <v>691</v>
      </c>
      <c r="J1029">
        <v>0.19</v>
      </c>
      <c r="K1029">
        <v>0.65</v>
      </c>
      <c r="L1029">
        <v>5.26</v>
      </c>
      <c r="M1029">
        <v>5.3</v>
      </c>
      <c r="N1029">
        <v>5.2</v>
      </c>
      <c r="O1029">
        <v>5.26</v>
      </c>
      <c r="P1029">
        <v>169.88</v>
      </c>
      <c r="Q1029">
        <v>34674184</v>
      </c>
      <c r="R1029">
        <v>0.77</v>
      </c>
      <c r="S1029" t="s">
        <v>953</v>
      </c>
      <c r="T1029" t="s">
        <v>149</v>
      </c>
      <c r="U1029">
        <v>1.9</v>
      </c>
      <c r="V1029">
        <v>5.24</v>
      </c>
      <c r="W1029">
        <v>35960</v>
      </c>
      <c r="X1029">
        <v>30205</v>
      </c>
      <c r="Y1029">
        <v>1.19</v>
      </c>
      <c r="Z1029">
        <v>301</v>
      </c>
      <c r="AA1029">
        <v>109</v>
      </c>
      <c r="AB1029" t="s">
        <v>32</v>
      </c>
      <c r="AC1029">
        <v>10.22</v>
      </c>
    </row>
    <row r="1030" spans="1:29">
      <c r="A1030" t="str">
        <f>"002571"</f>
        <v>002571</v>
      </c>
      <c r="B1030" t="s">
        <v>1196</v>
      </c>
      <c r="C1030">
        <v>0.51</v>
      </c>
      <c r="D1030">
        <v>5.91</v>
      </c>
      <c r="E1030">
        <v>0.03</v>
      </c>
      <c r="F1030">
        <v>5.91</v>
      </c>
      <c r="G1030">
        <v>5.92</v>
      </c>
      <c r="H1030">
        <v>15102</v>
      </c>
      <c r="I1030">
        <v>161</v>
      </c>
      <c r="J1030">
        <v>-0.16</v>
      </c>
      <c r="K1030">
        <v>0.6</v>
      </c>
      <c r="L1030">
        <v>5.9</v>
      </c>
      <c r="M1030">
        <v>5.94</v>
      </c>
      <c r="N1030">
        <v>5.84</v>
      </c>
      <c r="O1030">
        <v>5.88</v>
      </c>
      <c r="P1030" t="s">
        <v>32</v>
      </c>
      <c r="Q1030">
        <v>8902714</v>
      </c>
      <c r="R1030">
        <v>1.4</v>
      </c>
      <c r="S1030" t="s">
        <v>52</v>
      </c>
      <c r="T1030" t="s">
        <v>143</v>
      </c>
      <c r="U1030">
        <v>1.7</v>
      </c>
      <c r="V1030">
        <v>5.9</v>
      </c>
      <c r="W1030">
        <v>7136</v>
      </c>
      <c r="X1030">
        <v>7966</v>
      </c>
      <c r="Y1030">
        <v>0.9</v>
      </c>
      <c r="Z1030">
        <v>109</v>
      </c>
      <c r="AA1030">
        <v>565</v>
      </c>
      <c r="AB1030" t="s">
        <v>32</v>
      </c>
      <c r="AC1030">
        <v>2.53</v>
      </c>
    </row>
    <row r="1031" spans="1:29">
      <c r="A1031" t="str">
        <f>"002572"</f>
        <v>002572</v>
      </c>
      <c r="B1031" t="s">
        <v>1197</v>
      </c>
      <c r="C1031">
        <v>3.16</v>
      </c>
      <c r="D1031">
        <v>30.64</v>
      </c>
      <c r="E1031">
        <v>0.94</v>
      </c>
      <c r="F1031">
        <v>30.63</v>
      </c>
      <c r="G1031">
        <v>30.64</v>
      </c>
      <c r="H1031">
        <v>48006</v>
      </c>
      <c r="I1031">
        <v>287</v>
      </c>
      <c r="J1031">
        <v>-0.19</v>
      </c>
      <c r="K1031">
        <v>0.77</v>
      </c>
      <c r="L1031">
        <v>29.31</v>
      </c>
      <c r="M1031">
        <v>30.85</v>
      </c>
      <c r="N1031">
        <v>29.31</v>
      </c>
      <c r="O1031">
        <v>29.7</v>
      </c>
      <c r="P1031">
        <v>68.62</v>
      </c>
      <c r="Q1031">
        <v>146114032</v>
      </c>
      <c r="R1031">
        <v>1.56</v>
      </c>
      <c r="S1031" t="s">
        <v>545</v>
      </c>
      <c r="T1031" t="s">
        <v>136</v>
      </c>
      <c r="U1031">
        <v>5.19</v>
      </c>
      <c r="V1031">
        <v>30.44</v>
      </c>
      <c r="W1031">
        <v>19025</v>
      </c>
      <c r="X1031">
        <v>28981</v>
      </c>
      <c r="Y1031">
        <v>0.66</v>
      </c>
      <c r="Z1031">
        <v>305</v>
      </c>
      <c r="AA1031">
        <v>20</v>
      </c>
      <c r="AB1031" t="s">
        <v>32</v>
      </c>
      <c r="AC1031">
        <v>6.2</v>
      </c>
    </row>
    <row r="1032" spans="1:29">
      <c r="A1032" t="str">
        <f>"002573"</f>
        <v>002573</v>
      </c>
      <c r="B1032" t="s">
        <v>1198</v>
      </c>
      <c r="C1032" t="s">
        <v>32</v>
      </c>
      <c r="D1032">
        <v>11.45</v>
      </c>
      <c r="E1032" t="s">
        <v>32</v>
      </c>
      <c r="F1032" t="s">
        <v>32</v>
      </c>
      <c r="G1032" t="s">
        <v>32</v>
      </c>
      <c r="H1032">
        <v>0</v>
      </c>
      <c r="I1032">
        <v>0</v>
      </c>
      <c r="J1032" t="s">
        <v>32</v>
      </c>
      <c r="K1032">
        <v>0</v>
      </c>
      <c r="L1032" t="s">
        <v>32</v>
      </c>
      <c r="M1032" t="s">
        <v>32</v>
      </c>
      <c r="N1032" t="s">
        <v>32</v>
      </c>
      <c r="O1032">
        <v>11.45</v>
      </c>
      <c r="P1032">
        <v>26.6</v>
      </c>
      <c r="Q1032">
        <v>0</v>
      </c>
      <c r="R1032">
        <v>0</v>
      </c>
      <c r="S1032" t="s">
        <v>86</v>
      </c>
      <c r="T1032" t="s">
        <v>45</v>
      </c>
      <c r="U1032">
        <v>0</v>
      </c>
      <c r="V1032">
        <v>11.45</v>
      </c>
      <c r="W1032">
        <v>0</v>
      </c>
      <c r="X1032">
        <v>0</v>
      </c>
      <c r="Y1032" t="s">
        <v>32</v>
      </c>
      <c r="Z1032">
        <v>0</v>
      </c>
      <c r="AA1032">
        <v>0</v>
      </c>
      <c r="AB1032" t="s">
        <v>32</v>
      </c>
      <c r="AC1032">
        <v>10.79</v>
      </c>
    </row>
    <row r="1033" spans="1:29">
      <c r="A1033" t="str">
        <f>"002574"</f>
        <v>002574</v>
      </c>
      <c r="B1033" t="s">
        <v>1199</v>
      </c>
      <c r="C1033">
        <v>1.99</v>
      </c>
      <c r="D1033">
        <v>5.64</v>
      </c>
      <c r="E1033">
        <v>0.11</v>
      </c>
      <c r="F1033">
        <v>5.63</v>
      </c>
      <c r="G1033">
        <v>5.64</v>
      </c>
      <c r="H1033">
        <v>44707</v>
      </c>
      <c r="I1033">
        <v>348</v>
      </c>
      <c r="J1033">
        <v>0.18</v>
      </c>
      <c r="K1033">
        <v>0.85</v>
      </c>
      <c r="L1033">
        <v>5.53</v>
      </c>
      <c r="M1033">
        <v>5.65</v>
      </c>
      <c r="N1033">
        <v>5.52</v>
      </c>
      <c r="O1033">
        <v>5.53</v>
      </c>
      <c r="P1033">
        <v>20.42</v>
      </c>
      <c r="Q1033">
        <v>25047138</v>
      </c>
      <c r="R1033">
        <v>1.49</v>
      </c>
      <c r="S1033" t="s">
        <v>622</v>
      </c>
      <c r="T1033" t="s">
        <v>149</v>
      </c>
      <c r="U1033">
        <v>2.35</v>
      </c>
      <c r="V1033">
        <v>5.6</v>
      </c>
      <c r="W1033">
        <v>21027</v>
      </c>
      <c r="X1033">
        <v>23680</v>
      </c>
      <c r="Y1033">
        <v>0.89</v>
      </c>
      <c r="Z1033">
        <v>283</v>
      </c>
      <c r="AA1033">
        <v>193</v>
      </c>
      <c r="AB1033" t="s">
        <v>32</v>
      </c>
      <c r="AC1033">
        <v>5.28</v>
      </c>
    </row>
    <row r="1034" spans="1:29">
      <c r="A1034" t="str">
        <f>"002575"</f>
        <v>002575</v>
      </c>
      <c r="B1034" t="s">
        <v>1200</v>
      </c>
      <c r="C1034">
        <v>1.2</v>
      </c>
      <c r="D1034">
        <v>4.22</v>
      </c>
      <c r="E1034">
        <v>0.05</v>
      </c>
      <c r="F1034">
        <v>4.21</v>
      </c>
      <c r="G1034">
        <v>4.22</v>
      </c>
      <c r="H1034">
        <v>76045</v>
      </c>
      <c r="I1034">
        <v>3634</v>
      </c>
      <c r="J1034">
        <v>0.96</v>
      </c>
      <c r="K1034">
        <v>1.29</v>
      </c>
      <c r="L1034">
        <v>4.17</v>
      </c>
      <c r="M1034">
        <v>4.24</v>
      </c>
      <c r="N1034">
        <v>4.09</v>
      </c>
      <c r="O1034">
        <v>4.17</v>
      </c>
      <c r="P1034">
        <v>2539.25</v>
      </c>
      <c r="Q1034">
        <v>31757714</v>
      </c>
      <c r="R1034">
        <v>0.81</v>
      </c>
      <c r="S1034" t="s">
        <v>57</v>
      </c>
      <c r="T1034" t="s">
        <v>136</v>
      </c>
      <c r="U1034">
        <v>3.6</v>
      </c>
      <c r="V1034">
        <v>4.18</v>
      </c>
      <c r="W1034">
        <v>44949</v>
      </c>
      <c r="X1034">
        <v>31096</v>
      </c>
      <c r="Y1034">
        <v>1.45</v>
      </c>
      <c r="Z1034">
        <v>4427</v>
      </c>
      <c r="AA1034">
        <v>699</v>
      </c>
      <c r="AB1034" t="s">
        <v>32</v>
      </c>
      <c r="AC1034">
        <v>5.89</v>
      </c>
    </row>
    <row r="1035" spans="1:29">
      <c r="A1035" t="str">
        <f>"002576"</f>
        <v>002576</v>
      </c>
      <c r="B1035" t="s">
        <v>1201</v>
      </c>
      <c r="C1035">
        <v>3.03</v>
      </c>
      <c r="D1035">
        <v>10.55</v>
      </c>
      <c r="E1035">
        <v>0.31</v>
      </c>
      <c r="F1035">
        <v>10.54</v>
      </c>
      <c r="G1035">
        <v>10.55</v>
      </c>
      <c r="H1035">
        <v>151824</v>
      </c>
      <c r="I1035">
        <v>1722</v>
      </c>
      <c r="J1035">
        <v>-0.27</v>
      </c>
      <c r="K1035">
        <v>11.09</v>
      </c>
      <c r="L1035">
        <v>11</v>
      </c>
      <c r="M1035">
        <v>11.26</v>
      </c>
      <c r="N1035">
        <v>10.55</v>
      </c>
      <c r="O1035">
        <v>10.24</v>
      </c>
      <c r="P1035">
        <v>97.09</v>
      </c>
      <c r="Q1035">
        <v>165299088</v>
      </c>
      <c r="R1035">
        <v>5.45</v>
      </c>
      <c r="S1035" t="s">
        <v>104</v>
      </c>
      <c r="T1035" t="s">
        <v>87</v>
      </c>
      <c r="U1035">
        <v>6.93</v>
      </c>
      <c r="V1035">
        <v>10.89</v>
      </c>
      <c r="W1035">
        <v>87778</v>
      </c>
      <c r="X1035">
        <v>64046</v>
      </c>
      <c r="Y1035">
        <v>1.37</v>
      </c>
      <c r="Z1035">
        <v>88</v>
      </c>
      <c r="AA1035">
        <v>505</v>
      </c>
      <c r="AB1035" t="s">
        <v>32</v>
      </c>
      <c r="AC1035">
        <v>1.37</v>
      </c>
    </row>
    <row r="1036" spans="1:29">
      <c r="A1036" t="str">
        <f>"002577"</f>
        <v>002577</v>
      </c>
      <c r="B1036" t="s">
        <v>1202</v>
      </c>
      <c r="C1036">
        <v>0.73</v>
      </c>
      <c r="D1036">
        <v>13.79</v>
      </c>
      <c r="E1036">
        <v>0.1</v>
      </c>
      <c r="F1036">
        <v>13.79</v>
      </c>
      <c r="G1036">
        <v>13.8</v>
      </c>
      <c r="H1036">
        <v>32989</v>
      </c>
      <c r="I1036">
        <v>527</v>
      </c>
      <c r="J1036">
        <v>-0.21</v>
      </c>
      <c r="K1036">
        <v>1.17</v>
      </c>
      <c r="L1036">
        <v>13.7</v>
      </c>
      <c r="M1036">
        <v>13.91</v>
      </c>
      <c r="N1036">
        <v>13.55</v>
      </c>
      <c r="O1036">
        <v>13.69</v>
      </c>
      <c r="P1036">
        <v>104.77</v>
      </c>
      <c r="Q1036">
        <v>45393668</v>
      </c>
      <c r="R1036">
        <v>1.36</v>
      </c>
      <c r="S1036" t="s">
        <v>65</v>
      </c>
      <c r="T1036" t="s">
        <v>31</v>
      </c>
      <c r="U1036">
        <v>2.63</v>
      </c>
      <c r="V1036">
        <v>13.76</v>
      </c>
      <c r="W1036">
        <v>16255</v>
      </c>
      <c r="X1036">
        <v>16734</v>
      </c>
      <c r="Y1036">
        <v>0.97</v>
      </c>
      <c r="Z1036">
        <v>41</v>
      </c>
      <c r="AA1036">
        <v>93</v>
      </c>
      <c r="AB1036" t="s">
        <v>32</v>
      </c>
      <c r="AC1036">
        <v>2.81</v>
      </c>
    </row>
    <row r="1037" spans="1:29">
      <c r="A1037" t="str">
        <f>"002578"</f>
        <v>002578</v>
      </c>
      <c r="B1037" t="s">
        <v>1203</v>
      </c>
      <c r="C1037">
        <v>0.52</v>
      </c>
      <c r="D1037">
        <v>3.84</v>
      </c>
      <c r="E1037">
        <v>0.02</v>
      </c>
      <c r="F1037">
        <v>3.84</v>
      </c>
      <c r="G1037">
        <v>3.85</v>
      </c>
      <c r="H1037">
        <v>79847</v>
      </c>
      <c r="I1037">
        <v>675</v>
      </c>
      <c r="J1037">
        <v>0</v>
      </c>
      <c r="K1037">
        <v>1.46</v>
      </c>
      <c r="L1037">
        <v>3.8</v>
      </c>
      <c r="M1037">
        <v>3.86</v>
      </c>
      <c r="N1037">
        <v>3.77</v>
      </c>
      <c r="O1037">
        <v>3.82</v>
      </c>
      <c r="P1037">
        <v>235.4</v>
      </c>
      <c r="Q1037">
        <v>30608288</v>
      </c>
      <c r="R1037">
        <v>1.92</v>
      </c>
      <c r="S1037" t="s">
        <v>324</v>
      </c>
      <c r="T1037" t="s">
        <v>236</v>
      </c>
      <c r="U1037">
        <v>2.36</v>
      </c>
      <c r="V1037">
        <v>3.83</v>
      </c>
      <c r="W1037">
        <v>29513</v>
      </c>
      <c r="X1037">
        <v>50334</v>
      </c>
      <c r="Y1037">
        <v>0.59</v>
      </c>
      <c r="Z1037">
        <v>1379</v>
      </c>
      <c r="AA1037">
        <v>965</v>
      </c>
      <c r="AB1037" t="s">
        <v>32</v>
      </c>
      <c r="AC1037">
        <v>5.48</v>
      </c>
    </row>
    <row r="1038" spans="1:29">
      <c r="A1038" t="str">
        <f>"002579"</f>
        <v>002579</v>
      </c>
      <c r="B1038" t="s">
        <v>1204</v>
      </c>
      <c r="C1038">
        <v>0.21</v>
      </c>
      <c r="D1038">
        <v>9.54</v>
      </c>
      <c r="E1038">
        <v>0.02</v>
      </c>
      <c r="F1038">
        <v>9.53</v>
      </c>
      <c r="G1038">
        <v>9.54</v>
      </c>
      <c r="H1038">
        <v>40653</v>
      </c>
      <c r="I1038">
        <v>433</v>
      </c>
      <c r="J1038">
        <v>-0.09</v>
      </c>
      <c r="K1038">
        <v>1.15</v>
      </c>
      <c r="L1038">
        <v>9.45</v>
      </c>
      <c r="M1038">
        <v>9.65</v>
      </c>
      <c r="N1038">
        <v>9.39</v>
      </c>
      <c r="O1038">
        <v>9.52</v>
      </c>
      <c r="P1038">
        <v>47.24</v>
      </c>
      <c r="Q1038">
        <v>38758504</v>
      </c>
      <c r="R1038">
        <v>0.73</v>
      </c>
      <c r="S1038" t="s">
        <v>63</v>
      </c>
      <c r="T1038" t="s">
        <v>136</v>
      </c>
      <c r="U1038">
        <v>2.73</v>
      </c>
      <c r="V1038">
        <v>9.53</v>
      </c>
      <c r="W1038">
        <v>20760</v>
      </c>
      <c r="X1038">
        <v>19892</v>
      </c>
      <c r="Y1038">
        <v>1.04</v>
      </c>
      <c r="Z1038">
        <v>24</v>
      </c>
      <c r="AA1038">
        <v>85</v>
      </c>
      <c r="AB1038" t="s">
        <v>32</v>
      </c>
      <c r="AC1038">
        <v>3.52</v>
      </c>
    </row>
    <row r="1039" spans="1:29">
      <c r="A1039" t="str">
        <f>"002580"</f>
        <v>002580</v>
      </c>
      <c r="B1039" t="s">
        <v>1205</v>
      </c>
      <c r="C1039">
        <v>1.9</v>
      </c>
      <c r="D1039">
        <v>6.97</v>
      </c>
      <c r="E1039">
        <v>0.13</v>
      </c>
      <c r="F1039">
        <v>6.97</v>
      </c>
      <c r="G1039">
        <v>6.98</v>
      </c>
      <c r="H1039">
        <v>670677</v>
      </c>
      <c r="I1039">
        <v>8515</v>
      </c>
      <c r="J1039">
        <v>0.87</v>
      </c>
      <c r="K1039">
        <v>22.48</v>
      </c>
      <c r="L1039">
        <v>7.1</v>
      </c>
      <c r="M1039">
        <v>7.52</v>
      </c>
      <c r="N1039">
        <v>6.76</v>
      </c>
      <c r="O1039">
        <v>6.84</v>
      </c>
      <c r="P1039">
        <v>157.54</v>
      </c>
      <c r="Q1039">
        <v>476806272</v>
      </c>
      <c r="R1039">
        <v>3.58</v>
      </c>
      <c r="S1039" t="s">
        <v>104</v>
      </c>
      <c r="T1039" t="s">
        <v>162</v>
      </c>
      <c r="U1039">
        <v>11.11</v>
      </c>
      <c r="V1039">
        <v>7.11</v>
      </c>
      <c r="W1039">
        <v>331309</v>
      </c>
      <c r="X1039">
        <v>339367</v>
      </c>
      <c r="Y1039">
        <v>0.98</v>
      </c>
      <c r="Z1039">
        <v>151</v>
      </c>
      <c r="AA1039">
        <v>245</v>
      </c>
      <c r="AB1039" t="s">
        <v>32</v>
      </c>
      <c r="AC1039">
        <v>2.98</v>
      </c>
    </row>
    <row r="1040" spans="1:29">
      <c r="A1040" t="str">
        <f>"002581"</f>
        <v>002581</v>
      </c>
      <c r="B1040" t="s">
        <v>1206</v>
      </c>
      <c r="C1040">
        <v>2.56</v>
      </c>
      <c r="D1040">
        <v>10.03</v>
      </c>
      <c r="E1040">
        <v>0.25</v>
      </c>
      <c r="F1040">
        <v>10.03</v>
      </c>
      <c r="G1040">
        <v>10.04</v>
      </c>
      <c r="H1040">
        <v>46022</v>
      </c>
      <c r="I1040">
        <v>238</v>
      </c>
      <c r="J1040">
        <v>-0.09</v>
      </c>
      <c r="K1040">
        <v>1.34</v>
      </c>
      <c r="L1040">
        <v>9.81</v>
      </c>
      <c r="M1040">
        <v>10.13</v>
      </c>
      <c r="N1040">
        <v>9.66</v>
      </c>
      <c r="O1040">
        <v>9.78</v>
      </c>
      <c r="P1040">
        <v>20.08</v>
      </c>
      <c r="Q1040">
        <v>45642976</v>
      </c>
      <c r="R1040">
        <v>1.23</v>
      </c>
      <c r="S1040" t="s">
        <v>36</v>
      </c>
      <c r="T1040" t="s">
        <v>162</v>
      </c>
      <c r="U1040">
        <v>4.81</v>
      </c>
      <c r="V1040">
        <v>9.92</v>
      </c>
      <c r="W1040">
        <v>21281</v>
      </c>
      <c r="X1040">
        <v>24741</v>
      </c>
      <c r="Y1040">
        <v>0.86</v>
      </c>
      <c r="Z1040">
        <v>508</v>
      </c>
      <c r="AA1040">
        <v>164</v>
      </c>
      <c r="AB1040" t="s">
        <v>32</v>
      </c>
      <c r="AC1040">
        <v>3.43</v>
      </c>
    </row>
    <row r="1041" spans="1:29">
      <c r="A1041" t="str">
        <f>"002582"</f>
        <v>002582</v>
      </c>
      <c r="B1041" t="s">
        <v>1207</v>
      </c>
      <c r="C1041">
        <v>1.73</v>
      </c>
      <c r="D1041">
        <v>11.78</v>
      </c>
      <c r="E1041">
        <v>0.2</v>
      </c>
      <c r="F1041">
        <v>11.78</v>
      </c>
      <c r="G1041">
        <v>11.79</v>
      </c>
      <c r="H1041">
        <v>103004</v>
      </c>
      <c r="I1041">
        <v>3273</v>
      </c>
      <c r="J1041">
        <v>0.17</v>
      </c>
      <c r="K1041">
        <v>4.37</v>
      </c>
      <c r="L1041">
        <v>11.6</v>
      </c>
      <c r="M1041">
        <v>11.78</v>
      </c>
      <c r="N1041">
        <v>11.3</v>
      </c>
      <c r="O1041">
        <v>11.58</v>
      </c>
      <c r="P1041">
        <v>12.63</v>
      </c>
      <c r="Q1041">
        <v>119088608</v>
      </c>
      <c r="R1041">
        <v>1.29</v>
      </c>
      <c r="S1041" t="s">
        <v>213</v>
      </c>
      <c r="T1041" t="s">
        <v>164</v>
      </c>
      <c r="U1041">
        <v>4.15</v>
      </c>
      <c r="V1041">
        <v>11.56</v>
      </c>
      <c r="W1041">
        <v>62811</v>
      </c>
      <c r="X1041">
        <v>40193</v>
      </c>
      <c r="Y1041">
        <v>1.56</v>
      </c>
      <c r="Z1041">
        <v>187</v>
      </c>
      <c r="AA1041">
        <v>248</v>
      </c>
      <c r="AB1041" t="s">
        <v>32</v>
      </c>
      <c r="AC1041">
        <v>2.36</v>
      </c>
    </row>
    <row r="1042" spans="1:29">
      <c r="A1042" t="str">
        <f>"002583"</f>
        <v>002583</v>
      </c>
      <c r="B1042" t="s">
        <v>1208</v>
      </c>
      <c r="C1042">
        <v>0.1</v>
      </c>
      <c r="D1042">
        <v>9.85</v>
      </c>
      <c r="E1042">
        <v>0.01</v>
      </c>
      <c r="F1042">
        <v>9.85</v>
      </c>
      <c r="G1042">
        <v>9.86</v>
      </c>
      <c r="H1042">
        <v>90380</v>
      </c>
      <c r="I1042">
        <v>694</v>
      </c>
      <c r="J1042">
        <v>-0.09</v>
      </c>
      <c r="K1042">
        <v>0.86</v>
      </c>
      <c r="L1042">
        <v>9.85</v>
      </c>
      <c r="M1042">
        <v>9.99</v>
      </c>
      <c r="N1042">
        <v>9.72</v>
      </c>
      <c r="O1042">
        <v>9.84</v>
      </c>
      <c r="P1042" t="s">
        <v>32</v>
      </c>
      <c r="Q1042">
        <v>88828936</v>
      </c>
      <c r="R1042">
        <v>0.97</v>
      </c>
      <c r="S1042" t="s">
        <v>119</v>
      </c>
      <c r="T1042" t="s">
        <v>31</v>
      </c>
      <c r="U1042">
        <v>2.74</v>
      </c>
      <c r="V1042">
        <v>9.83</v>
      </c>
      <c r="W1042">
        <v>50173</v>
      </c>
      <c r="X1042">
        <v>40207</v>
      </c>
      <c r="Y1042">
        <v>1.25</v>
      </c>
      <c r="Z1042">
        <v>157</v>
      </c>
      <c r="AA1042">
        <v>281</v>
      </c>
      <c r="AB1042" t="s">
        <v>32</v>
      </c>
      <c r="AC1042">
        <v>10.48</v>
      </c>
    </row>
    <row r="1043" spans="1:29">
      <c r="A1043" t="str">
        <f>"002584"</f>
        <v>002584</v>
      </c>
      <c r="B1043" t="s">
        <v>1209</v>
      </c>
      <c r="C1043">
        <v>3.41</v>
      </c>
      <c r="D1043">
        <v>7.58</v>
      </c>
      <c r="E1043">
        <v>0.25</v>
      </c>
      <c r="F1043">
        <v>7.58</v>
      </c>
      <c r="G1043">
        <v>7.59</v>
      </c>
      <c r="H1043">
        <v>288076</v>
      </c>
      <c r="I1043">
        <v>3767</v>
      </c>
      <c r="J1043">
        <v>-0.12</v>
      </c>
      <c r="K1043">
        <v>9.86</v>
      </c>
      <c r="L1043">
        <v>7.41</v>
      </c>
      <c r="M1043">
        <v>7.95</v>
      </c>
      <c r="N1043">
        <v>7.41</v>
      </c>
      <c r="O1043">
        <v>7.33</v>
      </c>
      <c r="P1043">
        <v>117.46</v>
      </c>
      <c r="Q1043">
        <v>220443696</v>
      </c>
      <c r="R1043">
        <v>1.15</v>
      </c>
      <c r="S1043" t="s">
        <v>218</v>
      </c>
      <c r="T1043" t="s">
        <v>136</v>
      </c>
      <c r="U1043">
        <v>7.37</v>
      </c>
      <c r="V1043">
        <v>7.65</v>
      </c>
      <c r="W1043">
        <v>143095</v>
      </c>
      <c r="X1043">
        <v>144980</v>
      </c>
      <c r="Y1043">
        <v>0.99</v>
      </c>
      <c r="Z1043">
        <v>69</v>
      </c>
      <c r="AA1043">
        <v>1404</v>
      </c>
      <c r="AB1043" t="s">
        <v>32</v>
      </c>
      <c r="AC1043">
        <v>2.92</v>
      </c>
    </row>
    <row r="1044" spans="1:29">
      <c r="A1044" t="str">
        <f>"002585"</f>
        <v>002585</v>
      </c>
      <c r="B1044" t="s">
        <v>1210</v>
      </c>
      <c r="C1044">
        <v>0</v>
      </c>
      <c r="D1044">
        <v>5.58</v>
      </c>
      <c r="E1044">
        <v>0</v>
      </c>
      <c r="F1044">
        <v>5.57</v>
      </c>
      <c r="G1044">
        <v>5.58</v>
      </c>
      <c r="H1044">
        <v>112628</v>
      </c>
      <c r="I1044">
        <v>737</v>
      </c>
      <c r="J1044">
        <v>0.18</v>
      </c>
      <c r="K1044">
        <v>1.32</v>
      </c>
      <c r="L1044">
        <v>5.55</v>
      </c>
      <c r="M1044">
        <v>5.72</v>
      </c>
      <c r="N1044">
        <v>5.54</v>
      </c>
      <c r="O1044">
        <v>5.58</v>
      </c>
      <c r="P1044">
        <v>24.85</v>
      </c>
      <c r="Q1044">
        <v>63133976</v>
      </c>
      <c r="R1044">
        <v>1.2</v>
      </c>
      <c r="S1044" t="s">
        <v>508</v>
      </c>
      <c r="T1044" t="s">
        <v>87</v>
      </c>
      <c r="U1044">
        <v>3.23</v>
      </c>
      <c r="V1044">
        <v>5.61</v>
      </c>
      <c r="W1044">
        <v>55842</v>
      </c>
      <c r="X1044">
        <v>56785</v>
      </c>
      <c r="Y1044">
        <v>0.98</v>
      </c>
      <c r="Z1044">
        <v>1350</v>
      </c>
      <c r="AA1044">
        <v>643</v>
      </c>
      <c r="AB1044" t="s">
        <v>32</v>
      </c>
      <c r="AC1044">
        <v>8.52</v>
      </c>
    </row>
    <row r="1045" spans="1:29">
      <c r="A1045" t="str">
        <f>"002586"</f>
        <v>002586</v>
      </c>
      <c r="B1045" t="s">
        <v>1211</v>
      </c>
      <c r="C1045">
        <v>3.04</v>
      </c>
      <c r="D1045">
        <v>5.77</v>
      </c>
      <c r="E1045">
        <v>0.17</v>
      </c>
      <c r="F1045">
        <v>5.76</v>
      </c>
      <c r="G1045">
        <v>5.77</v>
      </c>
      <c r="H1045">
        <v>76781</v>
      </c>
      <c r="I1045">
        <v>682</v>
      </c>
      <c r="J1045">
        <v>0.17</v>
      </c>
      <c r="K1045">
        <v>1.11</v>
      </c>
      <c r="L1045">
        <v>5.65</v>
      </c>
      <c r="M1045">
        <v>5.84</v>
      </c>
      <c r="N1045">
        <v>5.61</v>
      </c>
      <c r="O1045">
        <v>5.6</v>
      </c>
      <c r="P1045">
        <v>44.02</v>
      </c>
      <c r="Q1045">
        <v>44161840</v>
      </c>
      <c r="R1045">
        <v>1.1</v>
      </c>
      <c r="S1045" t="s">
        <v>49</v>
      </c>
      <c r="T1045" t="s">
        <v>149</v>
      </c>
      <c r="U1045">
        <v>4.11</v>
      </c>
      <c r="V1045">
        <v>5.75</v>
      </c>
      <c r="W1045">
        <v>30545</v>
      </c>
      <c r="X1045">
        <v>46236</v>
      </c>
      <c r="Y1045">
        <v>0.66</v>
      </c>
      <c r="Z1045">
        <v>275</v>
      </c>
      <c r="AA1045">
        <v>754</v>
      </c>
      <c r="AB1045" t="s">
        <v>32</v>
      </c>
      <c r="AC1045">
        <v>6.94</v>
      </c>
    </row>
    <row r="1046" spans="1:29">
      <c r="A1046" t="str">
        <f>"002587"</f>
        <v>002587</v>
      </c>
      <c r="B1046" t="s">
        <v>1212</v>
      </c>
      <c r="C1046">
        <v>1.74</v>
      </c>
      <c r="D1046">
        <v>6.42</v>
      </c>
      <c r="E1046">
        <v>0.11</v>
      </c>
      <c r="F1046">
        <v>6.41</v>
      </c>
      <c r="G1046">
        <v>6.42</v>
      </c>
      <c r="H1046">
        <v>49806</v>
      </c>
      <c r="I1046">
        <v>398</v>
      </c>
      <c r="J1046">
        <v>0</v>
      </c>
      <c r="K1046">
        <v>1.27</v>
      </c>
      <c r="L1046">
        <v>6.3</v>
      </c>
      <c r="M1046">
        <v>6.43</v>
      </c>
      <c r="N1046">
        <v>6.28</v>
      </c>
      <c r="O1046">
        <v>6.31</v>
      </c>
      <c r="P1046">
        <v>22.23</v>
      </c>
      <c r="Q1046">
        <v>31735584</v>
      </c>
      <c r="R1046">
        <v>1.23</v>
      </c>
      <c r="S1046" t="s">
        <v>63</v>
      </c>
      <c r="T1046" t="s">
        <v>31</v>
      </c>
      <c r="U1046">
        <v>2.38</v>
      </c>
      <c r="V1046">
        <v>6.37</v>
      </c>
      <c r="W1046">
        <v>19948</v>
      </c>
      <c r="X1046">
        <v>29858</v>
      </c>
      <c r="Y1046">
        <v>0.67</v>
      </c>
      <c r="Z1046">
        <v>183</v>
      </c>
      <c r="AA1046">
        <v>1077</v>
      </c>
      <c r="AB1046" t="s">
        <v>32</v>
      </c>
      <c r="AC1046">
        <v>3.93</v>
      </c>
    </row>
    <row r="1047" spans="1:29">
      <c r="A1047" t="str">
        <f>"002588"</f>
        <v>002588</v>
      </c>
      <c r="B1047" t="s">
        <v>1213</v>
      </c>
      <c r="C1047">
        <v>1.72</v>
      </c>
      <c r="D1047">
        <v>5.31</v>
      </c>
      <c r="E1047">
        <v>0.09</v>
      </c>
      <c r="F1047">
        <v>5.3</v>
      </c>
      <c r="G1047">
        <v>5.31</v>
      </c>
      <c r="H1047">
        <v>53757</v>
      </c>
      <c r="I1047">
        <v>893</v>
      </c>
      <c r="J1047">
        <v>0.19</v>
      </c>
      <c r="K1047">
        <v>0.74</v>
      </c>
      <c r="L1047">
        <v>5.21</v>
      </c>
      <c r="M1047">
        <v>5.32</v>
      </c>
      <c r="N1047">
        <v>5.19</v>
      </c>
      <c r="O1047">
        <v>5.22</v>
      </c>
      <c r="P1047">
        <v>20.58</v>
      </c>
      <c r="Q1047">
        <v>28369086</v>
      </c>
      <c r="R1047">
        <v>2.57</v>
      </c>
      <c r="S1047" t="s">
        <v>145</v>
      </c>
      <c r="T1047" t="s">
        <v>162</v>
      </c>
      <c r="U1047">
        <v>2.49</v>
      </c>
      <c r="V1047">
        <v>5.28</v>
      </c>
      <c r="W1047">
        <v>32045</v>
      </c>
      <c r="X1047">
        <v>21711</v>
      </c>
      <c r="Y1047">
        <v>1.48</v>
      </c>
      <c r="Z1047">
        <v>87</v>
      </c>
      <c r="AA1047">
        <v>403</v>
      </c>
      <c r="AB1047" t="s">
        <v>32</v>
      </c>
      <c r="AC1047">
        <v>7.3</v>
      </c>
    </row>
    <row r="1048" spans="1:29">
      <c r="A1048" t="str">
        <f>"002589"</f>
        <v>002589</v>
      </c>
      <c r="B1048" t="s">
        <v>1214</v>
      </c>
      <c r="C1048">
        <v>0.45</v>
      </c>
      <c r="D1048">
        <v>13.41</v>
      </c>
      <c r="E1048">
        <v>0.06</v>
      </c>
      <c r="F1048">
        <v>13.39</v>
      </c>
      <c r="G1048">
        <v>13.41</v>
      </c>
      <c r="H1048">
        <v>97965</v>
      </c>
      <c r="I1048">
        <v>1133</v>
      </c>
      <c r="J1048">
        <v>0.9</v>
      </c>
      <c r="K1048">
        <v>0.83</v>
      </c>
      <c r="L1048">
        <v>13.27</v>
      </c>
      <c r="M1048">
        <v>13.44</v>
      </c>
      <c r="N1048">
        <v>13.08</v>
      </c>
      <c r="O1048">
        <v>13.35</v>
      </c>
      <c r="P1048">
        <v>18</v>
      </c>
      <c r="Q1048">
        <v>130334336</v>
      </c>
      <c r="R1048">
        <v>1.84</v>
      </c>
      <c r="S1048" t="s">
        <v>77</v>
      </c>
      <c r="T1048" t="s">
        <v>162</v>
      </c>
      <c r="U1048">
        <v>2.7</v>
      </c>
      <c r="V1048">
        <v>13.3</v>
      </c>
      <c r="W1048">
        <v>49451</v>
      </c>
      <c r="X1048">
        <v>48513</v>
      </c>
      <c r="Y1048">
        <v>1.02</v>
      </c>
      <c r="Z1048">
        <v>7</v>
      </c>
      <c r="AA1048">
        <v>555</v>
      </c>
      <c r="AB1048" t="s">
        <v>32</v>
      </c>
      <c r="AC1048">
        <v>11.76</v>
      </c>
    </row>
    <row r="1049" spans="1:29">
      <c r="A1049" t="str">
        <f>"002590"</f>
        <v>002590</v>
      </c>
      <c r="B1049" t="s">
        <v>1215</v>
      </c>
      <c r="C1049">
        <v>1.94</v>
      </c>
      <c r="D1049">
        <v>8.42</v>
      </c>
      <c r="E1049">
        <v>0.16</v>
      </c>
      <c r="F1049">
        <v>8.41</v>
      </c>
      <c r="G1049">
        <v>8.42</v>
      </c>
      <c r="H1049">
        <v>35992</v>
      </c>
      <c r="I1049">
        <v>1164</v>
      </c>
      <c r="J1049">
        <v>0.24</v>
      </c>
      <c r="K1049">
        <v>0.85</v>
      </c>
      <c r="L1049">
        <v>8.31</v>
      </c>
      <c r="M1049">
        <v>8.42</v>
      </c>
      <c r="N1049">
        <v>8.21</v>
      </c>
      <c r="O1049">
        <v>8.26</v>
      </c>
      <c r="P1049">
        <v>31.61</v>
      </c>
      <c r="Q1049">
        <v>30135078</v>
      </c>
      <c r="R1049">
        <v>1.51</v>
      </c>
      <c r="S1049" t="s">
        <v>80</v>
      </c>
      <c r="T1049" t="s">
        <v>149</v>
      </c>
      <c r="U1049">
        <v>2.54</v>
      </c>
      <c r="V1049">
        <v>8.37</v>
      </c>
      <c r="W1049">
        <v>14670</v>
      </c>
      <c r="X1049">
        <v>21322</v>
      </c>
      <c r="Y1049">
        <v>0.69</v>
      </c>
      <c r="Z1049">
        <v>28</v>
      </c>
      <c r="AA1049">
        <v>248</v>
      </c>
      <c r="AB1049" t="s">
        <v>32</v>
      </c>
      <c r="AC1049">
        <v>4.25</v>
      </c>
    </row>
    <row r="1050" spans="1:29">
      <c r="A1050" t="str">
        <f>"002591"</f>
        <v>002591</v>
      </c>
      <c r="B1050" t="s">
        <v>1216</v>
      </c>
      <c r="C1050">
        <v>0.99</v>
      </c>
      <c r="D1050">
        <v>7.14</v>
      </c>
      <c r="E1050">
        <v>0.07</v>
      </c>
      <c r="F1050">
        <v>7.14</v>
      </c>
      <c r="G1050">
        <v>7.15</v>
      </c>
      <c r="H1050">
        <v>24345</v>
      </c>
      <c r="I1050">
        <v>541</v>
      </c>
      <c r="J1050">
        <v>0</v>
      </c>
      <c r="K1050">
        <v>1.34</v>
      </c>
      <c r="L1050">
        <v>7.07</v>
      </c>
      <c r="M1050">
        <v>7.15</v>
      </c>
      <c r="N1050">
        <v>6.99</v>
      </c>
      <c r="O1050">
        <v>7.07</v>
      </c>
      <c r="P1050">
        <v>76.88</v>
      </c>
      <c r="Q1050">
        <v>17259728</v>
      </c>
      <c r="R1050">
        <v>1.88</v>
      </c>
      <c r="S1050" t="s">
        <v>218</v>
      </c>
      <c r="T1050" t="s">
        <v>172</v>
      </c>
      <c r="U1050">
        <v>2.26</v>
      </c>
      <c r="V1050">
        <v>7.09</v>
      </c>
      <c r="W1050">
        <v>12159</v>
      </c>
      <c r="X1050">
        <v>12185</v>
      </c>
      <c r="Y1050">
        <v>1</v>
      </c>
      <c r="Z1050">
        <v>38</v>
      </c>
      <c r="AA1050">
        <v>618</v>
      </c>
      <c r="AB1050" t="s">
        <v>32</v>
      </c>
      <c r="AC1050">
        <v>1.82</v>
      </c>
    </row>
    <row r="1051" spans="1:29">
      <c r="A1051" t="str">
        <f>"002592"</f>
        <v>002592</v>
      </c>
      <c r="B1051" t="s">
        <v>1217</v>
      </c>
      <c r="C1051">
        <v>3.25</v>
      </c>
      <c r="D1051">
        <v>13.33</v>
      </c>
      <c r="E1051">
        <v>0.42</v>
      </c>
      <c r="F1051">
        <v>13.32</v>
      </c>
      <c r="G1051">
        <v>13.33</v>
      </c>
      <c r="H1051">
        <v>25738</v>
      </c>
      <c r="I1051">
        <v>359</v>
      </c>
      <c r="J1051">
        <v>0</v>
      </c>
      <c r="K1051">
        <v>1.26</v>
      </c>
      <c r="L1051">
        <v>12.95</v>
      </c>
      <c r="M1051">
        <v>13.49</v>
      </c>
      <c r="N1051">
        <v>12.82</v>
      </c>
      <c r="O1051">
        <v>12.91</v>
      </c>
      <c r="P1051">
        <v>146.9</v>
      </c>
      <c r="Q1051">
        <v>33746492</v>
      </c>
      <c r="R1051">
        <v>2.9</v>
      </c>
      <c r="S1051" t="s">
        <v>80</v>
      </c>
      <c r="T1051" t="s">
        <v>238</v>
      </c>
      <c r="U1051">
        <v>5.19</v>
      </c>
      <c r="V1051">
        <v>13.11</v>
      </c>
      <c r="W1051">
        <v>10532</v>
      </c>
      <c r="X1051">
        <v>15205</v>
      </c>
      <c r="Y1051">
        <v>0.69</v>
      </c>
      <c r="Z1051">
        <v>148</v>
      </c>
      <c r="AA1051">
        <v>338</v>
      </c>
      <c r="AB1051" t="s">
        <v>32</v>
      </c>
      <c r="AC1051">
        <v>2.04</v>
      </c>
    </row>
    <row r="1052" spans="1:29">
      <c r="A1052" t="str">
        <f>"002593"</f>
        <v>002593</v>
      </c>
      <c r="B1052" t="s">
        <v>1218</v>
      </c>
      <c r="C1052">
        <v>6.06</v>
      </c>
      <c r="D1052">
        <v>3.5</v>
      </c>
      <c r="E1052">
        <v>0.2</v>
      </c>
      <c r="F1052">
        <v>3.49</v>
      </c>
      <c r="G1052">
        <v>3.5</v>
      </c>
      <c r="H1052">
        <v>63077</v>
      </c>
      <c r="I1052">
        <v>5304</v>
      </c>
      <c r="J1052">
        <v>1.74</v>
      </c>
      <c r="K1052">
        <v>1.35</v>
      </c>
      <c r="L1052">
        <v>3.3</v>
      </c>
      <c r="M1052">
        <v>3.5</v>
      </c>
      <c r="N1052">
        <v>3.29</v>
      </c>
      <c r="O1052">
        <v>3.3</v>
      </c>
      <c r="P1052">
        <v>64.16</v>
      </c>
      <c r="Q1052">
        <v>21369058</v>
      </c>
      <c r="R1052">
        <v>3.6</v>
      </c>
      <c r="S1052" t="s">
        <v>80</v>
      </c>
      <c r="T1052" t="s">
        <v>236</v>
      </c>
      <c r="U1052">
        <v>6.36</v>
      </c>
      <c r="V1052">
        <v>3.39</v>
      </c>
      <c r="W1052">
        <v>24692</v>
      </c>
      <c r="X1052">
        <v>38385</v>
      </c>
      <c r="Y1052">
        <v>0.64</v>
      </c>
      <c r="Z1052">
        <v>390</v>
      </c>
      <c r="AA1052">
        <v>239</v>
      </c>
      <c r="AB1052" t="s">
        <v>32</v>
      </c>
      <c r="AC1052">
        <v>4.67</v>
      </c>
    </row>
    <row r="1053" spans="1:29">
      <c r="A1053" t="str">
        <f>"002594"</f>
        <v>002594</v>
      </c>
      <c r="B1053" t="s">
        <v>1219</v>
      </c>
      <c r="C1053">
        <v>1.82</v>
      </c>
      <c r="D1053">
        <v>44.29</v>
      </c>
      <c r="E1053">
        <v>0.79</v>
      </c>
      <c r="F1053">
        <v>44.28</v>
      </c>
      <c r="G1053">
        <v>44.29</v>
      </c>
      <c r="H1053">
        <v>55480</v>
      </c>
      <c r="I1053">
        <v>906</v>
      </c>
      <c r="J1053">
        <v>0.05</v>
      </c>
      <c r="K1053">
        <v>0.49</v>
      </c>
      <c r="L1053">
        <v>43.7</v>
      </c>
      <c r="M1053">
        <v>44.43</v>
      </c>
      <c r="N1053">
        <v>43.41</v>
      </c>
      <c r="O1053">
        <v>43.5</v>
      </c>
      <c r="P1053">
        <v>294.92</v>
      </c>
      <c r="Q1053">
        <v>244567200</v>
      </c>
      <c r="R1053">
        <v>0.98</v>
      </c>
      <c r="S1053" t="s">
        <v>262</v>
      </c>
      <c r="T1053" t="s">
        <v>31</v>
      </c>
      <c r="U1053">
        <v>2.34</v>
      </c>
      <c r="V1053">
        <v>44.08</v>
      </c>
      <c r="W1053">
        <v>25723</v>
      </c>
      <c r="X1053">
        <v>29756</v>
      </c>
      <c r="Y1053">
        <v>0.86</v>
      </c>
      <c r="Z1053">
        <v>190</v>
      </c>
      <c r="AA1053">
        <v>76</v>
      </c>
      <c r="AB1053" t="s">
        <v>32</v>
      </c>
      <c r="AC1053">
        <v>11.38</v>
      </c>
    </row>
    <row r="1054" spans="1:29">
      <c r="A1054" t="str">
        <f>"002595"</f>
        <v>002595</v>
      </c>
      <c r="B1054" t="s">
        <v>1220</v>
      </c>
      <c r="C1054">
        <v>1.29</v>
      </c>
      <c r="D1054">
        <v>17.3</v>
      </c>
      <c r="E1054">
        <v>0.22</v>
      </c>
      <c r="F1054">
        <v>17.28</v>
      </c>
      <c r="G1054">
        <v>17.3</v>
      </c>
      <c r="H1054">
        <v>14097</v>
      </c>
      <c r="I1054">
        <v>426</v>
      </c>
      <c r="J1054">
        <v>0.58</v>
      </c>
      <c r="K1054">
        <v>0.27</v>
      </c>
      <c r="L1054">
        <v>17.07</v>
      </c>
      <c r="M1054">
        <v>17.3</v>
      </c>
      <c r="N1054">
        <v>17</v>
      </c>
      <c r="O1054">
        <v>17.08</v>
      </c>
      <c r="P1054">
        <v>31.72</v>
      </c>
      <c r="Q1054">
        <v>24187728</v>
      </c>
      <c r="R1054">
        <v>1.33</v>
      </c>
      <c r="S1054" t="s">
        <v>171</v>
      </c>
      <c r="T1054" t="s">
        <v>162</v>
      </c>
      <c r="U1054">
        <v>1.76</v>
      </c>
      <c r="V1054">
        <v>17.16</v>
      </c>
      <c r="W1054">
        <v>4855</v>
      </c>
      <c r="X1054">
        <v>9242</v>
      </c>
      <c r="Y1054">
        <v>0.53</v>
      </c>
      <c r="Z1054">
        <v>20</v>
      </c>
      <c r="AA1054">
        <v>209</v>
      </c>
      <c r="AB1054" t="s">
        <v>32</v>
      </c>
      <c r="AC1054">
        <v>5.15</v>
      </c>
    </row>
    <row r="1055" spans="1:29">
      <c r="A1055" t="str">
        <f>"002596"</f>
        <v>002596</v>
      </c>
      <c r="B1055" t="s">
        <v>1221</v>
      </c>
      <c r="C1055">
        <v>5.57</v>
      </c>
      <c r="D1055">
        <v>10.04</v>
      </c>
      <c r="E1055">
        <v>0.53</v>
      </c>
      <c r="F1055">
        <v>10.04</v>
      </c>
      <c r="G1055">
        <v>10.05</v>
      </c>
      <c r="H1055">
        <v>477554</v>
      </c>
      <c r="I1055">
        <v>4282</v>
      </c>
      <c r="J1055">
        <v>0.1</v>
      </c>
      <c r="K1055">
        <v>6.58</v>
      </c>
      <c r="L1055">
        <v>9.52</v>
      </c>
      <c r="M1055">
        <v>10.25</v>
      </c>
      <c r="N1055">
        <v>9.43</v>
      </c>
      <c r="O1055">
        <v>9.51</v>
      </c>
      <c r="P1055">
        <v>91.45</v>
      </c>
      <c r="Q1055">
        <v>472033184</v>
      </c>
      <c r="R1055">
        <v>2.77</v>
      </c>
      <c r="S1055" t="s">
        <v>69</v>
      </c>
      <c r="T1055" t="s">
        <v>209</v>
      </c>
      <c r="U1055">
        <v>8.62</v>
      </c>
      <c r="V1055">
        <v>9.88</v>
      </c>
      <c r="W1055">
        <v>197397</v>
      </c>
      <c r="X1055">
        <v>280157</v>
      </c>
      <c r="Y1055">
        <v>0.7</v>
      </c>
      <c r="Z1055">
        <v>1677</v>
      </c>
      <c r="AA1055">
        <v>1666</v>
      </c>
      <c r="AB1055" t="s">
        <v>32</v>
      </c>
      <c r="AC1055">
        <v>7.26</v>
      </c>
    </row>
    <row r="1056" spans="1:29">
      <c r="A1056" t="str">
        <f>"002597"</f>
        <v>002597</v>
      </c>
      <c r="B1056" t="s">
        <v>1222</v>
      </c>
      <c r="C1056">
        <v>1.08</v>
      </c>
      <c r="D1056">
        <v>22.4</v>
      </c>
      <c r="E1056">
        <v>0.24</v>
      </c>
      <c r="F1056">
        <v>22.39</v>
      </c>
      <c r="G1056">
        <v>22.4</v>
      </c>
      <c r="H1056">
        <v>60524</v>
      </c>
      <c r="I1056">
        <v>289</v>
      </c>
      <c r="J1056">
        <v>0.09</v>
      </c>
      <c r="K1056">
        <v>1.08</v>
      </c>
      <c r="L1056">
        <v>22.1</v>
      </c>
      <c r="M1056">
        <v>22.7</v>
      </c>
      <c r="N1056">
        <v>22.1</v>
      </c>
      <c r="O1056">
        <v>22.16</v>
      </c>
      <c r="P1056">
        <v>10.84</v>
      </c>
      <c r="Q1056">
        <v>136060320</v>
      </c>
      <c r="R1056">
        <v>1.1</v>
      </c>
      <c r="S1056" t="s">
        <v>218</v>
      </c>
      <c r="T1056" t="s">
        <v>143</v>
      </c>
      <c r="U1056">
        <v>2.71</v>
      </c>
      <c r="V1056">
        <v>22.48</v>
      </c>
      <c r="W1056">
        <v>25334</v>
      </c>
      <c r="X1056">
        <v>35189</v>
      </c>
      <c r="Y1056">
        <v>0.72</v>
      </c>
      <c r="Z1056">
        <v>48</v>
      </c>
      <c r="AA1056">
        <v>12</v>
      </c>
      <c r="AB1056" t="s">
        <v>32</v>
      </c>
      <c r="AC1056">
        <v>5.6</v>
      </c>
    </row>
    <row r="1057" spans="1:29">
      <c r="A1057" t="str">
        <f>"002598"</f>
        <v>002598</v>
      </c>
      <c r="B1057" t="s">
        <v>1223</v>
      </c>
      <c r="C1057">
        <v>1.8</v>
      </c>
      <c r="D1057">
        <v>7.36</v>
      </c>
      <c r="E1057">
        <v>0.13</v>
      </c>
      <c r="F1057">
        <v>7.36</v>
      </c>
      <c r="G1057">
        <v>7.37</v>
      </c>
      <c r="H1057">
        <v>14926</v>
      </c>
      <c r="I1057">
        <v>58</v>
      </c>
      <c r="J1057">
        <v>-0.13</v>
      </c>
      <c r="K1057">
        <v>0.55</v>
      </c>
      <c r="L1057">
        <v>7.2</v>
      </c>
      <c r="M1057">
        <v>7.45</v>
      </c>
      <c r="N1057">
        <v>7.2</v>
      </c>
      <c r="O1057">
        <v>7.23</v>
      </c>
      <c r="P1057">
        <v>43.7</v>
      </c>
      <c r="Q1057">
        <v>10955312</v>
      </c>
      <c r="R1057">
        <v>0.85</v>
      </c>
      <c r="S1057" t="s">
        <v>241</v>
      </c>
      <c r="T1057" t="s">
        <v>162</v>
      </c>
      <c r="U1057">
        <v>3.46</v>
      </c>
      <c r="V1057">
        <v>7.34</v>
      </c>
      <c r="W1057">
        <v>6373</v>
      </c>
      <c r="X1057">
        <v>8553</v>
      </c>
      <c r="Y1057">
        <v>0.75</v>
      </c>
      <c r="Z1057">
        <v>525</v>
      </c>
      <c r="AA1057">
        <v>148</v>
      </c>
      <c r="AB1057" t="s">
        <v>32</v>
      </c>
      <c r="AC1057">
        <v>2.71</v>
      </c>
    </row>
    <row r="1058" spans="1:29">
      <c r="A1058" t="str">
        <f>"002599"</f>
        <v>002599</v>
      </c>
      <c r="B1058" t="s">
        <v>1224</v>
      </c>
      <c r="C1058">
        <v>1.04</v>
      </c>
      <c r="D1058">
        <v>10.7</v>
      </c>
      <c r="E1058">
        <v>0.11</v>
      </c>
      <c r="F1058">
        <v>10.69</v>
      </c>
      <c r="G1058">
        <v>10.7</v>
      </c>
      <c r="H1058">
        <v>9491</v>
      </c>
      <c r="I1058">
        <v>250</v>
      </c>
      <c r="J1058">
        <v>-0.18</v>
      </c>
      <c r="K1058">
        <v>0.5</v>
      </c>
      <c r="L1058">
        <v>10.61</v>
      </c>
      <c r="M1058">
        <v>10.79</v>
      </c>
      <c r="N1058">
        <v>10.59</v>
      </c>
      <c r="O1058">
        <v>10.59</v>
      </c>
      <c r="P1058">
        <v>85.46</v>
      </c>
      <c r="Q1058">
        <v>10156794</v>
      </c>
      <c r="R1058">
        <v>0.92</v>
      </c>
      <c r="S1058" t="s">
        <v>91</v>
      </c>
      <c r="T1058" t="s">
        <v>45</v>
      </c>
      <c r="U1058">
        <v>1.89</v>
      </c>
      <c r="V1058">
        <v>10.7</v>
      </c>
      <c r="W1058">
        <v>4929</v>
      </c>
      <c r="X1058">
        <v>4561</v>
      </c>
      <c r="Y1058">
        <v>1.08</v>
      </c>
      <c r="Z1058">
        <v>60</v>
      </c>
      <c r="AA1058">
        <v>31</v>
      </c>
      <c r="AB1058" t="s">
        <v>32</v>
      </c>
      <c r="AC1058">
        <v>1.9</v>
      </c>
    </row>
    <row r="1059" spans="1:29">
      <c r="A1059" t="str">
        <f>"002600"</f>
        <v>002600</v>
      </c>
      <c r="B1059" t="s">
        <v>1225</v>
      </c>
      <c r="C1059">
        <v>1.71</v>
      </c>
      <c r="D1059">
        <v>4.16</v>
      </c>
      <c r="E1059">
        <v>0.07</v>
      </c>
      <c r="F1059">
        <v>4.16</v>
      </c>
      <c r="G1059">
        <v>4.17</v>
      </c>
      <c r="H1059">
        <v>582405</v>
      </c>
      <c r="I1059">
        <v>7077</v>
      </c>
      <c r="J1059">
        <v>-0.23</v>
      </c>
      <c r="K1059">
        <v>4.39</v>
      </c>
      <c r="L1059">
        <v>4.11</v>
      </c>
      <c r="M1059">
        <v>4.26</v>
      </c>
      <c r="N1059">
        <v>4.05</v>
      </c>
      <c r="O1059">
        <v>4.09</v>
      </c>
      <c r="P1059">
        <v>17.33</v>
      </c>
      <c r="Q1059">
        <v>242727232</v>
      </c>
      <c r="R1059">
        <v>0.76</v>
      </c>
      <c r="S1059" t="s">
        <v>63</v>
      </c>
      <c r="T1059" t="s">
        <v>136</v>
      </c>
      <c r="U1059">
        <v>5.13</v>
      </c>
      <c r="V1059">
        <v>4.17</v>
      </c>
      <c r="W1059">
        <v>247815</v>
      </c>
      <c r="X1059">
        <v>334589</v>
      </c>
      <c r="Y1059">
        <v>0.74</v>
      </c>
      <c r="Z1059">
        <v>3050</v>
      </c>
      <c r="AA1059">
        <v>4146</v>
      </c>
      <c r="AB1059" t="s">
        <v>32</v>
      </c>
      <c r="AC1059">
        <v>13.28</v>
      </c>
    </row>
    <row r="1060" spans="1:29">
      <c r="A1060" t="str">
        <f>"002601"</f>
        <v>002601</v>
      </c>
      <c r="B1060" t="s">
        <v>1226</v>
      </c>
      <c r="C1060">
        <v>0.96</v>
      </c>
      <c r="D1060">
        <v>13.64</v>
      </c>
      <c r="E1060">
        <v>0.13</v>
      </c>
      <c r="F1060">
        <v>13.64</v>
      </c>
      <c r="G1060">
        <v>13.65</v>
      </c>
      <c r="H1060">
        <v>156124</v>
      </c>
      <c r="I1060">
        <v>984</v>
      </c>
      <c r="J1060">
        <v>0</v>
      </c>
      <c r="K1060">
        <v>2.22</v>
      </c>
      <c r="L1060">
        <v>13.55</v>
      </c>
      <c r="M1060">
        <v>13.9</v>
      </c>
      <c r="N1060">
        <v>13.52</v>
      </c>
      <c r="O1060">
        <v>13.51</v>
      </c>
      <c r="P1060">
        <v>11.59</v>
      </c>
      <c r="Q1060">
        <v>214083760</v>
      </c>
      <c r="R1060">
        <v>1.77</v>
      </c>
      <c r="S1060" t="s">
        <v>218</v>
      </c>
      <c r="T1060" t="s">
        <v>164</v>
      </c>
      <c r="U1060">
        <v>2.81</v>
      </c>
      <c r="V1060">
        <v>13.71</v>
      </c>
      <c r="W1060">
        <v>87125</v>
      </c>
      <c r="X1060">
        <v>68999</v>
      </c>
      <c r="Y1060">
        <v>1.26</v>
      </c>
      <c r="Z1060">
        <v>286</v>
      </c>
      <c r="AA1060">
        <v>883</v>
      </c>
      <c r="AB1060" t="s">
        <v>32</v>
      </c>
      <c r="AC1060">
        <v>7.02</v>
      </c>
    </row>
    <row r="1061" spans="1:29">
      <c r="A1061" t="str">
        <f>"002602"</f>
        <v>002602</v>
      </c>
      <c r="B1061" t="s">
        <v>1227</v>
      </c>
      <c r="C1061" t="s">
        <v>32</v>
      </c>
      <c r="D1061">
        <v>32.5</v>
      </c>
      <c r="E1061" t="s">
        <v>32</v>
      </c>
      <c r="F1061" t="s">
        <v>32</v>
      </c>
      <c r="G1061" t="s">
        <v>32</v>
      </c>
      <c r="H1061">
        <v>0</v>
      </c>
      <c r="I1061">
        <v>0</v>
      </c>
      <c r="J1061" t="s">
        <v>32</v>
      </c>
      <c r="K1061">
        <v>0</v>
      </c>
      <c r="L1061" t="s">
        <v>32</v>
      </c>
      <c r="M1061" t="s">
        <v>32</v>
      </c>
      <c r="N1061" t="s">
        <v>32</v>
      </c>
      <c r="O1061">
        <v>32.5</v>
      </c>
      <c r="P1061">
        <v>37.81</v>
      </c>
      <c r="Q1061">
        <v>0</v>
      </c>
      <c r="R1061">
        <v>0</v>
      </c>
      <c r="S1061" t="s">
        <v>80</v>
      </c>
      <c r="T1061" t="s">
        <v>149</v>
      </c>
      <c r="U1061">
        <v>0</v>
      </c>
      <c r="V1061">
        <v>32.5</v>
      </c>
      <c r="W1061">
        <v>0</v>
      </c>
      <c r="X1061">
        <v>0</v>
      </c>
      <c r="Y1061" t="s">
        <v>32</v>
      </c>
      <c r="Z1061">
        <v>0</v>
      </c>
      <c r="AA1061">
        <v>0</v>
      </c>
      <c r="AB1061" t="s">
        <v>32</v>
      </c>
      <c r="AC1061">
        <v>7.98</v>
      </c>
    </row>
    <row r="1062" spans="1:29">
      <c r="A1062" t="str">
        <f>"002603"</f>
        <v>002603</v>
      </c>
      <c r="B1062" t="s">
        <v>1228</v>
      </c>
      <c r="C1062">
        <v>2.59</v>
      </c>
      <c r="D1062">
        <v>14.25</v>
      </c>
      <c r="E1062">
        <v>0.36</v>
      </c>
      <c r="F1062">
        <v>14.24</v>
      </c>
      <c r="G1062">
        <v>14.25</v>
      </c>
      <c r="H1062">
        <v>51393</v>
      </c>
      <c r="I1062">
        <v>423</v>
      </c>
      <c r="J1062">
        <v>0.14</v>
      </c>
      <c r="K1062">
        <v>0.52</v>
      </c>
      <c r="L1062">
        <v>13.85</v>
      </c>
      <c r="M1062">
        <v>14.28</v>
      </c>
      <c r="N1062">
        <v>13.73</v>
      </c>
      <c r="O1062">
        <v>13.89</v>
      </c>
      <c r="P1062">
        <v>13.83</v>
      </c>
      <c r="Q1062">
        <v>72411568</v>
      </c>
      <c r="R1062">
        <v>1.22</v>
      </c>
      <c r="S1062" t="s">
        <v>195</v>
      </c>
      <c r="T1062" t="s">
        <v>154</v>
      </c>
      <c r="U1062">
        <v>3.96</v>
      </c>
      <c r="V1062">
        <v>14.09</v>
      </c>
      <c r="W1062">
        <v>20078</v>
      </c>
      <c r="X1062">
        <v>31314</v>
      </c>
      <c r="Y1062">
        <v>0.64</v>
      </c>
      <c r="Z1062">
        <v>71</v>
      </c>
      <c r="AA1062">
        <v>118</v>
      </c>
      <c r="AB1062" t="s">
        <v>32</v>
      </c>
      <c r="AC1062">
        <v>9.89</v>
      </c>
    </row>
    <row r="1063" spans="1:29">
      <c r="A1063" t="str">
        <f>"002604"</f>
        <v>002604</v>
      </c>
      <c r="B1063" t="s">
        <v>1229</v>
      </c>
      <c r="C1063">
        <v>2.3</v>
      </c>
      <c r="D1063">
        <v>1.78</v>
      </c>
      <c r="E1063">
        <v>0.04</v>
      </c>
      <c r="F1063">
        <v>1.77</v>
      </c>
      <c r="G1063">
        <v>1.78</v>
      </c>
      <c r="H1063">
        <v>57796</v>
      </c>
      <c r="I1063">
        <v>1026</v>
      </c>
      <c r="J1063">
        <v>0</v>
      </c>
      <c r="K1063">
        <v>1.14</v>
      </c>
      <c r="L1063">
        <v>1.74</v>
      </c>
      <c r="M1063">
        <v>1.78</v>
      </c>
      <c r="N1063">
        <v>1.73</v>
      </c>
      <c r="O1063">
        <v>1.74</v>
      </c>
      <c r="P1063" t="s">
        <v>32</v>
      </c>
      <c r="Q1063">
        <v>10191445</v>
      </c>
      <c r="R1063">
        <v>0.72</v>
      </c>
      <c r="S1063" t="s">
        <v>213</v>
      </c>
      <c r="T1063" t="s">
        <v>162</v>
      </c>
      <c r="U1063">
        <v>2.87</v>
      </c>
      <c r="V1063">
        <v>1.76</v>
      </c>
      <c r="W1063">
        <v>24076</v>
      </c>
      <c r="X1063">
        <v>33719</v>
      </c>
      <c r="Y1063">
        <v>0.71</v>
      </c>
      <c r="Z1063">
        <v>698</v>
      </c>
      <c r="AA1063">
        <v>4397</v>
      </c>
      <c r="AB1063" t="s">
        <v>32</v>
      </c>
      <c r="AC1063">
        <v>5.08</v>
      </c>
    </row>
    <row r="1064" spans="1:29">
      <c r="A1064" t="str">
        <f>"002605"</f>
        <v>002605</v>
      </c>
      <c r="B1064" t="s">
        <v>1230</v>
      </c>
      <c r="C1064">
        <v>2.02</v>
      </c>
      <c r="D1064">
        <v>7.08</v>
      </c>
      <c r="E1064">
        <v>0.14</v>
      </c>
      <c r="F1064">
        <v>7.07</v>
      </c>
      <c r="G1064">
        <v>7.08</v>
      </c>
      <c r="H1064">
        <v>37048</v>
      </c>
      <c r="I1064">
        <v>845</v>
      </c>
      <c r="J1064">
        <v>0.43</v>
      </c>
      <c r="K1064">
        <v>1.39</v>
      </c>
      <c r="L1064">
        <v>6.96</v>
      </c>
      <c r="M1064">
        <v>7.08</v>
      </c>
      <c r="N1064">
        <v>6.92</v>
      </c>
      <c r="O1064">
        <v>6.94</v>
      </c>
      <c r="P1064">
        <v>49.28</v>
      </c>
      <c r="Q1064">
        <v>26002840</v>
      </c>
      <c r="R1064">
        <v>1.72</v>
      </c>
      <c r="S1064" t="s">
        <v>57</v>
      </c>
      <c r="T1064" t="s">
        <v>366</v>
      </c>
      <c r="U1064">
        <v>2.31</v>
      </c>
      <c r="V1064">
        <v>7.02</v>
      </c>
      <c r="W1064">
        <v>15230</v>
      </c>
      <c r="X1064">
        <v>21818</v>
      </c>
      <c r="Y1064">
        <v>0.7</v>
      </c>
      <c r="Z1064">
        <v>23</v>
      </c>
      <c r="AA1064">
        <v>515</v>
      </c>
      <c r="AB1064" t="s">
        <v>32</v>
      </c>
      <c r="AC1064">
        <v>2.67</v>
      </c>
    </row>
    <row r="1065" spans="1:29">
      <c r="A1065" t="str">
        <f>"002606"</f>
        <v>002606</v>
      </c>
      <c r="B1065" t="s">
        <v>1231</v>
      </c>
      <c r="C1065">
        <v>3.11</v>
      </c>
      <c r="D1065">
        <v>4.97</v>
      </c>
      <c r="E1065">
        <v>0.15</v>
      </c>
      <c r="F1065">
        <v>4.97</v>
      </c>
      <c r="G1065">
        <v>4.98</v>
      </c>
      <c r="H1065">
        <v>221309</v>
      </c>
      <c r="I1065">
        <v>4006</v>
      </c>
      <c r="J1065">
        <v>0.2</v>
      </c>
      <c r="K1065">
        <v>5.51</v>
      </c>
      <c r="L1065">
        <v>4.76</v>
      </c>
      <c r="M1065">
        <v>5.04</v>
      </c>
      <c r="N1065">
        <v>4.75</v>
      </c>
      <c r="O1065">
        <v>4.82</v>
      </c>
      <c r="P1065">
        <v>59.05</v>
      </c>
      <c r="Q1065">
        <v>108832920</v>
      </c>
      <c r="R1065">
        <v>1.03</v>
      </c>
      <c r="S1065" t="s">
        <v>104</v>
      </c>
      <c r="T1065" t="s">
        <v>111</v>
      </c>
      <c r="U1065">
        <v>6.02</v>
      </c>
      <c r="V1065">
        <v>4.92</v>
      </c>
      <c r="W1065">
        <v>100392</v>
      </c>
      <c r="X1065">
        <v>120916</v>
      </c>
      <c r="Y1065">
        <v>0.83</v>
      </c>
      <c r="Z1065">
        <v>1476</v>
      </c>
      <c r="AA1065">
        <v>1793</v>
      </c>
      <c r="AB1065" t="s">
        <v>32</v>
      </c>
      <c r="AC1065">
        <v>4.02</v>
      </c>
    </row>
    <row r="1066" spans="1:29">
      <c r="A1066" t="str">
        <f>"002607"</f>
        <v>002607</v>
      </c>
      <c r="B1066" t="s">
        <v>1232</v>
      </c>
      <c r="C1066">
        <v>3.19</v>
      </c>
      <c r="D1066">
        <v>9.7</v>
      </c>
      <c r="E1066">
        <v>0.3</v>
      </c>
      <c r="F1066">
        <v>9.7</v>
      </c>
      <c r="G1066">
        <v>9.71</v>
      </c>
      <c r="H1066">
        <v>566037</v>
      </c>
      <c r="I1066">
        <v>9742</v>
      </c>
      <c r="J1066">
        <v>0.1</v>
      </c>
      <c r="K1066">
        <v>8.03</v>
      </c>
      <c r="L1066">
        <v>9.45</v>
      </c>
      <c r="M1066">
        <v>9.88</v>
      </c>
      <c r="N1066">
        <v>9.3</v>
      </c>
      <c r="O1066">
        <v>9.4</v>
      </c>
      <c r="P1066">
        <v>193.82</v>
      </c>
      <c r="Q1066">
        <v>544933056</v>
      </c>
      <c r="R1066">
        <v>0.97</v>
      </c>
      <c r="S1066" t="s">
        <v>71</v>
      </c>
      <c r="T1066" t="s">
        <v>143</v>
      </c>
      <c r="U1066">
        <v>6.17</v>
      </c>
      <c r="V1066">
        <v>9.63</v>
      </c>
      <c r="W1066">
        <v>263128</v>
      </c>
      <c r="X1066">
        <v>302908</v>
      </c>
      <c r="Y1066">
        <v>0.87</v>
      </c>
      <c r="Z1066">
        <v>832</v>
      </c>
      <c r="AA1066">
        <v>1399</v>
      </c>
      <c r="AB1066" t="s">
        <v>32</v>
      </c>
      <c r="AC1066">
        <v>7.05</v>
      </c>
    </row>
    <row r="1067" spans="1:29">
      <c r="A1067" t="str">
        <f>"002608"</f>
        <v>002608</v>
      </c>
      <c r="B1067" t="s">
        <v>1233</v>
      </c>
      <c r="C1067">
        <v>-1.29</v>
      </c>
      <c r="D1067">
        <v>7.68</v>
      </c>
      <c r="E1067">
        <v>-0.1</v>
      </c>
      <c r="F1067">
        <v>7.68</v>
      </c>
      <c r="G1067">
        <v>7.7</v>
      </c>
      <c r="H1067">
        <v>48936</v>
      </c>
      <c r="I1067">
        <v>1538</v>
      </c>
      <c r="J1067">
        <v>-0.89</v>
      </c>
      <c r="K1067">
        <v>0.91</v>
      </c>
      <c r="L1067">
        <v>7.72</v>
      </c>
      <c r="M1067">
        <v>7.78</v>
      </c>
      <c r="N1067">
        <v>7.62</v>
      </c>
      <c r="O1067">
        <v>7.78</v>
      </c>
      <c r="P1067">
        <v>16.3</v>
      </c>
      <c r="Q1067">
        <v>37664972</v>
      </c>
      <c r="R1067">
        <v>0.84</v>
      </c>
      <c r="S1067" t="s">
        <v>75</v>
      </c>
      <c r="T1067" t="s">
        <v>87</v>
      </c>
      <c r="U1067">
        <v>2.06</v>
      </c>
      <c r="V1067">
        <v>7.7</v>
      </c>
      <c r="W1067">
        <v>29067</v>
      </c>
      <c r="X1067">
        <v>19869</v>
      </c>
      <c r="Y1067">
        <v>1.46</v>
      </c>
      <c r="Z1067">
        <v>1504</v>
      </c>
      <c r="AA1067">
        <v>10</v>
      </c>
      <c r="AB1067" t="s">
        <v>32</v>
      </c>
      <c r="AC1067">
        <v>5.39</v>
      </c>
    </row>
    <row r="1068" spans="1:29">
      <c r="A1068" t="str">
        <f>"002609"</f>
        <v>002609</v>
      </c>
      <c r="B1068" t="s">
        <v>1234</v>
      </c>
      <c r="C1068">
        <v>3.69</v>
      </c>
      <c r="D1068">
        <v>8.71</v>
      </c>
      <c r="E1068">
        <v>0.31</v>
      </c>
      <c r="F1068">
        <v>8.71</v>
      </c>
      <c r="G1068">
        <v>8.72</v>
      </c>
      <c r="H1068">
        <v>148849</v>
      </c>
      <c r="I1068">
        <v>1562</v>
      </c>
      <c r="J1068">
        <v>-0.1</v>
      </c>
      <c r="K1068">
        <v>4.05</v>
      </c>
      <c r="L1068">
        <v>8.31</v>
      </c>
      <c r="M1068">
        <v>8.86</v>
      </c>
      <c r="N1068">
        <v>8.25</v>
      </c>
      <c r="O1068">
        <v>8.4</v>
      </c>
      <c r="P1068" t="s">
        <v>32</v>
      </c>
      <c r="Q1068">
        <v>127260904</v>
      </c>
      <c r="R1068">
        <v>1.44</v>
      </c>
      <c r="S1068" t="s">
        <v>270</v>
      </c>
      <c r="T1068" t="s">
        <v>31</v>
      </c>
      <c r="U1068">
        <v>7.26</v>
      </c>
      <c r="V1068">
        <v>8.55</v>
      </c>
      <c r="W1068">
        <v>68068</v>
      </c>
      <c r="X1068">
        <v>80780</v>
      </c>
      <c r="Y1068">
        <v>0.84</v>
      </c>
      <c r="Z1068">
        <v>194</v>
      </c>
      <c r="AA1068">
        <v>346</v>
      </c>
      <c r="AB1068" t="s">
        <v>32</v>
      </c>
      <c r="AC1068">
        <v>3.67</v>
      </c>
    </row>
    <row r="1069" spans="1:29">
      <c r="A1069" t="str">
        <f>"002610"</f>
        <v>002610</v>
      </c>
      <c r="B1069" t="s">
        <v>1235</v>
      </c>
      <c r="C1069" t="s">
        <v>32</v>
      </c>
      <c r="D1069">
        <v>2.1</v>
      </c>
      <c r="E1069" t="s">
        <v>32</v>
      </c>
      <c r="F1069" t="s">
        <v>32</v>
      </c>
      <c r="G1069" t="s">
        <v>32</v>
      </c>
      <c r="H1069">
        <v>0</v>
      </c>
      <c r="I1069">
        <v>0</v>
      </c>
      <c r="J1069" t="s">
        <v>32</v>
      </c>
      <c r="K1069">
        <v>0</v>
      </c>
      <c r="L1069" t="s">
        <v>32</v>
      </c>
      <c r="M1069" t="s">
        <v>32</v>
      </c>
      <c r="N1069" t="s">
        <v>32</v>
      </c>
      <c r="O1069">
        <v>2.1</v>
      </c>
      <c r="P1069">
        <v>163.36</v>
      </c>
      <c r="Q1069">
        <v>0</v>
      </c>
      <c r="R1069">
        <v>0</v>
      </c>
      <c r="S1069" t="s">
        <v>104</v>
      </c>
      <c r="T1069" t="s">
        <v>87</v>
      </c>
      <c r="U1069">
        <v>0</v>
      </c>
      <c r="V1069">
        <v>2.1</v>
      </c>
      <c r="W1069">
        <v>0</v>
      </c>
      <c r="X1069">
        <v>0</v>
      </c>
      <c r="Y1069" t="s">
        <v>32</v>
      </c>
      <c r="Z1069">
        <v>0</v>
      </c>
      <c r="AA1069">
        <v>0</v>
      </c>
      <c r="AB1069" t="s">
        <v>32</v>
      </c>
      <c r="AC1069">
        <v>42.23</v>
      </c>
    </row>
    <row r="1070" spans="1:29">
      <c r="A1070" t="str">
        <f>"002611"</f>
        <v>002611</v>
      </c>
      <c r="B1070" t="s">
        <v>1236</v>
      </c>
      <c r="C1070">
        <v>1.71</v>
      </c>
      <c r="D1070">
        <v>4.75</v>
      </c>
      <c r="E1070">
        <v>0.08</v>
      </c>
      <c r="F1070">
        <v>4.75</v>
      </c>
      <c r="G1070">
        <v>4.76</v>
      </c>
      <c r="H1070">
        <v>160143</v>
      </c>
      <c r="I1070">
        <v>3810</v>
      </c>
      <c r="J1070">
        <v>-0.62</v>
      </c>
      <c r="K1070">
        <v>1.56</v>
      </c>
      <c r="L1070">
        <v>4.74</v>
      </c>
      <c r="M1070">
        <v>4.83</v>
      </c>
      <c r="N1070">
        <v>4.66</v>
      </c>
      <c r="O1070">
        <v>4.67</v>
      </c>
      <c r="P1070">
        <v>183.21</v>
      </c>
      <c r="Q1070">
        <v>76360720</v>
      </c>
      <c r="R1070">
        <v>1.19</v>
      </c>
      <c r="S1070" t="s">
        <v>93</v>
      </c>
      <c r="T1070" t="s">
        <v>136</v>
      </c>
      <c r="U1070">
        <v>3.64</v>
      </c>
      <c r="V1070">
        <v>4.77</v>
      </c>
      <c r="W1070">
        <v>73042</v>
      </c>
      <c r="X1070">
        <v>87100</v>
      </c>
      <c r="Y1070">
        <v>0.84</v>
      </c>
      <c r="Z1070">
        <v>3827</v>
      </c>
      <c r="AA1070">
        <v>50</v>
      </c>
      <c r="AB1070" t="s">
        <v>32</v>
      </c>
      <c r="AC1070">
        <v>10.28</v>
      </c>
    </row>
    <row r="1071" spans="1:29">
      <c r="A1071" t="str">
        <f>"002612"</f>
        <v>002612</v>
      </c>
      <c r="B1071" t="s">
        <v>1237</v>
      </c>
      <c r="C1071">
        <v>1.43</v>
      </c>
      <c r="D1071">
        <v>11.36</v>
      </c>
      <c r="E1071">
        <v>0.16</v>
      </c>
      <c r="F1071">
        <v>11.35</v>
      </c>
      <c r="G1071">
        <v>11.36</v>
      </c>
      <c r="H1071">
        <v>23148</v>
      </c>
      <c r="I1071">
        <v>75</v>
      </c>
      <c r="J1071">
        <v>0.09</v>
      </c>
      <c r="K1071">
        <v>1.11</v>
      </c>
      <c r="L1071">
        <v>11.15</v>
      </c>
      <c r="M1071">
        <v>11.41</v>
      </c>
      <c r="N1071">
        <v>11.15</v>
      </c>
      <c r="O1071">
        <v>11.2</v>
      </c>
      <c r="P1071">
        <v>18.83</v>
      </c>
      <c r="Q1071">
        <v>26199020</v>
      </c>
      <c r="R1071">
        <v>1.38</v>
      </c>
      <c r="S1071" t="s">
        <v>622</v>
      </c>
      <c r="T1071" t="s">
        <v>45</v>
      </c>
      <c r="U1071">
        <v>2.32</v>
      </c>
      <c r="V1071">
        <v>11.32</v>
      </c>
      <c r="W1071">
        <v>11264</v>
      </c>
      <c r="X1071">
        <v>11884</v>
      </c>
      <c r="Y1071">
        <v>0.95</v>
      </c>
      <c r="Z1071">
        <v>83</v>
      </c>
      <c r="AA1071">
        <v>196</v>
      </c>
      <c r="AB1071" t="s">
        <v>32</v>
      </c>
      <c r="AC1071">
        <v>2.09</v>
      </c>
    </row>
    <row r="1072" spans="1:29">
      <c r="A1072" t="str">
        <f>"002613"</f>
        <v>002613</v>
      </c>
      <c r="B1072" t="s">
        <v>1238</v>
      </c>
      <c r="C1072">
        <v>1.21</v>
      </c>
      <c r="D1072">
        <v>3.34</v>
      </c>
      <c r="E1072">
        <v>0.04</v>
      </c>
      <c r="F1072">
        <v>3.33</v>
      </c>
      <c r="G1072">
        <v>3.34</v>
      </c>
      <c r="H1072">
        <v>44302</v>
      </c>
      <c r="I1072">
        <v>290</v>
      </c>
      <c r="J1072">
        <v>0</v>
      </c>
      <c r="K1072">
        <v>0.87</v>
      </c>
      <c r="L1072">
        <v>3.3</v>
      </c>
      <c r="M1072">
        <v>3.38</v>
      </c>
      <c r="N1072">
        <v>3.28</v>
      </c>
      <c r="O1072">
        <v>3.3</v>
      </c>
      <c r="P1072">
        <v>9.76</v>
      </c>
      <c r="Q1072">
        <v>14794708</v>
      </c>
      <c r="R1072">
        <v>1.63</v>
      </c>
      <c r="S1072" t="s">
        <v>171</v>
      </c>
      <c r="T1072" t="s">
        <v>164</v>
      </c>
      <c r="U1072">
        <v>3.03</v>
      </c>
      <c r="V1072">
        <v>3.34</v>
      </c>
      <c r="W1072">
        <v>23380</v>
      </c>
      <c r="X1072">
        <v>20921</v>
      </c>
      <c r="Y1072">
        <v>1.12</v>
      </c>
      <c r="Z1072">
        <v>1172</v>
      </c>
      <c r="AA1072">
        <v>70</v>
      </c>
      <c r="AB1072" t="s">
        <v>32</v>
      </c>
      <c r="AC1072">
        <v>5.1</v>
      </c>
    </row>
    <row r="1073" spans="1:29">
      <c r="A1073" t="str">
        <f>"002614"</f>
        <v>002614</v>
      </c>
      <c r="B1073" t="s">
        <v>1239</v>
      </c>
      <c r="C1073">
        <v>1.38</v>
      </c>
      <c r="D1073">
        <v>22.81</v>
      </c>
      <c r="E1073">
        <v>0.31</v>
      </c>
      <c r="F1073">
        <v>22.81</v>
      </c>
      <c r="G1073">
        <v>22.85</v>
      </c>
      <c r="H1073">
        <v>38238</v>
      </c>
      <c r="I1073">
        <v>96</v>
      </c>
      <c r="J1073">
        <v>-0.3</v>
      </c>
      <c r="K1073">
        <v>1.32</v>
      </c>
      <c r="L1073">
        <v>22.65</v>
      </c>
      <c r="M1073">
        <v>23.34</v>
      </c>
      <c r="N1073">
        <v>22.61</v>
      </c>
      <c r="O1073">
        <v>22.5</v>
      </c>
      <c r="P1073">
        <v>112.58</v>
      </c>
      <c r="Q1073">
        <v>87777656</v>
      </c>
      <c r="R1073">
        <v>1.31</v>
      </c>
      <c r="S1073" t="s">
        <v>138</v>
      </c>
      <c r="T1073" t="s">
        <v>236</v>
      </c>
      <c r="U1073">
        <v>3.24</v>
      </c>
      <c r="V1073">
        <v>22.96</v>
      </c>
      <c r="W1073">
        <v>16768</v>
      </c>
      <c r="X1073">
        <v>21469</v>
      </c>
      <c r="Y1073">
        <v>0.78</v>
      </c>
      <c r="Z1073">
        <v>156</v>
      </c>
      <c r="AA1073">
        <v>20</v>
      </c>
      <c r="AB1073" t="s">
        <v>32</v>
      </c>
      <c r="AC1073">
        <v>2.89</v>
      </c>
    </row>
    <row r="1074" spans="1:29">
      <c r="A1074" t="str">
        <f>"002615"</f>
        <v>002615</v>
      </c>
      <c r="B1074" t="s">
        <v>1240</v>
      </c>
      <c r="C1074">
        <v>1.13</v>
      </c>
      <c r="D1074">
        <v>6.26</v>
      </c>
      <c r="E1074">
        <v>0.07</v>
      </c>
      <c r="F1074">
        <v>6.25</v>
      </c>
      <c r="G1074">
        <v>6.26</v>
      </c>
      <c r="H1074">
        <v>12195</v>
      </c>
      <c r="I1074">
        <v>254</v>
      </c>
      <c r="J1074">
        <v>0</v>
      </c>
      <c r="K1074">
        <v>0.52</v>
      </c>
      <c r="L1074">
        <v>6.21</v>
      </c>
      <c r="M1074">
        <v>6.32</v>
      </c>
      <c r="N1074">
        <v>6.2</v>
      </c>
      <c r="O1074">
        <v>6.19</v>
      </c>
      <c r="P1074">
        <v>53.64</v>
      </c>
      <c r="Q1074">
        <v>7638366</v>
      </c>
      <c r="R1074">
        <v>1.27</v>
      </c>
      <c r="S1074" t="s">
        <v>545</v>
      </c>
      <c r="T1074" t="s">
        <v>149</v>
      </c>
      <c r="U1074">
        <v>1.94</v>
      </c>
      <c r="V1074">
        <v>6.26</v>
      </c>
      <c r="W1074">
        <v>6228</v>
      </c>
      <c r="X1074">
        <v>5967</v>
      </c>
      <c r="Y1074">
        <v>1.04</v>
      </c>
      <c r="Z1074">
        <v>117</v>
      </c>
      <c r="AA1074">
        <v>52</v>
      </c>
      <c r="AB1074" t="s">
        <v>32</v>
      </c>
      <c r="AC1074">
        <v>2.35</v>
      </c>
    </row>
    <row r="1075" spans="1:29">
      <c r="A1075" t="str">
        <f>"002616"</f>
        <v>002616</v>
      </c>
      <c r="B1075" t="s">
        <v>1241</v>
      </c>
      <c r="C1075">
        <v>0.53</v>
      </c>
      <c r="D1075">
        <v>5.64</v>
      </c>
      <c r="E1075">
        <v>0.03</v>
      </c>
      <c r="F1075">
        <v>5.64</v>
      </c>
      <c r="G1075">
        <v>5.65</v>
      </c>
      <c r="H1075">
        <v>27065</v>
      </c>
      <c r="I1075">
        <v>754</v>
      </c>
      <c r="J1075">
        <v>-0.34</v>
      </c>
      <c r="K1075">
        <v>0.59</v>
      </c>
      <c r="L1075">
        <v>5.62</v>
      </c>
      <c r="M1075">
        <v>5.71</v>
      </c>
      <c r="N1075">
        <v>5.56</v>
      </c>
      <c r="O1075">
        <v>5.61</v>
      </c>
      <c r="P1075">
        <v>51.93</v>
      </c>
      <c r="Q1075">
        <v>15311516</v>
      </c>
      <c r="R1075">
        <v>1.12</v>
      </c>
      <c r="S1075" t="s">
        <v>86</v>
      </c>
      <c r="T1075" t="s">
        <v>136</v>
      </c>
      <c r="U1075">
        <v>2.67</v>
      </c>
      <c r="V1075">
        <v>5.66</v>
      </c>
      <c r="W1075">
        <v>14344</v>
      </c>
      <c r="X1075">
        <v>12721</v>
      </c>
      <c r="Y1075">
        <v>1.13</v>
      </c>
      <c r="Z1075">
        <v>613</v>
      </c>
      <c r="AA1075">
        <v>18</v>
      </c>
      <c r="AB1075" t="s">
        <v>32</v>
      </c>
      <c r="AC1075">
        <v>4.59</v>
      </c>
    </row>
    <row r="1076" spans="1:29">
      <c r="A1076" t="str">
        <f>"002617"</f>
        <v>002617</v>
      </c>
      <c r="B1076" t="s">
        <v>1242</v>
      </c>
      <c r="C1076" t="s">
        <v>32</v>
      </c>
      <c r="D1076">
        <v>8.15</v>
      </c>
      <c r="E1076" t="s">
        <v>32</v>
      </c>
      <c r="F1076" t="s">
        <v>32</v>
      </c>
      <c r="G1076" t="s">
        <v>32</v>
      </c>
      <c r="H1076">
        <v>0</v>
      </c>
      <c r="I1076">
        <v>0</v>
      </c>
      <c r="J1076" t="s">
        <v>32</v>
      </c>
      <c r="K1076">
        <v>0</v>
      </c>
      <c r="L1076" t="s">
        <v>32</v>
      </c>
      <c r="M1076" t="s">
        <v>32</v>
      </c>
      <c r="N1076" t="s">
        <v>32</v>
      </c>
      <c r="O1076">
        <v>8.15</v>
      </c>
      <c r="P1076">
        <v>30.84</v>
      </c>
      <c r="Q1076">
        <v>0</v>
      </c>
      <c r="R1076">
        <v>0</v>
      </c>
      <c r="S1076" t="s">
        <v>104</v>
      </c>
      <c r="T1076" t="s">
        <v>149</v>
      </c>
      <c r="U1076">
        <v>0</v>
      </c>
      <c r="V1076">
        <v>8.15</v>
      </c>
      <c r="W1076">
        <v>0</v>
      </c>
      <c r="X1076">
        <v>0</v>
      </c>
      <c r="Y1076" t="s">
        <v>32</v>
      </c>
      <c r="Z1076">
        <v>0</v>
      </c>
      <c r="AA1076">
        <v>0</v>
      </c>
      <c r="AB1076" t="s">
        <v>32</v>
      </c>
      <c r="AC1076">
        <v>10.47</v>
      </c>
    </row>
    <row r="1077" spans="1:29">
      <c r="A1077" t="str">
        <f>"002618"</f>
        <v>002618</v>
      </c>
      <c r="B1077" t="s">
        <v>1243</v>
      </c>
      <c r="C1077">
        <v>-5.25</v>
      </c>
      <c r="D1077">
        <v>17.16</v>
      </c>
      <c r="E1077">
        <v>-0.95</v>
      </c>
      <c r="F1077">
        <v>17.15</v>
      </c>
      <c r="G1077">
        <v>17.16</v>
      </c>
      <c r="H1077">
        <v>336697</v>
      </c>
      <c r="I1077">
        <v>7020</v>
      </c>
      <c r="J1077">
        <v>-0.22</v>
      </c>
      <c r="K1077">
        <v>6.15</v>
      </c>
      <c r="L1077">
        <v>17.47</v>
      </c>
      <c r="M1077">
        <v>17.7</v>
      </c>
      <c r="N1077">
        <v>16.81</v>
      </c>
      <c r="O1077">
        <v>18.11</v>
      </c>
      <c r="P1077">
        <v>544.66</v>
      </c>
      <c r="Q1077">
        <v>582509888</v>
      </c>
      <c r="R1077">
        <v>1.25</v>
      </c>
      <c r="S1077" t="s">
        <v>63</v>
      </c>
      <c r="T1077" t="s">
        <v>31</v>
      </c>
      <c r="U1077">
        <v>4.91</v>
      </c>
      <c r="V1077">
        <v>17.3</v>
      </c>
      <c r="W1077">
        <v>193221</v>
      </c>
      <c r="X1077">
        <v>143476</v>
      </c>
      <c r="Y1077">
        <v>1.35</v>
      </c>
      <c r="Z1077">
        <v>4780</v>
      </c>
      <c r="AA1077">
        <v>1581</v>
      </c>
      <c r="AB1077" t="s">
        <v>32</v>
      </c>
      <c r="AC1077">
        <v>5.48</v>
      </c>
    </row>
    <row r="1078" spans="1:29">
      <c r="A1078" t="str">
        <f>"002619"</f>
        <v>002619</v>
      </c>
      <c r="B1078" t="s">
        <v>1244</v>
      </c>
      <c r="C1078">
        <v>2.67</v>
      </c>
      <c r="D1078">
        <v>4.23</v>
      </c>
      <c r="E1078">
        <v>0.11</v>
      </c>
      <c r="F1078">
        <v>4.23</v>
      </c>
      <c r="G1078">
        <v>4.24</v>
      </c>
      <c r="H1078">
        <v>193007</v>
      </c>
      <c r="I1078">
        <v>4496</v>
      </c>
      <c r="J1078">
        <v>0.24</v>
      </c>
      <c r="K1078">
        <v>1.38</v>
      </c>
      <c r="L1078">
        <v>4.12</v>
      </c>
      <c r="M1078">
        <v>4.25</v>
      </c>
      <c r="N1078">
        <v>4.09</v>
      </c>
      <c r="O1078">
        <v>4.12</v>
      </c>
      <c r="P1078">
        <v>15.88</v>
      </c>
      <c r="Q1078">
        <v>80872616</v>
      </c>
      <c r="R1078">
        <v>1.29</v>
      </c>
      <c r="S1078" t="s">
        <v>316</v>
      </c>
      <c r="T1078" t="s">
        <v>149</v>
      </c>
      <c r="U1078">
        <v>3.88</v>
      </c>
      <c r="V1078">
        <v>4.19</v>
      </c>
      <c r="W1078">
        <v>76256</v>
      </c>
      <c r="X1078">
        <v>116751</v>
      </c>
      <c r="Y1078">
        <v>0.65</v>
      </c>
      <c r="Z1078">
        <v>926</v>
      </c>
      <c r="AA1078">
        <v>4423</v>
      </c>
      <c r="AB1078" t="s">
        <v>32</v>
      </c>
      <c r="AC1078">
        <v>13.97</v>
      </c>
    </row>
    <row r="1079" spans="1:29">
      <c r="A1079" t="str">
        <f>"002620"</f>
        <v>002620</v>
      </c>
      <c r="B1079" t="s">
        <v>1245</v>
      </c>
      <c r="C1079">
        <v>4.07</v>
      </c>
      <c r="D1079">
        <v>7.41</v>
      </c>
      <c r="E1079">
        <v>0.29</v>
      </c>
      <c r="F1079">
        <v>7.4</v>
      </c>
      <c r="G1079">
        <v>7.41</v>
      </c>
      <c r="H1079">
        <v>46732</v>
      </c>
      <c r="I1079">
        <v>682</v>
      </c>
      <c r="J1079">
        <v>0.41</v>
      </c>
      <c r="K1079">
        <v>1.54</v>
      </c>
      <c r="L1079">
        <v>7.14</v>
      </c>
      <c r="M1079">
        <v>7.49</v>
      </c>
      <c r="N1079">
        <v>7.08</v>
      </c>
      <c r="O1079">
        <v>7.12</v>
      </c>
      <c r="P1079">
        <v>15.82</v>
      </c>
      <c r="Q1079">
        <v>34338252</v>
      </c>
      <c r="R1079">
        <v>2.6</v>
      </c>
      <c r="S1079" t="s">
        <v>59</v>
      </c>
      <c r="T1079" t="s">
        <v>31</v>
      </c>
      <c r="U1079">
        <v>5.76</v>
      </c>
      <c r="V1079">
        <v>7.35</v>
      </c>
      <c r="W1079">
        <v>20826</v>
      </c>
      <c r="X1079">
        <v>25905</v>
      </c>
      <c r="Y1079">
        <v>0.8</v>
      </c>
      <c r="Z1079">
        <v>72</v>
      </c>
      <c r="AA1079">
        <v>447</v>
      </c>
      <c r="AB1079" t="s">
        <v>32</v>
      </c>
      <c r="AC1079">
        <v>3.03</v>
      </c>
    </row>
    <row r="1080" spans="1:29">
      <c r="A1080" t="str">
        <f>"002621"</f>
        <v>002621</v>
      </c>
      <c r="B1080" t="s">
        <v>1246</v>
      </c>
      <c r="C1080">
        <v>0.05</v>
      </c>
      <c r="D1080">
        <v>18.29</v>
      </c>
      <c r="E1080">
        <v>0.01</v>
      </c>
      <c r="F1080">
        <v>18.29</v>
      </c>
      <c r="G1080">
        <v>18.3</v>
      </c>
      <c r="H1080">
        <v>29144</v>
      </c>
      <c r="I1080">
        <v>710</v>
      </c>
      <c r="J1080">
        <v>0.22</v>
      </c>
      <c r="K1080">
        <v>1.14</v>
      </c>
      <c r="L1080">
        <v>18.41</v>
      </c>
      <c r="M1080">
        <v>18.65</v>
      </c>
      <c r="N1080">
        <v>17.9</v>
      </c>
      <c r="O1080">
        <v>18.28</v>
      </c>
      <c r="P1080">
        <v>890.95</v>
      </c>
      <c r="Q1080">
        <v>53395004</v>
      </c>
      <c r="R1080">
        <v>0.66</v>
      </c>
      <c r="S1080" t="s">
        <v>171</v>
      </c>
      <c r="T1080" t="s">
        <v>111</v>
      </c>
      <c r="U1080">
        <v>4.1</v>
      </c>
      <c r="V1080">
        <v>18.32</v>
      </c>
      <c r="W1080">
        <v>13618</v>
      </c>
      <c r="X1080">
        <v>15525</v>
      </c>
      <c r="Y1080">
        <v>0.88</v>
      </c>
      <c r="Z1080">
        <v>3</v>
      </c>
      <c r="AA1080">
        <v>2</v>
      </c>
      <c r="AB1080" t="s">
        <v>32</v>
      </c>
      <c r="AC1080">
        <v>2.55</v>
      </c>
    </row>
    <row r="1081" spans="1:29">
      <c r="A1081" t="str">
        <f>"002622"</f>
        <v>002622</v>
      </c>
      <c r="B1081" t="s">
        <v>1247</v>
      </c>
      <c r="C1081">
        <v>0.97</v>
      </c>
      <c r="D1081">
        <v>4.18</v>
      </c>
      <c r="E1081">
        <v>0.04</v>
      </c>
      <c r="F1081">
        <v>4.18</v>
      </c>
      <c r="G1081">
        <v>4.19</v>
      </c>
      <c r="H1081">
        <v>355539</v>
      </c>
      <c r="I1081">
        <v>5605</v>
      </c>
      <c r="J1081">
        <v>-0.23</v>
      </c>
      <c r="K1081">
        <v>4.24</v>
      </c>
      <c r="L1081">
        <v>4.12</v>
      </c>
      <c r="M1081">
        <v>4.27</v>
      </c>
      <c r="N1081">
        <v>4.12</v>
      </c>
      <c r="O1081">
        <v>4.14</v>
      </c>
      <c r="P1081" t="s">
        <v>32</v>
      </c>
      <c r="Q1081">
        <v>148972816</v>
      </c>
      <c r="R1081">
        <v>0.66</v>
      </c>
      <c r="S1081" t="s">
        <v>104</v>
      </c>
      <c r="T1081" t="s">
        <v>81</v>
      </c>
      <c r="U1081">
        <v>3.62</v>
      </c>
      <c r="V1081">
        <v>4.19</v>
      </c>
      <c r="W1081">
        <v>172252</v>
      </c>
      <c r="X1081">
        <v>183286</v>
      </c>
      <c r="Y1081">
        <v>0.94</v>
      </c>
      <c r="Z1081">
        <v>4719</v>
      </c>
      <c r="AA1081">
        <v>3381</v>
      </c>
      <c r="AB1081" t="s">
        <v>32</v>
      </c>
      <c r="AC1081">
        <v>8.39</v>
      </c>
    </row>
    <row r="1082" spans="1:29">
      <c r="A1082" t="str">
        <f>"002623"</f>
        <v>002623</v>
      </c>
      <c r="B1082" t="s">
        <v>1248</v>
      </c>
      <c r="C1082">
        <v>1.3</v>
      </c>
      <c r="D1082">
        <v>17.14</v>
      </c>
      <c r="E1082">
        <v>0.22</v>
      </c>
      <c r="F1082">
        <v>17.13</v>
      </c>
      <c r="G1082">
        <v>17.14</v>
      </c>
      <c r="H1082">
        <v>7640</v>
      </c>
      <c r="I1082">
        <v>77</v>
      </c>
      <c r="J1082">
        <v>0.12</v>
      </c>
      <c r="K1082">
        <v>0.48</v>
      </c>
      <c r="L1082">
        <v>16.88</v>
      </c>
      <c r="M1082">
        <v>17.39</v>
      </c>
      <c r="N1082">
        <v>16.8</v>
      </c>
      <c r="O1082">
        <v>16.92</v>
      </c>
      <c r="P1082">
        <v>91.9</v>
      </c>
      <c r="Q1082">
        <v>13078143</v>
      </c>
      <c r="R1082">
        <v>1.68</v>
      </c>
      <c r="S1082" t="s">
        <v>52</v>
      </c>
      <c r="T1082" t="s">
        <v>87</v>
      </c>
      <c r="U1082">
        <v>3.49</v>
      </c>
      <c r="V1082">
        <v>17.12</v>
      </c>
      <c r="W1082">
        <v>3578</v>
      </c>
      <c r="X1082">
        <v>4062</v>
      </c>
      <c r="Y1082">
        <v>0.88</v>
      </c>
      <c r="Z1082">
        <v>54</v>
      </c>
      <c r="AA1082">
        <v>136</v>
      </c>
      <c r="AB1082" t="s">
        <v>32</v>
      </c>
      <c r="AC1082">
        <v>1.6</v>
      </c>
    </row>
    <row r="1083" spans="1:29">
      <c r="A1083" t="str">
        <f>"002624"</f>
        <v>002624</v>
      </c>
      <c r="B1083" t="s">
        <v>1249</v>
      </c>
      <c r="C1083">
        <v>-0.2</v>
      </c>
      <c r="D1083">
        <v>29.23</v>
      </c>
      <c r="E1083">
        <v>-0.06</v>
      </c>
      <c r="F1083">
        <v>29.23</v>
      </c>
      <c r="G1083">
        <v>29.24</v>
      </c>
      <c r="H1083">
        <v>37084</v>
      </c>
      <c r="I1083">
        <v>310</v>
      </c>
      <c r="J1083">
        <v>-0.02</v>
      </c>
      <c r="K1083">
        <v>0.8</v>
      </c>
      <c r="L1083">
        <v>29.28</v>
      </c>
      <c r="M1083">
        <v>29.42</v>
      </c>
      <c r="N1083">
        <v>28.52</v>
      </c>
      <c r="O1083">
        <v>29.29</v>
      </c>
      <c r="P1083">
        <v>26.68</v>
      </c>
      <c r="Q1083">
        <v>107745912</v>
      </c>
      <c r="R1083">
        <v>0.77</v>
      </c>
      <c r="S1083" t="s">
        <v>148</v>
      </c>
      <c r="T1083" t="s">
        <v>149</v>
      </c>
      <c r="U1083">
        <v>3.07</v>
      </c>
      <c r="V1083">
        <v>29.05</v>
      </c>
      <c r="W1083">
        <v>19045</v>
      </c>
      <c r="X1083">
        <v>18039</v>
      </c>
      <c r="Y1083">
        <v>1.06</v>
      </c>
      <c r="Z1083">
        <v>150</v>
      </c>
      <c r="AA1083">
        <v>3</v>
      </c>
      <c r="AB1083" t="s">
        <v>32</v>
      </c>
      <c r="AC1083">
        <v>4.66</v>
      </c>
    </row>
    <row r="1084" spans="1:29">
      <c r="A1084" t="str">
        <f>"002625"</f>
        <v>002625</v>
      </c>
      <c r="B1084" t="s">
        <v>1250</v>
      </c>
      <c r="C1084">
        <v>1.45</v>
      </c>
      <c r="D1084">
        <v>10.5</v>
      </c>
      <c r="E1084">
        <v>0.15</v>
      </c>
      <c r="F1084">
        <v>10.49</v>
      </c>
      <c r="G1084">
        <v>10.5</v>
      </c>
      <c r="H1084">
        <v>49958</v>
      </c>
      <c r="I1084">
        <v>866</v>
      </c>
      <c r="J1084">
        <v>-0.09</v>
      </c>
      <c r="K1084">
        <v>1.17</v>
      </c>
      <c r="L1084">
        <v>10.42</v>
      </c>
      <c r="M1084">
        <v>10.68</v>
      </c>
      <c r="N1084">
        <v>10.38</v>
      </c>
      <c r="O1084">
        <v>10.35</v>
      </c>
      <c r="P1084">
        <v>468.12</v>
      </c>
      <c r="Q1084">
        <v>52432824</v>
      </c>
      <c r="R1084">
        <v>1.65</v>
      </c>
      <c r="S1084" t="s">
        <v>80</v>
      </c>
      <c r="T1084" t="s">
        <v>149</v>
      </c>
      <c r="U1084">
        <v>2.9</v>
      </c>
      <c r="V1084">
        <v>10.5</v>
      </c>
      <c r="W1084">
        <v>27167</v>
      </c>
      <c r="X1084">
        <v>22791</v>
      </c>
      <c r="Y1084">
        <v>1.19</v>
      </c>
      <c r="Z1084">
        <v>95</v>
      </c>
      <c r="AA1084">
        <v>92</v>
      </c>
      <c r="AB1084" t="s">
        <v>32</v>
      </c>
      <c r="AC1084">
        <v>4.27</v>
      </c>
    </row>
    <row r="1085" spans="1:29">
      <c r="A1085" t="str">
        <f>"002626"</f>
        <v>002626</v>
      </c>
      <c r="B1085" t="s">
        <v>1251</v>
      </c>
      <c r="C1085">
        <v>3.72</v>
      </c>
      <c r="D1085">
        <v>17.85</v>
      </c>
      <c r="E1085">
        <v>0.64</v>
      </c>
      <c r="F1085">
        <v>17.84</v>
      </c>
      <c r="G1085">
        <v>17.85</v>
      </c>
      <c r="H1085">
        <v>58684</v>
      </c>
      <c r="I1085">
        <v>717</v>
      </c>
      <c r="J1085">
        <v>0.17</v>
      </c>
      <c r="K1085">
        <v>0.98</v>
      </c>
      <c r="L1085">
        <v>17.11</v>
      </c>
      <c r="M1085">
        <v>17.86</v>
      </c>
      <c r="N1085">
        <v>17.1</v>
      </c>
      <c r="O1085">
        <v>17.21</v>
      </c>
      <c r="P1085">
        <v>8.14</v>
      </c>
      <c r="Q1085">
        <v>103551984</v>
      </c>
      <c r="R1085">
        <v>1.49</v>
      </c>
      <c r="S1085" t="s">
        <v>213</v>
      </c>
      <c r="T1085" t="s">
        <v>236</v>
      </c>
      <c r="U1085">
        <v>4.42</v>
      </c>
      <c r="V1085">
        <v>17.65</v>
      </c>
      <c r="W1085">
        <v>22945</v>
      </c>
      <c r="X1085">
        <v>35738</v>
      </c>
      <c r="Y1085">
        <v>0.64</v>
      </c>
      <c r="Z1085">
        <v>267</v>
      </c>
      <c r="AA1085">
        <v>300</v>
      </c>
      <c r="AB1085" t="s">
        <v>32</v>
      </c>
      <c r="AC1085">
        <v>6</v>
      </c>
    </row>
    <row r="1086" spans="1:29">
      <c r="A1086" t="str">
        <f>"002627"</f>
        <v>002627</v>
      </c>
      <c r="B1086" t="s">
        <v>1252</v>
      </c>
      <c r="C1086">
        <v>0.81</v>
      </c>
      <c r="D1086">
        <v>9.94</v>
      </c>
      <c r="E1086">
        <v>0.08</v>
      </c>
      <c r="F1086">
        <v>9.93</v>
      </c>
      <c r="G1086">
        <v>9.94</v>
      </c>
      <c r="H1086">
        <v>6984</v>
      </c>
      <c r="I1086">
        <v>296</v>
      </c>
      <c r="J1086">
        <v>-0.19</v>
      </c>
      <c r="K1086">
        <v>0.31</v>
      </c>
      <c r="L1086">
        <v>9.8</v>
      </c>
      <c r="M1086">
        <v>10.29</v>
      </c>
      <c r="N1086">
        <v>9.8</v>
      </c>
      <c r="O1086">
        <v>9.86</v>
      </c>
      <c r="P1086">
        <v>71.52</v>
      </c>
      <c r="Q1086">
        <v>6953067</v>
      </c>
      <c r="R1086">
        <v>1.82</v>
      </c>
      <c r="S1086" t="s">
        <v>1253</v>
      </c>
      <c r="T1086" t="s">
        <v>193</v>
      </c>
      <c r="U1086">
        <v>4.97</v>
      </c>
      <c r="V1086">
        <v>9.96</v>
      </c>
      <c r="W1086">
        <v>4075</v>
      </c>
      <c r="X1086">
        <v>2908</v>
      </c>
      <c r="Y1086">
        <v>1.4</v>
      </c>
      <c r="Z1086">
        <v>43</v>
      </c>
      <c r="AA1086">
        <v>19</v>
      </c>
      <c r="AB1086" t="s">
        <v>32</v>
      </c>
      <c r="AC1086">
        <v>2.25</v>
      </c>
    </row>
    <row r="1087" spans="1:29">
      <c r="A1087" t="str">
        <f>"002628"</f>
        <v>002628</v>
      </c>
      <c r="B1087" t="s">
        <v>1254</v>
      </c>
      <c r="C1087">
        <v>10.09</v>
      </c>
      <c r="D1087">
        <v>6</v>
      </c>
      <c r="E1087">
        <v>0.55</v>
      </c>
      <c r="F1087">
        <v>6</v>
      </c>
      <c r="G1087" t="s">
        <v>32</v>
      </c>
      <c r="H1087">
        <v>48696</v>
      </c>
      <c r="I1087">
        <v>43</v>
      </c>
      <c r="J1087">
        <v>0</v>
      </c>
      <c r="K1087">
        <v>0.67</v>
      </c>
      <c r="L1087">
        <v>6</v>
      </c>
      <c r="M1087">
        <v>6</v>
      </c>
      <c r="N1087">
        <v>6</v>
      </c>
      <c r="O1087">
        <v>5.45</v>
      </c>
      <c r="P1087">
        <v>170.82</v>
      </c>
      <c r="Q1087">
        <v>29217750</v>
      </c>
      <c r="R1087">
        <v>0.17</v>
      </c>
      <c r="S1087" t="s">
        <v>49</v>
      </c>
      <c r="T1087" t="s">
        <v>146</v>
      </c>
      <c r="U1087">
        <v>0</v>
      </c>
      <c r="V1087">
        <v>6</v>
      </c>
      <c r="W1087">
        <v>37570</v>
      </c>
      <c r="X1087">
        <v>11126</v>
      </c>
      <c r="Y1087">
        <v>3.38</v>
      </c>
      <c r="Z1087">
        <v>164108</v>
      </c>
      <c r="AA1087">
        <v>0</v>
      </c>
      <c r="AB1087" t="s">
        <v>32</v>
      </c>
      <c r="AC1087">
        <v>7.25</v>
      </c>
    </row>
    <row r="1088" spans="1:29">
      <c r="A1088" t="str">
        <f>"002629"</f>
        <v>002629</v>
      </c>
      <c r="B1088" t="s">
        <v>1255</v>
      </c>
      <c r="C1088">
        <v>1.22</v>
      </c>
      <c r="D1088">
        <v>4.96</v>
      </c>
      <c r="E1088">
        <v>0.06</v>
      </c>
      <c r="F1088">
        <v>4.95</v>
      </c>
      <c r="G1088">
        <v>4.96</v>
      </c>
      <c r="H1088">
        <v>62163</v>
      </c>
      <c r="I1088">
        <v>483</v>
      </c>
      <c r="J1088">
        <v>0.2</v>
      </c>
      <c r="K1088">
        <v>1.8</v>
      </c>
      <c r="L1088">
        <v>4.85</v>
      </c>
      <c r="M1088">
        <v>5.04</v>
      </c>
      <c r="N1088">
        <v>4.83</v>
      </c>
      <c r="O1088">
        <v>4.9</v>
      </c>
      <c r="P1088" t="s">
        <v>32</v>
      </c>
      <c r="Q1088">
        <v>30839600</v>
      </c>
      <c r="R1088">
        <v>1.99</v>
      </c>
      <c r="S1088" t="s">
        <v>831</v>
      </c>
      <c r="T1088" t="s">
        <v>149</v>
      </c>
      <c r="U1088">
        <v>4.29</v>
      </c>
      <c r="V1088">
        <v>4.96</v>
      </c>
      <c r="W1088">
        <v>28268</v>
      </c>
      <c r="X1088">
        <v>33895</v>
      </c>
      <c r="Y1088">
        <v>0.83</v>
      </c>
      <c r="Z1088">
        <v>409</v>
      </c>
      <c r="AA1088">
        <v>562</v>
      </c>
      <c r="AB1088" t="s">
        <v>32</v>
      </c>
      <c r="AC1088">
        <v>3.45</v>
      </c>
    </row>
    <row r="1089" spans="1:29">
      <c r="A1089" t="str">
        <f>"002630"</f>
        <v>002630</v>
      </c>
      <c r="B1089" t="s">
        <v>1256</v>
      </c>
      <c r="C1089" t="s">
        <v>32</v>
      </c>
      <c r="D1089">
        <v>6.54</v>
      </c>
      <c r="E1089" t="s">
        <v>32</v>
      </c>
      <c r="F1089" t="s">
        <v>32</v>
      </c>
      <c r="G1089" t="s">
        <v>32</v>
      </c>
      <c r="H1089">
        <v>0</v>
      </c>
      <c r="I1089">
        <v>0</v>
      </c>
      <c r="J1089" t="s">
        <v>32</v>
      </c>
      <c r="K1089">
        <v>0</v>
      </c>
      <c r="L1089" t="s">
        <v>32</v>
      </c>
      <c r="M1089" t="s">
        <v>32</v>
      </c>
      <c r="N1089" t="s">
        <v>32</v>
      </c>
      <c r="O1089">
        <v>6.54</v>
      </c>
      <c r="P1089">
        <v>104.19</v>
      </c>
      <c r="Q1089">
        <v>0</v>
      </c>
      <c r="R1089">
        <v>0</v>
      </c>
      <c r="S1089" t="s">
        <v>171</v>
      </c>
      <c r="T1089" t="s">
        <v>146</v>
      </c>
      <c r="U1089">
        <v>0</v>
      </c>
      <c r="V1089">
        <v>6.54</v>
      </c>
      <c r="W1089">
        <v>0</v>
      </c>
      <c r="X1089">
        <v>0</v>
      </c>
      <c r="Y1089" t="s">
        <v>32</v>
      </c>
      <c r="Z1089">
        <v>0</v>
      </c>
      <c r="AA1089">
        <v>0</v>
      </c>
      <c r="AB1089" t="s">
        <v>32</v>
      </c>
      <c r="AC1089">
        <v>9.7</v>
      </c>
    </row>
    <row r="1090" spans="1:29">
      <c r="A1090" t="str">
        <f>"002631"</f>
        <v>002631</v>
      </c>
      <c r="B1090" t="s">
        <v>1257</v>
      </c>
      <c r="C1090">
        <v>-2.85</v>
      </c>
      <c r="D1090">
        <v>8.85</v>
      </c>
      <c r="E1090">
        <v>-0.26</v>
      </c>
      <c r="F1090">
        <v>8.84</v>
      </c>
      <c r="G1090">
        <v>8.85</v>
      </c>
      <c r="H1090">
        <v>240486</v>
      </c>
      <c r="I1090">
        <v>2928</v>
      </c>
      <c r="J1090">
        <v>0.11</v>
      </c>
      <c r="K1090">
        <v>3.72</v>
      </c>
      <c r="L1090">
        <v>8.71</v>
      </c>
      <c r="M1090">
        <v>8.98</v>
      </c>
      <c r="N1090">
        <v>8.63</v>
      </c>
      <c r="O1090">
        <v>9.11</v>
      </c>
      <c r="P1090">
        <v>48.63</v>
      </c>
      <c r="Q1090">
        <v>211989840</v>
      </c>
      <c r="R1090">
        <v>0.95</v>
      </c>
      <c r="S1090" t="s">
        <v>545</v>
      </c>
      <c r="T1090" t="s">
        <v>87</v>
      </c>
      <c r="U1090">
        <v>3.84</v>
      </c>
      <c r="V1090">
        <v>8.82</v>
      </c>
      <c r="W1090">
        <v>128658</v>
      </c>
      <c r="X1090">
        <v>111828</v>
      </c>
      <c r="Y1090">
        <v>1.15</v>
      </c>
      <c r="Z1090">
        <v>920</v>
      </c>
      <c r="AA1090">
        <v>1490</v>
      </c>
      <c r="AB1090" t="s">
        <v>32</v>
      </c>
      <c r="AC1090">
        <v>6.47</v>
      </c>
    </row>
    <row r="1091" spans="1:29">
      <c r="A1091" t="str">
        <f>"002632"</f>
        <v>002632</v>
      </c>
      <c r="B1091" t="s">
        <v>1258</v>
      </c>
      <c r="C1091">
        <v>0.25</v>
      </c>
      <c r="D1091">
        <v>8.02</v>
      </c>
      <c r="E1091">
        <v>0.02</v>
      </c>
      <c r="F1091">
        <v>8.01</v>
      </c>
      <c r="G1091">
        <v>8.02</v>
      </c>
      <c r="H1091">
        <v>79843</v>
      </c>
      <c r="I1091">
        <v>1220</v>
      </c>
      <c r="J1091">
        <v>0.12</v>
      </c>
      <c r="K1091">
        <v>1.42</v>
      </c>
      <c r="L1091">
        <v>7.97</v>
      </c>
      <c r="M1091">
        <v>8.08</v>
      </c>
      <c r="N1091">
        <v>7.92</v>
      </c>
      <c r="O1091">
        <v>8</v>
      </c>
      <c r="P1091">
        <v>27.74</v>
      </c>
      <c r="Q1091">
        <v>63965636</v>
      </c>
      <c r="R1091">
        <v>1.28</v>
      </c>
      <c r="S1091" t="s">
        <v>218</v>
      </c>
      <c r="T1091" t="s">
        <v>149</v>
      </c>
      <c r="U1091">
        <v>2</v>
      </c>
      <c r="V1091">
        <v>8.01</v>
      </c>
      <c r="W1091">
        <v>46504</v>
      </c>
      <c r="X1091">
        <v>33338</v>
      </c>
      <c r="Y1091">
        <v>1.39</v>
      </c>
      <c r="Z1091">
        <v>431</v>
      </c>
      <c r="AA1091">
        <v>830</v>
      </c>
      <c r="AB1091" t="s">
        <v>32</v>
      </c>
      <c r="AC1091">
        <v>5.62</v>
      </c>
    </row>
    <row r="1092" spans="1:29">
      <c r="A1092" t="str">
        <f>"002633"</f>
        <v>002633</v>
      </c>
      <c r="B1092" t="s">
        <v>1259</v>
      </c>
      <c r="C1092">
        <v>0</v>
      </c>
      <c r="D1092">
        <v>9</v>
      </c>
      <c r="E1092">
        <v>0</v>
      </c>
      <c r="F1092">
        <v>9</v>
      </c>
      <c r="G1092">
        <v>9.01</v>
      </c>
      <c r="H1092">
        <v>33214</v>
      </c>
      <c r="I1092">
        <v>458</v>
      </c>
      <c r="J1092">
        <v>0.11</v>
      </c>
      <c r="K1092">
        <v>2.23</v>
      </c>
      <c r="L1092">
        <v>8.97</v>
      </c>
      <c r="M1092">
        <v>9.05</v>
      </c>
      <c r="N1092">
        <v>8.88</v>
      </c>
      <c r="O1092">
        <v>9</v>
      </c>
      <c r="P1092" t="s">
        <v>32</v>
      </c>
      <c r="Q1092">
        <v>29725728</v>
      </c>
      <c r="R1092">
        <v>0.62</v>
      </c>
      <c r="S1092" t="s">
        <v>241</v>
      </c>
      <c r="T1092" t="s">
        <v>149</v>
      </c>
      <c r="U1092">
        <v>1.89</v>
      </c>
      <c r="V1092">
        <v>8.95</v>
      </c>
      <c r="W1092">
        <v>19459</v>
      </c>
      <c r="X1092">
        <v>13754</v>
      </c>
      <c r="Y1092">
        <v>1.41</v>
      </c>
      <c r="Z1092">
        <v>9</v>
      </c>
      <c r="AA1092">
        <v>196</v>
      </c>
      <c r="AB1092" t="s">
        <v>32</v>
      </c>
      <c r="AC1092">
        <v>1.49</v>
      </c>
    </row>
    <row r="1093" spans="1:29">
      <c r="A1093" t="str">
        <f>"002634"</f>
        <v>002634</v>
      </c>
      <c r="B1093" t="s">
        <v>1260</v>
      </c>
      <c r="C1093">
        <v>1.43</v>
      </c>
      <c r="D1093">
        <v>4.25</v>
      </c>
      <c r="E1093">
        <v>0.06</v>
      </c>
      <c r="F1093">
        <v>4.24</v>
      </c>
      <c r="G1093">
        <v>4.25</v>
      </c>
      <c r="H1093">
        <v>41170</v>
      </c>
      <c r="I1093">
        <v>1438</v>
      </c>
      <c r="J1093">
        <v>0</v>
      </c>
      <c r="K1093">
        <v>1.52</v>
      </c>
      <c r="L1093">
        <v>4.2</v>
      </c>
      <c r="M1093">
        <v>4.3</v>
      </c>
      <c r="N1093">
        <v>4.16</v>
      </c>
      <c r="O1093">
        <v>4.19</v>
      </c>
      <c r="P1093">
        <v>95.8</v>
      </c>
      <c r="Q1093">
        <v>17464580</v>
      </c>
      <c r="R1093">
        <v>1.63</v>
      </c>
      <c r="S1093" t="s">
        <v>622</v>
      </c>
      <c r="T1093" t="s">
        <v>149</v>
      </c>
      <c r="U1093">
        <v>3.34</v>
      </c>
      <c r="V1093">
        <v>4.24</v>
      </c>
      <c r="W1093">
        <v>18871</v>
      </c>
      <c r="X1093">
        <v>22298</v>
      </c>
      <c r="Y1093">
        <v>0.85</v>
      </c>
      <c r="Z1093">
        <v>1530</v>
      </c>
      <c r="AA1093">
        <v>1344</v>
      </c>
      <c r="AB1093" t="s">
        <v>32</v>
      </c>
      <c r="AC1093">
        <v>2.7</v>
      </c>
    </row>
    <row r="1094" spans="1:29">
      <c r="A1094" t="str">
        <f>"002635"</f>
        <v>002635</v>
      </c>
      <c r="B1094" t="s">
        <v>1261</v>
      </c>
      <c r="C1094">
        <v>0.37</v>
      </c>
      <c r="D1094">
        <v>19.1</v>
      </c>
      <c r="E1094">
        <v>0.07</v>
      </c>
      <c r="F1094">
        <v>19.1</v>
      </c>
      <c r="G1094">
        <v>19.11</v>
      </c>
      <c r="H1094">
        <v>120471</v>
      </c>
      <c r="I1094">
        <v>1315</v>
      </c>
      <c r="J1094">
        <v>0.21</v>
      </c>
      <c r="K1094">
        <v>3.77</v>
      </c>
      <c r="L1094">
        <v>19.1</v>
      </c>
      <c r="M1094">
        <v>19.3</v>
      </c>
      <c r="N1094">
        <v>18.77</v>
      </c>
      <c r="O1094">
        <v>19.03</v>
      </c>
      <c r="P1094">
        <v>33.96</v>
      </c>
      <c r="Q1094">
        <v>229607648</v>
      </c>
      <c r="R1094">
        <v>0.89</v>
      </c>
      <c r="S1094" t="s">
        <v>65</v>
      </c>
      <c r="T1094" t="s">
        <v>87</v>
      </c>
      <c r="U1094">
        <v>2.79</v>
      </c>
      <c r="V1094">
        <v>19.06</v>
      </c>
      <c r="W1094">
        <v>62387</v>
      </c>
      <c r="X1094">
        <v>58084</v>
      </c>
      <c r="Y1094">
        <v>1.07</v>
      </c>
      <c r="Z1094">
        <v>1014</v>
      </c>
      <c r="AA1094">
        <v>130</v>
      </c>
      <c r="AB1094" t="s">
        <v>32</v>
      </c>
      <c r="AC1094">
        <v>3.2</v>
      </c>
    </row>
    <row r="1095" spans="1:29">
      <c r="A1095" t="str">
        <f>"002636"</f>
        <v>002636</v>
      </c>
      <c r="B1095" t="s">
        <v>1262</v>
      </c>
      <c r="C1095">
        <v>0.2</v>
      </c>
      <c r="D1095">
        <v>9.92</v>
      </c>
      <c r="E1095">
        <v>0.02</v>
      </c>
      <c r="F1095">
        <v>9.92</v>
      </c>
      <c r="G1095">
        <v>9.93</v>
      </c>
      <c r="H1095">
        <v>297306</v>
      </c>
      <c r="I1095">
        <v>3675</v>
      </c>
      <c r="J1095">
        <v>0.1</v>
      </c>
      <c r="K1095">
        <v>12.07</v>
      </c>
      <c r="L1095">
        <v>10.23</v>
      </c>
      <c r="M1095">
        <v>10.48</v>
      </c>
      <c r="N1095">
        <v>9.89</v>
      </c>
      <c r="O1095">
        <v>9.9</v>
      </c>
      <c r="P1095">
        <v>20.4</v>
      </c>
      <c r="Q1095">
        <v>299733600</v>
      </c>
      <c r="R1095">
        <v>0.95</v>
      </c>
      <c r="S1095" t="s">
        <v>63</v>
      </c>
      <c r="T1095" t="s">
        <v>366</v>
      </c>
      <c r="U1095">
        <v>5.96</v>
      </c>
      <c r="V1095">
        <v>10.08</v>
      </c>
      <c r="W1095">
        <v>178017</v>
      </c>
      <c r="X1095">
        <v>119289</v>
      </c>
      <c r="Y1095">
        <v>1.49</v>
      </c>
      <c r="Z1095">
        <v>1512</v>
      </c>
      <c r="AA1095">
        <v>399</v>
      </c>
      <c r="AB1095" t="s">
        <v>32</v>
      </c>
      <c r="AC1095">
        <v>2.46</v>
      </c>
    </row>
    <row r="1096" spans="1:29">
      <c r="A1096" t="str">
        <f>"002637"</f>
        <v>002637</v>
      </c>
      <c r="B1096" t="s">
        <v>1263</v>
      </c>
      <c r="C1096">
        <v>9.96</v>
      </c>
      <c r="D1096">
        <v>9.83</v>
      </c>
      <c r="E1096">
        <v>0.89</v>
      </c>
      <c r="F1096">
        <v>9.83</v>
      </c>
      <c r="G1096" t="s">
        <v>32</v>
      </c>
      <c r="H1096">
        <v>62067</v>
      </c>
      <c r="I1096">
        <v>180</v>
      </c>
      <c r="J1096">
        <v>0</v>
      </c>
      <c r="K1096">
        <v>2.59</v>
      </c>
      <c r="L1096">
        <v>8.96</v>
      </c>
      <c r="M1096">
        <v>9.83</v>
      </c>
      <c r="N1096">
        <v>8.82</v>
      </c>
      <c r="O1096">
        <v>8.94</v>
      </c>
      <c r="P1096">
        <v>25.53</v>
      </c>
      <c r="Q1096">
        <v>58805652</v>
      </c>
      <c r="R1096">
        <v>2.44</v>
      </c>
      <c r="S1096" t="s">
        <v>232</v>
      </c>
      <c r="T1096" t="s">
        <v>149</v>
      </c>
      <c r="U1096">
        <v>11.3</v>
      </c>
      <c r="V1096">
        <v>9.47</v>
      </c>
      <c r="W1096">
        <v>43101</v>
      </c>
      <c r="X1096">
        <v>18966</v>
      </c>
      <c r="Y1096">
        <v>2.27</v>
      </c>
      <c r="Z1096">
        <v>41325</v>
      </c>
      <c r="AA1096">
        <v>0</v>
      </c>
      <c r="AB1096" t="s">
        <v>32</v>
      </c>
      <c r="AC1096">
        <v>2.4</v>
      </c>
    </row>
    <row r="1097" spans="1:29">
      <c r="A1097" t="str">
        <f>"002638"</f>
        <v>002638</v>
      </c>
      <c r="B1097" t="s">
        <v>1264</v>
      </c>
      <c r="C1097">
        <v>2.7</v>
      </c>
      <c r="D1097">
        <v>3.04</v>
      </c>
      <c r="E1097">
        <v>0.08</v>
      </c>
      <c r="F1097">
        <v>3.04</v>
      </c>
      <c r="G1097">
        <v>3.05</v>
      </c>
      <c r="H1097">
        <v>230578</v>
      </c>
      <c r="I1097">
        <v>4895</v>
      </c>
      <c r="J1097">
        <v>0</v>
      </c>
      <c r="K1097">
        <v>2.35</v>
      </c>
      <c r="L1097">
        <v>2.95</v>
      </c>
      <c r="M1097">
        <v>3.06</v>
      </c>
      <c r="N1097">
        <v>2.94</v>
      </c>
      <c r="O1097">
        <v>2.96</v>
      </c>
      <c r="P1097">
        <v>21.09</v>
      </c>
      <c r="Q1097">
        <v>69604440</v>
      </c>
      <c r="R1097">
        <v>1.44</v>
      </c>
      <c r="S1097" t="s">
        <v>699</v>
      </c>
      <c r="T1097" t="s">
        <v>136</v>
      </c>
      <c r="U1097">
        <v>4.05</v>
      </c>
      <c r="V1097">
        <v>3.02</v>
      </c>
      <c r="W1097">
        <v>97576</v>
      </c>
      <c r="X1097">
        <v>133002</v>
      </c>
      <c r="Y1097">
        <v>0.73</v>
      </c>
      <c r="Z1097">
        <v>3778</v>
      </c>
      <c r="AA1097">
        <v>3273</v>
      </c>
      <c r="AB1097" t="s">
        <v>32</v>
      </c>
      <c r="AC1097">
        <v>9.79</v>
      </c>
    </row>
    <row r="1098" spans="1:29">
      <c r="A1098" t="str">
        <f>"002639"</f>
        <v>002639</v>
      </c>
      <c r="B1098" t="s">
        <v>1265</v>
      </c>
      <c r="C1098">
        <v>-0.5</v>
      </c>
      <c r="D1098">
        <v>5.97</v>
      </c>
      <c r="E1098">
        <v>-0.03</v>
      </c>
      <c r="F1098">
        <v>5.97</v>
      </c>
      <c r="G1098">
        <v>5.98</v>
      </c>
      <c r="H1098">
        <v>78906</v>
      </c>
      <c r="I1098">
        <v>1072</v>
      </c>
      <c r="J1098">
        <v>0.17</v>
      </c>
      <c r="K1098">
        <v>1.53</v>
      </c>
      <c r="L1098">
        <v>6.13</v>
      </c>
      <c r="M1098">
        <v>6.13</v>
      </c>
      <c r="N1098">
        <v>5.92</v>
      </c>
      <c r="O1098">
        <v>6</v>
      </c>
      <c r="P1098">
        <v>503.15</v>
      </c>
      <c r="Q1098">
        <v>47217736</v>
      </c>
      <c r="R1098">
        <v>1.58</v>
      </c>
      <c r="S1098" t="s">
        <v>171</v>
      </c>
      <c r="T1098" t="s">
        <v>236</v>
      </c>
      <c r="U1098">
        <v>3.5</v>
      </c>
      <c r="V1098">
        <v>5.98</v>
      </c>
      <c r="W1098">
        <v>42632</v>
      </c>
      <c r="X1098">
        <v>36274</v>
      </c>
      <c r="Y1098">
        <v>1.18</v>
      </c>
      <c r="Z1098">
        <v>78</v>
      </c>
      <c r="AA1098">
        <v>250</v>
      </c>
      <c r="AB1098" t="s">
        <v>32</v>
      </c>
      <c r="AC1098">
        <v>5.16</v>
      </c>
    </row>
    <row r="1099" spans="1:29">
      <c r="A1099" t="str">
        <f>"002640"</f>
        <v>002640</v>
      </c>
      <c r="B1099" t="s">
        <v>1266</v>
      </c>
      <c r="C1099">
        <v>0.74</v>
      </c>
      <c r="D1099">
        <v>15.04</v>
      </c>
      <c r="E1099">
        <v>0.11</v>
      </c>
      <c r="F1099">
        <v>15.04</v>
      </c>
      <c r="G1099">
        <v>15.05</v>
      </c>
      <c r="H1099">
        <v>92247</v>
      </c>
      <c r="I1099">
        <v>1128</v>
      </c>
      <c r="J1099">
        <v>-0.12</v>
      </c>
      <c r="K1099">
        <v>0.94</v>
      </c>
      <c r="L1099">
        <v>14.9</v>
      </c>
      <c r="M1099">
        <v>15.29</v>
      </c>
      <c r="N1099">
        <v>14.88</v>
      </c>
      <c r="O1099">
        <v>14.93</v>
      </c>
      <c r="P1099">
        <v>22.27</v>
      </c>
      <c r="Q1099">
        <v>139714640</v>
      </c>
      <c r="R1099">
        <v>2.18</v>
      </c>
      <c r="S1099" t="s">
        <v>622</v>
      </c>
      <c r="T1099" t="s">
        <v>169</v>
      </c>
      <c r="U1099">
        <v>2.75</v>
      </c>
      <c r="V1099">
        <v>15.15</v>
      </c>
      <c r="W1099">
        <v>39272</v>
      </c>
      <c r="X1099">
        <v>52974</v>
      </c>
      <c r="Y1099">
        <v>0.74</v>
      </c>
      <c r="Z1099">
        <v>88</v>
      </c>
      <c r="AA1099">
        <v>39</v>
      </c>
      <c r="AB1099" t="s">
        <v>32</v>
      </c>
      <c r="AC1099">
        <v>9.82</v>
      </c>
    </row>
    <row r="1100" spans="1:29">
      <c r="A1100" t="str">
        <f>"002641"</f>
        <v>002641</v>
      </c>
      <c r="B1100" t="s">
        <v>1267</v>
      </c>
      <c r="C1100">
        <v>0.86</v>
      </c>
      <c r="D1100">
        <v>3.53</v>
      </c>
      <c r="E1100">
        <v>0.03</v>
      </c>
      <c r="F1100">
        <v>3.53</v>
      </c>
      <c r="G1100">
        <v>3.54</v>
      </c>
      <c r="H1100">
        <v>32399</v>
      </c>
      <c r="I1100">
        <v>757</v>
      </c>
      <c r="J1100">
        <v>0</v>
      </c>
      <c r="K1100">
        <v>0.36</v>
      </c>
      <c r="L1100">
        <v>3.5</v>
      </c>
      <c r="M1100">
        <v>3.57</v>
      </c>
      <c r="N1100">
        <v>3.49</v>
      </c>
      <c r="O1100">
        <v>3.5</v>
      </c>
      <c r="P1100">
        <v>131.66</v>
      </c>
      <c r="Q1100">
        <v>11418061</v>
      </c>
      <c r="R1100">
        <v>2.41</v>
      </c>
      <c r="S1100" t="s">
        <v>508</v>
      </c>
      <c r="T1100" t="s">
        <v>149</v>
      </c>
      <c r="U1100">
        <v>2.29</v>
      </c>
      <c r="V1100">
        <v>3.52</v>
      </c>
      <c r="W1100">
        <v>14833</v>
      </c>
      <c r="X1100">
        <v>17565</v>
      </c>
      <c r="Y1100">
        <v>0.84</v>
      </c>
      <c r="Z1100">
        <v>425</v>
      </c>
      <c r="AA1100">
        <v>1361</v>
      </c>
      <c r="AB1100" t="s">
        <v>32</v>
      </c>
      <c r="AC1100">
        <v>8.95</v>
      </c>
    </row>
    <row r="1101" spans="1:29">
      <c r="A1101" t="str">
        <f>"002642"</f>
        <v>002642</v>
      </c>
      <c r="B1101" t="s">
        <v>1268</v>
      </c>
      <c r="C1101">
        <v>0.52</v>
      </c>
      <c r="D1101">
        <v>9.69</v>
      </c>
      <c r="E1101">
        <v>0.05</v>
      </c>
      <c r="F1101">
        <v>9.68</v>
      </c>
      <c r="G1101">
        <v>9.69</v>
      </c>
      <c r="H1101">
        <v>138944</v>
      </c>
      <c r="I1101">
        <v>1290</v>
      </c>
      <c r="J1101">
        <v>0.1</v>
      </c>
      <c r="K1101">
        <v>2.8</v>
      </c>
      <c r="L1101">
        <v>9.65</v>
      </c>
      <c r="M1101">
        <v>9.76</v>
      </c>
      <c r="N1101">
        <v>9.54</v>
      </c>
      <c r="O1101">
        <v>9.64</v>
      </c>
      <c r="P1101">
        <v>82</v>
      </c>
      <c r="Q1101">
        <v>134378752</v>
      </c>
      <c r="R1101">
        <v>1.35</v>
      </c>
      <c r="S1101" t="s">
        <v>270</v>
      </c>
      <c r="T1101" t="s">
        <v>45</v>
      </c>
      <c r="U1101">
        <v>2.28</v>
      </c>
      <c r="V1101">
        <v>9.67</v>
      </c>
      <c r="W1101">
        <v>72565</v>
      </c>
      <c r="X1101">
        <v>66379</v>
      </c>
      <c r="Y1101">
        <v>1.09</v>
      </c>
      <c r="Z1101">
        <v>531</v>
      </c>
      <c r="AA1101">
        <v>1899</v>
      </c>
      <c r="AB1101" t="s">
        <v>32</v>
      </c>
      <c r="AC1101">
        <v>4.96</v>
      </c>
    </row>
    <row r="1102" spans="1:29">
      <c r="A1102" t="str">
        <f>"002643"</f>
        <v>002643</v>
      </c>
      <c r="B1102" t="s">
        <v>1269</v>
      </c>
      <c r="C1102">
        <v>0</v>
      </c>
      <c r="D1102">
        <v>8.11</v>
      </c>
      <c r="E1102">
        <v>0</v>
      </c>
      <c r="F1102">
        <v>8.11</v>
      </c>
      <c r="G1102">
        <v>8.12</v>
      </c>
      <c r="H1102">
        <v>54526</v>
      </c>
      <c r="I1102">
        <v>480</v>
      </c>
      <c r="J1102">
        <v>0.12</v>
      </c>
      <c r="K1102">
        <v>0.62</v>
      </c>
      <c r="L1102">
        <v>8.1</v>
      </c>
      <c r="M1102">
        <v>8.28</v>
      </c>
      <c r="N1102">
        <v>8.06</v>
      </c>
      <c r="O1102">
        <v>8.11</v>
      </c>
      <c r="P1102">
        <v>28.75</v>
      </c>
      <c r="Q1102">
        <v>44402404</v>
      </c>
      <c r="R1102">
        <v>0.64</v>
      </c>
      <c r="S1102" t="s">
        <v>218</v>
      </c>
      <c r="T1102" t="s">
        <v>162</v>
      </c>
      <c r="U1102">
        <v>2.71</v>
      </c>
      <c r="V1102">
        <v>8.14</v>
      </c>
      <c r="W1102">
        <v>32059</v>
      </c>
      <c r="X1102">
        <v>22466</v>
      </c>
      <c r="Y1102">
        <v>1.43</v>
      </c>
      <c r="Z1102">
        <v>319</v>
      </c>
      <c r="AA1102">
        <v>110</v>
      </c>
      <c r="AB1102" t="s">
        <v>32</v>
      </c>
      <c r="AC1102">
        <v>8.76</v>
      </c>
    </row>
    <row r="1103" spans="1:29">
      <c r="A1103" t="str">
        <f>"002644"</f>
        <v>002644</v>
      </c>
      <c r="B1103" t="s">
        <v>1270</v>
      </c>
      <c r="C1103">
        <v>0</v>
      </c>
      <c r="D1103">
        <v>10.19</v>
      </c>
      <c r="E1103">
        <v>0</v>
      </c>
      <c r="F1103">
        <v>10.19</v>
      </c>
      <c r="G1103">
        <v>10.2</v>
      </c>
      <c r="H1103">
        <v>21539</v>
      </c>
      <c r="I1103">
        <v>150</v>
      </c>
      <c r="J1103">
        <v>0</v>
      </c>
      <c r="K1103">
        <v>0.42</v>
      </c>
      <c r="L1103">
        <v>10.12</v>
      </c>
      <c r="M1103">
        <v>10.31</v>
      </c>
      <c r="N1103">
        <v>10.08</v>
      </c>
      <c r="O1103">
        <v>10.19</v>
      </c>
      <c r="P1103">
        <v>58.54</v>
      </c>
      <c r="Q1103">
        <v>21972918</v>
      </c>
      <c r="R1103">
        <v>0.82</v>
      </c>
      <c r="S1103" t="s">
        <v>195</v>
      </c>
      <c r="T1103" t="s">
        <v>266</v>
      </c>
      <c r="U1103">
        <v>2.26</v>
      </c>
      <c r="V1103">
        <v>10.2</v>
      </c>
      <c r="W1103">
        <v>12430</v>
      </c>
      <c r="X1103">
        <v>9109</v>
      </c>
      <c r="Y1103">
        <v>1.36</v>
      </c>
      <c r="Z1103">
        <v>292</v>
      </c>
      <c r="AA1103">
        <v>452</v>
      </c>
      <c r="AB1103" t="s">
        <v>32</v>
      </c>
      <c r="AC1103">
        <v>5.11</v>
      </c>
    </row>
    <row r="1104" spans="1:29">
      <c r="A1104" t="str">
        <f>"002645"</f>
        <v>002645</v>
      </c>
      <c r="B1104" t="s">
        <v>1271</v>
      </c>
      <c r="C1104">
        <v>-0.08</v>
      </c>
      <c r="D1104">
        <v>11.77</v>
      </c>
      <c r="E1104">
        <v>-0.01</v>
      </c>
      <c r="F1104">
        <v>11.76</v>
      </c>
      <c r="G1104">
        <v>11.77</v>
      </c>
      <c r="H1104">
        <v>13433</v>
      </c>
      <c r="I1104">
        <v>122</v>
      </c>
      <c r="J1104">
        <v>-0.07</v>
      </c>
      <c r="K1104">
        <v>0.53</v>
      </c>
      <c r="L1104">
        <v>11.65</v>
      </c>
      <c r="M1104">
        <v>11.96</v>
      </c>
      <c r="N1104">
        <v>11.65</v>
      </c>
      <c r="O1104">
        <v>11.78</v>
      </c>
      <c r="P1104">
        <v>35.23</v>
      </c>
      <c r="Q1104">
        <v>15897365</v>
      </c>
      <c r="R1104">
        <v>1.19</v>
      </c>
      <c r="S1104" t="s">
        <v>171</v>
      </c>
      <c r="T1104" t="s">
        <v>87</v>
      </c>
      <c r="U1104">
        <v>2.63</v>
      </c>
      <c r="V1104">
        <v>11.83</v>
      </c>
      <c r="W1104">
        <v>8008</v>
      </c>
      <c r="X1104">
        <v>5425</v>
      </c>
      <c r="Y1104">
        <v>1.48</v>
      </c>
      <c r="Z1104">
        <v>282</v>
      </c>
      <c r="AA1104">
        <v>123</v>
      </c>
      <c r="AB1104" t="s">
        <v>32</v>
      </c>
      <c r="AC1104">
        <v>2.53</v>
      </c>
    </row>
    <row r="1105" spans="1:29">
      <c r="A1105" t="str">
        <f>"002646"</f>
        <v>002646</v>
      </c>
      <c r="B1105" t="s">
        <v>1272</v>
      </c>
      <c r="C1105">
        <v>3.5</v>
      </c>
      <c r="D1105">
        <v>13</v>
      </c>
      <c r="E1105">
        <v>0.44</v>
      </c>
      <c r="F1105">
        <v>13</v>
      </c>
      <c r="G1105">
        <v>13.01</v>
      </c>
      <c r="H1105">
        <v>37591</v>
      </c>
      <c r="I1105">
        <v>1234</v>
      </c>
      <c r="J1105">
        <v>0</v>
      </c>
      <c r="K1105">
        <v>0.84</v>
      </c>
      <c r="L1105">
        <v>12.58</v>
      </c>
      <c r="M1105">
        <v>13.02</v>
      </c>
      <c r="N1105">
        <v>12.47</v>
      </c>
      <c r="O1105">
        <v>12.56</v>
      </c>
      <c r="P1105">
        <v>16.85</v>
      </c>
      <c r="Q1105">
        <v>48249084</v>
      </c>
      <c r="R1105">
        <v>2.96</v>
      </c>
      <c r="S1105" t="s">
        <v>285</v>
      </c>
      <c r="T1105" t="s">
        <v>176</v>
      </c>
      <c r="U1105">
        <v>4.38</v>
      </c>
      <c r="V1105">
        <v>12.84</v>
      </c>
      <c r="W1105">
        <v>14722</v>
      </c>
      <c r="X1105">
        <v>22868</v>
      </c>
      <c r="Y1105">
        <v>0.64</v>
      </c>
      <c r="Z1105">
        <v>5</v>
      </c>
      <c r="AA1105">
        <v>209</v>
      </c>
      <c r="AB1105" t="s">
        <v>32</v>
      </c>
      <c r="AC1105">
        <v>4.5</v>
      </c>
    </row>
    <row r="1106" spans="1:29">
      <c r="A1106" t="str">
        <f>"002647"</f>
        <v>002647</v>
      </c>
      <c r="B1106" t="s">
        <v>1273</v>
      </c>
      <c r="C1106">
        <v>-0.79</v>
      </c>
      <c r="D1106">
        <v>17.66</v>
      </c>
      <c r="E1106">
        <v>-0.14</v>
      </c>
      <c r="F1106">
        <v>17.5</v>
      </c>
      <c r="G1106">
        <v>17.66</v>
      </c>
      <c r="H1106">
        <v>24758</v>
      </c>
      <c r="I1106">
        <v>463</v>
      </c>
      <c r="J1106">
        <v>0.91</v>
      </c>
      <c r="K1106">
        <v>0.44</v>
      </c>
      <c r="L1106">
        <v>17.6</v>
      </c>
      <c r="M1106">
        <v>17.88</v>
      </c>
      <c r="N1106">
        <v>17.42</v>
      </c>
      <c r="O1106">
        <v>17.8</v>
      </c>
      <c r="P1106">
        <v>534.73</v>
      </c>
      <c r="Q1106">
        <v>43607420</v>
      </c>
      <c r="R1106">
        <v>3.22</v>
      </c>
      <c r="S1106" t="s">
        <v>183</v>
      </c>
      <c r="T1106" t="s">
        <v>149</v>
      </c>
      <c r="U1106">
        <v>2.58</v>
      </c>
      <c r="V1106">
        <v>17.61</v>
      </c>
      <c r="W1106">
        <v>8918</v>
      </c>
      <c r="X1106">
        <v>15839</v>
      </c>
      <c r="Y1106">
        <v>0.56</v>
      </c>
      <c r="Z1106">
        <v>142</v>
      </c>
      <c r="AA1106">
        <v>129</v>
      </c>
      <c r="AB1106" t="s">
        <v>32</v>
      </c>
      <c r="AC1106">
        <v>5.6</v>
      </c>
    </row>
    <row r="1107" spans="1:29">
      <c r="A1107" t="str">
        <f>"002648"</f>
        <v>002648</v>
      </c>
      <c r="B1107" t="s">
        <v>1274</v>
      </c>
      <c r="C1107">
        <v>4.57</v>
      </c>
      <c r="D1107">
        <v>11.21</v>
      </c>
      <c r="E1107">
        <v>0.49</v>
      </c>
      <c r="F1107">
        <v>11.2</v>
      </c>
      <c r="G1107">
        <v>11.21</v>
      </c>
      <c r="H1107">
        <v>63203</v>
      </c>
      <c r="I1107">
        <v>1107</v>
      </c>
      <c r="J1107">
        <v>0</v>
      </c>
      <c r="K1107">
        <v>0.79</v>
      </c>
      <c r="L1107">
        <v>10.75</v>
      </c>
      <c r="M1107">
        <v>11.3</v>
      </c>
      <c r="N1107">
        <v>10.75</v>
      </c>
      <c r="O1107">
        <v>10.72</v>
      </c>
      <c r="P1107">
        <v>26.4</v>
      </c>
      <c r="Q1107">
        <v>70377680</v>
      </c>
      <c r="R1107">
        <v>2.35</v>
      </c>
      <c r="S1107" t="s">
        <v>218</v>
      </c>
      <c r="T1107" t="s">
        <v>149</v>
      </c>
      <c r="U1107">
        <v>5.13</v>
      </c>
      <c r="V1107">
        <v>11.14</v>
      </c>
      <c r="W1107">
        <v>26703</v>
      </c>
      <c r="X1107">
        <v>36500</v>
      </c>
      <c r="Y1107">
        <v>0.73</v>
      </c>
      <c r="Z1107">
        <v>218</v>
      </c>
      <c r="AA1107">
        <v>192</v>
      </c>
      <c r="AB1107" t="s">
        <v>32</v>
      </c>
      <c r="AC1107">
        <v>8.01</v>
      </c>
    </row>
    <row r="1108" spans="1:29">
      <c r="A1108" t="str">
        <f>"002649"</f>
        <v>002649</v>
      </c>
      <c r="B1108" t="s">
        <v>1275</v>
      </c>
      <c r="C1108">
        <v>1.22</v>
      </c>
      <c r="D1108">
        <v>9.12</v>
      </c>
      <c r="E1108">
        <v>0.11</v>
      </c>
      <c r="F1108">
        <v>9.12</v>
      </c>
      <c r="G1108">
        <v>9.13</v>
      </c>
      <c r="H1108">
        <v>66210</v>
      </c>
      <c r="I1108">
        <v>448</v>
      </c>
      <c r="J1108">
        <v>0</v>
      </c>
      <c r="K1108">
        <v>1.62</v>
      </c>
      <c r="L1108">
        <v>9</v>
      </c>
      <c r="M1108">
        <v>9.17</v>
      </c>
      <c r="N1108">
        <v>8.94</v>
      </c>
      <c r="O1108">
        <v>9.01</v>
      </c>
      <c r="P1108">
        <v>38.18</v>
      </c>
      <c r="Q1108">
        <v>60220276</v>
      </c>
      <c r="R1108">
        <v>1.33</v>
      </c>
      <c r="S1108" t="s">
        <v>270</v>
      </c>
      <c r="T1108" t="s">
        <v>45</v>
      </c>
      <c r="U1108">
        <v>2.55</v>
      </c>
      <c r="V1108">
        <v>9.1</v>
      </c>
      <c r="W1108">
        <v>32600</v>
      </c>
      <c r="X1108">
        <v>33610</v>
      </c>
      <c r="Y1108">
        <v>0.97</v>
      </c>
      <c r="Z1108">
        <v>482</v>
      </c>
      <c r="AA1108">
        <v>156</v>
      </c>
      <c r="AB1108" t="s">
        <v>32</v>
      </c>
      <c r="AC1108">
        <v>4.08</v>
      </c>
    </row>
    <row r="1109" spans="1:29">
      <c r="A1109" t="str">
        <f>"002650"</f>
        <v>002650</v>
      </c>
      <c r="B1109" t="s">
        <v>1276</v>
      </c>
      <c r="C1109" t="s">
        <v>32</v>
      </c>
      <c r="D1109">
        <v>4.86</v>
      </c>
      <c r="E1109" t="s">
        <v>32</v>
      </c>
      <c r="F1109" t="s">
        <v>32</v>
      </c>
      <c r="G1109" t="s">
        <v>32</v>
      </c>
      <c r="H1109">
        <v>0</v>
      </c>
      <c r="I1109">
        <v>0</v>
      </c>
      <c r="J1109" t="s">
        <v>32</v>
      </c>
      <c r="K1109">
        <v>0</v>
      </c>
      <c r="L1109" t="s">
        <v>32</v>
      </c>
      <c r="M1109" t="s">
        <v>32</v>
      </c>
      <c r="N1109" t="s">
        <v>32</v>
      </c>
      <c r="O1109">
        <v>4.86</v>
      </c>
      <c r="P1109">
        <v>25.79</v>
      </c>
      <c r="Q1109">
        <v>0</v>
      </c>
      <c r="R1109">
        <v>0</v>
      </c>
      <c r="S1109" t="s">
        <v>213</v>
      </c>
      <c r="T1109" t="s">
        <v>152</v>
      </c>
      <c r="U1109">
        <v>0</v>
      </c>
      <c r="V1109">
        <v>4.86</v>
      </c>
      <c r="W1109">
        <v>0</v>
      </c>
      <c r="X1109">
        <v>0</v>
      </c>
      <c r="Y1109" t="s">
        <v>32</v>
      </c>
      <c r="Z1109">
        <v>0</v>
      </c>
      <c r="AA1109">
        <v>0</v>
      </c>
      <c r="AB1109" t="s">
        <v>32</v>
      </c>
      <c r="AC1109">
        <v>9.45</v>
      </c>
    </row>
    <row r="1110" spans="1:29">
      <c r="A1110" t="str">
        <f>"002651"</f>
        <v>002651</v>
      </c>
      <c r="B1110" t="s">
        <v>1277</v>
      </c>
      <c r="C1110">
        <v>4.96</v>
      </c>
      <c r="D1110">
        <v>5.5</v>
      </c>
      <c r="E1110">
        <v>0.26</v>
      </c>
      <c r="F1110">
        <v>5.49</v>
      </c>
      <c r="G1110">
        <v>5.5</v>
      </c>
      <c r="H1110">
        <v>114476</v>
      </c>
      <c r="I1110">
        <v>434</v>
      </c>
      <c r="J1110">
        <v>0.36</v>
      </c>
      <c r="K1110">
        <v>3.03</v>
      </c>
      <c r="L1110">
        <v>5.25</v>
      </c>
      <c r="M1110">
        <v>5.76</v>
      </c>
      <c r="N1110">
        <v>5.21</v>
      </c>
      <c r="O1110">
        <v>5.24</v>
      </c>
      <c r="P1110">
        <v>37.1</v>
      </c>
      <c r="Q1110">
        <v>63231908</v>
      </c>
      <c r="R1110">
        <v>4.26</v>
      </c>
      <c r="S1110" t="s">
        <v>171</v>
      </c>
      <c r="T1110" t="s">
        <v>146</v>
      </c>
      <c r="U1110">
        <v>10.5</v>
      </c>
      <c r="V1110">
        <v>5.52</v>
      </c>
      <c r="W1110">
        <v>60571</v>
      </c>
      <c r="X1110">
        <v>53905</v>
      </c>
      <c r="Y1110">
        <v>1.12</v>
      </c>
      <c r="Z1110">
        <v>961</v>
      </c>
      <c r="AA1110">
        <v>1569</v>
      </c>
      <c r="AB1110" t="s">
        <v>32</v>
      </c>
      <c r="AC1110">
        <v>3.78</v>
      </c>
    </row>
    <row r="1111" spans="1:29">
      <c r="A1111" t="str">
        <f>"002652"</f>
        <v>002652</v>
      </c>
      <c r="B1111" t="s">
        <v>1278</v>
      </c>
      <c r="C1111">
        <v>0.66</v>
      </c>
      <c r="D1111">
        <v>6.07</v>
      </c>
      <c r="E1111">
        <v>0.04</v>
      </c>
      <c r="F1111">
        <v>6.06</v>
      </c>
      <c r="G1111">
        <v>6.07</v>
      </c>
      <c r="H1111">
        <v>38856</v>
      </c>
      <c r="I1111">
        <v>444</v>
      </c>
      <c r="J1111">
        <v>0.17</v>
      </c>
      <c r="K1111">
        <v>0.9</v>
      </c>
      <c r="L1111">
        <v>6.03</v>
      </c>
      <c r="M1111">
        <v>6.11</v>
      </c>
      <c r="N1111">
        <v>5.91</v>
      </c>
      <c r="O1111">
        <v>6.03</v>
      </c>
      <c r="P1111">
        <v>36.91</v>
      </c>
      <c r="Q1111">
        <v>23487314</v>
      </c>
      <c r="R1111">
        <v>1.57</v>
      </c>
      <c r="S1111" t="s">
        <v>69</v>
      </c>
      <c r="T1111" t="s">
        <v>87</v>
      </c>
      <c r="U1111">
        <v>3.32</v>
      </c>
      <c r="V1111">
        <v>6.04</v>
      </c>
      <c r="W1111">
        <v>11177</v>
      </c>
      <c r="X1111">
        <v>27679</v>
      </c>
      <c r="Y1111">
        <v>0.4</v>
      </c>
      <c r="Z1111">
        <v>368</v>
      </c>
      <c r="AA1111">
        <v>174</v>
      </c>
      <c r="AB1111" t="s">
        <v>32</v>
      </c>
      <c r="AC1111">
        <v>4.32</v>
      </c>
    </row>
    <row r="1112" spans="1:29">
      <c r="A1112" t="str">
        <f>"002653"</f>
        <v>002653</v>
      </c>
      <c r="B1112" t="s">
        <v>1279</v>
      </c>
      <c r="C1112">
        <v>3.41</v>
      </c>
      <c r="D1112">
        <v>12.75</v>
      </c>
      <c r="E1112">
        <v>0.42</v>
      </c>
      <c r="F1112">
        <v>12.74</v>
      </c>
      <c r="G1112">
        <v>12.75</v>
      </c>
      <c r="H1112">
        <v>35137</v>
      </c>
      <c r="I1112">
        <v>629</v>
      </c>
      <c r="J1112">
        <v>0</v>
      </c>
      <c r="K1112">
        <v>0.73</v>
      </c>
      <c r="L1112">
        <v>12.21</v>
      </c>
      <c r="M1112">
        <v>13</v>
      </c>
      <c r="N1112">
        <v>12.01</v>
      </c>
      <c r="O1112">
        <v>12.33</v>
      </c>
      <c r="P1112">
        <v>57.62</v>
      </c>
      <c r="Q1112">
        <v>44351768</v>
      </c>
      <c r="R1112">
        <v>1.05</v>
      </c>
      <c r="S1112" t="s">
        <v>142</v>
      </c>
      <c r="T1112" t="s">
        <v>432</v>
      </c>
      <c r="U1112">
        <v>8.03</v>
      </c>
      <c r="V1112">
        <v>12.62</v>
      </c>
      <c r="W1112">
        <v>17630</v>
      </c>
      <c r="X1112">
        <v>17507</v>
      </c>
      <c r="Y1112">
        <v>1.01</v>
      </c>
      <c r="Z1112">
        <v>622</v>
      </c>
      <c r="AA1112">
        <v>684</v>
      </c>
      <c r="AB1112" t="s">
        <v>32</v>
      </c>
      <c r="AC1112">
        <v>4.84</v>
      </c>
    </row>
    <row r="1113" spans="1:29">
      <c r="A1113" t="str">
        <f>"002654"</f>
        <v>002654</v>
      </c>
      <c r="B1113" t="s">
        <v>1280</v>
      </c>
      <c r="C1113">
        <v>-0.17</v>
      </c>
      <c r="D1113">
        <v>5.76</v>
      </c>
      <c r="E1113">
        <v>-0.01</v>
      </c>
      <c r="F1113">
        <v>5.76</v>
      </c>
      <c r="G1113">
        <v>5.77</v>
      </c>
      <c r="H1113">
        <v>59845</v>
      </c>
      <c r="I1113">
        <v>1572</v>
      </c>
      <c r="J1113">
        <v>-0.16</v>
      </c>
      <c r="K1113">
        <v>0.87</v>
      </c>
      <c r="L1113">
        <v>5.74</v>
      </c>
      <c r="M1113">
        <v>5.8</v>
      </c>
      <c r="N1113">
        <v>5.68</v>
      </c>
      <c r="O1113">
        <v>5.77</v>
      </c>
      <c r="P1113">
        <v>23.54</v>
      </c>
      <c r="Q1113">
        <v>34371448</v>
      </c>
      <c r="R1113">
        <v>0.83</v>
      </c>
      <c r="S1113" t="s">
        <v>699</v>
      </c>
      <c r="T1113" t="s">
        <v>31</v>
      </c>
      <c r="U1113">
        <v>2.08</v>
      </c>
      <c r="V1113">
        <v>5.74</v>
      </c>
      <c r="W1113">
        <v>36704</v>
      </c>
      <c r="X1113">
        <v>23140</v>
      </c>
      <c r="Y1113">
        <v>1.59</v>
      </c>
      <c r="Z1113">
        <v>258</v>
      </c>
      <c r="AA1113">
        <v>541</v>
      </c>
      <c r="AB1113" t="s">
        <v>32</v>
      </c>
      <c r="AC1113">
        <v>6.89</v>
      </c>
    </row>
    <row r="1114" spans="1:29">
      <c r="A1114" t="str">
        <f>"002655"</f>
        <v>002655</v>
      </c>
      <c r="B1114" t="s">
        <v>1281</v>
      </c>
      <c r="C1114">
        <v>0</v>
      </c>
      <c r="D1114">
        <v>8.06</v>
      </c>
      <c r="E1114">
        <v>0</v>
      </c>
      <c r="F1114">
        <v>8.06</v>
      </c>
      <c r="G1114">
        <v>8.07</v>
      </c>
      <c r="H1114">
        <v>37616</v>
      </c>
      <c r="I1114">
        <v>556</v>
      </c>
      <c r="J1114">
        <v>0.12</v>
      </c>
      <c r="K1114">
        <v>1.04</v>
      </c>
      <c r="L1114">
        <v>7.96</v>
      </c>
      <c r="M1114">
        <v>8.11</v>
      </c>
      <c r="N1114">
        <v>7.93</v>
      </c>
      <c r="O1114">
        <v>8.06</v>
      </c>
      <c r="P1114" t="s">
        <v>32</v>
      </c>
      <c r="Q1114">
        <v>30224158</v>
      </c>
      <c r="R1114">
        <v>0.73</v>
      </c>
      <c r="S1114" t="s">
        <v>63</v>
      </c>
      <c r="T1114" t="s">
        <v>162</v>
      </c>
      <c r="U1114">
        <v>2.23</v>
      </c>
      <c r="V1114">
        <v>8.03</v>
      </c>
      <c r="W1114">
        <v>20043</v>
      </c>
      <c r="X1114">
        <v>17573</v>
      </c>
      <c r="Y1114">
        <v>1.14</v>
      </c>
      <c r="Z1114">
        <v>106</v>
      </c>
      <c r="AA1114">
        <v>558</v>
      </c>
      <c r="AB1114" t="s">
        <v>32</v>
      </c>
      <c r="AC1114">
        <v>3.6</v>
      </c>
    </row>
    <row r="1115" spans="1:29">
      <c r="A1115" t="str">
        <f>"002656"</f>
        <v>002656</v>
      </c>
      <c r="B1115" t="s">
        <v>1282</v>
      </c>
      <c r="C1115" t="s">
        <v>32</v>
      </c>
      <c r="D1115">
        <v>9.61</v>
      </c>
      <c r="E1115" t="s">
        <v>32</v>
      </c>
      <c r="F1115" t="s">
        <v>32</v>
      </c>
      <c r="G1115" t="s">
        <v>32</v>
      </c>
      <c r="H1115">
        <v>0</v>
      </c>
      <c r="I1115">
        <v>0</v>
      </c>
      <c r="J1115" t="s">
        <v>32</v>
      </c>
      <c r="K1115">
        <v>0</v>
      </c>
      <c r="L1115" t="s">
        <v>32</v>
      </c>
      <c r="M1115" t="s">
        <v>32</v>
      </c>
      <c r="N1115" t="s">
        <v>32</v>
      </c>
      <c r="O1115">
        <v>9.61</v>
      </c>
      <c r="P1115">
        <v>45.76</v>
      </c>
      <c r="Q1115">
        <v>0</v>
      </c>
      <c r="R1115">
        <v>0</v>
      </c>
      <c r="S1115" t="s">
        <v>622</v>
      </c>
      <c r="T1115" t="s">
        <v>136</v>
      </c>
      <c r="U1115">
        <v>0</v>
      </c>
      <c r="V1115">
        <v>9.61</v>
      </c>
      <c r="W1115">
        <v>0</v>
      </c>
      <c r="X1115">
        <v>0</v>
      </c>
      <c r="Y1115" t="s">
        <v>32</v>
      </c>
      <c r="Z1115">
        <v>0</v>
      </c>
      <c r="AA1115">
        <v>0</v>
      </c>
      <c r="AB1115" t="s">
        <v>32</v>
      </c>
      <c r="AC1115">
        <v>4.48</v>
      </c>
    </row>
    <row r="1116" spans="1:29">
      <c r="A1116" t="str">
        <f>"002657"</f>
        <v>002657</v>
      </c>
      <c r="B1116" t="s">
        <v>1283</v>
      </c>
      <c r="C1116">
        <v>1.49</v>
      </c>
      <c r="D1116">
        <v>15.68</v>
      </c>
      <c r="E1116">
        <v>0.23</v>
      </c>
      <c r="F1116">
        <v>15.68</v>
      </c>
      <c r="G1116">
        <v>15.69</v>
      </c>
      <c r="H1116">
        <v>89242</v>
      </c>
      <c r="I1116">
        <v>1321</v>
      </c>
      <c r="J1116">
        <v>0.13</v>
      </c>
      <c r="K1116">
        <v>3.24</v>
      </c>
      <c r="L1116">
        <v>15.4</v>
      </c>
      <c r="M1116">
        <v>16.41</v>
      </c>
      <c r="N1116">
        <v>15.23</v>
      </c>
      <c r="O1116">
        <v>15.45</v>
      </c>
      <c r="P1116">
        <v>44.87</v>
      </c>
      <c r="Q1116">
        <v>140366624</v>
      </c>
      <c r="R1116">
        <v>2.24</v>
      </c>
      <c r="S1116" t="s">
        <v>270</v>
      </c>
      <c r="T1116" t="s">
        <v>45</v>
      </c>
      <c r="U1116">
        <v>7.64</v>
      </c>
      <c r="V1116">
        <v>15.73</v>
      </c>
      <c r="W1116">
        <v>44324</v>
      </c>
      <c r="X1116">
        <v>44918</v>
      </c>
      <c r="Y1116">
        <v>0.99</v>
      </c>
      <c r="Z1116">
        <v>56</v>
      </c>
      <c r="AA1116">
        <v>28</v>
      </c>
      <c r="AB1116" t="s">
        <v>32</v>
      </c>
      <c r="AC1116">
        <v>2.76</v>
      </c>
    </row>
    <row r="1117" spans="1:29">
      <c r="A1117" t="str">
        <f>"002658"</f>
        <v>002658</v>
      </c>
      <c r="B1117" t="s">
        <v>1284</v>
      </c>
      <c r="C1117">
        <v>2.21</v>
      </c>
      <c r="D1117">
        <v>7.86</v>
      </c>
      <c r="E1117">
        <v>0.17</v>
      </c>
      <c r="F1117">
        <v>7.86</v>
      </c>
      <c r="G1117">
        <v>7.88</v>
      </c>
      <c r="H1117">
        <v>25323</v>
      </c>
      <c r="I1117">
        <v>257</v>
      </c>
      <c r="J1117">
        <v>0.38</v>
      </c>
      <c r="K1117">
        <v>0.83</v>
      </c>
      <c r="L1117">
        <v>7.7</v>
      </c>
      <c r="M1117">
        <v>7.94</v>
      </c>
      <c r="N1117">
        <v>7.68</v>
      </c>
      <c r="O1117">
        <v>7.69</v>
      </c>
      <c r="P1117">
        <v>179.26</v>
      </c>
      <c r="Q1117">
        <v>19820946</v>
      </c>
      <c r="R1117">
        <v>1.88</v>
      </c>
      <c r="S1117" t="s">
        <v>86</v>
      </c>
      <c r="T1117" t="s">
        <v>45</v>
      </c>
      <c r="U1117">
        <v>3.38</v>
      </c>
      <c r="V1117">
        <v>7.83</v>
      </c>
      <c r="W1117">
        <v>10319</v>
      </c>
      <c r="X1117">
        <v>15004</v>
      </c>
      <c r="Y1117">
        <v>0.69</v>
      </c>
      <c r="Z1117">
        <v>342</v>
      </c>
      <c r="AA1117">
        <v>340</v>
      </c>
      <c r="AB1117" t="s">
        <v>32</v>
      </c>
      <c r="AC1117">
        <v>3.04</v>
      </c>
    </row>
    <row r="1118" spans="1:29">
      <c r="A1118" t="str">
        <f>"002659"</f>
        <v>002659</v>
      </c>
      <c r="B1118" t="s">
        <v>1285</v>
      </c>
      <c r="C1118">
        <v>2.97</v>
      </c>
      <c r="D1118">
        <v>14.58</v>
      </c>
      <c r="E1118">
        <v>0.42</v>
      </c>
      <c r="F1118">
        <v>14.57</v>
      </c>
      <c r="G1118">
        <v>14.58</v>
      </c>
      <c r="H1118">
        <v>37333</v>
      </c>
      <c r="I1118">
        <v>702</v>
      </c>
      <c r="J1118">
        <v>-0.2</v>
      </c>
      <c r="K1118">
        <v>1.2</v>
      </c>
      <c r="L1118">
        <v>14.2</v>
      </c>
      <c r="M1118">
        <v>14.77</v>
      </c>
      <c r="N1118">
        <v>14.1</v>
      </c>
      <c r="O1118">
        <v>14.16</v>
      </c>
      <c r="P1118" t="s">
        <v>32</v>
      </c>
      <c r="Q1118">
        <v>53828344</v>
      </c>
      <c r="R1118">
        <v>2.32</v>
      </c>
      <c r="S1118" t="s">
        <v>57</v>
      </c>
      <c r="T1118" t="s">
        <v>87</v>
      </c>
      <c r="U1118">
        <v>4.73</v>
      </c>
      <c r="V1118">
        <v>14.42</v>
      </c>
      <c r="W1118">
        <v>13378</v>
      </c>
      <c r="X1118">
        <v>23955</v>
      </c>
      <c r="Y1118">
        <v>0.56</v>
      </c>
      <c r="Z1118">
        <v>10</v>
      </c>
      <c r="AA1118">
        <v>355</v>
      </c>
      <c r="AB1118" t="s">
        <v>32</v>
      </c>
      <c r="AC1118">
        <v>3.1</v>
      </c>
    </row>
    <row r="1119" spans="1:29">
      <c r="A1119" t="str">
        <f>"002660"</f>
        <v>002660</v>
      </c>
      <c r="B1119" t="s">
        <v>1286</v>
      </c>
      <c r="C1119">
        <v>2.44</v>
      </c>
      <c r="D1119">
        <v>7.56</v>
      </c>
      <c r="E1119">
        <v>0.18</v>
      </c>
      <c r="F1119">
        <v>7.56</v>
      </c>
      <c r="G1119">
        <v>7.57</v>
      </c>
      <c r="H1119">
        <v>45290</v>
      </c>
      <c r="I1119">
        <v>333</v>
      </c>
      <c r="J1119">
        <v>0</v>
      </c>
      <c r="K1119">
        <v>2.38</v>
      </c>
      <c r="L1119">
        <v>7.38</v>
      </c>
      <c r="M1119">
        <v>7.6</v>
      </c>
      <c r="N1119">
        <v>7.31</v>
      </c>
      <c r="O1119">
        <v>7.38</v>
      </c>
      <c r="P1119" t="s">
        <v>32</v>
      </c>
      <c r="Q1119">
        <v>34027828</v>
      </c>
      <c r="R1119">
        <v>2.22</v>
      </c>
      <c r="S1119" t="s">
        <v>104</v>
      </c>
      <c r="T1119" t="s">
        <v>31</v>
      </c>
      <c r="U1119">
        <v>3.93</v>
      </c>
      <c r="V1119">
        <v>7.51</v>
      </c>
      <c r="W1119">
        <v>11050</v>
      </c>
      <c r="X1119">
        <v>34240</v>
      </c>
      <c r="Y1119">
        <v>0.32</v>
      </c>
      <c r="Z1119">
        <v>449</v>
      </c>
      <c r="AA1119">
        <v>243</v>
      </c>
      <c r="AB1119" t="s">
        <v>32</v>
      </c>
      <c r="AC1119">
        <v>1.91</v>
      </c>
    </row>
    <row r="1120" spans="1:29">
      <c r="A1120" t="str">
        <f>"002661"</f>
        <v>002661</v>
      </c>
      <c r="B1120" t="s">
        <v>1287</v>
      </c>
      <c r="C1120">
        <v>0.72</v>
      </c>
      <c r="D1120">
        <v>14.05</v>
      </c>
      <c r="E1120">
        <v>0.1</v>
      </c>
      <c r="F1120">
        <v>14.04</v>
      </c>
      <c r="G1120">
        <v>14.05</v>
      </c>
      <c r="H1120">
        <v>39558</v>
      </c>
      <c r="I1120">
        <v>508</v>
      </c>
      <c r="J1120">
        <v>0.21</v>
      </c>
      <c r="K1120">
        <v>1.21</v>
      </c>
      <c r="L1120">
        <v>13.86</v>
      </c>
      <c r="M1120">
        <v>14.26</v>
      </c>
      <c r="N1120">
        <v>13.86</v>
      </c>
      <c r="O1120">
        <v>13.95</v>
      </c>
      <c r="P1120">
        <v>15.84</v>
      </c>
      <c r="Q1120">
        <v>55598864</v>
      </c>
      <c r="R1120">
        <v>0.57</v>
      </c>
      <c r="S1120" t="s">
        <v>213</v>
      </c>
      <c r="T1120" t="s">
        <v>152</v>
      </c>
      <c r="U1120">
        <v>2.87</v>
      </c>
      <c r="V1120">
        <v>14.05</v>
      </c>
      <c r="W1120">
        <v>19733</v>
      </c>
      <c r="X1120">
        <v>19825</v>
      </c>
      <c r="Y1120">
        <v>1</v>
      </c>
      <c r="Z1120">
        <v>707</v>
      </c>
      <c r="AA1120">
        <v>300</v>
      </c>
      <c r="AB1120" t="s">
        <v>32</v>
      </c>
      <c r="AC1120">
        <v>3.27</v>
      </c>
    </row>
    <row r="1121" spans="1:29">
      <c r="A1121" t="str">
        <f>"002662"</f>
        <v>002662</v>
      </c>
      <c r="B1121" t="s">
        <v>1288</v>
      </c>
      <c r="C1121">
        <v>0.24</v>
      </c>
      <c r="D1121">
        <v>4.26</v>
      </c>
      <c r="E1121">
        <v>0.01</v>
      </c>
      <c r="F1121">
        <v>4.26</v>
      </c>
      <c r="G1121">
        <v>4.27</v>
      </c>
      <c r="H1121">
        <v>246881</v>
      </c>
      <c r="I1121">
        <v>6122</v>
      </c>
      <c r="J1121">
        <v>0</v>
      </c>
      <c r="K1121">
        <v>1.69</v>
      </c>
      <c r="L1121">
        <v>4.23</v>
      </c>
      <c r="M1121">
        <v>4.29</v>
      </c>
      <c r="N1121">
        <v>4.12</v>
      </c>
      <c r="O1121">
        <v>4.25</v>
      </c>
      <c r="P1121" t="s">
        <v>32</v>
      </c>
      <c r="Q1121">
        <v>104233064</v>
      </c>
      <c r="R1121">
        <v>0.49</v>
      </c>
      <c r="S1121" t="s">
        <v>80</v>
      </c>
      <c r="T1121" t="s">
        <v>45</v>
      </c>
      <c r="U1121">
        <v>4</v>
      </c>
      <c r="V1121">
        <v>4.22</v>
      </c>
      <c r="W1121">
        <v>132105</v>
      </c>
      <c r="X1121">
        <v>114776</v>
      </c>
      <c r="Y1121">
        <v>1.15</v>
      </c>
      <c r="Z1121">
        <v>580</v>
      </c>
      <c r="AA1121">
        <v>2225</v>
      </c>
      <c r="AB1121" t="s">
        <v>32</v>
      </c>
      <c r="AC1121">
        <v>14.57</v>
      </c>
    </row>
    <row r="1122" spans="1:29">
      <c r="A1122" t="str">
        <f>"002663"</f>
        <v>002663</v>
      </c>
      <c r="B1122" t="s">
        <v>1289</v>
      </c>
      <c r="C1122">
        <v>6.52</v>
      </c>
      <c r="D1122">
        <v>2.94</v>
      </c>
      <c r="E1122">
        <v>0.18</v>
      </c>
      <c r="F1122">
        <v>2.94</v>
      </c>
      <c r="G1122">
        <v>2.95</v>
      </c>
      <c r="H1122">
        <v>383866</v>
      </c>
      <c r="I1122">
        <v>2835</v>
      </c>
      <c r="J1122">
        <v>0</v>
      </c>
      <c r="K1122">
        <v>3.16</v>
      </c>
      <c r="L1122">
        <v>2.76</v>
      </c>
      <c r="M1122">
        <v>3</v>
      </c>
      <c r="N1122">
        <v>2.75</v>
      </c>
      <c r="O1122">
        <v>2.76</v>
      </c>
      <c r="P1122">
        <v>131.66</v>
      </c>
      <c r="Q1122">
        <v>110767064</v>
      </c>
      <c r="R1122">
        <v>2.59</v>
      </c>
      <c r="S1122" t="s">
        <v>49</v>
      </c>
      <c r="T1122" t="s">
        <v>136</v>
      </c>
      <c r="U1122">
        <v>9.06</v>
      </c>
      <c r="V1122">
        <v>2.89</v>
      </c>
      <c r="W1122">
        <v>139771</v>
      </c>
      <c r="X1122">
        <v>244095</v>
      </c>
      <c r="Y1122">
        <v>0.57</v>
      </c>
      <c r="Z1122">
        <v>1794</v>
      </c>
      <c r="AA1122">
        <v>5629</v>
      </c>
      <c r="AB1122" t="s">
        <v>32</v>
      </c>
      <c r="AC1122">
        <v>12.16</v>
      </c>
    </row>
    <row r="1123" spans="1:29">
      <c r="A1123" t="str">
        <f>"002664"</f>
        <v>002664</v>
      </c>
      <c r="B1123" t="s">
        <v>1290</v>
      </c>
      <c r="C1123">
        <v>-0.4</v>
      </c>
      <c r="D1123">
        <v>24.95</v>
      </c>
      <c r="E1123">
        <v>-0.1</v>
      </c>
      <c r="F1123">
        <v>24.94</v>
      </c>
      <c r="G1123">
        <v>24.95</v>
      </c>
      <c r="H1123">
        <v>32486</v>
      </c>
      <c r="I1123">
        <v>365</v>
      </c>
      <c r="J1123">
        <v>0.08</v>
      </c>
      <c r="K1123">
        <v>0.97</v>
      </c>
      <c r="L1123">
        <v>25.03</v>
      </c>
      <c r="M1123">
        <v>25.12</v>
      </c>
      <c r="N1123">
        <v>24.8</v>
      </c>
      <c r="O1123">
        <v>25.05</v>
      </c>
      <c r="P1123">
        <v>43.44</v>
      </c>
      <c r="Q1123">
        <v>80915880</v>
      </c>
      <c r="R1123">
        <v>2.26</v>
      </c>
      <c r="S1123" t="s">
        <v>80</v>
      </c>
      <c r="T1123" t="s">
        <v>149</v>
      </c>
      <c r="U1123">
        <v>1.28</v>
      </c>
      <c r="V1123">
        <v>24.91</v>
      </c>
      <c r="W1123">
        <v>14320</v>
      </c>
      <c r="X1123">
        <v>18166</v>
      </c>
      <c r="Y1123">
        <v>0.79</v>
      </c>
      <c r="Z1123">
        <v>138</v>
      </c>
      <c r="AA1123">
        <v>165</v>
      </c>
      <c r="AB1123" t="s">
        <v>32</v>
      </c>
      <c r="AC1123">
        <v>3.35</v>
      </c>
    </row>
    <row r="1124" spans="1:29">
      <c r="A1124" t="str">
        <f>"002665"</f>
        <v>002665</v>
      </c>
      <c r="B1124" t="s">
        <v>1291</v>
      </c>
      <c r="C1124" t="s">
        <v>32</v>
      </c>
      <c r="D1124">
        <v>5.8</v>
      </c>
      <c r="E1124" t="s">
        <v>32</v>
      </c>
      <c r="F1124" t="s">
        <v>32</v>
      </c>
      <c r="G1124" t="s">
        <v>32</v>
      </c>
      <c r="H1124">
        <v>0</v>
      </c>
      <c r="I1124">
        <v>0</v>
      </c>
      <c r="J1124" t="s">
        <v>32</v>
      </c>
      <c r="K1124">
        <v>0</v>
      </c>
      <c r="L1124" t="s">
        <v>32</v>
      </c>
      <c r="M1124" t="s">
        <v>32</v>
      </c>
      <c r="N1124" t="s">
        <v>32</v>
      </c>
      <c r="O1124">
        <v>5.8</v>
      </c>
      <c r="P1124" t="s">
        <v>32</v>
      </c>
      <c r="Q1124">
        <v>0</v>
      </c>
      <c r="R1124">
        <v>0</v>
      </c>
      <c r="S1124" t="s">
        <v>104</v>
      </c>
      <c r="T1124" t="s">
        <v>45</v>
      </c>
      <c r="U1124">
        <v>0</v>
      </c>
      <c r="V1124">
        <v>5.8</v>
      </c>
      <c r="W1124">
        <v>0</v>
      </c>
      <c r="X1124">
        <v>0</v>
      </c>
      <c r="Y1124" t="s">
        <v>32</v>
      </c>
      <c r="Z1124">
        <v>0</v>
      </c>
      <c r="AA1124">
        <v>0</v>
      </c>
      <c r="AB1124" t="s">
        <v>32</v>
      </c>
      <c r="AC1124">
        <v>17.27</v>
      </c>
    </row>
    <row r="1125" spans="1:29">
      <c r="A1125" t="str">
        <f>"002666"</f>
        <v>002666</v>
      </c>
      <c r="B1125" t="s">
        <v>1292</v>
      </c>
      <c r="C1125">
        <v>2.98</v>
      </c>
      <c r="D1125">
        <v>4.15</v>
      </c>
      <c r="E1125">
        <v>0.12</v>
      </c>
      <c r="F1125">
        <v>4.15</v>
      </c>
      <c r="G1125">
        <v>4.16</v>
      </c>
      <c r="H1125">
        <v>85007</v>
      </c>
      <c r="I1125">
        <v>2978</v>
      </c>
      <c r="J1125">
        <v>0.24</v>
      </c>
      <c r="K1125">
        <v>1.91</v>
      </c>
      <c r="L1125">
        <v>4.04</v>
      </c>
      <c r="M1125">
        <v>4.16</v>
      </c>
      <c r="N1125">
        <v>4.02</v>
      </c>
      <c r="O1125">
        <v>4.03</v>
      </c>
      <c r="P1125">
        <v>37.21</v>
      </c>
      <c r="Q1125">
        <v>34842700</v>
      </c>
      <c r="R1125">
        <v>1.83</v>
      </c>
      <c r="S1125" t="s">
        <v>218</v>
      </c>
      <c r="T1125" t="s">
        <v>136</v>
      </c>
      <c r="U1125">
        <v>3.47</v>
      </c>
      <c r="V1125">
        <v>4.1</v>
      </c>
      <c r="W1125">
        <v>31559</v>
      </c>
      <c r="X1125">
        <v>53447</v>
      </c>
      <c r="Y1125">
        <v>0.59</v>
      </c>
      <c r="Z1125">
        <v>120</v>
      </c>
      <c r="AA1125">
        <v>1558</v>
      </c>
      <c r="AB1125" t="s">
        <v>32</v>
      </c>
      <c r="AC1125">
        <v>4.44</v>
      </c>
    </row>
    <row r="1126" spans="1:29">
      <c r="A1126" t="str">
        <f>"002667"</f>
        <v>002667</v>
      </c>
      <c r="B1126" t="s">
        <v>1293</v>
      </c>
      <c r="C1126">
        <v>2.01</v>
      </c>
      <c r="D1126">
        <v>6.59</v>
      </c>
      <c r="E1126">
        <v>0.13</v>
      </c>
      <c r="F1126">
        <v>6.59</v>
      </c>
      <c r="G1126">
        <v>6.6</v>
      </c>
      <c r="H1126">
        <v>27885</v>
      </c>
      <c r="I1126">
        <v>203</v>
      </c>
      <c r="J1126">
        <v>0.15</v>
      </c>
      <c r="K1126">
        <v>1.75</v>
      </c>
      <c r="L1126">
        <v>6.46</v>
      </c>
      <c r="M1126">
        <v>6.65</v>
      </c>
      <c r="N1126">
        <v>6.41</v>
      </c>
      <c r="O1126">
        <v>6.46</v>
      </c>
      <c r="P1126">
        <v>41</v>
      </c>
      <c r="Q1126">
        <v>18314134</v>
      </c>
      <c r="R1126">
        <v>1.68</v>
      </c>
      <c r="S1126" t="s">
        <v>151</v>
      </c>
      <c r="T1126" t="s">
        <v>111</v>
      </c>
      <c r="U1126">
        <v>3.72</v>
      </c>
      <c r="V1126">
        <v>6.57</v>
      </c>
      <c r="W1126">
        <v>13957</v>
      </c>
      <c r="X1126">
        <v>13928</v>
      </c>
      <c r="Y1126">
        <v>1</v>
      </c>
      <c r="Z1126">
        <v>238</v>
      </c>
      <c r="AA1126">
        <v>88</v>
      </c>
      <c r="AB1126" t="s">
        <v>32</v>
      </c>
      <c r="AC1126">
        <v>1.59</v>
      </c>
    </row>
    <row r="1127" spans="1:29">
      <c r="A1127" t="str">
        <f>"002668"</f>
        <v>002668</v>
      </c>
      <c r="B1127" t="s">
        <v>1294</v>
      </c>
      <c r="C1127" t="s">
        <v>32</v>
      </c>
      <c r="D1127">
        <v>11.79</v>
      </c>
      <c r="E1127" t="s">
        <v>32</v>
      </c>
      <c r="F1127" t="s">
        <v>32</v>
      </c>
      <c r="G1127" t="s">
        <v>32</v>
      </c>
      <c r="H1127">
        <v>0</v>
      </c>
      <c r="I1127">
        <v>0</v>
      </c>
      <c r="J1127" t="s">
        <v>32</v>
      </c>
      <c r="K1127">
        <v>0</v>
      </c>
      <c r="L1127" t="s">
        <v>32</v>
      </c>
      <c r="M1127" t="s">
        <v>32</v>
      </c>
      <c r="N1127" t="s">
        <v>32</v>
      </c>
      <c r="O1127">
        <v>11.79</v>
      </c>
      <c r="P1127">
        <v>36.42</v>
      </c>
      <c r="Q1127">
        <v>0</v>
      </c>
      <c r="R1127">
        <v>0</v>
      </c>
      <c r="S1127" t="s">
        <v>55</v>
      </c>
      <c r="T1127" t="s">
        <v>136</v>
      </c>
      <c r="U1127">
        <v>0</v>
      </c>
      <c r="V1127">
        <v>11.79</v>
      </c>
      <c r="W1127">
        <v>0</v>
      </c>
      <c r="X1127">
        <v>0</v>
      </c>
      <c r="Y1127" t="s">
        <v>32</v>
      </c>
      <c r="Z1127">
        <v>0</v>
      </c>
      <c r="AA1127">
        <v>0</v>
      </c>
      <c r="AB1127" t="s">
        <v>32</v>
      </c>
      <c r="AC1127">
        <v>6.54</v>
      </c>
    </row>
    <row r="1128" spans="1:29">
      <c r="A1128" t="str">
        <f>"002669"</f>
        <v>002669</v>
      </c>
      <c r="B1128" t="s">
        <v>1295</v>
      </c>
      <c r="C1128">
        <v>0.05</v>
      </c>
      <c r="D1128">
        <v>21.16</v>
      </c>
      <c r="E1128">
        <v>0.01</v>
      </c>
      <c r="F1128">
        <v>21.15</v>
      </c>
      <c r="G1128">
        <v>21.16</v>
      </c>
      <c r="H1128">
        <v>10933</v>
      </c>
      <c r="I1128">
        <v>66</v>
      </c>
      <c r="J1128">
        <v>0.09</v>
      </c>
      <c r="K1128">
        <v>0.51</v>
      </c>
      <c r="L1128">
        <v>21.15</v>
      </c>
      <c r="M1128">
        <v>21.4</v>
      </c>
      <c r="N1128">
        <v>21.1</v>
      </c>
      <c r="O1128">
        <v>21.15</v>
      </c>
      <c r="P1128">
        <v>128.57</v>
      </c>
      <c r="Q1128">
        <v>23181992</v>
      </c>
      <c r="R1128">
        <v>1.23</v>
      </c>
      <c r="S1128" t="s">
        <v>218</v>
      </c>
      <c r="T1128" t="s">
        <v>366</v>
      </c>
      <c r="U1128">
        <v>1.42</v>
      </c>
      <c r="V1128">
        <v>21.2</v>
      </c>
      <c r="W1128">
        <v>4706</v>
      </c>
      <c r="X1128">
        <v>6227</v>
      </c>
      <c r="Y1128">
        <v>0.76</v>
      </c>
      <c r="Z1128">
        <v>38</v>
      </c>
      <c r="AA1128">
        <v>49</v>
      </c>
      <c r="AB1128" t="s">
        <v>32</v>
      </c>
      <c r="AC1128">
        <v>2.15</v>
      </c>
    </row>
    <row r="1129" spans="1:29">
      <c r="A1129" t="str">
        <f>"002670"</f>
        <v>002670</v>
      </c>
      <c r="B1129" t="s">
        <v>1296</v>
      </c>
      <c r="C1129">
        <v>0.27</v>
      </c>
      <c r="D1129">
        <v>11.09</v>
      </c>
      <c r="E1129">
        <v>0.03</v>
      </c>
      <c r="F1129">
        <v>11.09</v>
      </c>
      <c r="G1129">
        <v>11.1</v>
      </c>
      <c r="H1129">
        <v>34670</v>
      </c>
      <c r="I1129">
        <v>372</v>
      </c>
      <c r="J1129">
        <v>-0.53</v>
      </c>
      <c r="K1129">
        <v>0.54</v>
      </c>
      <c r="L1129">
        <v>11.02</v>
      </c>
      <c r="M1129">
        <v>11.54</v>
      </c>
      <c r="N1129">
        <v>10.94</v>
      </c>
      <c r="O1129">
        <v>11.06</v>
      </c>
      <c r="P1129" t="s">
        <v>32</v>
      </c>
      <c r="Q1129">
        <v>39029132</v>
      </c>
      <c r="R1129">
        <v>1.54</v>
      </c>
      <c r="S1129" t="s">
        <v>158</v>
      </c>
      <c r="T1129" t="s">
        <v>136</v>
      </c>
      <c r="U1129">
        <v>5.42</v>
      </c>
      <c r="V1129">
        <v>11.26</v>
      </c>
      <c r="W1129">
        <v>15982</v>
      </c>
      <c r="X1129">
        <v>18688</v>
      </c>
      <c r="Y1129">
        <v>0.86</v>
      </c>
      <c r="Z1129">
        <v>732</v>
      </c>
      <c r="AA1129">
        <v>231</v>
      </c>
      <c r="AB1129" t="s">
        <v>32</v>
      </c>
      <c r="AC1129">
        <v>6.38</v>
      </c>
    </row>
    <row r="1130" spans="1:29">
      <c r="A1130" t="str">
        <f>"002671"</f>
        <v>002671</v>
      </c>
      <c r="B1130" t="s">
        <v>1297</v>
      </c>
      <c r="C1130">
        <v>2.04</v>
      </c>
      <c r="D1130">
        <v>4.99</v>
      </c>
      <c r="E1130">
        <v>0.1</v>
      </c>
      <c r="F1130">
        <v>4.99</v>
      </c>
      <c r="G1130">
        <v>5</v>
      </c>
      <c r="H1130">
        <v>46548</v>
      </c>
      <c r="I1130">
        <v>682</v>
      </c>
      <c r="J1130">
        <v>0.4</v>
      </c>
      <c r="K1130">
        <v>1.38</v>
      </c>
      <c r="L1130">
        <v>4.89</v>
      </c>
      <c r="M1130">
        <v>5.02</v>
      </c>
      <c r="N1130">
        <v>4.88</v>
      </c>
      <c r="O1130">
        <v>4.89</v>
      </c>
      <c r="P1130">
        <v>192.57</v>
      </c>
      <c r="Q1130">
        <v>23021430</v>
      </c>
      <c r="R1130">
        <v>1.18</v>
      </c>
      <c r="S1130" t="s">
        <v>69</v>
      </c>
      <c r="T1130" t="s">
        <v>162</v>
      </c>
      <c r="U1130">
        <v>2.86</v>
      </c>
      <c r="V1130">
        <v>4.95</v>
      </c>
      <c r="W1130">
        <v>21560</v>
      </c>
      <c r="X1130">
        <v>24988</v>
      </c>
      <c r="Y1130">
        <v>0.86</v>
      </c>
      <c r="Z1130">
        <v>112</v>
      </c>
      <c r="AA1130">
        <v>1527</v>
      </c>
      <c r="AB1130" t="s">
        <v>32</v>
      </c>
      <c r="AC1130">
        <v>3.38</v>
      </c>
    </row>
    <row r="1131" spans="1:29">
      <c r="A1131" t="str">
        <f>"002672"</f>
        <v>002672</v>
      </c>
      <c r="B1131" t="s">
        <v>1298</v>
      </c>
      <c r="C1131">
        <v>2.17</v>
      </c>
      <c r="D1131">
        <v>15.05</v>
      </c>
      <c r="E1131">
        <v>0.32</v>
      </c>
      <c r="F1131">
        <v>15.04</v>
      </c>
      <c r="G1131">
        <v>15.05</v>
      </c>
      <c r="H1131">
        <v>82554</v>
      </c>
      <c r="I1131">
        <v>312</v>
      </c>
      <c r="J1131">
        <v>-0.06</v>
      </c>
      <c r="K1131">
        <v>1.27</v>
      </c>
      <c r="L1131">
        <v>14.78</v>
      </c>
      <c r="M1131">
        <v>15.24</v>
      </c>
      <c r="N1131">
        <v>14.77</v>
      </c>
      <c r="O1131">
        <v>14.73</v>
      </c>
      <c r="P1131">
        <v>27.48</v>
      </c>
      <c r="Q1131">
        <v>124070008</v>
      </c>
      <c r="R1131">
        <v>1.27</v>
      </c>
      <c r="S1131" t="s">
        <v>86</v>
      </c>
      <c r="T1131" t="s">
        <v>136</v>
      </c>
      <c r="U1131">
        <v>3.19</v>
      </c>
      <c r="V1131">
        <v>15.03</v>
      </c>
      <c r="W1131">
        <v>39436</v>
      </c>
      <c r="X1131">
        <v>43117</v>
      </c>
      <c r="Y1131">
        <v>0.91</v>
      </c>
      <c r="Z1131">
        <v>25</v>
      </c>
      <c r="AA1131">
        <v>118</v>
      </c>
      <c r="AB1131" t="s">
        <v>32</v>
      </c>
      <c r="AC1131">
        <v>6.51</v>
      </c>
    </row>
    <row r="1132" spans="1:29">
      <c r="A1132" t="str">
        <f>"002673"</f>
        <v>002673</v>
      </c>
      <c r="B1132" t="s">
        <v>1299</v>
      </c>
      <c r="C1132">
        <v>1.34</v>
      </c>
      <c r="D1132">
        <v>7.59</v>
      </c>
      <c r="E1132">
        <v>0.1</v>
      </c>
      <c r="F1132">
        <v>7.59</v>
      </c>
      <c r="G1132">
        <v>7.6</v>
      </c>
      <c r="H1132">
        <v>436272</v>
      </c>
      <c r="I1132">
        <v>4336</v>
      </c>
      <c r="J1132">
        <v>-0.12</v>
      </c>
      <c r="K1132">
        <v>1.25</v>
      </c>
      <c r="L1132">
        <v>7.49</v>
      </c>
      <c r="M1132">
        <v>7.76</v>
      </c>
      <c r="N1132">
        <v>7.46</v>
      </c>
      <c r="O1132">
        <v>7.49</v>
      </c>
      <c r="P1132">
        <v>40.9</v>
      </c>
      <c r="Q1132">
        <v>332769568</v>
      </c>
      <c r="R1132">
        <v>1.99</v>
      </c>
      <c r="S1132" t="s">
        <v>158</v>
      </c>
      <c r="T1132" t="s">
        <v>223</v>
      </c>
      <c r="U1132">
        <v>4.01</v>
      </c>
      <c r="V1132">
        <v>7.63</v>
      </c>
      <c r="W1132">
        <v>221839</v>
      </c>
      <c r="X1132">
        <v>214432</v>
      </c>
      <c r="Y1132">
        <v>1.03</v>
      </c>
      <c r="Z1132">
        <v>114</v>
      </c>
      <c r="AA1132">
        <v>2614</v>
      </c>
      <c r="AB1132" t="s">
        <v>32</v>
      </c>
      <c r="AC1132">
        <v>35.02</v>
      </c>
    </row>
    <row r="1133" spans="1:29">
      <c r="A1133" t="str">
        <f>"002674"</f>
        <v>002674</v>
      </c>
      <c r="B1133" t="s">
        <v>1300</v>
      </c>
      <c r="C1133">
        <v>1.63</v>
      </c>
      <c r="D1133">
        <v>7.46</v>
      </c>
      <c r="E1133">
        <v>0.12</v>
      </c>
      <c r="F1133">
        <v>7.46</v>
      </c>
      <c r="G1133">
        <v>7.47</v>
      </c>
      <c r="H1133">
        <v>13063</v>
      </c>
      <c r="I1133">
        <v>88</v>
      </c>
      <c r="J1133">
        <v>0</v>
      </c>
      <c r="K1133">
        <v>0.54</v>
      </c>
      <c r="L1133">
        <v>7.34</v>
      </c>
      <c r="M1133">
        <v>7.5</v>
      </c>
      <c r="N1133">
        <v>7.32</v>
      </c>
      <c r="O1133">
        <v>7.34</v>
      </c>
      <c r="P1133">
        <v>59.9</v>
      </c>
      <c r="Q1133">
        <v>9692748</v>
      </c>
      <c r="R1133">
        <v>0.97</v>
      </c>
      <c r="S1133" t="s">
        <v>99</v>
      </c>
      <c r="T1133" t="s">
        <v>236</v>
      </c>
      <c r="U1133">
        <v>2.45</v>
      </c>
      <c r="V1133">
        <v>7.42</v>
      </c>
      <c r="W1133">
        <v>5320</v>
      </c>
      <c r="X1133">
        <v>7743</v>
      </c>
      <c r="Y1133">
        <v>0.69</v>
      </c>
      <c r="Z1133">
        <v>37</v>
      </c>
      <c r="AA1133">
        <v>178</v>
      </c>
      <c r="AB1133" t="s">
        <v>32</v>
      </c>
      <c r="AC1133">
        <v>2.4</v>
      </c>
    </row>
    <row r="1134" spans="1:29">
      <c r="A1134" t="str">
        <f>"002675"</f>
        <v>002675</v>
      </c>
      <c r="B1134" t="s">
        <v>1301</v>
      </c>
      <c r="C1134">
        <v>1.72</v>
      </c>
      <c r="D1134">
        <v>10.06</v>
      </c>
      <c r="E1134">
        <v>0.17</v>
      </c>
      <c r="F1134">
        <v>10.05</v>
      </c>
      <c r="G1134">
        <v>10.06</v>
      </c>
      <c r="H1134">
        <v>77333</v>
      </c>
      <c r="I1134">
        <v>286</v>
      </c>
      <c r="J1134">
        <v>0.1</v>
      </c>
      <c r="K1134">
        <v>1.34</v>
      </c>
      <c r="L1134">
        <v>9.91</v>
      </c>
      <c r="M1134">
        <v>10.09</v>
      </c>
      <c r="N1134">
        <v>9.67</v>
      </c>
      <c r="O1134">
        <v>9.89</v>
      </c>
      <c r="P1134">
        <v>44.94</v>
      </c>
      <c r="Q1134">
        <v>76675688</v>
      </c>
      <c r="R1134">
        <v>1.07</v>
      </c>
      <c r="S1134" t="s">
        <v>142</v>
      </c>
      <c r="T1134" t="s">
        <v>162</v>
      </c>
      <c r="U1134">
        <v>4.25</v>
      </c>
      <c r="V1134">
        <v>9.92</v>
      </c>
      <c r="W1134">
        <v>27851</v>
      </c>
      <c r="X1134">
        <v>49481</v>
      </c>
      <c r="Y1134">
        <v>0.56</v>
      </c>
      <c r="Z1134">
        <v>206</v>
      </c>
      <c r="AA1134">
        <v>567</v>
      </c>
      <c r="AB1134" t="s">
        <v>32</v>
      </c>
      <c r="AC1134">
        <v>5.78</v>
      </c>
    </row>
    <row r="1135" spans="1:29">
      <c r="A1135" t="str">
        <f>"002676"</f>
        <v>002676</v>
      </c>
      <c r="B1135" t="s">
        <v>1302</v>
      </c>
      <c r="C1135">
        <v>3.53</v>
      </c>
      <c r="D1135">
        <v>3.23</v>
      </c>
      <c r="E1135">
        <v>0.11</v>
      </c>
      <c r="F1135">
        <v>3.22</v>
      </c>
      <c r="G1135">
        <v>3.23</v>
      </c>
      <c r="H1135">
        <v>168871</v>
      </c>
      <c r="I1135">
        <v>2715</v>
      </c>
      <c r="J1135">
        <v>0.31</v>
      </c>
      <c r="K1135">
        <v>2.35</v>
      </c>
      <c r="L1135">
        <v>3.12</v>
      </c>
      <c r="M1135">
        <v>3.28</v>
      </c>
      <c r="N1135">
        <v>3.08</v>
      </c>
      <c r="O1135">
        <v>3.12</v>
      </c>
      <c r="P1135" t="s">
        <v>32</v>
      </c>
      <c r="Q1135">
        <v>54003416</v>
      </c>
      <c r="R1135">
        <v>1.51</v>
      </c>
      <c r="S1135" t="s">
        <v>508</v>
      </c>
      <c r="T1135" t="s">
        <v>136</v>
      </c>
      <c r="U1135">
        <v>6.41</v>
      </c>
      <c r="V1135">
        <v>3.2</v>
      </c>
      <c r="W1135">
        <v>79936</v>
      </c>
      <c r="X1135">
        <v>88935</v>
      </c>
      <c r="Y1135">
        <v>0.9</v>
      </c>
      <c r="Z1135">
        <v>2377</v>
      </c>
      <c r="AA1135">
        <v>1927</v>
      </c>
      <c r="AB1135" t="s">
        <v>32</v>
      </c>
      <c r="AC1135">
        <v>7.2</v>
      </c>
    </row>
    <row r="1136" spans="1:29">
      <c r="A1136" t="str">
        <f>"002677"</f>
        <v>002677</v>
      </c>
      <c r="B1136" t="s">
        <v>1303</v>
      </c>
      <c r="C1136">
        <v>1.63</v>
      </c>
      <c r="D1136">
        <v>18.75</v>
      </c>
      <c r="E1136">
        <v>0.3</v>
      </c>
      <c r="F1136">
        <v>18.75</v>
      </c>
      <c r="G1136">
        <v>18.76</v>
      </c>
      <c r="H1136">
        <v>73735</v>
      </c>
      <c r="I1136">
        <v>694</v>
      </c>
      <c r="J1136">
        <v>-0.04</v>
      </c>
      <c r="K1136">
        <v>2.61</v>
      </c>
      <c r="L1136">
        <v>18.32</v>
      </c>
      <c r="M1136">
        <v>18.79</v>
      </c>
      <c r="N1136">
        <v>17.9</v>
      </c>
      <c r="O1136">
        <v>18.45</v>
      </c>
      <c r="P1136">
        <v>41.54</v>
      </c>
      <c r="Q1136">
        <v>134824960</v>
      </c>
      <c r="R1136">
        <v>1.75</v>
      </c>
      <c r="S1136" t="s">
        <v>55</v>
      </c>
      <c r="T1136" t="s">
        <v>149</v>
      </c>
      <c r="U1136">
        <v>4.82</v>
      </c>
      <c r="V1136">
        <v>18.28</v>
      </c>
      <c r="W1136">
        <v>37126</v>
      </c>
      <c r="X1136">
        <v>36609</v>
      </c>
      <c r="Y1136">
        <v>1.01</v>
      </c>
      <c r="Z1136">
        <v>102</v>
      </c>
      <c r="AA1136">
        <v>551</v>
      </c>
      <c r="AB1136" t="s">
        <v>32</v>
      </c>
      <c r="AC1136">
        <v>2.83</v>
      </c>
    </row>
    <row r="1137" spans="1:29">
      <c r="A1137" t="str">
        <f>"002678"</f>
        <v>002678</v>
      </c>
      <c r="B1137" t="s">
        <v>1304</v>
      </c>
      <c r="C1137">
        <v>1.41</v>
      </c>
      <c r="D1137">
        <v>6.49</v>
      </c>
      <c r="E1137">
        <v>0.09</v>
      </c>
      <c r="F1137">
        <v>6.49</v>
      </c>
      <c r="G1137">
        <v>6.5</v>
      </c>
      <c r="H1137">
        <v>18837</v>
      </c>
      <c r="I1137">
        <v>15</v>
      </c>
      <c r="J1137">
        <v>-0.14</v>
      </c>
      <c r="K1137">
        <v>0.15</v>
      </c>
      <c r="L1137">
        <v>6.35</v>
      </c>
      <c r="M1137">
        <v>6.59</v>
      </c>
      <c r="N1137">
        <v>6.35</v>
      </c>
      <c r="O1137">
        <v>6.4</v>
      </c>
      <c r="P1137">
        <v>43.23</v>
      </c>
      <c r="Q1137">
        <v>12247547</v>
      </c>
      <c r="R1137">
        <v>3.02</v>
      </c>
      <c r="S1137" t="s">
        <v>57</v>
      </c>
      <c r="T1137" t="s">
        <v>136</v>
      </c>
      <c r="U1137">
        <v>3.75</v>
      </c>
      <c r="V1137">
        <v>6.5</v>
      </c>
      <c r="W1137">
        <v>7120</v>
      </c>
      <c r="X1137">
        <v>11717</v>
      </c>
      <c r="Y1137">
        <v>0.61</v>
      </c>
      <c r="Z1137">
        <v>88</v>
      </c>
      <c r="AA1137">
        <v>19</v>
      </c>
      <c r="AB1137" t="s">
        <v>32</v>
      </c>
      <c r="AC1137">
        <v>12.41</v>
      </c>
    </row>
    <row r="1138" spans="1:29">
      <c r="A1138" t="str">
        <f>"002679"</f>
        <v>002679</v>
      </c>
      <c r="B1138" t="s">
        <v>1305</v>
      </c>
      <c r="C1138">
        <v>-0.47</v>
      </c>
      <c r="D1138">
        <v>12.82</v>
      </c>
      <c r="E1138">
        <v>-0.06</v>
      </c>
      <c r="F1138">
        <v>12.81</v>
      </c>
      <c r="G1138">
        <v>12.82</v>
      </c>
      <c r="H1138">
        <v>28883</v>
      </c>
      <c r="I1138">
        <v>546</v>
      </c>
      <c r="J1138">
        <v>-0.07</v>
      </c>
      <c r="K1138">
        <v>1.23</v>
      </c>
      <c r="L1138">
        <v>12.8</v>
      </c>
      <c r="M1138">
        <v>13.04</v>
      </c>
      <c r="N1138">
        <v>12.68</v>
      </c>
      <c r="O1138">
        <v>12.88</v>
      </c>
      <c r="P1138">
        <v>458.22</v>
      </c>
      <c r="Q1138">
        <v>37224880</v>
      </c>
      <c r="R1138">
        <v>0.58</v>
      </c>
      <c r="S1138" t="s">
        <v>302</v>
      </c>
      <c r="T1138" t="s">
        <v>236</v>
      </c>
      <c r="U1138">
        <v>2.8</v>
      </c>
      <c r="V1138">
        <v>12.89</v>
      </c>
      <c r="W1138">
        <v>15189</v>
      </c>
      <c r="X1138">
        <v>13694</v>
      </c>
      <c r="Y1138">
        <v>1.11</v>
      </c>
      <c r="Z1138">
        <v>89</v>
      </c>
      <c r="AA1138">
        <v>40</v>
      </c>
      <c r="AB1138" t="s">
        <v>32</v>
      </c>
      <c r="AC1138">
        <v>2.36</v>
      </c>
    </row>
    <row r="1139" spans="1:29">
      <c r="A1139" t="str">
        <f>"002680"</f>
        <v>002680</v>
      </c>
      <c r="B1139" t="s">
        <v>1306</v>
      </c>
      <c r="C1139">
        <v>-9.96</v>
      </c>
      <c r="D1139">
        <v>11.75</v>
      </c>
      <c r="E1139">
        <v>-1.3</v>
      </c>
      <c r="F1139" t="s">
        <v>32</v>
      </c>
      <c r="G1139">
        <v>11.75</v>
      </c>
      <c r="H1139">
        <v>4678</v>
      </c>
      <c r="I1139">
        <v>83</v>
      </c>
      <c r="J1139">
        <v>0</v>
      </c>
      <c r="K1139">
        <v>0.12</v>
      </c>
      <c r="L1139">
        <v>11.75</v>
      </c>
      <c r="M1139">
        <v>11.75</v>
      </c>
      <c r="N1139">
        <v>11.75</v>
      </c>
      <c r="O1139">
        <v>13.05</v>
      </c>
      <c r="P1139">
        <v>18.19</v>
      </c>
      <c r="Q1139">
        <v>5496650</v>
      </c>
      <c r="R1139">
        <v>1.39</v>
      </c>
      <c r="S1139" t="s">
        <v>36</v>
      </c>
      <c r="T1139" t="s">
        <v>87</v>
      </c>
      <c r="U1139">
        <v>0</v>
      </c>
      <c r="V1139">
        <v>11.75</v>
      </c>
      <c r="W1139">
        <v>95</v>
      </c>
      <c r="X1139">
        <v>4583</v>
      </c>
      <c r="Y1139">
        <v>0.02</v>
      </c>
      <c r="Z1139">
        <v>0</v>
      </c>
      <c r="AA1139">
        <v>735517</v>
      </c>
      <c r="AB1139" t="s">
        <v>32</v>
      </c>
      <c r="AC1139">
        <v>4.04</v>
      </c>
    </row>
    <row r="1140" spans="1:29">
      <c r="A1140" t="str">
        <f>"002681"</f>
        <v>002681</v>
      </c>
      <c r="B1140" t="s">
        <v>1307</v>
      </c>
      <c r="C1140">
        <v>1.61</v>
      </c>
      <c r="D1140">
        <v>5.67</v>
      </c>
      <c r="E1140">
        <v>0.09</v>
      </c>
      <c r="F1140">
        <v>5.66</v>
      </c>
      <c r="G1140">
        <v>5.67</v>
      </c>
      <c r="H1140">
        <v>102298</v>
      </c>
      <c r="I1140">
        <v>1066</v>
      </c>
      <c r="J1140">
        <v>0</v>
      </c>
      <c r="K1140">
        <v>1.01</v>
      </c>
      <c r="L1140">
        <v>5.55</v>
      </c>
      <c r="M1140">
        <v>5.74</v>
      </c>
      <c r="N1140">
        <v>5.54</v>
      </c>
      <c r="O1140">
        <v>5.58</v>
      </c>
      <c r="P1140">
        <v>54.51</v>
      </c>
      <c r="Q1140">
        <v>57891056</v>
      </c>
      <c r="R1140">
        <v>1.37</v>
      </c>
      <c r="S1140" t="s">
        <v>55</v>
      </c>
      <c r="T1140" t="s">
        <v>31</v>
      </c>
      <c r="U1140">
        <v>3.58</v>
      </c>
      <c r="V1140">
        <v>5.66</v>
      </c>
      <c r="W1140">
        <v>41726</v>
      </c>
      <c r="X1140">
        <v>60572</v>
      </c>
      <c r="Y1140">
        <v>0.69</v>
      </c>
      <c r="Z1140">
        <v>1316</v>
      </c>
      <c r="AA1140">
        <v>1110</v>
      </c>
      <c r="AB1140" t="s">
        <v>32</v>
      </c>
      <c r="AC1140">
        <v>10.11</v>
      </c>
    </row>
    <row r="1141" spans="1:29">
      <c r="A1141" t="str">
        <f>"002682"</f>
        <v>002682</v>
      </c>
      <c r="B1141" t="s">
        <v>1308</v>
      </c>
      <c r="C1141">
        <v>3.29</v>
      </c>
      <c r="D1141">
        <v>5.33</v>
      </c>
      <c r="E1141">
        <v>0.17</v>
      </c>
      <c r="F1141">
        <v>5.32</v>
      </c>
      <c r="G1141">
        <v>5.33</v>
      </c>
      <c r="H1141">
        <v>36876</v>
      </c>
      <c r="I1141">
        <v>759</v>
      </c>
      <c r="J1141">
        <v>0.19</v>
      </c>
      <c r="K1141">
        <v>0.85</v>
      </c>
      <c r="L1141">
        <v>5.16</v>
      </c>
      <c r="M1141">
        <v>5.34</v>
      </c>
      <c r="N1141">
        <v>5.16</v>
      </c>
      <c r="O1141">
        <v>5.16</v>
      </c>
      <c r="P1141">
        <v>39.26</v>
      </c>
      <c r="Q1141">
        <v>19480678</v>
      </c>
      <c r="R1141">
        <v>2.05</v>
      </c>
      <c r="S1141" t="s">
        <v>983</v>
      </c>
      <c r="T1141" t="s">
        <v>236</v>
      </c>
      <c r="U1141">
        <v>3.49</v>
      </c>
      <c r="V1141">
        <v>5.28</v>
      </c>
      <c r="W1141">
        <v>16207</v>
      </c>
      <c r="X1141">
        <v>20668</v>
      </c>
      <c r="Y1141">
        <v>0.78</v>
      </c>
      <c r="Z1141">
        <v>91</v>
      </c>
      <c r="AA1141">
        <v>450</v>
      </c>
      <c r="AB1141" t="s">
        <v>32</v>
      </c>
      <c r="AC1141">
        <v>4.32</v>
      </c>
    </row>
    <row r="1142" spans="1:29">
      <c r="A1142" t="str">
        <f>"002683"</f>
        <v>002683</v>
      </c>
      <c r="B1142" t="s">
        <v>1309</v>
      </c>
      <c r="C1142">
        <v>8.96</v>
      </c>
      <c r="D1142">
        <v>9.12</v>
      </c>
      <c r="E1142">
        <v>0.75</v>
      </c>
      <c r="F1142">
        <v>9.12</v>
      </c>
      <c r="G1142">
        <v>9.13</v>
      </c>
      <c r="H1142">
        <v>97981</v>
      </c>
      <c r="I1142">
        <v>531</v>
      </c>
      <c r="J1142">
        <v>0</v>
      </c>
      <c r="K1142">
        <v>1.64</v>
      </c>
      <c r="L1142">
        <v>8.37</v>
      </c>
      <c r="M1142">
        <v>9.21</v>
      </c>
      <c r="N1142">
        <v>8.37</v>
      </c>
      <c r="O1142">
        <v>8.37</v>
      </c>
      <c r="P1142">
        <v>178.31</v>
      </c>
      <c r="Q1142">
        <v>87587472</v>
      </c>
      <c r="R1142">
        <v>3.07</v>
      </c>
      <c r="S1142" t="s">
        <v>218</v>
      </c>
      <c r="T1142" t="s">
        <v>136</v>
      </c>
      <c r="U1142">
        <v>10.04</v>
      </c>
      <c r="V1142">
        <v>8.94</v>
      </c>
      <c r="W1142">
        <v>39562</v>
      </c>
      <c r="X1142">
        <v>58418</v>
      </c>
      <c r="Y1142">
        <v>0.68</v>
      </c>
      <c r="Z1142">
        <v>204</v>
      </c>
      <c r="AA1142">
        <v>323</v>
      </c>
      <c r="AB1142" t="s">
        <v>32</v>
      </c>
      <c r="AC1142">
        <v>5.96</v>
      </c>
    </row>
    <row r="1143" spans="1:29">
      <c r="A1143" t="str">
        <f>"002684"</f>
        <v>002684</v>
      </c>
      <c r="B1143" t="s">
        <v>1310</v>
      </c>
      <c r="C1143">
        <v>1.99</v>
      </c>
      <c r="D1143">
        <v>8.2</v>
      </c>
      <c r="E1143">
        <v>0.16</v>
      </c>
      <c r="F1143">
        <v>8.2</v>
      </c>
      <c r="G1143">
        <v>8.21</v>
      </c>
      <c r="H1143">
        <v>329273</v>
      </c>
      <c r="I1143">
        <v>4838</v>
      </c>
      <c r="J1143">
        <v>0</v>
      </c>
      <c r="K1143">
        <v>8.44</v>
      </c>
      <c r="L1143">
        <v>8.07</v>
      </c>
      <c r="M1143">
        <v>8.38</v>
      </c>
      <c r="N1143">
        <v>7.92</v>
      </c>
      <c r="O1143">
        <v>8.04</v>
      </c>
      <c r="P1143">
        <v>55.04</v>
      </c>
      <c r="Q1143">
        <v>269366208</v>
      </c>
      <c r="R1143">
        <v>0.96</v>
      </c>
      <c r="S1143" t="s">
        <v>104</v>
      </c>
      <c r="T1143" t="s">
        <v>136</v>
      </c>
      <c r="U1143">
        <v>5.72</v>
      </c>
      <c r="V1143">
        <v>8.18</v>
      </c>
      <c r="W1143">
        <v>163334</v>
      </c>
      <c r="X1143">
        <v>165938</v>
      </c>
      <c r="Y1143">
        <v>0.98</v>
      </c>
      <c r="Z1143">
        <v>802</v>
      </c>
      <c r="AA1143">
        <v>1918</v>
      </c>
      <c r="AB1143" t="s">
        <v>32</v>
      </c>
      <c r="AC1143">
        <v>3.9</v>
      </c>
    </row>
    <row r="1144" spans="1:29">
      <c r="A1144" t="str">
        <f>"002685"</f>
        <v>002685</v>
      </c>
      <c r="B1144" t="s">
        <v>1311</v>
      </c>
      <c r="C1144">
        <v>2.09</v>
      </c>
      <c r="D1144">
        <v>8.3</v>
      </c>
      <c r="E1144">
        <v>0.17</v>
      </c>
      <c r="F1144">
        <v>8.29</v>
      </c>
      <c r="G1144">
        <v>8.3</v>
      </c>
      <c r="H1144">
        <v>46427</v>
      </c>
      <c r="I1144">
        <v>601</v>
      </c>
      <c r="J1144">
        <v>0.12</v>
      </c>
      <c r="K1144">
        <v>0.83</v>
      </c>
      <c r="L1144">
        <v>8.13</v>
      </c>
      <c r="M1144">
        <v>8.32</v>
      </c>
      <c r="N1144">
        <v>8.1</v>
      </c>
      <c r="O1144">
        <v>8.13</v>
      </c>
      <c r="P1144">
        <v>15.62</v>
      </c>
      <c r="Q1144">
        <v>38284104</v>
      </c>
      <c r="R1144">
        <v>1.57</v>
      </c>
      <c r="S1144" t="s">
        <v>151</v>
      </c>
      <c r="T1144" t="s">
        <v>87</v>
      </c>
      <c r="U1144">
        <v>2.71</v>
      </c>
      <c r="V1144">
        <v>8.25</v>
      </c>
      <c r="W1144">
        <v>20420</v>
      </c>
      <c r="X1144">
        <v>26006</v>
      </c>
      <c r="Y1144">
        <v>0.79</v>
      </c>
      <c r="Z1144">
        <v>69</v>
      </c>
      <c r="AA1144">
        <v>596</v>
      </c>
      <c r="AB1144" t="s">
        <v>32</v>
      </c>
      <c r="AC1144">
        <v>5.6</v>
      </c>
    </row>
    <row r="1145" spans="1:29">
      <c r="A1145" t="str">
        <f>"002686"</f>
        <v>002686</v>
      </c>
      <c r="B1145" t="s">
        <v>1312</v>
      </c>
      <c r="C1145">
        <v>-1.86</v>
      </c>
      <c r="D1145">
        <v>7.91</v>
      </c>
      <c r="E1145">
        <v>-0.15</v>
      </c>
      <c r="F1145">
        <v>7.91</v>
      </c>
      <c r="G1145">
        <v>7.93</v>
      </c>
      <c r="H1145">
        <v>113175</v>
      </c>
      <c r="I1145">
        <v>3386</v>
      </c>
      <c r="J1145">
        <v>-0.37</v>
      </c>
      <c r="K1145">
        <v>3.47</v>
      </c>
      <c r="L1145">
        <v>7.86</v>
      </c>
      <c r="M1145">
        <v>8.04</v>
      </c>
      <c r="N1145">
        <v>7.68</v>
      </c>
      <c r="O1145">
        <v>8.06</v>
      </c>
      <c r="P1145">
        <v>44.81</v>
      </c>
      <c r="Q1145">
        <v>89010448</v>
      </c>
      <c r="R1145">
        <v>0.58</v>
      </c>
      <c r="S1145" t="s">
        <v>171</v>
      </c>
      <c r="T1145" t="s">
        <v>149</v>
      </c>
      <c r="U1145">
        <v>4.47</v>
      </c>
      <c r="V1145">
        <v>7.86</v>
      </c>
      <c r="W1145">
        <v>62797</v>
      </c>
      <c r="X1145">
        <v>50378</v>
      </c>
      <c r="Y1145">
        <v>1.25</v>
      </c>
      <c r="Z1145">
        <v>188</v>
      </c>
      <c r="AA1145">
        <v>23</v>
      </c>
      <c r="AB1145" t="s">
        <v>32</v>
      </c>
      <c r="AC1145">
        <v>3.26</v>
      </c>
    </row>
    <row r="1146" spans="1:29">
      <c r="A1146" t="str">
        <f>"002687"</f>
        <v>002687</v>
      </c>
      <c r="B1146" t="s">
        <v>1313</v>
      </c>
      <c r="C1146">
        <v>1.09</v>
      </c>
      <c r="D1146">
        <v>5.54</v>
      </c>
      <c r="E1146">
        <v>0.06</v>
      </c>
      <c r="F1146">
        <v>5.54</v>
      </c>
      <c r="G1146">
        <v>5.55</v>
      </c>
      <c r="H1146">
        <v>33502</v>
      </c>
      <c r="I1146">
        <v>1228</v>
      </c>
      <c r="J1146">
        <v>0.18</v>
      </c>
      <c r="K1146">
        <v>1.05</v>
      </c>
      <c r="L1146">
        <v>5.46</v>
      </c>
      <c r="M1146">
        <v>5.56</v>
      </c>
      <c r="N1146">
        <v>5.45</v>
      </c>
      <c r="O1146">
        <v>5.48</v>
      </c>
      <c r="P1146">
        <v>43.99</v>
      </c>
      <c r="Q1146">
        <v>18523968</v>
      </c>
      <c r="R1146">
        <v>0.56</v>
      </c>
      <c r="S1146" t="s">
        <v>622</v>
      </c>
      <c r="T1146" t="s">
        <v>149</v>
      </c>
      <c r="U1146">
        <v>2.01</v>
      </c>
      <c r="V1146">
        <v>5.53</v>
      </c>
      <c r="W1146">
        <v>16241</v>
      </c>
      <c r="X1146">
        <v>17260</v>
      </c>
      <c r="Y1146">
        <v>0.94</v>
      </c>
      <c r="Z1146">
        <v>13</v>
      </c>
      <c r="AA1146">
        <v>529</v>
      </c>
      <c r="AB1146" t="s">
        <v>32</v>
      </c>
      <c r="AC1146">
        <v>3.19</v>
      </c>
    </row>
    <row r="1147" spans="1:29">
      <c r="A1147" t="str">
        <f>"002688"</f>
        <v>002688</v>
      </c>
      <c r="B1147" t="s">
        <v>1314</v>
      </c>
      <c r="C1147">
        <v>1.57</v>
      </c>
      <c r="D1147">
        <v>5.18</v>
      </c>
      <c r="E1147">
        <v>0.08</v>
      </c>
      <c r="F1147">
        <v>5.18</v>
      </c>
      <c r="G1147">
        <v>5.19</v>
      </c>
      <c r="H1147">
        <v>27019</v>
      </c>
      <c r="I1147">
        <v>496</v>
      </c>
      <c r="J1147">
        <v>-0.18</v>
      </c>
      <c r="K1147">
        <v>0.51</v>
      </c>
      <c r="L1147">
        <v>5.1</v>
      </c>
      <c r="M1147">
        <v>5.2</v>
      </c>
      <c r="N1147">
        <v>5.06</v>
      </c>
      <c r="O1147">
        <v>5.1</v>
      </c>
      <c r="P1147">
        <v>26.69</v>
      </c>
      <c r="Q1147">
        <v>13931616</v>
      </c>
      <c r="R1147">
        <v>2.16</v>
      </c>
      <c r="S1147" t="s">
        <v>142</v>
      </c>
      <c r="T1147" t="s">
        <v>198</v>
      </c>
      <c r="U1147">
        <v>2.75</v>
      </c>
      <c r="V1147">
        <v>5.16</v>
      </c>
      <c r="W1147">
        <v>10978</v>
      </c>
      <c r="X1147">
        <v>16040</v>
      </c>
      <c r="Y1147">
        <v>0.68</v>
      </c>
      <c r="Z1147">
        <v>331</v>
      </c>
      <c r="AA1147">
        <v>790</v>
      </c>
      <c r="AB1147" t="s">
        <v>32</v>
      </c>
      <c r="AC1147">
        <v>5.33</v>
      </c>
    </row>
    <row r="1148" spans="1:29">
      <c r="A1148" t="str">
        <f>"002689"</f>
        <v>002689</v>
      </c>
      <c r="B1148" t="s">
        <v>1315</v>
      </c>
      <c r="C1148">
        <v>-0.27</v>
      </c>
      <c r="D1148">
        <v>3.64</v>
      </c>
      <c r="E1148">
        <v>-0.01</v>
      </c>
      <c r="F1148">
        <v>3.63</v>
      </c>
      <c r="G1148">
        <v>3.64</v>
      </c>
      <c r="H1148">
        <v>73493</v>
      </c>
      <c r="I1148">
        <v>418</v>
      </c>
      <c r="J1148">
        <v>0.28</v>
      </c>
      <c r="K1148">
        <v>0.71</v>
      </c>
      <c r="L1148">
        <v>3.8</v>
      </c>
      <c r="M1148">
        <v>3.81</v>
      </c>
      <c r="N1148">
        <v>3.62</v>
      </c>
      <c r="O1148">
        <v>3.65</v>
      </c>
      <c r="P1148" t="s">
        <v>32</v>
      </c>
      <c r="Q1148">
        <v>27313008</v>
      </c>
      <c r="R1148">
        <v>2.22</v>
      </c>
      <c r="S1148" t="s">
        <v>44</v>
      </c>
      <c r="T1148" t="s">
        <v>111</v>
      </c>
      <c r="U1148">
        <v>5.21</v>
      </c>
      <c r="V1148">
        <v>3.72</v>
      </c>
      <c r="W1148">
        <v>42087</v>
      </c>
      <c r="X1148">
        <v>31405</v>
      </c>
      <c r="Y1148">
        <v>1.34</v>
      </c>
      <c r="Z1148">
        <v>1411</v>
      </c>
      <c r="AA1148">
        <v>1100</v>
      </c>
      <c r="AB1148" t="s">
        <v>32</v>
      </c>
      <c r="AC1148">
        <v>10.41</v>
      </c>
    </row>
    <row r="1149" spans="1:29">
      <c r="A1149" t="str">
        <f>"002690"</f>
        <v>002690</v>
      </c>
      <c r="B1149" t="s">
        <v>1316</v>
      </c>
      <c r="C1149">
        <v>-2.05</v>
      </c>
      <c r="D1149">
        <v>22.9</v>
      </c>
      <c r="E1149">
        <v>-0.48</v>
      </c>
      <c r="F1149">
        <v>22.9</v>
      </c>
      <c r="G1149">
        <v>22.91</v>
      </c>
      <c r="H1149">
        <v>102219</v>
      </c>
      <c r="I1149">
        <v>553</v>
      </c>
      <c r="J1149">
        <v>0.31</v>
      </c>
      <c r="K1149">
        <v>3.13</v>
      </c>
      <c r="L1149">
        <v>23.1</v>
      </c>
      <c r="M1149">
        <v>23.38</v>
      </c>
      <c r="N1149">
        <v>22.31</v>
      </c>
      <c r="O1149">
        <v>23.38</v>
      </c>
      <c r="P1149">
        <v>89.12</v>
      </c>
      <c r="Q1149">
        <v>233197584</v>
      </c>
      <c r="R1149">
        <v>1.37</v>
      </c>
      <c r="S1149" t="s">
        <v>171</v>
      </c>
      <c r="T1149" t="s">
        <v>143</v>
      </c>
      <c r="U1149">
        <v>4.58</v>
      </c>
      <c r="V1149">
        <v>22.81</v>
      </c>
      <c r="W1149">
        <v>54324</v>
      </c>
      <c r="X1149">
        <v>47894</v>
      </c>
      <c r="Y1149">
        <v>1.13</v>
      </c>
      <c r="Z1149">
        <v>1113</v>
      </c>
      <c r="AA1149">
        <v>17</v>
      </c>
      <c r="AB1149" t="s">
        <v>32</v>
      </c>
      <c r="AC1149">
        <v>3.27</v>
      </c>
    </row>
    <row r="1150" spans="1:29">
      <c r="A1150" t="str">
        <f>"002691"</f>
        <v>002691</v>
      </c>
      <c r="B1150" t="s">
        <v>1317</v>
      </c>
      <c r="C1150">
        <v>2.83</v>
      </c>
      <c r="D1150">
        <v>10.55</v>
      </c>
      <c r="E1150">
        <v>0.29</v>
      </c>
      <c r="F1150">
        <v>10.54</v>
      </c>
      <c r="G1150">
        <v>10.55</v>
      </c>
      <c r="H1150">
        <v>108337</v>
      </c>
      <c r="I1150">
        <v>2676</v>
      </c>
      <c r="J1150">
        <v>0.19</v>
      </c>
      <c r="K1150">
        <v>3.19</v>
      </c>
      <c r="L1150">
        <v>10.28</v>
      </c>
      <c r="M1150">
        <v>11.2</v>
      </c>
      <c r="N1150">
        <v>10.18</v>
      </c>
      <c r="O1150">
        <v>10.26</v>
      </c>
      <c r="P1150">
        <v>761.89</v>
      </c>
      <c r="Q1150">
        <v>114331152</v>
      </c>
      <c r="R1150">
        <v>1.51</v>
      </c>
      <c r="S1150" t="s">
        <v>171</v>
      </c>
      <c r="T1150" t="s">
        <v>154</v>
      </c>
      <c r="U1150">
        <v>9.94</v>
      </c>
      <c r="V1150">
        <v>10.55</v>
      </c>
      <c r="W1150">
        <v>51430</v>
      </c>
      <c r="X1150">
        <v>56906</v>
      </c>
      <c r="Y1150">
        <v>0.9</v>
      </c>
      <c r="Z1150">
        <v>711</v>
      </c>
      <c r="AA1150">
        <v>260</v>
      </c>
      <c r="AB1150" t="s">
        <v>32</v>
      </c>
      <c r="AC1150">
        <v>3.39</v>
      </c>
    </row>
    <row r="1151" spans="1:29">
      <c r="A1151" t="str">
        <f>"002692"</f>
        <v>002692</v>
      </c>
      <c r="B1151" t="s">
        <v>1318</v>
      </c>
      <c r="C1151">
        <v>3.06</v>
      </c>
      <c r="D1151">
        <v>4.04</v>
      </c>
      <c r="E1151">
        <v>0.12</v>
      </c>
      <c r="F1151">
        <v>4.03</v>
      </c>
      <c r="G1151">
        <v>4.04</v>
      </c>
      <c r="H1151">
        <v>213410</v>
      </c>
      <c r="I1151">
        <v>3886</v>
      </c>
      <c r="J1151">
        <v>0</v>
      </c>
      <c r="K1151">
        <v>3.68</v>
      </c>
      <c r="L1151">
        <v>3.92</v>
      </c>
      <c r="M1151">
        <v>4.29</v>
      </c>
      <c r="N1151">
        <v>3.82</v>
      </c>
      <c r="O1151">
        <v>3.92</v>
      </c>
      <c r="P1151">
        <v>52.92</v>
      </c>
      <c r="Q1151">
        <v>86256360</v>
      </c>
      <c r="R1151">
        <v>1.83</v>
      </c>
      <c r="S1151" t="s">
        <v>104</v>
      </c>
      <c r="T1151" t="s">
        <v>87</v>
      </c>
      <c r="U1151">
        <v>11.99</v>
      </c>
      <c r="V1151">
        <v>4.04</v>
      </c>
      <c r="W1151">
        <v>109663</v>
      </c>
      <c r="X1151">
        <v>103747</v>
      </c>
      <c r="Y1151">
        <v>1.06</v>
      </c>
      <c r="Z1151">
        <v>2137</v>
      </c>
      <c r="AA1151">
        <v>395</v>
      </c>
      <c r="AB1151" t="s">
        <v>32</v>
      </c>
      <c r="AC1151">
        <v>5.8</v>
      </c>
    </row>
    <row r="1152" spans="1:29">
      <c r="A1152" t="str">
        <f>"002693"</f>
        <v>002693</v>
      </c>
      <c r="B1152" t="s">
        <v>1319</v>
      </c>
      <c r="C1152">
        <v>0.7</v>
      </c>
      <c r="D1152">
        <v>5.76</v>
      </c>
      <c r="E1152">
        <v>0.04</v>
      </c>
      <c r="F1152">
        <v>5.75</v>
      </c>
      <c r="G1152">
        <v>5.76</v>
      </c>
      <c r="H1152">
        <v>70138</v>
      </c>
      <c r="I1152">
        <v>1173</v>
      </c>
      <c r="J1152">
        <v>0.17</v>
      </c>
      <c r="K1152">
        <v>1.74</v>
      </c>
      <c r="L1152">
        <v>5.64</v>
      </c>
      <c r="M1152">
        <v>5.84</v>
      </c>
      <c r="N1152">
        <v>5.59</v>
      </c>
      <c r="O1152">
        <v>5.72</v>
      </c>
      <c r="P1152" t="s">
        <v>32</v>
      </c>
      <c r="Q1152">
        <v>40245344</v>
      </c>
      <c r="R1152">
        <v>1.18</v>
      </c>
      <c r="S1152" t="s">
        <v>142</v>
      </c>
      <c r="T1152" t="s">
        <v>209</v>
      </c>
      <c r="U1152">
        <v>4.37</v>
      </c>
      <c r="V1152">
        <v>5.74</v>
      </c>
      <c r="W1152">
        <v>37639</v>
      </c>
      <c r="X1152">
        <v>32499</v>
      </c>
      <c r="Y1152">
        <v>1.16</v>
      </c>
      <c r="Z1152">
        <v>796</v>
      </c>
      <c r="AA1152">
        <v>218</v>
      </c>
      <c r="AB1152" t="s">
        <v>32</v>
      </c>
      <c r="AC1152">
        <v>4.03</v>
      </c>
    </row>
    <row r="1153" spans="1:29">
      <c r="A1153" t="str">
        <f>"002694"</f>
        <v>002694</v>
      </c>
      <c r="B1153" t="s">
        <v>1320</v>
      </c>
      <c r="C1153">
        <v>5.49</v>
      </c>
      <c r="D1153">
        <v>5.76</v>
      </c>
      <c r="E1153">
        <v>0.3</v>
      </c>
      <c r="F1153">
        <v>5.76</v>
      </c>
      <c r="G1153">
        <v>5.77</v>
      </c>
      <c r="H1153">
        <v>497480</v>
      </c>
      <c r="I1153">
        <v>6968</v>
      </c>
      <c r="J1153">
        <v>0</v>
      </c>
      <c r="K1153">
        <v>10.01</v>
      </c>
      <c r="L1153">
        <v>5.2</v>
      </c>
      <c r="M1153">
        <v>6.01</v>
      </c>
      <c r="N1153">
        <v>5.1</v>
      </c>
      <c r="O1153">
        <v>5.46</v>
      </c>
      <c r="P1153" t="s">
        <v>32</v>
      </c>
      <c r="Q1153">
        <v>281244064</v>
      </c>
      <c r="R1153">
        <v>2.06</v>
      </c>
      <c r="S1153" t="s">
        <v>508</v>
      </c>
      <c r="T1153" t="s">
        <v>193</v>
      </c>
      <c r="U1153">
        <v>16.67</v>
      </c>
      <c r="V1153">
        <v>5.65</v>
      </c>
      <c r="W1153">
        <v>275555</v>
      </c>
      <c r="X1153">
        <v>221925</v>
      </c>
      <c r="Y1153">
        <v>1.24</v>
      </c>
      <c r="Z1153">
        <v>1046</v>
      </c>
      <c r="AA1153">
        <v>1779</v>
      </c>
      <c r="AB1153" t="s">
        <v>32</v>
      </c>
      <c r="AC1153">
        <v>4.97</v>
      </c>
    </row>
    <row r="1154" spans="1:29">
      <c r="A1154" t="str">
        <f>"002695"</f>
        <v>002695</v>
      </c>
      <c r="B1154" t="s">
        <v>1321</v>
      </c>
      <c r="C1154">
        <v>1.75</v>
      </c>
      <c r="D1154">
        <v>12.82</v>
      </c>
      <c r="E1154">
        <v>0.22</v>
      </c>
      <c r="F1154">
        <v>12.82</v>
      </c>
      <c r="G1154">
        <v>12.83</v>
      </c>
      <c r="H1154">
        <v>50858</v>
      </c>
      <c r="I1154">
        <v>787</v>
      </c>
      <c r="J1154">
        <v>0</v>
      </c>
      <c r="K1154">
        <v>1.12</v>
      </c>
      <c r="L1154">
        <v>12.6</v>
      </c>
      <c r="M1154">
        <v>12.97</v>
      </c>
      <c r="N1154">
        <v>12.54</v>
      </c>
      <c r="O1154">
        <v>12.6</v>
      </c>
      <c r="P1154">
        <v>32.67</v>
      </c>
      <c r="Q1154">
        <v>64930704</v>
      </c>
      <c r="R1154">
        <v>1.48</v>
      </c>
      <c r="S1154" t="s">
        <v>213</v>
      </c>
      <c r="T1154" t="s">
        <v>172</v>
      </c>
      <c r="U1154">
        <v>3.41</v>
      </c>
      <c r="V1154">
        <v>12.77</v>
      </c>
      <c r="W1154">
        <v>22671</v>
      </c>
      <c r="X1154">
        <v>28186</v>
      </c>
      <c r="Y1154">
        <v>0.8</v>
      </c>
      <c r="Z1154">
        <v>256</v>
      </c>
      <c r="AA1154">
        <v>132</v>
      </c>
      <c r="AB1154" t="s">
        <v>32</v>
      </c>
      <c r="AC1154">
        <v>4.53</v>
      </c>
    </row>
    <row r="1155" spans="1:29">
      <c r="A1155" t="str">
        <f>"002696"</f>
        <v>002696</v>
      </c>
      <c r="B1155" t="s">
        <v>1322</v>
      </c>
      <c r="C1155">
        <v>-0.8</v>
      </c>
      <c r="D1155">
        <v>11.18</v>
      </c>
      <c r="E1155">
        <v>-0.09</v>
      </c>
      <c r="F1155">
        <v>11.18</v>
      </c>
      <c r="G1155">
        <v>11.19</v>
      </c>
      <c r="H1155">
        <v>24193</v>
      </c>
      <c r="I1155">
        <v>334</v>
      </c>
      <c r="J1155">
        <v>-0.26</v>
      </c>
      <c r="K1155">
        <v>1.11</v>
      </c>
      <c r="L1155">
        <v>11.13</v>
      </c>
      <c r="M1155">
        <v>11.4</v>
      </c>
      <c r="N1155">
        <v>11.11</v>
      </c>
      <c r="O1155">
        <v>11.27</v>
      </c>
      <c r="P1155">
        <v>82.05</v>
      </c>
      <c r="Q1155">
        <v>27125066</v>
      </c>
      <c r="R1155">
        <v>1.03</v>
      </c>
      <c r="S1155" t="s">
        <v>466</v>
      </c>
      <c r="T1155" t="s">
        <v>238</v>
      </c>
      <c r="U1155">
        <v>2.57</v>
      </c>
      <c r="V1155">
        <v>11.21</v>
      </c>
      <c r="W1155">
        <v>16032</v>
      </c>
      <c r="X1155">
        <v>8160</v>
      </c>
      <c r="Y1155">
        <v>1.96</v>
      </c>
      <c r="Z1155">
        <v>59</v>
      </c>
      <c r="AA1155">
        <v>16</v>
      </c>
      <c r="AB1155" t="s">
        <v>32</v>
      </c>
      <c r="AC1155">
        <v>2.18</v>
      </c>
    </row>
    <row r="1156" spans="1:29">
      <c r="A1156" t="str">
        <f>"002697"</f>
        <v>002697</v>
      </c>
      <c r="B1156" t="s">
        <v>1323</v>
      </c>
      <c r="C1156">
        <v>0.99</v>
      </c>
      <c r="D1156">
        <v>5.08</v>
      </c>
      <c r="E1156">
        <v>0.05</v>
      </c>
      <c r="F1156">
        <v>5.07</v>
      </c>
      <c r="G1156">
        <v>5.08</v>
      </c>
      <c r="H1156">
        <v>58360</v>
      </c>
      <c r="I1156">
        <v>1082</v>
      </c>
      <c r="J1156">
        <v>0</v>
      </c>
      <c r="K1156">
        <v>0.68</v>
      </c>
      <c r="L1156">
        <v>5.04</v>
      </c>
      <c r="M1156">
        <v>5.1</v>
      </c>
      <c r="N1156">
        <v>5</v>
      </c>
      <c r="O1156">
        <v>5.03</v>
      </c>
      <c r="P1156">
        <v>31.79</v>
      </c>
      <c r="Q1156">
        <v>29562340</v>
      </c>
      <c r="R1156">
        <v>1.61</v>
      </c>
      <c r="S1156" t="s">
        <v>439</v>
      </c>
      <c r="T1156" t="s">
        <v>146</v>
      </c>
      <c r="U1156">
        <v>1.99</v>
      </c>
      <c r="V1156">
        <v>5.07</v>
      </c>
      <c r="W1156">
        <v>27465</v>
      </c>
      <c r="X1156">
        <v>30894</v>
      </c>
      <c r="Y1156">
        <v>0.89</v>
      </c>
      <c r="Z1156">
        <v>3263</v>
      </c>
      <c r="AA1156">
        <v>1499</v>
      </c>
      <c r="AB1156" t="s">
        <v>32</v>
      </c>
      <c r="AC1156">
        <v>8.64</v>
      </c>
    </row>
    <row r="1157" spans="1:29">
      <c r="A1157" t="str">
        <f>"002698"</f>
        <v>002698</v>
      </c>
      <c r="B1157" t="s">
        <v>1324</v>
      </c>
      <c r="C1157">
        <v>1.42</v>
      </c>
      <c r="D1157">
        <v>9.3</v>
      </c>
      <c r="E1157">
        <v>0.13</v>
      </c>
      <c r="F1157">
        <v>9.29</v>
      </c>
      <c r="G1157">
        <v>9.3</v>
      </c>
      <c r="H1157">
        <v>20340</v>
      </c>
      <c r="I1157">
        <v>187</v>
      </c>
      <c r="J1157">
        <v>0.11</v>
      </c>
      <c r="K1157">
        <v>0.38</v>
      </c>
      <c r="L1157">
        <v>9.17</v>
      </c>
      <c r="M1157">
        <v>9.35</v>
      </c>
      <c r="N1157">
        <v>9.13</v>
      </c>
      <c r="O1157">
        <v>9.17</v>
      </c>
      <c r="P1157">
        <v>76.4</v>
      </c>
      <c r="Q1157">
        <v>18846428</v>
      </c>
      <c r="R1157">
        <v>1.41</v>
      </c>
      <c r="S1157" t="s">
        <v>504</v>
      </c>
      <c r="T1157" t="s">
        <v>297</v>
      </c>
      <c r="U1157">
        <v>2.4</v>
      </c>
      <c r="V1157">
        <v>9.27</v>
      </c>
      <c r="W1157">
        <v>8875</v>
      </c>
      <c r="X1157">
        <v>11465</v>
      </c>
      <c r="Y1157">
        <v>0.77</v>
      </c>
      <c r="Z1157">
        <v>128</v>
      </c>
      <c r="AA1157">
        <v>344</v>
      </c>
      <c r="AB1157" t="s">
        <v>32</v>
      </c>
      <c r="AC1157">
        <v>5.31</v>
      </c>
    </row>
    <row r="1158" spans="1:29">
      <c r="A1158" t="str">
        <f>"002699"</f>
        <v>002699</v>
      </c>
      <c r="B1158" t="s">
        <v>1325</v>
      </c>
      <c r="C1158">
        <v>2.33</v>
      </c>
      <c r="D1158">
        <v>18.02</v>
      </c>
      <c r="E1158">
        <v>0.41</v>
      </c>
      <c r="F1158">
        <v>18.01</v>
      </c>
      <c r="G1158">
        <v>18.02</v>
      </c>
      <c r="H1158">
        <v>144664</v>
      </c>
      <c r="I1158">
        <v>678</v>
      </c>
      <c r="J1158">
        <v>0</v>
      </c>
      <c r="K1158">
        <v>1.83</v>
      </c>
      <c r="L1158">
        <v>19.37</v>
      </c>
      <c r="M1158">
        <v>19.37</v>
      </c>
      <c r="N1158">
        <v>17.68</v>
      </c>
      <c r="O1158">
        <v>17.61</v>
      </c>
      <c r="P1158">
        <v>83.59</v>
      </c>
      <c r="Q1158">
        <v>264253344</v>
      </c>
      <c r="R1158">
        <v>3.63</v>
      </c>
      <c r="S1158" t="s">
        <v>622</v>
      </c>
      <c r="T1158" t="s">
        <v>149</v>
      </c>
      <c r="U1158">
        <v>9.6</v>
      </c>
      <c r="V1158">
        <v>18.27</v>
      </c>
      <c r="W1158">
        <v>39153</v>
      </c>
      <c r="X1158">
        <v>105511</v>
      </c>
      <c r="Y1158">
        <v>0.37</v>
      </c>
      <c r="Z1158">
        <v>284</v>
      </c>
      <c r="AA1158">
        <v>74</v>
      </c>
      <c r="AB1158" t="s">
        <v>32</v>
      </c>
      <c r="AC1158">
        <v>7.91</v>
      </c>
    </row>
    <row r="1159" spans="1:29">
      <c r="A1159" t="str">
        <f>"002700"</f>
        <v>002700</v>
      </c>
      <c r="B1159" t="s">
        <v>1326</v>
      </c>
      <c r="C1159">
        <v>0.43</v>
      </c>
      <c r="D1159">
        <v>6.97</v>
      </c>
      <c r="E1159">
        <v>0.03</v>
      </c>
      <c r="F1159">
        <v>6.96</v>
      </c>
      <c r="G1159">
        <v>6.97</v>
      </c>
      <c r="H1159">
        <v>12932</v>
      </c>
      <c r="I1159">
        <v>738</v>
      </c>
      <c r="J1159">
        <v>0.14</v>
      </c>
      <c r="K1159">
        <v>0.41</v>
      </c>
      <c r="L1159">
        <v>6.88</v>
      </c>
      <c r="M1159">
        <v>6.99</v>
      </c>
      <c r="N1159">
        <v>6.76</v>
      </c>
      <c r="O1159">
        <v>6.94</v>
      </c>
      <c r="P1159">
        <v>34.29</v>
      </c>
      <c r="Q1159">
        <v>8956058</v>
      </c>
      <c r="R1159">
        <v>0.78</v>
      </c>
      <c r="S1159" t="s">
        <v>174</v>
      </c>
      <c r="T1159" t="s">
        <v>156</v>
      </c>
      <c r="U1159">
        <v>3.31</v>
      </c>
      <c r="V1159">
        <v>6.93</v>
      </c>
      <c r="W1159">
        <v>7550</v>
      </c>
      <c r="X1159">
        <v>5382</v>
      </c>
      <c r="Y1159">
        <v>1.4</v>
      </c>
      <c r="Z1159">
        <v>333</v>
      </c>
      <c r="AA1159">
        <v>142</v>
      </c>
      <c r="AB1159" t="s">
        <v>32</v>
      </c>
      <c r="AC1159">
        <v>3.13</v>
      </c>
    </row>
    <row r="1160" spans="1:29">
      <c r="A1160" t="str">
        <f>"002701"</f>
        <v>002701</v>
      </c>
      <c r="B1160" t="s">
        <v>1327</v>
      </c>
      <c r="C1160">
        <v>1.09</v>
      </c>
      <c r="D1160">
        <v>5.57</v>
      </c>
      <c r="E1160">
        <v>0.06</v>
      </c>
      <c r="F1160">
        <v>5.56</v>
      </c>
      <c r="G1160">
        <v>5.57</v>
      </c>
      <c r="H1160">
        <v>57295</v>
      </c>
      <c r="I1160">
        <v>1453</v>
      </c>
      <c r="J1160">
        <v>0.36</v>
      </c>
      <c r="K1160">
        <v>0.32</v>
      </c>
      <c r="L1160">
        <v>5.52</v>
      </c>
      <c r="M1160">
        <v>5.58</v>
      </c>
      <c r="N1160">
        <v>5.5</v>
      </c>
      <c r="O1160">
        <v>5.51</v>
      </c>
      <c r="P1160">
        <v>15.39</v>
      </c>
      <c r="Q1160">
        <v>31818444</v>
      </c>
      <c r="R1160">
        <v>1.16</v>
      </c>
      <c r="S1160" t="s">
        <v>91</v>
      </c>
      <c r="T1160" t="s">
        <v>45</v>
      </c>
      <c r="U1160">
        <v>1.45</v>
      </c>
      <c r="V1160">
        <v>5.55</v>
      </c>
      <c r="W1160">
        <v>28088</v>
      </c>
      <c r="X1160">
        <v>29206</v>
      </c>
      <c r="Y1160">
        <v>0.96</v>
      </c>
      <c r="Z1160">
        <v>356</v>
      </c>
      <c r="AA1160">
        <v>1871</v>
      </c>
      <c r="AB1160" t="s">
        <v>32</v>
      </c>
      <c r="AC1160">
        <v>17.98</v>
      </c>
    </row>
    <row r="1161" spans="1:29">
      <c r="A1161" t="str">
        <f>"002702"</f>
        <v>002702</v>
      </c>
      <c r="B1161" t="s">
        <v>1328</v>
      </c>
      <c r="C1161">
        <v>1.92</v>
      </c>
      <c r="D1161">
        <v>5.31</v>
      </c>
      <c r="E1161">
        <v>0.1</v>
      </c>
      <c r="F1161">
        <v>5.3</v>
      </c>
      <c r="G1161">
        <v>5.31</v>
      </c>
      <c r="H1161">
        <v>173401</v>
      </c>
      <c r="I1161">
        <v>3768</v>
      </c>
      <c r="J1161">
        <v>0.19</v>
      </c>
      <c r="K1161">
        <v>5.85</v>
      </c>
      <c r="L1161">
        <v>5.21</v>
      </c>
      <c r="M1161">
        <v>5.39</v>
      </c>
      <c r="N1161">
        <v>5.16</v>
      </c>
      <c r="O1161">
        <v>5.21</v>
      </c>
      <c r="P1161">
        <v>51.81</v>
      </c>
      <c r="Q1161">
        <v>91762216</v>
      </c>
      <c r="R1161">
        <v>1.26</v>
      </c>
      <c r="S1161" t="s">
        <v>213</v>
      </c>
      <c r="T1161" t="s">
        <v>236</v>
      </c>
      <c r="U1161">
        <v>4.41</v>
      </c>
      <c r="V1161">
        <v>5.29</v>
      </c>
      <c r="W1161">
        <v>84346</v>
      </c>
      <c r="X1161">
        <v>89054</v>
      </c>
      <c r="Y1161">
        <v>0.95</v>
      </c>
      <c r="Z1161">
        <v>1892</v>
      </c>
      <c r="AA1161">
        <v>2346</v>
      </c>
      <c r="AB1161" t="s">
        <v>32</v>
      </c>
      <c r="AC1161">
        <v>2.96</v>
      </c>
    </row>
    <row r="1162" spans="1:29">
      <c r="A1162" t="str">
        <f>"002703"</f>
        <v>002703</v>
      </c>
      <c r="B1162" t="s">
        <v>1329</v>
      </c>
      <c r="C1162">
        <v>0.59</v>
      </c>
      <c r="D1162">
        <v>5.1</v>
      </c>
      <c r="E1162">
        <v>0.03</v>
      </c>
      <c r="F1162">
        <v>5.09</v>
      </c>
      <c r="G1162">
        <v>5.1</v>
      </c>
      <c r="H1162">
        <v>54714</v>
      </c>
      <c r="I1162">
        <v>1147</v>
      </c>
      <c r="J1162">
        <v>0.2</v>
      </c>
      <c r="K1162">
        <v>1.22</v>
      </c>
      <c r="L1162">
        <v>5.08</v>
      </c>
      <c r="M1162">
        <v>5.12</v>
      </c>
      <c r="N1162">
        <v>5.03</v>
      </c>
      <c r="O1162">
        <v>5.07</v>
      </c>
      <c r="P1162" t="s">
        <v>32</v>
      </c>
      <c r="Q1162">
        <v>27802932</v>
      </c>
      <c r="R1162">
        <v>1.28</v>
      </c>
      <c r="S1162" t="s">
        <v>80</v>
      </c>
      <c r="T1162" t="s">
        <v>149</v>
      </c>
      <c r="U1162">
        <v>1.78</v>
      </c>
      <c r="V1162">
        <v>5.08</v>
      </c>
      <c r="W1162">
        <v>28056</v>
      </c>
      <c r="X1162">
        <v>26657</v>
      </c>
      <c r="Y1162">
        <v>1.05</v>
      </c>
      <c r="Z1162">
        <v>891</v>
      </c>
      <c r="AA1162">
        <v>1158</v>
      </c>
      <c r="AB1162" t="s">
        <v>32</v>
      </c>
      <c r="AC1162">
        <v>4.5</v>
      </c>
    </row>
    <row r="1163" spans="1:29">
      <c r="A1163" t="str">
        <f>"002705"</f>
        <v>002705</v>
      </c>
      <c r="B1163" t="s">
        <v>1330</v>
      </c>
      <c r="C1163">
        <v>0.41</v>
      </c>
      <c r="D1163">
        <v>9.74</v>
      </c>
      <c r="E1163">
        <v>0.04</v>
      </c>
      <c r="F1163">
        <v>9.74</v>
      </c>
      <c r="G1163">
        <v>9.75</v>
      </c>
      <c r="H1163">
        <v>11846</v>
      </c>
      <c r="I1163">
        <v>72</v>
      </c>
      <c r="J1163">
        <v>0</v>
      </c>
      <c r="K1163">
        <v>0.26</v>
      </c>
      <c r="L1163">
        <v>9.75</v>
      </c>
      <c r="M1163">
        <v>9.84</v>
      </c>
      <c r="N1163">
        <v>9.68</v>
      </c>
      <c r="O1163">
        <v>9.7</v>
      </c>
      <c r="P1163">
        <v>46</v>
      </c>
      <c r="Q1163">
        <v>11550607</v>
      </c>
      <c r="R1163">
        <v>0.93</v>
      </c>
      <c r="S1163" t="s">
        <v>55</v>
      </c>
      <c r="T1163" t="s">
        <v>136</v>
      </c>
      <c r="U1163">
        <v>1.65</v>
      </c>
      <c r="V1163">
        <v>9.75</v>
      </c>
      <c r="W1163">
        <v>5550</v>
      </c>
      <c r="X1163">
        <v>6295</v>
      </c>
      <c r="Y1163">
        <v>0.88</v>
      </c>
      <c r="Z1163">
        <v>213</v>
      </c>
      <c r="AA1163">
        <v>9</v>
      </c>
      <c r="AB1163" t="s">
        <v>32</v>
      </c>
      <c r="AC1163">
        <v>4.59</v>
      </c>
    </row>
    <row r="1164" spans="1:29">
      <c r="A1164" t="str">
        <f>"002706"</f>
        <v>002706</v>
      </c>
      <c r="B1164" t="s">
        <v>1331</v>
      </c>
      <c r="C1164">
        <v>2.28</v>
      </c>
      <c r="D1164">
        <v>6.74</v>
      </c>
      <c r="E1164">
        <v>0.15</v>
      </c>
      <c r="F1164">
        <v>6.73</v>
      </c>
      <c r="G1164">
        <v>6.74</v>
      </c>
      <c r="H1164">
        <v>34082</v>
      </c>
      <c r="I1164">
        <v>237</v>
      </c>
      <c r="J1164">
        <v>0</v>
      </c>
      <c r="K1164">
        <v>0.62</v>
      </c>
      <c r="L1164">
        <v>6.69</v>
      </c>
      <c r="M1164">
        <v>6.9</v>
      </c>
      <c r="N1164">
        <v>6.68</v>
      </c>
      <c r="O1164">
        <v>6.59</v>
      </c>
      <c r="P1164">
        <v>33.05</v>
      </c>
      <c r="Q1164">
        <v>23098770</v>
      </c>
      <c r="R1164">
        <v>1.97</v>
      </c>
      <c r="S1164" t="s">
        <v>104</v>
      </c>
      <c r="T1164" t="s">
        <v>366</v>
      </c>
      <c r="U1164">
        <v>3.34</v>
      </c>
      <c r="V1164">
        <v>6.78</v>
      </c>
      <c r="W1164">
        <v>14591</v>
      </c>
      <c r="X1164">
        <v>19491</v>
      </c>
      <c r="Y1164">
        <v>0.75</v>
      </c>
      <c r="Z1164">
        <v>80</v>
      </c>
      <c r="AA1164">
        <v>16</v>
      </c>
      <c r="AB1164" t="s">
        <v>32</v>
      </c>
      <c r="AC1164">
        <v>5.47</v>
      </c>
    </row>
    <row r="1165" spans="1:29">
      <c r="A1165" t="str">
        <f>"002707"</f>
        <v>002707</v>
      </c>
      <c r="B1165" t="s">
        <v>1332</v>
      </c>
      <c r="C1165">
        <v>0</v>
      </c>
      <c r="D1165">
        <v>9.95</v>
      </c>
      <c r="E1165">
        <v>0</v>
      </c>
      <c r="F1165">
        <v>9.94</v>
      </c>
      <c r="G1165">
        <v>9.95</v>
      </c>
      <c r="H1165">
        <v>47355</v>
      </c>
      <c r="I1165">
        <v>628</v>
      </c>
      <c r="J1165">
        <v>-0.09</v>
      </c>
      <c r="K1165">
        <v>0.93</v>
      </c>
      <c r="L1165">
        <v>9.85</v>
      </c>
      <c r="M1165">
        <v>10.04</v>
      </c>
      <c r="N1165">
        <v>9.8</v>
      </c>
      <c r="O1165">
        <v>9.95</v>
      </c>
      <c r="P1165">
        <v>32.13</v>
      </c>
      <c r="Q1165">
        <v>47047416</v>
      </c>
      <c r="R1165">
        <v>0.63</v>
      </c>
      <c r="S1165" t="s">
        <v>321</v>
      </c>
      <c r="T1165" t="s">
        <v>45</v>
      </c>
      <c r="U1165">
        <v>2.41</v>
      </c>
      <c r="V1165">
        <v>9.93</v>
      </c>
      <c r="W1165">
        <v>24333</v>
      </c>
      <c r="X1165">
        <v>23022</v>
      </c>
      <c r="Y1165">
        <v>1.06</v>
      </c>
      <c r="Z1165">
        <v>304</v>
      </c>
      <c r="AA1165">
        <v>159</v>
      </c>
      <c r="AB1165" t="s">
        <v>32</v>
      </c>
      <c r="AC1165">
        <v>5.1</v>
      </c>
    </row>
    <row r="1166" spans="1:29">
      <c r="A1166" t="str">
        <f>"002708"</f>
        <v>002708</v>
      </c>
      <c r="B1166" t="s">
        <v>1333</v>
      </c>
      <c r="C1166">
        <v>1.21</v>
      </c>
      <c r="D1166">
        <v>5.03</v>
      </c>
      <c r="E1166">
        <v>0.06</v>
      </c>
      <c r="F1166">
        <v>5.03</v>
      </c>
      <c r="G1166">
        <v>5.04</v>
      </c>
      <c r="H1166">
        <v>31260</v>
      </c>
      <c r="I1166">
        <v>711</v>
      </c>
      <c r="J1166">
        <v>0.2</v>
      </c>
      <c r="K1166">
        <v>1.3</v>
      </c>
      <c r="L1166">
        <v>4.97</v>
      </c>
      <c r="M1166">
        <v>5.07</v>
      </c>
      <c r="N1166">
        <v>4.93</v>
      </c>
      <c r="O1166">
        <v>4.97</v>
      </c>
      <c r="P1166">
        <v>44.65</v>
      </c>
      <c r="Q1166">
        <v>15680402</v>
      </c>
      <c r="R1166">
        <v>1.43</v>
      </c>
      <c r="S1166" t="s">
        <v>80</v>
      </c>
      <c r="T1166" t="s">
        <v>87</v>
      </c>
      <c r="U1166">
        <v>2.82</v>
      </c>
      <c r="V1166">
        <v>5.02</v>
      </c>
      <c r="W1166">
        <v>14510</v>
      </c>
      <c r="X1166">
        <v>16749</v>
      </c>
      <c r="Y1166">
        <v>0.87</v>
      </c>
      <c r="Z1166">
        <v>395</v>
      </c>
      <c r="AA1166">
        <v>553</v>
      </c>
      <c r="AB1166" t="s">
        <v>32</v>
      </c>
      <c r="AC1166">
        <v>2.4</v>
      </c>
    </row>
    <row r="1167" spans="1:29">
      <c r="A1167" t="str">
        <f>"002709"</f>
        <v>002709</v>
      </c>
      <c r="B1167" t="s">
        <v>1334</v>
      </c>
      <c r="C1167">
        <v>0.29</v>
      </c>
      <c r="D1167">
        <v>37.69</v>
      </c>
      <c r="E1167">
        <v>0.11</v>
      </c>
      <c r="F1167">
        <v>37.68</v>
      </c>
      <c r="G1167">
        <v>37.69</v>
      </c>
      <c r="H1167">
        <v>51595</v>
      </c>
      <c r="I1167">
        <v>880</v>
      </c>
      <c r="J1167">
        <v>0.03</v>
      </c>
      <c r="K1167">
        <v>2.88</v>
      </c>
      <c r="L1167">
        <v>37.4</v>
      </c>
      <c r="M1167">
        <v>37.73</v>
      </c>
      <c r="N1167">
        <v>37.25</v>
      </c>
      <c r="O1167">
        <v>37.58</v>
      </c>
      <c r="P1167">
        <v>7.78</v>
      </c>
      <c r="Q1167">
        <v>193501616</v>
      </c>
      <c r="R1167">
        <v>1.06</v>
      </c>
      <c r="S1167" t="s">
        <v>218</v>
      </c>
      <c r="T1167" t="s">
        <v>136</v>
      </c>
      <c r="U1167">
        <v>1.28</v>
      </c>
      <c r="V1167">
        <v>37.5</v>
      </c>
      <c r="W1167">
        <v>28746</v>
      </c>
      <c r="X1167">
        <v>22848</v>
      </c>
      <c r="Y1167">
        <v>1.26</v>
      </c>
      <c r="Z1167">
        <v>483</v>
      </c>
      <c r="AA1167">
        <v>149</v>
      </c>
      <c r="AB1167" t="s">
        <v>32</v>
      </c>
      <c r="AC1167">
        <v>1.79</v>
      </c>
    </row>
    <row r="1168" spans="1:29">
      <c r="A1168" t="str">
        <f>"002711"</f>
        <v>002711</v>
      </c>
      <c r="B1168" t="s">
        <v>1335</v>
      </c>
      <c r="C1168">
        <v>2.66</v>
      </c>
      <c r="D1168">
        <v>5.02</v>
      </c>
      <c r="E1168">
        <v>0.13</v>
      </c>
      <c r="F1168">
        <v>5.01</v>
      </c>
      <c r="G1168">
        <v>5.02</v>
      </c>
      <c r="H1168">
        <v>336618</v>
      </c>
      <c r="I1168">
        <v>5399</v>
      </c>
      <c r="J1168">
        <v>0.2</v>
      </c>
      <c r="K1168">
        <v>3.21</v>
      </c>
      <c r="L1168">
        <v>4.9</v>
      </c>
      <c r="M1168">
        <v>5.06</v>
      </c>
      <c r="N1168">
        <v>4.86</v>
      </c>
      <c r="O1168">
        <v>4.89</v>
      </c>
      <c r="P1168">
        <v>7.95</v>
      </c>
      <c r="Q1168">
        <v>167781376</v>
      </c>
      <c r="R1168">
        <v>1.12</v>
      </c>
      <c r="S1168" t="s">
        <v>742</v>
      </c>
      <c r="T1168" t="s">
        <v>136</v>
      </c>
      <c r="U1168">
        <v>4.09</v>
      </c>
      <c r="V1168">
        <v>4.98</v>
      </c>
      <c r="W1168">
        <v>160346</v>
      </c>
      <c r="X1168">
        <v>176272</v>
      </c>
      <c r="Y1168">
        <v>0.91</v>
      </c>
      <c r="Z1168">
        <v>3174</v>
      </c>
      <c r="AA1168">
        <v>1918</v>
      </c>
      <c r="AB1168" t="s">
        <v>32</v>
      </c>
      <c r="AC1168">
        <v>10.49</v>
      </c>
    </row>
    <row r="1169" spans="1:29">
      <c r="A1169" t="str">
        <f>"002712"</f>
        <v>002712</v>
      </c>
      <c r="B1169" t="s">
        <v>1336</v>
      </c>
      <c r="C1169">
        <v>1.64</v>
      </c>
      <c r="D1169">
        <v>17.96</v>
      </c>
      <c r="E1169">
        <v>0.29</v>
      </c>
      <c r="F1169">
        <v>17.94</v>
      </c>
      <c r="G1169">
        <v>17.96</v>
      </c>
      <c r="H1169">
        <v>4243</v>
      </c>
      <c r="I1169">
        <v>104</v>
      </c>
      <c r="J1169">
        <v>-0.1</v>
      </c>
      <c r="K1169">
        <v>0.24</v>
      </c>
      <c r="L1169">
        <v>17.72</v>
      </c>
      <c r="M1169">
        <v>18.02</v>
      </c>
      <c r="N1169">
        <v>17.6</v>
      </c>
      <c r="O1169">
        <v>17.67</v>
      </c>
      <c r="P1169">
        <v>15.79</v>
      </c>
      <c r="Q1169">
        <v>7576619</v>
      </c>
      <c r="R1169">
        <v>1.36</v>
      </c>
      <c r="S1169" t="s">
        <v>91</v>
      </c>
      <c r="T1169" t="s">
        <v>149</v>
      </c>
      <c r="U1169">
        <v>2.38</v>
      </c>
      <c r="V1169">
        <v>17.86</v>
      </c>
      <c r="W1169">
        <v>1333</v>
      </c>
      <c r="X1169">
        <v>2909</v>
      </c>
      <c r="Y1169">
        <v>0.46</v>
      </c>
      <c r="Z1169">
        <v>14</v>
      </c>
      <c r="AA1169">
        <v>218</v>
      </c>
      <c r="AB1169" t="s">
        <v>32</v>
      </c>
      <c r="AC1169">
        <v>1.79</v>
      </c>
    </row>
    <row r="1170" spans="1:29">
      <c r="A1170" t="str">
        <f>"002713"</f>
        <v>002713</v>
      </c>
      <c r="B1170" t="s">
        <v>1337</v>
      </c>
      <c r="C1170">
        <v>2.72</v>
      </c>
      <c r="D1170">
        <v>20.8</v>
      </c>
      <c r="E1170">
        <v>0.55</v>
      </c>
      <c r="F1170">
        <v>20.8</v>
      </c>
      <c r="G1170">
        <v>20.82</v>
      </c>
      <c r="H1170">
        <v>10439</v>
      </c>
      <c r="I1170">
        <v>101</v>
      </c>
      <c r="J1170">
        <v>-0.37</v>
      </c>
      <c r="K1170">
        <v>1.38</v>
      </c>
      <c r="L1170">
        <v>20.29</v>
      </c>
      <c r="M1170">
        <v>21.1</v>
      </c>
      <c r="N1170">
        <v>20.2</v>
      </c>
      <c r="O1170">
        <v>20.25</v>
      </c>
      <c r="P1170" t="s">
        <v>32</v>
      </c>
      <c r="Q1170">
        <v>21673566</v>
      </c>
      <c r="R1170">
        <v>2.29</v>
      </c>
      <c r="S1170" t="s">
        <v>59</v>
      </c>
      <c r="T1170" t="s">
        <v>45</v>
      </c>
      <c r="U1170">
        <v>4.44</v>
      </c>
      <c r="V1170">
        <v>20.76</v>
      </c>
      <c r="W1170">
        <v>4179</v>
      </c>
      <c r="X1170">
        <v>6259</v>
      </c>
      <c r="Y1170">
        <v>0.67</v>
      </c>
      <c r="Z1170">
        <v>32</v>
      </c>
      <c r="AA1170">
        <v>29</v>
      </c>
      <c r="AB1170" t="s">
        <v>32</v>
      </c>
      <c r="AC1170">
        <v>0.76</v>
      </c>
    </row>
    <row r="1171" spans="1:29">
      <c r="A1171" t="str">
        <f>"002714"</f>
        <v>002714</v>
      </c>
      <c r="B1171" t="s">
        <v>1338</v>
      </c>
      <c r="C1171">
        <v>-1.18</v>
      </c>
      <c r="D1171">
        <v>27.7</v>
      </c>
      <c r="E1171">
        <v>-0.33</v>
      </c>
      <c r="F1171">
        <v>27.7</v>
      </c>
      <c r="G1171">
        <v>27.71</v>
      </c>
      <c r="H1171">
        <v>62909</v>
      </c>
      <c r="I1171">
        <v>678</v>
      </c>
      <c r="J1171">
        <v>0.18</v>
      </c>
      <c r="K1171">
        <v>0.59</v>
      </c>
      <c r="L1171">
        <v>28.03</v>
      </c>
      <c r="M1171">
        <v>28.09</v>
      </c>
      <c r="N1171">
        <v>27.42</v>
      </c>
      <c r="O1171">
        <v>28.03</v>
      </c>
      <c r="P1171">
        <v>106.15</v>
      </c>
      <c r="Q1171">
        <v>174580240</v>
      </c>
      <c r="R1171">
        <v>1.14</v>
      </c>
      <c r="S1171" t="s">
        <v>115</v>
      </c>
      <c r="T1171" t="s">
        <v>164</v>
      </c>
      <c r="U1171">
        <v>2.39</v>
      </c>
      <c r="V1171">
        <v>27.75</v>
      </c>
      <c r="W1171">
        <v>33853</v>
      </c>
      <c r="X1171">
        <v>29056</v>
      </c>
      <c r="Y1171">
        <v>1.17</v>
      </c>
      <c r="Z1171">
        <v>272</v>
      </c>
      <c r="AA1171">
        <v>70</v>
      </c>
      <c r="AB1171" t="s">
        <v>32</v>
      </c>
      <c r="AC1171">
        <v>10.74</v>
      </c>
    </row>
    <row r="1172" spans="1:29">
      <c r="A1172" t="str">
        <f>"002715"</f>
        <v>002715</v>
      </c>
      <c r="B1172" t="s">
        <v>1339</v>
      </c>
      <c r="C1172">
        <v>1.26</v>
      </c>
      <c r="D1172">
        <v>15.32</v>
      </c>
      <c r="E1172">
        <v>0.19</v>
      </c>
      <c r="F1172">
        <v>15.32</v>
      </c>
      <c r="G1172">
        <v>15.33</v>
      </c>
      <c r="H1172">
        <v>12292</v>
      </c>
      <c r="I1172">
        <v>397</v>
      </c>
      <c r="J1172">
        <v>0</v>
      </c>
      <c r="K1172">
        <v>1.49</v>
      </c>
      <c r="L1172">
        <v>15.04</v>
      </c>
      <c r="M1172">
        <v>15.47</v>
      </c>
      <c r="N1172">
        <v>15.01</v>
      </c>
      <c r="O1172">
        <v>15.13</v>
      </c>
      <c r="P1172">
        <v>162.73</v>
      </c>
      <c r="Q1172">
        <v>18760986</v>
      </c>
      <c r="R1172">
        <v>0.81</v>
      </c>
      <c r="S1172" t="s">
        <v>80</v>
      </c>
      <c r="T1172" t="s">
        <v>136</v>
      </c>
      <c r="U1172">
        <v>3.04</v>
      </c>
      <c r="V1172">
        <v>15.26</v>
      </c>
      <c r="W1172">
        <v>6711</v>
      </c>
      <c r="X1172">
        <v>5580</v>
      </c>
      <c r="Y1172">
        <v>1.2</v>
      </c>
      <c r="Z1172">
        <v>133</v>
      </c>
      <c r="AA1172">
        <v>13</v>
      </c>
      <c r="AB1172" t="s">
        <v>32</v>
      </c>
      <c r="AC1172">
        <v>0.82</v>
      </c>
    </row>
    <row r="1173" spans="1:29">
      <c r="A1173" t="str">
        <f>"002716"</f>
        <v>002716</v>
      </c>
      <c r="B1173" t="s">
        <v>1340</v>
      </c>
      <c r="C1173" t="s">
        <v>32</v>
      </c>
      <c r="D1173">
        <v>9.85</v>
      </c>
      <c r="E1173" t="s">
        <v>32</v>
      </c>
      <c r="F1173" t="s">
        <v>32</v>
      </c>
      <c r="G1173" t="s">
        <v>32</v>
      </c>
      <c r="H1173">
        <v>0</v>
      </c>
      <c r="I1173">
        <v>0</v>
      </c>
      <c r="J1173" t="s">
        <v>32</v>
      </c>
      <c r="K1173">
        <v>0</v>
      </c>
      <c r="L1173" t="s">
        <v>32</v>
      </c>
      <c r="M1173" t="s">
        <v>32</v>
      </c>
      <c r="N1173" t="s">
        <v>32</v>
      </c>
      <c r="O1173">
        <v>9.85</v>
      </c>
      <c r="P1173">
        <v>34.46</v>
      </c>
      <c r="Q1173">
        <v>0</v>
      </c>
      <c r="R1173">
        <v>0</v>
      </c>
      <c r="S1173" t="s">
        <v>356</v>
      </c>
      <c r="T1173" t="s">
        <v>152</v>
      </c>
      <c r="U1173">
        <v>0</v>
      </c>
      <c r="V1173">
        <v>9.85</v>
      </c>
      <c r="W1173">
        <v>0</v>
      </c>
      <c r="X1173">
        <v>0</v>
      </c>
      <c r="Y1173" t="s">
        <v>32</v>
      </c>
      <c r="Z1173">
        <v>0</v>
      </c>
      <c r="AA1173">
        <v>0</v>
      </c>
      <c r="AB1173" t="s">
        <v>32</v>
      </c>
      <c r="AC1173">
        <v>5.42</v>
      </c>
    </row>
    <row r="1174" spans="1:29">
      <c r="A1174" t="str">
        <f>"002717"</f>
        <v>002717</v>
      </c>
      <c r="B1174" t="s">
        <v>1341</v>
      </c>
      <c r="C1174">
        <v>6.77</v>
      </c>
      <c r="D1174">
        <v>11.2</v>
      </c>
      <c r="E1174">
        <v>0.71</v>
      </c>
      <c r="F1174">
        <v>11.2</v>
      </c>
      <c r="G1174">
        <v>11.21</v>
      </c>
      <c r="H1174">
        <v>205767</v>
      </c>
      <c r="I1174">
        <v>2170</v>
      </c>
      <c r="J1174">
        <v>0.18</v>
      </c>
      <c r="K1174">
        <v>3.87</v>
      </c>
      <c r="L1174">
        <v>10.67</v>
      </c>
      <c r="M1174">
        <v>11.34</v>
      </c>
      <c r="N1174">
        <v>10.67</v>
      </c>
      <c r="O1174">
        <v>10.49</v>
      </c>
      <c r="P1174">
        <v>32.01</v>
      </c>
      <c r="Q1174">
        <v>226771216</v>
      </c>
      <c r="R1174">
        <v>1.65</v>
      </c>
      <c r="S1174" t="s">
        <v>86</v>
      </c>
      <c r="T1174" t="s">
        <v>136</v>
      </c>
      <c r="U1174">
        <v>6.39</v>
      </c>
      <c r="V1174">
        <v>11.02</v>
      </c>
      <c r="W1174">
        <v>90753</v>
      </c>
      <c r="X1174">
        <v>115013</v>
      </c>
      <c r="Y1174">
        <v>0.79</v>
      </c>
      <c r="Z1174">
        <v>566</v>
      </c>
      <c r="AA1174">
        <v>738</v>
      </c>
      <c r="AB1174" t="s">
        <v>32</v>
      </c>
      <c r="AC1174">
        <v>5.31</v>
      </c>
    </row>
    <row r="1175" spans="1:29">
      <c r="A1175" t="str">
        <f>"002718"</f>
        <v>002718</v>
      </c>
      <c r="B1175" t="s">
        <v>1342</v>
      </c>
      <c r="C1175">
        <v>1.32</v>
      </c>
      <c r="D1175">
        <v>32.13</v>
      </c>
      <c r="E1175">
        <v>0.42</v>
      </c>
      <c r="F1175">
        <v>32.13</v>
      </c>
      <c r="G1175">
        <v>32.14</v>
      </c>
      <c r="H1175">
        <v>11192</v>
      </c>
      <c r="I1175">
        <v>167</v>
      </c>
      <c r="J1175">
        <v>0.16</v>
      </c>
      <c r="K1175">
        <v>4.3</v>
      </c>
      <c r="L1175">
        <v>31.73</v>
      </c>
      <c r="M1175">
        <v>32.25</v>
      </c>
      <c r="N1175">
        <v>31.56</v>
      </c>
      <c r="O1175">
        <v>31.71</v>
      </c>
      <c r="P1175">
        <v>61.93</v>
      </c>
      <c r="Q1175">
        <v>35718008</v>
      </c>
      <c r="R1175">
        <v>3.33</v>
      </c>
      <c r="S1175" t="s">
        <v>545</v>
      </c>
      <c r="T1175" t="s">
        <v>149</v>
      </c>
      <c r="U1175">
        <v>2.18</v>
      </c>
      <c r="V1175">
        <v>31.91</v>
      </c>
      <c r="W1175">
        <v>4623</v>
      </c>
      <c r="X1175">
        <v>6569</v>
      </c>
      <c r="Y1175">
        <v>0.7</v>
      </c>
      <c r="Z1175">
        <v>135</v>
      </c>
      <c r="AA1175">
        <v>68</v>
      </c>
      <c r="AB1175" t="s">
        <v>32</v>
      </c>
      <c r="AC1175">
        <v>0.26</v>
      </c>
    </row>
    <row r="1176" spans="1:29">
      <c r="A1176" t="str">
        <f>"002719"</f>
        <v>002719</v>
      </c>
      <c r="B1176" t="s">
        <v>1343</v>
      </c>
      <c r="C1176" t="s">
        <v>32</v>
      </c>
      <c r="D1176">
        <v>15.34</v>
      </c>
      <c r="E1176" t="s">
        <v>32</v>
      </c>
      <c r="F1176" t="s">
        <v>32</v>
      </c>
      <c r="G1176" t="s">
        <v>32</v>
      </c>
      <c r="H1176">
        <v>0</v>
      </c>
      <c r="I1176">
        <v>0</v>
      </c>
      <c r="J1176" t="s">
        <v>32</v>
      </c>
      <c r="K1176">
        <v>0</v>
      </c>
      <c r="L1176" t="s">
        <v>32</v>
      </c>
      <c r="M1176" t="s">
        <v>32</v>
      </c>
      <c r="N1176" t="s">
        <v>32</v>
      </c>
      <c r="O1176">
        <v>15.34</v>
      </c>
      <c r="P1176">
        <v>74.91</v>
      </c>
      <c r="Q1176">
        <v>0</v>
      </c>
      <c r="R1176">
        <v>0</v>
      </c>
      <c r="S1176" t="s">
        <v>953</v>
      </c>
      <c r="T1176" t="s">
        <v>156</v>
      </c>
      <c r="U1176">
        <v>0</v>
      </c>
      <c r="V1176">
        <v>15.34</v>
      </c>
      <c r="W1176">
        <v>0</v>
      </c>
      <c r="X1176">
        <v>0</v>
      </c>
      <c r="Y1176" t="s">
        <v>32</v>
      </c>
      <c r="Z1176">
        <v>0</v>
      </c>
      <c r="AA1176">
        <v>0</v>
      </c>
      <c r="AB1176" t="s">
        <v>32</v>
      </c>
      <c r="AC1176">
        <v>1.01</v>
      </c>
    </row>
    <row r="1177" spans="1:29">
      <c r="A1177" t="str">
        <f>"002721"</f>
        <v>002721</v>
      </c>
      <c r="B1177" t="s">
        <v>1344</v>
      </c>
      <c r="C1177">
        <v>3.66</v>
      </c>
      <c r="D1177">
        <v>7.93</v>
      </c>
      <c r="E1177">
        <v>0.28</v>
      </c>
      <c r="F1177">
        <v>7.93</v>
      </c>
      <c r="G1177">
        <v>7.94</v>
      </c>
      <c r="H1177">
        <v>264482</v>
      </c>
      <c r="I1177">
        <v>3538</v>
      </c>
      <c r="J1177">
        <v>0</v>
      </c>
      <c r="K1177">
        <v>5.05</v>
      </c>
      <c r="L1177">
        <v>7.62</v>
      </c>
      <c r="M1177">
        <v>8.17</v>
      </c>
      <c r="N1177">
        <v>7.62</v>
      </c>
      <c r="O1177">
        <v>7.65</v>
      </c>
      <c r="P1177">
        <v>13.58</v>
      </c>
      <c r="Q1177">
        <v>207856464</v>
      </c>
      <c r="R1177">
        <v>1.03</v>
      </c>
      <c r="S1177" t="s">
        <v>622</v>
      </c>
      <c r="T1177" t="s">
        <v>45</v>
      </c>
      <c r="U1177">
        <v>7.19</v>
      </c>
      <c r="V1177">
        <v>7.86</v>
      </c>
      <c r="W1177">
        <v>129764</v>
      </c>
      <c r="X1177">
        <v>134717</v>
      </c>
      <c r="Y1177">
        <v>0.96</v>
      </c>
      <c r="Z1177">
        <v>218</v>
      </c>
      <c r="AA1177">
        <v>474</v>
      </c>
      <c r="AB1177" t="s">
        <v>32</v>
      </c>
      <c r="AC1177">
        <v>5.24</v>
      </c>
    </row>
    <row r="1178" spans="1:29">
      <c r="A1178" t="str">
        <f>"002722"</f>
        <v>002722</v>
      </c>
      <c r="B1178" t="s">
        <v>1345</v>
      </c>
      <c r="C1178">
        <v>0.53</v>
      </c>
      <c r="D1178">
        <v>17.09</v>
      </c>
      <c r="E1178">
        <v>0.09</v>
      </c>
      <c r="F1178">
        <v>17.09</v>
      </c>
      <c r="G1178">
        <v>17.1</v>
      </c>
      <c r="H1178">
        <v>16760</v>
      </c>
      <c r="I1178">
        <v>192</v>
      </c>
      <c r="J1178">
        <v>-0.05</v>
      </c>
      <c r="K1178">
        <v>1.51</v>
      </c>
      <c r="L1178">
        <v>17.1</v>
      </c>
      <c r="M1178">
        <v>17.2</v>
      </c>
      <c r="N1178">
        <v>16.91</v>
      </c>
      <c r="O1178">
        <v>17</v>
      </c>
      <c r="P1178">
        <v>35.39</v>
      </c>
      <c r="Q1178">
        <v>28605050</v>
      </c>
      <c r="R1178">
        <v>0.86</v>
      </c>
      <c r="S1178" t="s">
        <v>363</v>
      </c>
      <c r="T1178" t="s">
        <v>87</v>
      </c>
      <c r="U1178">
        <v>1.71</v>
      </c>
      <c r="V1178">
        <v>17.07</v>
      </c>
      <c r="W1178">
        <v>8289</v>
      </c>
      <c r="X1178">
        <v>8470</v>
      </c>
      <c r="Y1178">
        <v>0.98</v>
      </c>
      <c r="Z1178">
        <v>744</v>
      </c>
      <c r="AA1178">
        <v>135</v>
      </c>
      <c r="AB1178" t="s">
        <v>32</v>
      </c>
      <c r="AC1178">
        <v>1.11</v>
      </c>
    </row>
    <row r="1179" spans="1:29">
      <c r="A1179" t="str">
        <f>"002723"</f>
        <v>002723</v>
      </c>
      <c r="B1179" t="s">
        <v>1346</v>
      </c>
      <c r="C1179" t="s">
        <v>32</v>
      </c>
      <c r="D1179">
        <v>16.2</v>
      </c>
      <c r="E1179" t="s">
        <v>32</v>
      </c>
      <c r="F1179" t="s">
        <v>32</v>
      </c>
      <c r="G1179" t="s">
        <v>32</v>
      </c>
      <c r="H1179">
        <v>0</v>
      </c>
      <c r="I1179">
        <v>0</v>
      </c>
      <c r="J1179" t="s">
        <v>32</v>
      </c>
      <c r="K1179">
        <v>0</v>
      </c>
      <c r="L1179" t="s">
        <v>32</v>
      </c>
      <c r="M1179" t="s">
        <v>32</v>
      </c>
      <c r="N1179" t="s">
        <v>32</v>
      </c>
      <c r="O1179">
        <v>16.2</v>
      </c>
      <c r="P1179" t="s">
        <v>32</v>
      </c>
      <c r="Q1179">
        <v>0</v>
      </c>
      <c r="R1179">
        <v>0</v>
      </c>
      <c r="S1179" t="s">
        <v>55</v>
      </c>
      <c r="T1179" t="s">
        <v>136</v>
      </c>
      <c r="U1179">
        <v>0</v>
      </c>
      <c r="V1179">
        <v>16.2</v>
      </c>
      <c r="W1179">
        <v>0</v>
      </c>
      <c r="X1179">
        <v>0</v>
      </c>
      <c r="Y1179" t="s">
        <v>32</v>
      </c>
      <c r="Z1179">
        <v>0</v>
      </c>
      <c r="AA1179">
        <v>0</v>
      </c>
      <c r="AB1179" t="s">
        <v>32</v>
      </c>
      <c r="AC1179">
        <v>1.26</v>
      </c>
    </row>
    <row r="1180" spans="1:29">
      <c r="A1180" t="str">
        <f>"002724"</f>
        <v>002724</v>
      </c>
      <c r="B1180" t="s">
        <v>1347</v>
      </c>
      <c r="C1180">
        <v>-1.11</v>
      </c>
      <c r="D1180">
        <v>6.21</v>
      </c>
      <c r="E1180">
        <v>-0.07</v>
      </c>
      <c r="F1180">
        <v>6.21</v>
      </c>
      <c r="G1180">
        <v>6.22</v>
      </c>
      <c r="H1180">
        <v>26888</v>
      </c>
      <c r="I1180">
        <v>647</v>
      </c>
      <c r="J1180">
        <v>-0.15</v>
      </c>
      <c r="K1180">
        <v>0.81</v>
      </c>
      <c r="L1180">
        <v>6.28</v>
      </c>
      <c r="M1180">
        <v>6.28</v>
      </c>
      <c r="N1180">
        <v>6.18</v>
      </c>
      <c r="O1180">
        <v>6.28</v>
      </c>
      <c r="P1180">
        <v>62.53</v>
      </c>
      <c r="Q1180">
        <v>16718897</v>
      </c>
      <c r="R1180">
        <v>0.74</v>
      </c>
      <c r="S1180" t="s">
        <v>699</v>
      </c>
      <c r="T1180" t="s">
        <v>31</v>
      </c>
      <c r="U1180">
        <v>1.59</v>
      </c>
      <c r="V1180">
        <v>6.22</v>
      </c>
      <c r="W1180">
        <v>20596</v>
      </c>
      <c r="X1180">
        <v>6292</v>
      </c>
      <c r="Y1180">
        <v>3.27</v>
      </c>
      <c r="Z1180">
        <v>191</v>
      </c>
      <c r="AA1180">
        <v>30</v>
      </c>
      <c r="AB1180" t="s">
        <v>32</v>
      </c>
      <c r="AC1180">
        <v>3.32</v>
      </c>
    </row>
    <row r="1181" spans="1:29">
      <c r="A1181" t="str">
        <f>"002725"</f>
        <v>002725</v>
      </c>
      <c r="B1181" t="s">
        <v>1348</v>
      </c>
      <c r="C1181">
        <v>3.99</v>
      </c>
      <c r="D1181">
        <v>11.48</v>
      </c>
      <c r="E1181">
        <v>0.44</v>
      </c>
      <c r="F1181">
        <v>11.47</v>
      </c>
      <c r="G1181">
        <v>11.48</v>
      </c>
      <c r="H1181">
        <v>108906</v>
      </c>
      <c r="I1181">
        <v>2380</v>
      </c>
      <c r="J1181">
        <v>-0.08</v>
      </c>
      <c r="K1181">
        <v>9.92</v>
      </c>
      <c r="L1181">
        <v>11.02</v>
      </c>
      <c r="M1181">
        <v>11.5</v>
      </c>
      <c r="N1181">
        <v>10.95</v>
      </c>
      <c r="O1181">
        <v>11.04</v>
      </c>
      <c r="P1181">
        <v>173.04</v>
      </c>
      <c r="Q1181">
        <v>122701096</v>
      </c>
      <c r="R1181">
        <v>0.93</v>
      </c>
      <c r="S1181" t="s">
        <v>80</v>
      </c>
      <c r="T1181" t="s">
        <v>149</v>
      </c>
      <c r="U1181">
        <v>4.98</v>
      </c>
      <c r="V1181">
        <v>11.27</v>
      </c>
      <c r="W1181">
        <v>49609</v>
      </c>
      <c r="X1181">
        <v>59297</v>
      </c>
      <c r="Y1181">
        <v>0.84</v>
      </c>
      <c r="Z1181">
        <v>864</v>
      </c>
      <c r="AA1181">
        <v>867</v>
      </c>
      <c r="AB1181" t="s">
        <v>32</v>
      </c>
      <c r="AC1181">
        <v>1.1</v>
      </c>
    </row>
    <row r="1182" spans="1:29">
      <c r="A1182" t="str">
        <f>"002726"</f>
        <v>002726</v>
      </c>
      <c r="B1182" t="s">
        <v>1349</v>
      </c>
      <c r="C1182">
        <v>8.75</v>
      </c>
      <c r="D1182">
        <v>7.58</v>
      </c>
      <c r="E1182">
        <v>0.61</v>
      </c>
      <c r="F1182">
        <v>7.58</v>
      </c>
      <c r="G1182">
        <v>7.59</v>
      </c>
      <c r="H1182">
        <v>60218</v>
      </c>
      <c r="I1182">
        <v>2959</v>
      </c>
      <c r="J1182">
        <v>3.69</v>
      </c>
      <c r="K1182">
        <v>0.8</v>
      </c>
      <c r="L1182">
        <v>7</v>
      </c>
      <c r="M1182">
        <v>7.58</v>
      </c>
      <c r="N1182">
        <v>6.92</v>
      </c>
      <c r="O1182">
        <v>6.97</v>
      </c>
      <c r="P1182">
        <v>18.19</v>
      </c>
      <c r="Q1182">
        <v>42962708</v>
      </c>
      <c r="R1182">
        <v>1.78</v>
      </c>
      <c r="S1182" t="s">
        <v>213</v>
      </c>
      <c r="T1182" t="s">
        <v>162</v>
      </c>
      <c r="U1182">
        <v>9.47</v>
      </c>
      <c r="V1182">
        <v>7.13</v>
      </c>
      <c r="W1182">
        <v>27210</v>
      </c>
      <c r="X1182">
        <v>33007</v>
      </c>
      <c r="Y1182">
        <v>0.82</v>
      </c>
      <c r="Z1182">
        <v>2143</v>
      </c>
      <c r="AA1182">
        <v>356</v>
      </c>
      <c r="AB1182" t="s">
        <v>32</v>
      </c>
      <c r="AC1182">
        <v>7.51</v>
      </c>
    </row>
    <row r="1183" spans="1:29">
      <c r="A1183" t="str">
        <f>"002727"</f>
        <v>002727</v>
      </c>
      <c r="B1183" t="s">
        <v>1350</v>
      </c>
      <c r="C1183">
        <v>4.02</v>
      </c>
      <c r="D1183">
        <v>32.9</v>
      </c>
      <c r="E1183">
        <v>1.27</v>
      </c>
      <c r="F1183">
        <v>32.88</v>
      </c>
      <c r="G1183">
        <v>32.9</v>
      </c>
      <c r="H1183">
        <v>42308</v>
      </c>
      <c r="I1183">
        <v>578</v>
      </c>
      <c r="J1183">
        <v>0.12</v>
      </c>
      <c r="K1183">
        <v>1.58</v>
      </c>
      <c r="L1183">
        <v>32.08</v>
      </c>
      <c r="M1183">
        <v>32.96</v>
      </c>
      <c r="N1183">
        <v>31.62</v>
      </c>
      <c r="O1183">
        <v>31.63</v>
      </c>
      <c r="P1183">
        <v>35.56</v>
      </c>
      <c r="Q1183">
        <v>136877136</v>
      </c>
      <c r="R1183">
        <v>0.91</v>
      </c>
      <c r="S1183" t="s">
        <v>77</v>
      </c>
      <c r="T1183" t="s">
        <v>250</v>
      </c>
      <c r="U1183">
        <v>4.24</v>
      </c>
      <c r="V1183">
        <v>32.35</v>
      </c>
      <c r="W1183">
        <v>18755</v>
      </c>
      <c r="X1183">
        <v>23552</v>
      </c>
      <c r="Y1183">
        <v>0.8</v>
      </c>
      <c r="Z1183">
        <v>5</v>
      </c>
      <c r="AA1183">
        <v>99</v>
      </c>
      <c r="AB1183" t="s">
        <v>32</v>
      </c>
      <c r="AC1183">
        <v>2.67</v>
      </c>
    </row>
    <row r="1184" spans="1:29">
      <c r="A1184" t="str">
        <f>"002728"</f>
        <v>002728</v>
      </c>
      <c r="B1184" t="s">
        <v>1351</v>
      </c>
      <c r="C1184">
        <v>1.01</v>
      </c>
      <c r="D1184">
        <v>16.03</v>
      </c>
      <c r="E1184">
        <v>0.16</v>
      </c>
      <c r="F1184">
        <v>16.02</v>
      </c>
      <c r="G1184">
        <v>16.03</v>
      </c>
      <c r="H1184">
        <v>5840</v>
      </c>
      <c r="I1184">
        <v>26</v>
      </c>
      <c r="J1184">
        <v>0.06</v>
      </c>
      <c r="K1184">
        <v>0.49</v>
      </c>
      <c r="L1184">
        <v>15.81</v>
      </c>
      <c r="M1184">
        <v>16.04</v>
      </c>
      <c r="N1184">
        <v>15.67</v>
      </c>
      <c r="O1184">
        <v>15.87</v>
      </c>
      <c r="P1184">
        <v>32.33</v>
      </c>
      <c r="Q1184">
        <v>9331743</v>
      </c>
      <c r="R1184">
        <v>1.11</v>
      </c>
      <c r="S1184" t="s">
        <v>195</v>
      </c>
      <c r="T1184" t="s">
        <v>136</v>
      </c>
      <c r="U1184">
        <v>2.33</v>
      </c>
      <c r="V1184">
        <v>15.98</v>
      </c>
      <c r="W1184">
        <v>2436</v>
      </c>
      <c r="X1184">
        <v>3404</v>
      </c>
      <c r="Y1184">
        <v>0.72</v>
      </c>
      <c r="Z1184">
        <v>54</v>
      </c>
      <c r="AA1184">
        <v>45</v>
      </c>
      <c r="AB1184" t="s">
        <v>32</v>
      </c>
      <c r="AC1184">
        <v>1.19</v>
      </c>
    </row>
    <row r="1185" spans="1:29">
      <c r="A1185" t="str">
        <f>"002729"</f>
        <v>002729</v>
      </c>
      <c r="B1185" t="s">
        <v>1352</v>
      </c>
      <c r="C1185">
        <v>1.12</v>
      </c>
      <c r="D1185">
        <v>27.08</v>
      </c>
      <c r="E1185">
        <v>0.3</v>
      </c>
      <c r="F1185">
        <v>27.08</v>
      </c>
      <c r="G1185">
        <v>27.09</v>
      </c>
      <c r="H1185">
        <v>12572</v>
      </c>
      <c r="I1185">
        <v>236</v>
      </c>
      <c r="J1185">
        <v>-0.03</v>
      </c>
      <c r="K1185">
        <v>1.89</v>
      </c>
      <c r="L1185">
        <v>26.8</v>
      </c>
      <c r="M1185">
        <v>27.68</v>
      </c>
      <c r="N1185">
        <v>26.47</v>
      </c>
      <c r="O1185">
        <v>26.78</v>
      </c>
      <c r="P1185">
        <v>106.21</v>
      </c>
      <c r="Q1185">
        <v>34144180</v>
      </c>
      <c r="R1185">
        <v>0.81</v>
      </c>
      <c r="S1185" t="s">
        <v>63</v>
      </c>
      <c r="T1185" t="s">
        <v>236</v>
      </c>
      <c r="U1185">
        <v>4.52</v>
      </c>
      <c r="V1185">
        <v>27.16</v>
      </c>
      <c r="W1185">
        <v>6595</v>
      </c>
      <c r="X1185">
        <v>5977</v>
      </c>
      <c r="Y1185">
        <v>1.1</v>
      </c>
      <c r="Z1185">
        <v>67</v>
      </c>
      <c r="AA1185">
        <v>122</v>
      </c>
      <c r="AB1185" t="s">
        <v>32</v>
      </c>
      <c r="AC1185">
        <v>0.67</v>
      </c>
    </row>
    <row r="1186" spans="1:29">
      <c r="A1186" t="str">
        <f>"002730"</f>
        <v>002730</v>
      </c>
      <c r="B1186" t="s">
        <v>1353</v>
      </c>
      <c r="C1186">
        <v>2.05</v>
      </c>
      <c r="D1186">
        <v>7.95</v>
      </c>
      <c r="E1186">
        <v>0.16</v>
      </c>
      <c r="F1186">
        <v>7.94</v>
      </c>
      <c r="G1186">
        <v>7.95</v>
      </c>
      <c r="H1186">
        <v>12679</v>
      </c>
      <c r="I1186">
        <v>151</v>
      </c>
      <c r="J1186">
        <v>0.25</v>
      </c>
      <c r="K1186">
        <v>0.44</v>
      </c>
      <c r="L1186">
        <v>7.79</v>
      </c>
      <c r="M1186">
        <v>7.96</v>
      </c>
      <c r="N1186">
        <v>7.79</v>
      </c>
      <c r="O1186">
        <v>7.79</v>
      </c>
      <c r="P1186">
        <v>82.02</v>
      </c>
      <c r="Q1186">
        <v>10021910</v>
      </c>
      <c r="R1186">
        <v>1.23</v>
      </c>
      <c r="S1186" t="s">
        <v>104</v>
      </c>
      <c r="T1186" t="s">
        <v>149</v>
      </c>
      <c r="U1186">
        <v>2.18</v>
      </c>
      <c r="V1186">
        <v>7.9</v>
      </c>
      <c r="W1186">
        <v>5198</v>
      </c>
      <c r="X1186">
        <v>7480</v>
      </c>
      <c r="Y1186">
        <v>0.69</v>
      </c>
      <c r="Z1186">
        <v>308</v>
      </c>
      <c r="AA1186">
        <v>620</v>
      </c>
      <c r="AB1186" t="s">
        <v>32</v>
      </c>
      <c r="AC1186">
        <v>2.9</v>
      </c>
    </row>
    <row r="1187" spans="1:29">
      <c r="A1187" t="str">
        <f>"002731"</f>
        <v>002731</v>
      </c>
      <c r="B1187" t="s">
        <v>1354</v>
      </c>
      <c r="C1187">
        <v>0.19</v>
      </c>
      <c r="D1187">
        <v>15.86</v>
      </c>
      <c r="E1187">
        <v>0.03</v>
      </c>
      <c r="F1187">
        <v>15.86</v>
      </c>
      <c r="G1187">
        <v>15.88</v>
      </c>
      <c r="H1187">
        <v>6699</v>
      </c>
      <c r="I1187">
        <v>77</v>
      </c>
      <c r="J1187">
        <v>-0.12</v>
      </c>
      <c r="K1187">
        <v>0.52</v>
      </c>
      <c r="L1187">
        <v>15.7</v>
      </c>
      <c r="M1187">
        <v>15.98</v>
      </c>
      <c r="N1187">
        <v>15.7</v>
      </c>
      <c r="O1187">
        <v>15.83</v>
      </c>
      <c r="P1187">
        <v>93.16</v>
      </c>
      <c r="Q1187">
        <v>10635996</v>
      </c>
      <c r="R1187">
        <v>0.93</v>
      </c>
      <c r="S1187" t="s">
        <v>622</v>
      </c>
      <c r="T1187" t="s">
        <v>111</v>
      </c>
      <c r="U1187">
        <v>1.77</v>
      </c>
      <c r="V1187">
        <v>15.88</v>
      </c>
      <c r="W1187">
        <v>2317</v>
      </c>
      <c r="X1187">
        <v>4382</v>
      </c>
      <c r="Y1187">
        <v>0.53</v>
      </c>
      <c r="Z1187">
        <v>88</v>
      </c>
      <c r="AA1187">
        <v>20</v>
      </c>
      <c r="AB1187" t="s">
        <v>32</v>
      </c>
      <c r="AC1187">
        <v>1.28</v>
      </c>
    </row>
    <row r="1188" spans="1:29">
      <c r="A1188" t="str">
        <f>"002732"</f>
        <v>002732</v>
      </c>
      <c r="B1188" t="s">
        <v>1355</v>
      </c>
      <c r="C1188">
        <v>1.45</v>
      </c>
      <c r="D1188">
        <v>20.92</v>
      </c>
      <c r="E1188">
        <v>0.3</v>
      </c>
      <c r="F1188">
        <v>20.9</v>
      </c>
      <c r="G1188">
        <v>20.92</v>
      </c>
      <c r="H1188">
        <v>7133</v>
      </c>
      <c r="I1188">
        <v>339</v>
      </c>
      <c r="J1188">
        <v>0.48</v>
      </c>
      <c r="K1188">
        <v>0.46</v>
      </c>
      <c r="L1188">
        <v>20.47</v>
      </c>
      <c r="M1188">
        <v>20.98</v>
      </c>
      <c r="N1188">
        <v>20.47</v>
      </c>
      <c r="O1188">
        <v>20.62</v>
      </c>
      <c r="P1188">
        <v>86.58</v>
      </c>
      <c r="Q1188">
        <v>14863730</v>
      </c>
      <c r="R1188">
        <v>1.35</v>
      </c>
      <c r="S1188" t="s">
        <v>953</v>
      </c>
      <c r="T1188" t="s">
        <v>136</v>
      </c>
      <c r="U1188">
        <v>2.47</v>
      </c>
      <c r="V1188">
        <v>20.84</v>
      </c>
      <c r="W1188">
        <v>3117</v>
      </c>
      <c r="X1188">
        <v>4016</v>
      </c>
      <c r="Y1188">
        <v>0.78</v>
      </c>
      <c r="Z1188">
        <v>7</v>
      </c>
      <c r="AA1188">
        <v>11</v>
      </c>
      <c r="AB1188" t="s">
        <v>32</v>
      </c>
      <c r="AC1188">
        <v>1.56</v>
      </c>
    </row>
    <row r="1189" spans="1:29">
      <c r="A1189" t="str">
        <f>"002733"</f>
        <v>002733</v>
      </c>
      <c r="B1189" t="s">
        <v>1356</v>
      </c>
      <c r="C1189">
        <v>1.68</v>
      </c>
      <c r="D1189">
        <v>10.27</v>
      </c>
      <c r="E1189">
        <v>0.17</v>
      </c>
      <c r="F1189">
        <v>10.27</v>
      </c>
      <c r="G1189">
        <v>10.28</v>
      </c>
      <c r="H1189">
        <v>25273</v>
      </c>
      <c r="I1189">
        <v>86</v>
      </c>
      <c r="J1189">
        <v>0.1</v>
      </c>
      <c r="K1189">
        <v>0.81</v>
      </c>
      <c r="L1189">
        <v>10.12</v>
      </c>
      <c r="M1189">
        <v>10.31</v>
      </c>
      <c r="N1189">
        <v>10.03</v>
      </c>
      <c r="O1189">
        <v>10.1</v>
      </c>
      <c r="P1189" t="s">
        <v>32</v>
      </c>
      <c r="Q1189">
        <v>25782142</v>
      </c>
      <c r="R1189">
        <v>1.04</v>
      </c>
      <c r="S1189" t="s">
        <v>104</v>
      </c>
      <c r="T1189" t="s">
        <v>31</v>
      </c>
      <c r="U1189">
        <v>2.77</v>
      </c>
      <c r="V1189">
        <v>10.2</v>
      </c>
      <c r="W1189">
        <v>12031</v>
      </c>
      <c r="X1189">
        <v>13242</v>
      </c>
      <c r="Y1189">
        <v>0.91</v>
      </c>
      <c r="Z1189">
        <v>46</v>
      </c>
      <c r="AA1189">
        <v>589</v>
      </c>
      <c r="AB1189" t="s">
        <v>32</v>
      </c>
      <c r="AC1189">
        <v>3.12</v>
      </c>
    </row>
    <row r="1190" spans="1:29">
      <c r="A1190" t="str">
        <f>"002734"</f>
        <v>002734</v>
      </c>
      <c r="B1190" t="s">
        <v>1357</v>
      </c>
      <c r="C1190">
        <v>4.14</v>
      </c>
      <c r="D1190">
        <v>11.31</v>
      </c>
      <c r="E1190">
        <v>0.45</v>
      </c>
      <c r="F1190">
        <v>11.31</v>
      </c>
      <c r="G1190">
        <v>11.32</v>
      </c>
      <c r="H1190">
        <v>22468</v>
      </c>
      <c r="I1190">
        <v>150</v>
      </c>
      <c r="J1190">
        <v>0</v>
      </c>
      <c r="K1190">
        <v>1.59</v>
      </c>
      <c r="L1190">
        <v>10.87</v>
      </c>
      <c r="M1190">
        <v>11.4</v>
      </c>
      <c r="N1190">
        <v>10.87</v>
      </c>
      <c r="O1190">
        <v>10.86</v>
      </c>
      <c r="P1190">
        <v>13.47</v>
      </c>
      <c r="Q1190">
        <v>25212418</v>
      </c>
      <c r="R1190">
        <v>2.6</v>
      </c>
      <c r="S1190" t="s">
        <v>145</v>
      </c>
      <c r="T1190" t="s">
        <v>87</v>
      </c>
      <c r="U1190">
        <v>4.88</v>
      </c>
      <c r="V1190">
        <v>11.22</v>
      </c>
      <c r="W1190">
        <v>8900</v>
      </c>
      <c r="X1190">
        <v>13568</v>
      </c>
      <c r="Y1190">
        <v>0.66</v>
      </c>
      <c r="Z1190">
        <v>53</v>
      </c>
      <c r="AA1190">
        <v>173</v>
      </c>
      <c r="AB1190" t="s">
        <v>32</v>
      </c>
      <c r="AC1190">
        <v>1.42</v>
      </c>
    </row>
    <row r="1191" spans="1:29">
      <c r="A1191" t="str">
        <f>"002735"</f>
        <v>002735</v>
      </c>
      <c r="B1191" t="s">
        <v>1358</v>
      </c>
      <c r="C1191">
        <v>0.71</v>
      </c>
      <c r="D1191">
        <v>31.09</v>
      </c>
      <c r="E1191">
        <v>0.22</v>
      </c>
      <c r="F1191">
        <v>31.05</v>
      </c>
      <c r="G1191">
        <v>31.09</v>
      </c>
      <c r="H1191">
        <v>1711</v>
      </c>
      <c r="I1191">
        <v>46</v>
      </c>
      <c r="J1191">
        <v>-0.09</v>
      </c>
      <c r="K1191">
        <v>0.41</v>
      </c>
      <c r="L1191">
        <v>30.87</v>
      </c>
      <c r="M1191">
        <v>31.17</v>
      </c>
      <c r="N1191">
        <v>30.6</v>
      </c>
      <c r="O1191">
        <v>30.87</v>
      </c>
      <c r="P1191">
        <v>100.39</v>
      </c>
      <c r="Q1191">
        <v>5306804</v>
      </c>
      <c r="R1191">
        <v>0.59</v>
      </c>
      <c r="S1191" t="s">
        <v>508</v>
      </c>
      <c r="T1191" t="s">
        <v>31</v>
      </c>
      <c r="U1191">
        <v>1.85</v>
      </c>
      <c r="V1191">
        <v>31.01</v>
      </c>
      <c r="W1191">
        <v>947</v>
      </c>
      <c r="X1191">
        <v>764</v>
      </c>
      <c r="Y1191">
        <v>1.24</v>
      </c>
      <c r="Z1191">
        <v>2</v>
      </c>
      <c r="AA1191">
        <v>1</v>
      </c>
      <c r="AB1191" t="s">
        <v>32</v>
      </c>
      <c r="AC1191">
        <v>0.42</v>
      </c>
    </row>
    <row r="1192" spans="1:29">
      <c r="A1192" t="str">
        <f>"002736"</f>
        <v>002736</v>
      </c>
      <c r="B1192" t="s">
        <v>1359</v>
      </c>
      <c r="C1192">
        <v>1.21</v>
      </c>
      <c r="D1192">
        <v>9.21</v>
      </c>
      <c r="E1192">
        <v>0.11</v>
      </c>
      <c r="F1192">
        <v>9.2</v>
      </c>
      <c r="G1192">
        <v>9.21</v>
      </c>
      <c r="H1192">
        <v>87745</v>
      </c>
      <c r="I1192">
        <v>351</v>
      </c>
      <c r="J1192">
        <v>-0.1</v>
      </c>
      <c r="K1192">
        <v>0.11</v>
      </c>
      <c r="L1192">
        <v>9.09</v>
      </c>
      <c r="M1192">
        <v>9.35</v>
      </c>
      <c r="N1192">
        <v>9.05</v>
      </c>
      <c r="O1192">
        <v>9.1</v>
      </c>
      <c r="P1192">
        <v>25.54</v>
      </c>
      <c r="Q1192">
        <v>81192112</v>
      </c>
      <c r="R1192">
        <v>2.5</v>
      </c>
      <c r="S1192" t="s">
        <v>158</v>
      </c>
      <c r="T1192" t="s">
        <v>31</v>
      </c>
      <c r="U1192">
        <v>3.3</v>
      </c>
      <c r="V1192">
        <v>9.25</v>
      </c>
      <c r="W1192">
        <v>38487</v>
      </c>
      <c r="X1192">
        <v>49258</v>
      </c>
      <c r="Y1192">
        <v>0.78</v>
      </c>
      <c r="Z1192">
        <v>641</v>
      </c>
      <c r="AA1192">
        <v>188</v>
      </c>
      <c r="AB1192" t="s">
        <v>32</v>
      </c>
      <c r="AC1192">
        <v>82</v>
      </c>
    </row>
    <row r="1193" spans="1:29">
      <c r="A1193" t="str">
        <f>"002737"</f>
        <v>002737</v>
      </c>
      <c r="B1193" t="s">
        <v>1360</v>
      </c>
      <c r="C1193">
        <v>4.06</v>
      </c>
      <c r="D1193">
        <v>22.02</v>
      </c>
      <c r="E1193">
        <v>0.86</v>
      </c>
      <c r="F1193">
        <v>22.01</v>
      </c>
      <c r="G1193">
        <v>22.02</v>
      </c>
      <c r="H1193">
        <v>99852</v>
      </c>
      <c r="I1193">
        <v>590</v>
      </c>
      <c r="J1193">
        <v>0.05</v>
      </c>
      <c r="K1193">
        <v>1.93</v>
      </c>
      <c r="L1193">
        <v>21.18</v>
      </c>
      <c r="M1193">
        <v>22.13</v>
      </c>
      <c r="N1193">
        <v>20.75</v>
      </c>
      <c r="O1193">
        <v>21.16</v>
      </c>
      <c r="P1193">
        <v>21.94</v>
      </c>
      <c r="Q1193">
        <v>214421072</v>
      </c>
      <c r="R1193">
        <v>1.26</v>
      </c>
      <c r="S1193" t="s">
        <v>195</v>
      </c>
      <c r="T1193" t="s">
        <v>297</v>
      </c>
      <c r="U1193">
        <v>6.52</v>
      </c>
      <c r="V1193">
        <v>21.47</v>
      </c>
      <c r="W1193">
        <v>42027</v>
      </c>
      <c r="X1193">
        <v>57825</v>
      </c>
      <c r="Y1193">
        <v>0.73</v>
      </c>
      <c r="Z1193">
        <v>170</v>
      </c>
      <c r="AA1193">
        <v>226</v>
      </c>
      <c r="AB1193" t="s">
        <v>32</v>
      </c>
      <c r="AC1193">
        <v>5.17</v>
      </c>
    </row>
    <row r="1194" spans="1:29">
      <c r="A1194" t="str">
        <f>"002738"</f>
        <v>002738</v>
      </c>
      <c r="B1194" t="s">
        <v>1361</v>
      </c>
      <c r="C1194">
        <v>1.51</v>
      </c>
      <c r="D1194">
        <v>18.79</v>
      </c>
      <c r="E1194">
        <v>0.28</v>
      </c>
      <c r="F1194">
        <v>18.78</v>
      </c>
      <c r="G1194">
        <v>18.79</v>
      </c>
      <c r="H1194">
        <v>17659</v>
      </c>
      <c r="I1194">
        <v>188</v>
      </c>
      <c r="J1194">
        <v>0</v>
      </c>
      <c r="K1194">
        <v>1.35</v>
      </c>
      <c r="L1194">
        <v>18.45</v>
      </c>
      <c r="M1194">
        <v>19.01</v>
      </c>
      <c r="N1194">
        <v>18.34</v>
      </c>
      <c r="O1194">
        <v>18.51</v>
      </c>
      <c r="P1194">
        <v>1348.03</v>
      </c>
      <c r="Q1194">
        <v>33101392</v>
      </c>
      <c r="R1194">
        <v>1.5</v>
      </c>
      <c r="S1194" t="s">
        <v>49</v>
      </c>
      <c r="T1194" t="s">
        <v>45</v>
      </c>
      <c r="U1194">
        <v>3.62</v>
      </c>
      <c r="V1194">
        <v>18.74</v>
      </c>
      <c r="W1194">
        <v>9933</v>
      </c>
      <c r="X1194">
        <v>7726</v>
      </c>
      <c r="Y1194">
        <v>1.29</v>
      </c>
      <c r="Z1194">
        <v>21</v>
      </c>
      <c r="AA1194">
        <v>171</v>
      </c>
      <c r="AB1194" t="s">
        <v>32</v>
      </c>
      <c r="AC1194">
        <v>1.31</v>
      </c>
    </row>
    <row r="1195" spans="1:29">
      <c r="A1195" t="str">
        <f>"002739"</f>
        <v>002739</v>
      </c>
      <c r="B1195" t="s">
        <v>1362</v>
      </c>
      <c r="C1195" t="s">
        <v>32</v>
      </c>
      <c r="D1195">
        <v>52.04</v>
      </c>
      <c r="E1195" t="s">
        <v>32</v>
      </c>
      <c r="F1195" t="s">
        <v>32</v>
      </c>
      <c r="G1195" t="s">
        <v>32</v>
      </c>
      <c r="H1195">
        <v>0</v>
      </c>
      <c r="I1195">
        <v>0</v>
      </c>
      <c r="J1195" t="s">
        <v>32</v>
      </c>
      <c r="K1195">
        <v>0</v>
      </c>
      <c r="L1195" t="s">
        <v>32</v>
      </c>
      <c r="M1195" t="s">
        <v>32</v>
      </c>
      <c r="N1195" t="s">
        <v>32</v>
      </c>
      <c r="O1195">
        <v>52.04</v>
      </c>
      <c r="P1195">
        <v>28.26</v>
      </c>
      <c r="Q1195">
        <v>0</v>
      </c>
      <c r="R1195">
        <v>0</v>
      </c>
      <c r="S1195" t="s">
        <v>148</v>
      </c>
      <c r="T1195" t="s">
        <v>45</v>
      </c>
      <c r="U1195">
        <v>0</v>
      </c>
      <c r="V1195">
        <v>52.04</v>
      </c>
      <c r="W1195">
        <v>0</v>
      </c>
      <c r="X1195">
        <v>0</v>
      </c>
      <c r="Y1195" t="s">
        <v>32</v>
      </c>
      <c r="Z1195">
        <v>0</v>
      </c>
      <c r="AA1195">
        <v>0</v>
      </c>
      <c r="AB1195" t="s">
        <v>32</v>
      </c>
      <c r="AC1195">
        <v>11.4</v>
      </c>
    </row>
    <row r="1196" spans="1:29">
      <c r="A1196" t="str">
        <f>"002740"</f>
        <v>002740</v>
      </c>
      <c r="B1196" t="s">
        <v>1363</v>
      </c>
      <c r="C1196">
        <v>2.18</v>
      </c>
      <c r="D1196">
        <v>7.03</v>
      </c>
      <c r="E1196">
        <v>0.15</v>
      </c>
      <c r="F1196">
        <v>7.02</v>
      </c>
      <c r="G1196">
        <v>7.03</v>
      </c>
      <c r="H1196">
        <v>20500</v>
      </c>
      <c r="I1196">
        <v>124</v>
      </c>
      <c r="J1196">
        <v>0.14</v>
      </c>
      <c r="K1196">
        <v>0.72</v>
      </c>
      <c r="L1196">
        <v>6.87</v>
      </c>
      <c r="M1196">
        <v>7.04</v>
      </c>
      <c r="N1196">
        <v>6.78</v>
      </c>
      <c r="O1196">
        <v>6.88</v>
      </c>
      <c r="P1196">
        <v>61.25</v>
      </c>
      <c r="Q1196">
        <v>14205419</v>
      </c>
      <c r="R1196">
        <v>2.31</v>
      </c>
      <c r="S1196" t="s">
        <v>622</v>
      </c>
      <c r="T1196" t="s">
        <v>31</v>
      </c>
      <c r="U1196">
        <v>3.78</v>
      </c>
      <c r="V1196">
        <v>6.93</v>
      </c>
      <c r="W1196">
        <v>8328</v>
      </c>
      <c r="X1196">
        <v>12172</v>
      </c>
      <c r="Y1196">
        <v>0.68</v>
      </c>
      <c r="Z1196">
        <v>261</v>
      </c>
      <c r="AA1196">
        <v>35</v>
      </c>
      <c r="AB1196" t="s">
        <v>32</v>
      </c>
      <c r="AC1196">
        <v>2.84</v>
      </c>
    </row>
    <row r="1197" spans="1:29">
      <c r="A1197" t="str">
        <f>"002741"</f>
        <v>002741</v>
      </c>
      <c r="B1197" t="s">
        <v>1364</v>
      </c>
      <c r="C1197">
        <v>1.1</v>
      </c>
      <c r="D1197">
        <v>15.64</v>
      </c>
      <c r="E1197">
        <v>0.17</v>
      </c>
      <c r="F1197">
        <v>15.64</v>
      </c>
      <c r="G1197">
        <v>15.65</v>
      </c>
      <c r="H1197">
        <v>20811</v>
      </c>
      <c r="I1197">
        <v>374</v>
      </c>
      <c r="J1197">
        <v>0.19</v>
      </c>
      <c r="K1197">
        <v>0.65</v>
      </c>
      <c r="L1197">
        <v>15.45</v>
      </c>
      <c r="M1197">
        <v>15.74</v>
      </c>
      <c r="N1197">
        <v>15.3</v>
      </c>
      <c r="O1197">
        <v>15.47</v>
      </c>
      <c r="P1197">
        <v>54.46</v>
      </c>
      <c r="Q1197">
        <v>32412334</v>
      </c>
      <c r="R1197">
        <v>0.91</v>
      </c>
      <c r="S1197" t="s">
        <v>218</v>
      </c>
      <c r="T1197" t="s">
        <v>136</v>
      </c>
      <c r="U1197">
        <v>2.84</v>
      </c>
      <c r="V1197">
        <v>15.57</v>
      </c>
      <c r="W1197">
        <v>10015</v>
      </c>
      <c r="X1197">
        <v>10795</v>
      </c>
      <c r="Y1197">
        <v>0.93</v>
      </c>
      <c r="Z1197">
        <v>46</v>
      </c>
      <c r="AA1197">
        <v>168</v>
      </c>
      <c r="AB1197" t="s">
        <v>32</v>
      </c>
      <c r="AC1197">
        <v>3.21</v>
      </c>
    </row>
    <row r="1198" spans="1:29">
      <c r="A1198" t="str">
        <f>"002742"</f>
        <v>002742</v>
      </c>
      <c r="B1198" t="s">
        <v>1365</v>
      </c>
      <c r="C1198">
        <v>3.23</v>
      </c>
      <c r="D1198">
        <v>9.92</v>
      </c>
      <c r="E1198">
        <v>0.31</v>
      </c>
      <c r="F1198">
        <v>9.91</v>
      </c>
      <c r="G1198">
        <v>9.92</v>
      </c>
      <c r="H1198">
        <v>90734</v>
      </c>
      <c r="I1198">
        <v>1229</v>
      </c>
      <c r="J1198">
        <v>0</v>
      </c>
      <c r="K1198">
        <v>3.4</v>
      </c>
      <c r="L1198">
        <v>9.67</v>
      </c>
      <c r="M1198">
        <v>10.08</v>
      </c>
      <c r="N1198">
        <v>9.61</v>
      </c>
      <c r="O1198">
        <v>9.61</v>
      </c>
      <c r="P1198">
        <v>31.15</v>
      </c>
      <c r="Q1198">
        <v>89627104</v>
      </c>
      <c r="R1198">
        <v>1.85</v>
      </c>
      <c r="S1198" t="s">
        <v>69</v>
      </c>
      <c r="T1198" t="s">
        <v>221</v>
      </c>
      <c r="U1198">
        <v>4.89</v>
      </c>
      <c r="V1198">
        <v>9.88</v>
      </c>
      <c r="W1198">
        <v>38723</v>
      </c>
      <c r="X1198">
        <v>52011</v>
      </c>
      <c r="Y1198">
        <v>0.74</v>
      </c>
      <c r="Z1198">
        <v>133</v>
      </c>
      <c r="AA1198">
        <v>732</v>
      </c>
      <c r="AB1198" t="s">
        <v>32</v>
      </c>
      <c r="AC1198">
        <v>2.67</v>
      </c>
    </row>
    <row r="1199" spans="1:29">
      <c r="A1199" t="str">
        <f>"002743"</f>
        <v>002743</v>
      </c>
      <c r="B1199" t="s">
        <v>1366</v>
      </c>
      <c r="C1199">
        <v>4.82</v>
      </c>
      <c r="D1199">
        <v>7.4</v>
      </c>
      <c r="E1199">
        <v>0.34</v>
      </c>
      <c r="F1199">
        <v>7.39</v>
      </c>
      <c r="G1199">
        <v>7.4</v>
      </c>
      <c r="H1199">
        <v>74503</v>
      </c>
      <c r="I1199">
        <v>1252</v>
      </c>
      <c r="J1199">
        <v>0.54</v>
      </c>
      <c r="K1199">
        <v>2.24</v>
      </c>
      <c r="L1199">
        <v>7.06</v>
      </c>
      <c r="M1199">
        <v>7.67</v>
      </c>
      <c r="N1199">
        <v>7.06</v>
      </c>
      <c r="O1199">
        <v>7.06</v>
      </c>
      <c r="P1199">
        <v>60.25</v>
      </c>
      <c r="Q1199">
        <v>54912796</v>
      </c>
      <c r="R1199">
        <v>4.08</v>
      </c>
      <c r="S1199" t="s">
        <v>449</v>
      </c>
      <c r="T1199" t="s">
        <v>143</v>
      </c>
      <c r="U1199">
        <v>8.64</v>
      </c>
      <c r="V1199">
        <v>7.37</v>
      </c>
      <c r="W1199">
        <v>32114</v>
      </c>
      <c r="X1199">
        <v>42388</v>
      </c>
      <c r="Y1199">
        <v>0.76</v>
      </c>
      <c r="Z1199">
        <v>318</v>
      </c>
      <c r="AA1199">
        <v>99</v>
      </c>
      <c r="AB1199" t="s">
        <v>32</v>
      </c>
      <c r="AC1199">
        <v>3.32</v>
      </c>
    </row>
    <row r="1200" spans="1:29">
      <c r="A1200" t="str">
        <f>"002745"</f>
        <v>002745</v>
      </c>
      <c r="B1200" t="s">
        <v>1367</v>
      </c>
      <c r="C1200">
        <v>-1.5</v>
      </c>
      <c r="D1200">
        <v>18.35</v>
      </c>
      <c r="E1200">
        <v>-0.28</v>
      </c>
      <c r="F1200">
        <v>18.35</v>
      </c>
      <c r="G1200">
        <v>18.36</v>
      </c>
      <c r="H1200">
        <v>228842</v>
      </c>
      <c r="I1200">
        <v>5586</v>
      </c>
      <c r="J1200">
        <v>0.44</v>
      </c>
      <c r="K1200">
        <v>4.4</v>
      </c>
      <c r="L1200">
        <v>18.52</v>
      </c>
      <c r="M1200">
        <v>18.65</v>
      </c>
      <c r="N1200">
        <v>18.16</v>
      </c>
      <c r="O1200">
        <v>18.63</v>
      </c>
      <c r="P1200">
        <v>34.68</v>
      </c>
      <c r="Q1200">
        <v>419928384</v>
      </c>
      <c r="R1200">
        <v>0.65</v>
      </c>
      <c r="S1200" t="s">
        <v>699</v>
      </c>
      <c r="T1200" t="s">
        <v>136</v>
      </c>
      <c r="U1200">
        <v>2.63</v>
      </c>
      <c r="V1200">
        <v>18.35</v>
      </c>
      <c r="W1200">
        <v>133596</v>
      </c>
      <c r="X1200">
        <v>95245</v>
      </c>
      <c r="Y1200">
        <v>1.4</v>
      </c>
      <c r="Z1200">
        <v>299</v>
      </c>
      <c r="AA1200">
        <v>514</v>
      </c>
      <c r="AB1200" t="s">
        <v>32</v>
      </c>
      <c r="AC1200">
        <v>5.2</v>
      </c>
    </row>
    <row r="1201" spans="1:29">
      <c r="A1201" t="str">
        <f>"002746"</f>
        <v>002746</v>
      </c>
      <c r="B1201" t="s">
        <v>1368</v>
      </c>
      <c r="C1201">
        <v>-1.29</v>
      </c>
      <c r="D1201">
        <v>15.29</v>
      </c>
      <c r="E1201">
        <v>-0.2</v>
      </c>
      <c r="F1201">
        <v>15.29</v>
      </c>
      <c r="G1201">
        <v>15.3</v>
      </c>
      <c r="H1201">
        <v>88948</v>
      </c>
      <c r="I1201">
        <v>1661</v>
      </c>
      <c r="J1201">
        <v>0</v>
      </c>
      <c r="K1201">
        <v>3.67</v>
      </c>
      <c r="L1201">
        <v>15.29</v>
      </c>
      <c r="M1201">
        <v>15.4</v>
      </c>
      <c r="N1201">
        <v>14.91</v>
      </c>
      <c r="O1201">
        <v>15.49</v>
      </c>
      <c r="P1201">
        <v>38.34</v>
      </c>
      <c r="Q1201">
        <v>134956752</v>
      </c>
      <c r="R1201">
        <v>0.57</v>
      </c>
      <c r="S1201" t="s">
        <v>115</v>
      </c>
      <c r="T1201" t="s">
        <v>162</v>
      </c>
      <c r="U1201">
        <v>3.16</v>
      </c>
      <c r="V1201">
        <v>15.17</v>
      </c>
      <c r="W1201">
        <v>47644</v>
      </c>
      <c r="X1201">
        <v>41303</v>
      </c>
      <c r="Y1201">
        <v>1.15</v>
      </c>
      <c r="Z1201">
        <v>66</v>
      </c>
      <c r="AA1201">
        <v>738</v>
      </c>
      <c r="AB1201" t="s">
        <v>32</v>
      </c>
      <c r="AC1201">
        <v>2.42</v>
      </c>
    </row>
    <row r="1202" spans="1:29">
      <c r="A1202" t="str">
        <f>"002747"</f>
        <v>002747</v>
      </c>
      <c r="B1202" t="s">
        <v>1369</v>
      </c>
      <c r="C1202">
        <v>7.21</v>
      </c>
      <c r="D1202">
        <v>16.35</v>
      </c>
      <c r="E1202">
        <v>1.1</v>
      </c>
      <c r="F1202">
        <v>16.34</v>
      </c>
      <c r="G1202">
        <v>16.35</v>
      </c>
      <c r="H1202">
        <v>189263</v>
      </c>
      <c r="I1202">
        <v>2158</v>
      </c>
      <c r="J1202">
        <v>0.31</v>
      </c>
      <c r="K1202">
        <v>2.29</v>
      </c>
      <c r="L1202">
        <v>15.18</v>
      </c>
      <c r="M1202">
        <v>16.42</v>
      </c>
      <c r="N1202">
        <v>15.18</v>
      </c>
      <c r="O1202">
        <v>15.25</v>
      </c>
      <c r="P1202">
        <v>189.59</v>
      </c>
      <c r="Q1202">
        <v>301483168</v>
      </c>
      <c r="R1202">
        <v>1.24</v>
      </c>
      <c r="S1202" t="s">
        <v>241</v>
      </c>
      <c r="T1202" t="s">
        <v>87</v>
      </c>
      <c r="U1202">
        <v>8.13</v>
      </c>
      <c r="V1202">
        <v>15.93</v>
      </c>
      <c r="W1202">
        <v>77698</v>
      </c>
      <c r="X1202">
        <v>111565</v>
      </c>
      <c r="Y1202">
        <v>0.7</v>
      </c>
      <c r="Z1202">
        <v>241</v>
      </c>
      <c r="AA1202">
        <v>833</v>
      </c>
      <c r="AB1202" t="s">
        <v>32</v>
      </c>
      <c r="AC1202">
        <v>8.25</v>
      </c>
    </row>
    <row r="1203" spans="1:29">
      <c r="A1203" t="str">
        <f>"002748"</f>
        <v>002748</v>
      </c>
      <c r="B1203" t="s">
        <v>1370</v>
      </c>
      <c r="C1203">
        <v>2.32</v>
      </c>
      <c r="D1203">
        <v>8.81</v>
      </c>
      <c r="E1203">
        <v>0.2</v>
      </c>
      <c r="F1203">
        <v>8.8</v>
      </c>
      <c r="G1203">
        <v>8.81</v>
      </c>
      <c r="H1203">
        <v>12283</v>
      </c>
      <c r="I1203">
        <v>441</v>
      </c>
      <c r="J1203">
        <v>0.34</v>
      </c>
      <c r="K1203">
        <v>0.51</v>
      </c>
      <c r="L1203">
        <v>8.63</v>
      </c>
      <c r="M1203">
        <v>8.83</v>
      </c>
      <c r="N1203">
        <v>8.54</v>
      </c>
      <c r="O1203">
        <v>8.61</v>
      </c>
      <c r="P1203">
        <v>44.06</v>
      </c>
      <c r="Q1203">
        <v>10735989</v>
      </c>
      <c r="R1203">
        <v>1.14</v>
      </c>
      <c r="S1203" t="s">
        <v>218</v>
      </c>
      <c r="T1203" t="s">
        <v>172</v>
      </c>
      <c r="U1203">
        <v>3.37</v>
      </c>
      <c r="V1203">
        <v>8.74</v>
      </c>
      <c r="W1203">
        <v>5504</v>
      </c>
      <c r="X1203">
        <v>6779</v>
      </c>
      <c r="Y1203">
        <v>0.81</v>
      </c>
      <c r="Z1203">
        <v>155</v>
      </c>
      <c r="AA1203">
        <v>200</v>
      </c>
      <c r="AB1203" t="s">
        <v>32</v>
      </c>
      <c r="AC1203">
        <v>2.4</v>
      </c>
    </row>
    <row r="1204" spans="1:29">
      <c r="A1204" t="str">
        <f>"002749"</f>
        <v>002749</v>
      </c>
      <c r="B1204" t="s">
        <v>1371</v>
      </c>
      <c r="C1204">
        <v>1.79</v>
      </c>
      <c r="D1204">
        <v>39.89</v>
      </c>
      <c r="E1204">
        <v>0.7</v>
      </c>
      <c r="F1204">
        <v>39.88</v>
      </c>
      <c r="G1204">
        <v>39.89</v>
      </c>
      <c r="H1204">
        <v>10373</v>
      </c>
      <c r="I1204">
        <v>80</v>
      </c>
      <c r="J1204">
        <v>-0.17</v>
      </c>
      <c r="K1204">
        <v>1.26</v>
      </c>
      <c r="L1204">
        <v>39.19</v>
      </c>
      <c r="M1204">
        <v>40.48</v>
      </c>
      <c r="N1204">
        <v>39.19</v>
      </c>
      <c r="O1204">
        <v>39.19</v>
      </c>
      <c r="P1204">
        <v>26.11</v>
      </c>
      <c r="Q1204">
        <v>41503336</v>
      </c>
      <c r="R1204">
        <v>2.27</v>
      </c>
      <c r="S1204" t="s">
        <v>145</v>
      </c>
      <c r="T1204" t="s">
        <v>146</v>
      </c>
      <c r="U1204">
        <v>3.29</v>
      </c>
      <c r="V1204">
        <v>40.01</v>
      </c>
      <c r="W1204">
        <v>3347</v>
      </c>
      <c r="X1204">
        <v>7026</v>
      </c>
      <c r="Y1204">
        <v>0.48</v>
      </c>
      <c r="Z1204">
        <v>22</v>
      </c>
      <c r="AA1204">
        <v>16</v>
      </c>
      <c r="AB1204" t="s">
        <v>32</v>
      </c>
      <c r="AC1204">
        <v>0.82</v>
      </c>
    </row>
    <row r="1205" spans="1:29">
      <c r="A1205" t="str">
        <f>"002750"</f>
        <v>002750</v>
      </c>
      <c r="B1205" t="s">
        <v>1372</v>
      </c>
      <c r="C1205">
        <v>1.9</v>
      </c>
      <c r="D1205">
        <v>6.96</v>
      </c>
      <c r="E1205">
        <v>0.13</v>
      </c>
      <c r="F1205">
        <v>6.96</v>
      </c>
      <c r="G1205">
        <v>6.97</v>
      </c>
      <c r="H1205">
        <v>16884</v>
      </c>
      <c r="I1205">
        <v>77</v>
      </c>
      <c r="J1205">
        <v>0</v>
      </c>
      <c r="K1205">
        <v>0.42</v>
      </c>
      <c r="L1205">
        <v>6.79</v>
      </c>
      <c r="M1205">
        <v>6.99</v>
      </c>
      <c r="N1205">
        <v>6.69</v>
      </c>
      <c r="O1205">
        <v>6.83</v>
      </c>
      <c r="P1205">
        <v>96.22</v>
      </c>
      <c r="Q1205">
        <v>11623069</v>
      </c>
      <c r="R1205">
        <v>1.17</v>
      </c>
      <c r="S1205" t="s">
        <v>195</v>
      </c>
      <c r="T1205" t="s">
        <v>250</v>
      </c>
      <c r="U1205">
        <v>4.39</v>
      </c>
      <c r="V1205">
        <v>6.88</v>
      </c>
      <c r="W1205">
        <v>7930</v>
      </c>
      <c r="X1205">
        <v>8953</v>
      </c>
      <c r="Y1205">
        <v>0.89</v>
      </c>
      <c r="Z1205">
        <v>304</v>
      </c>
      <c r="AA1205">
        <v>192</v>
      </c>
      <c r="AB1205" t="s">
        <v>32</v>
      </c>
      <c r="AC1205">
        <v>3.97</v>
      </c>
    </row>
    <row r="1206" spans="1:29">
      <c r="A1206" t="str">
        <f>"002751"</f>
        <v>002751</v>
      </c>
      <c r="B1206" t="s">
        <v>1373</v>
      </c>
      <c r="C1206">
        <v>1.3</v>
      </c>
      <c r="D1206">
        <v>30.49</v>
      </c>
      <c r="E1206">
        <v>0.39</v>
      </c>
      <c r="F1206">
        <v>30.46</v>
      </c>
      <c r="G1206">
        <v>30.49</v>
      </c>
      <c r="H1206">
        <v>13341</v>
      </c>
      <c r="I1206">
        <v>218</v>
      </c>
      <c r="J1206">
        <v>0.26</v>
      </c>
      <c r="K1206">
        <v>1.44</v>
      </c>
      <c r="L1206">
        <v>30.01</v>
      </c>
      <c r="M1206">
        <v>30.84</v>
      </c>
      <c r="N1206">
        <v>29.95</v>
      </c>
      <c r="O1206">
        <v>30.1</v>
      </c>
      <c r="P1206">
        <v>239.15</v>
      </c>
      <c r="Q1206">
        <v>40560584</v>
      </c>
      <c r="R1206">
        <v>1.09</v>
      </c>
      <c r="S1206" t="s">
        <v>545</v>
      </c>
      <c r="T1206" t="s">
        <v>31</v>
      </c>
      <c r="U1206">
        <v>2.96</v>
      </c>
      <c r="V1206">
        <v>30.4</v>
      </c>
      <c r="W1206">
        <v>5608</v>
      </c>
      <c r="X1206">
        <v>7732</v>
      </c>
      <c r="Y1206">
        <v>0.73</v>
      </c>
      <c r="Z1206">
        <v>10</v>
      </c>
      <c r="AA1206">
        <v>5</v>
      </c>
      <c r="AB1206" t="s">
        <v>32</v>
      </c>
      <c r="AC1206">
        <v>0.93</v>
      </c>
    </row>
    <row r="1207" spans="1:29">
      <c r="A1207" t="str">
        <f>"002752"</f>
        <v>002752</v>
      </c>
      <c r="B1207" t="s">
        <v>1374</v>
      </c>
      <c r="C1207">
        <v>-0.23</v>
      </c>
      <c r="D1207">
        <v>8.61</v>
      </c>
      <c r="E1207">
        <v>-0.02</v>
      </c>
      <c r="F1207">
        <v>8.61</v>
      </c>
      <c r="G1207">
        <v>8.62</v>
      </c>
      <c r="H1207">
        <v>51113</v>
      </c>
      <c r="I1207">
        <v>1104</v>
      </c>
      <c r="J1207">
        <v>-0.11</v>
      </c>
      <c r="K1207">
        <v>3</v>
      </c>
      <c r="L1207">
        <v>8.6</v>
      </c>
      <c r="M1207">
        <v>8.71</v>
      </c>
      <c r="N1207">
        <v>8.52</v>
      </c>
      <c r="O1207">
        <v>8.63</v>
      </c>
      <c r="P1207">
        <v>68.46</v>
      </c>
      <c r="Q1207">
        <v>44004852</v>
      </c>
      <c r="R1207">
        <v>0.76</v>
      </c>
      <c r="S1207" t="s">
        <v>91</v>
      </c>
      <c r="T1207" t="s">
        <v>236</v>
      </c>
      <c r="U1207">
        <v>2.2</v>
      </c>
      <c r="V1207">
        <v>8.61</v>
      </c>
      <c r="W1207">
        <v>27605</v>
      </c>
      <c r="X1207">
        <v>23508</v>
      </c>
      <c r="Y1207">
        <v>1.17</v>
      </c>
      <c r="Z1207">
        <v>46</v>
      </c>
      <c r="AA1207">
        <v>371</v>
      </c>
      <c r="AB1207" t="s">
        <v>32</v>
      </c>
      <c r="AC1207">
        <v>1.7</v>
      </c>
    </row>
    <row r="1208" spans="1:29">
      <c r="A1208" t="str">
        <f>"002753"</f>
        <v>002753</v>
      </c>
      <c r="B1208" t="s">
        <v>1375</v>
      </c>
      <c r="C1208">
        <v>-0.56</v>
      </c>
      <c r="D1208">
        <v>14.18</v>
      </c>
      <c r="E1208">
        <v>-0.08</v>
      </c>
      <c r="F1208">
        <v>14.18</v>
      </c>
      <c r="G1208">
        <v>14.2</v>
      </c>
      <c r="H1208">
        <v>71847</v>
      </c>
      <c r="I1208">
        <v>639</v>
      </c>
      <c r="J1208">
        <v>0.07</v>
      </c>
      <c r="K1208">
        <v>3.62</v>
      </c>
      <c r="L1208">
        <v>14.26</v>
      </c>
      <c r="M1208">
        <v>14.35</v>
      </c>
      <c r="N1208">
        <v>13.91</v>
      </c>
      <c r="O1208">
        <v>14.26</v>
      </c>
      <c r="P1208">
        <v>14.67</v>
      </c>
      <c r="Q1208">
        <v>101675496</v>
      </c>
      <c r="R1208">
        <v>0.95</v>
      </c>
      <c r="S1208" t="s">
        <v>218</v>
      </c>
      <c r="T1208" t="s">
        <v>169</v>
      </c>
      <c r="U1208">
        <v>3.09</v>
      </c>
      <c r="V1208">
        <v>14.15</v>
      </c>
      <c r="W1208">
        <v>42069</v>
      </c>
      <c r="X1208">
        <v>29777</v>
      </c>
      <c r="Y1208">
        <v>1.41</v>
      </c>
      <c r="Z1208">
        <v>510</v>
      </c>
      <c r="AA1208">
        <v>269</v>
      </c>
      <c r="AB1208" t="s">
        <v>32</v>
      </c>
      <c r="AC1208">
        <v>1.99</v>
      </c>
    </row>
    <row r="1209" spans="1:29">
      <c r="A1209" t="str">
        <f>"002755"</f>
        <v>002755</v>
      </c>
      <c r="B1209" t="s">
        <v>1376</v>
      </c>
      <c r="C1209" t="s">
        <v>32</v>
      </c>
      <c r="D1209">
        <v>9.75</v>
      </c>
      <c r="E1209" t="s">
        <v>32</v>
      </c>
      <c r="F1209" t="s">
        <v>32</v>
      </c>
      <c r="G1209" t="s">
        <v>32</v>
      </c>
      <c r="H1209">
        <v>0</v>
      </c>
      <c r="I1209">
        <v>0</v>
      </c>
      <c r="J1209" t="s">
        <v>32</v>
      </c>
      <c r="K1209">
        <v>0</v>
      </c>
      <c r="L1209" t="s">
        <v>32</v>
      </c>
      <c r="M1209" t="s">
        <v>32</v>
      </c>
      <c r="N1209" t="s">
        <v>32</v>
      </c>
      <c r="O1209">
        <v>9.75</v>
      </c>
      <c r="P1209">
        <v>91.54</v>
      </c>
      <c r="Q1209">
        <v>0</v>
      </c>
      <c r="R1209">
        <v>0</v>
      </c>
      <c r="S1209" t="s">
        <v>49</v>
      </c>
      <c r="T1209" t="s">
        <v>45</v>
      </c>
      <c r="U1209">
        <v>0</v>
      </c>
      <c r="V1209">
        <v>9.75</v>
      </c>
      <c r="W1209">
        <v>0</v>
      </c>
      <c r="X1209">
        <v>0</v>
      </c>
      <c r="Y1209" t="s">
        <v>32</v>
      </c>
      <c r="Z1209">
        <v>0</v>
      </c>
      <c r="AA1209">
        <v>0</v>
      </c>
      <c r="AB1209" t="s">
        <v>32</v>
      </c>
      <c r="AC1209">
        <v>1.72</v>
      </c>
    </row>
    <row r="1210" spans="1:29">
      <c r="A1210" t="str">
        <f>"002756"</f>
        <v>002756</v>
      </c>
      <c r="B1210" t="s">
        <v>1377</v>
      </c>
      <c r="C1210">
        <v>2.33</v>
      </c>
      <c r="D1210">
        <v>17.6</v>
      </c>
      <c r="E1210">
        <v>0.4</v>
      </c>
      <c r="F1210">
        <v>17.6</v>
      </c>
      <c r="G1210">
        <v>17.61</v>
      </c>
      <c r="H1210">
        <v>38699</v>
      </c>
      <c r="I1210">
        <v>553</v>
      </c>
      <c r="J1210">
        <v>0.23</v>
      </c>
      <c r="K1210">
        <v>2.09</v>
      </c>
      <c r="L1210">
        <v>17.2</v>
      </c>
      <c r="M1210">
        <v>17.96</v>
      </c>
      <c r="N1210">
        <v>17.2</v>
      </c>
      <c r="O1210">
        <v>17.2</v>
      </c>
      <c r="P1210">
        <v>17.26</v>
      </c>
      <c r="Q1210">
        <v>68183536</v>
      </c>
      <c r="R1210">
        <v>2.69</v>
      </c>
      <c r="S1210" t="s">
        <v>398</v>
      </c>
      <c r="T1210" t="s">
        <v>149</v>
      </c>
      <c r="U1210">
        <v>4.42</v>
      </c>
      <c r="V1210">
        <v>17.62</v>
      </c>
      <c r="W1210">
        <v>17387</v>
      </c>
      <c r="X1210">
        <v>21312</v>
      </c>
      <c r="Y1210">
        <v>0.82</v>
      </c>
      <c r="Z1210">
        <v>543</v>
      </c>
      <c r="AA1210">
        <v>3</v>
      </c>
      <c r="AB1210" t="s">
        <v>32</v>
      </c>
      <c r="AC1210">
        <v>1.85</v>
      </c>
    </row>
    <row r="1211" spans="1:29">
      <c r="A1211" t="str">
        <f>"002757"</f>
        <v>002757</v>
      </c>
      <c r="B1211" t="s">
        <v>1378</v>
      </c>
      <c r="C1211">
        <v>0.89</v>
      </c>
      <c r="D1211">
        <v>30.46</v>
      </c>
      <c r="E1211">
        <v>0.27</v>
      </c>
      <c r="F1211">
        <v>30.46</v>
      </c>
      <c r="G1211">
        <v>30.47</v>
      </c>
      <c r="H1211">
        <v>2149</v>
      </c>
      <c r="I1211">
        <v>12</v>
      </c>
      <c r="J1211">
        <v>0.16</v>
      </c>
      <c r="K1211">
        <v>0.22</v>
      </c>
      <c r="L1211">
        <v>30.19</v>
      </c>
      <c r="M1211">
        <v>30.67</v>
      </c>
      <c r="N1211">
        <v>30.19</v>
      </c>
      <c r="O1211">
        <v>30.19</v>
      </c>
      <c r="P1211">
        <v>38.07</v>
      </c>
      <c r="Q1211">
        <v>6550381</v>
      </c>
      <c r="R1211">
        <v>1.28</v>
      </c>
      <c r="S1211" t="s">
        <v>545</v>
      </c>
      <c r="T1211" t="s">
        <v>136</v>
      </c>
      <c r="U1211">
        <v>1.59</v>
      </c>
      <c r="V1211">
        <v>30.48</v>
      </c>
      <c r="W1211">
        <v>1013</v>
      </c>
      <c r="X1211">
        <v>1135</v>
      </c>
      <c r="Y1211">
        <v>0.89</v>
      </c>
      <c r="Z1211">
        <v>10</v>
      </c>
      <c r="AA1211">
        <v>7</v>
      </c>
      <c r="AB1211" t="s">
        <v>32</v>
      </c>
      <c r="AC1211">
        <v>0.97</v>
      </c>
    </row>
    <row r="1212" spans="1:29">
      <c r="A1212" t="str">
        <f>"002758"</f>
        <v>002758</v>
      </c>
      <c r="B1212" t="s">
        <v>1379</v>
      </c>
      <c r="C1212">
        <v>1.38</v>
      </c>
      <c r="D1212">
        <v>9.52</v>
      </c>
      <c r="E1212">
        <v>0.13</v>
      </c>
      <c r="F1212">
        <v>9.51</v>
      </c>
      <c r="G1212">
        <v>9.52</v>
      </c>
      <c r="H1212">
        <v>30206</v>
      </c>
      <c r="I1212">
        <v>699</v>
      </c>
      <c r="J1212">
        <v>0.11</v>
      </c>
      <c r="K1212">
        <v>1.69</v>
      </c>
      <c r="L1212">
        <v>9.36</v>
      </c>
      <c r="M1212">
        <v>9.58</v>
      </c>
      <c r="N1212">
        <v>9.25</v>
      </c>
      <c r="O1212">
        <v>9.39</v>
      </c>
      <c r="P1212">
        <v>64.95</v>
      </c>
      <c r="Q1212">
        <v>28615578</v>
      </c>
      <c r="R1212">
        <v>0.86</v>
      </c>
      <c r="S1212" t="s">
        <v>77</v>
      </c>
      <c r="T1212" t="s">
        <v>149</v>
      </c>
      <c r="U1212">
        <v>3.51</v>
      </c>
      <c r="V1212">
        <v>9.47</v>
      </c>
      <c r="W1212">
        <v>15239</v>
      </c>
      <c r="X1212">
        <v>14966</v>
      </c>
      <c r="Y1212">
        <v>1.02</v>
      </c>
      <c r="Z1212">
        <v>503</v>
      </c>
      <c r="AA1212">
        <v>122</v>
      </c>
      <c r="AB1212" t="s">
        <v>32</v>
      </c>
      <c r="AC1212">
        <v>1.79</v>
      </c>
    </row>
    <row r="1213" spans="1:29">
      <c r="A1213" t="str">
        <f>"002759"</f>
        <v>002759</v>
      </c>
      <c r="B1213" t="s">
        <v>1380</v>
      </c>
      <c r="C1213">
        <v>1.72</v>
      </c>
      <c r="D1213">
        <v>8.27</v>
      </c>
      <c r="E1213">
        <v>0.14</v>
      </c>
      <c r="F1213">
        <v>8.26</v>
      </c>
      <c r="G1213">
        <v>8.27</v>
      </c>
      <c r="H1213">
        <v>48688</v>
      </c>
      <c r="I1213">
        <v>503</v>
      </c>
      <c r="J1213">
        <v>-0.11</v>
      </c>
      <c r="K1213">
        <v>3.87</v>
      </c>
      <c r="L1213">
        <v>8.14</v>
      </c>
      <c r="M1213">
        <v>8.3</v>
      </c>
      <c r="N1213">
        <v>8.07</v>
      </c>
      <c r="O1213">
        <v>8.13</v>
      </c>
      <c r="P1213">
        <v>108.66</v>
      </c>
      <c r="Q1213">
        <v>39886900</v>
      </c>
      <c r="R1213">
        <v>1.48</v>
      </c>
      <c r="S1213" t="s">
        <v>55</v>
      </c>
      <c r="T1213" t="s">
        <v>136</v>
      </c>
      <c r="U1213">
        <v>2.83</v>
      </c>
      <c r="V1213">
        <v>8.19</v>
      </c>
      <c r="W1213">
        <v>25256</v>
      </c>
      <c r="X1213">
        <v>23431</v>
      </c>
      <c r="Y1213">
        <v>1.08</v>
      </c>
      <c r="Z1213">
        <v>156</v>
      </c>
      <c r="AA1213">
        <v>129</v>
      </c>
      <c r="AB1213" t="s">
        <v>32</v>
      </c>
      <c r="AC1213">
        <v>1.26</v>
      </c>
    </row>
    <row r="1214" spans="1:29">
      <c r="A1214" t="str">
        <f>"002760"</f>
        <v>002760</v>
      </c>
      <c r="B1214" t="s">
        <v>1381</v>
      </c>
      <c r="C1214">
        <v>1</v>
      </c>
      <c r="D1214">
        <v>17.19</v>
      </c>
      <c r="E1214">
        <v>0.17</v>
      </c>
      <c r="F1214">
        <v>17.18</v>
      </c>
      <c r="G1214">
        <v>17.19</v>
      </c>
      <c r="H1214">
        <v>19855</v>
      </c>
      <c r="I1214">
        <v>367</v>
      </c>
      <c r="J1214">
        <v>0</v>
      </c>
      <c r="K1214">
        <v>2.74</v>
      </c>
      <c r="L1214">
        <v>16.85</v>
      </c>
      <c r="M1214">
        <v>17.32</v>
      </c>
      <c r="N1214">
        <v>16.7</v>
      </c>
      <c r="O1214">
        <v>17.02</v>
      </c>
      <c r="P1214">
        <v>256.13</v>
      </c>
      <c r="Q1214">
        <v>33926248</v>
      </c>
      <c r="R1214">
        <v>0.92</v>
      </c>
      <c r="S1214" t="s">
        <v>241</v>
      </c>
      <c r="T1214" t="s">
        <v>143</v>
      </c>
      <c r="U1214">
        <v>3.64</v>
      </c>
      <c r="V1214">
        <v>17.09</v>
      </c>
      <c r="W1214">
        <v>10283</v>
      </c>
      <c r="X1214">
        <v>9571</v>
      </c>
      <c r="Y1214">
        <v>1.07</v>
      </c>
      <c r="Z1214">
        <v>123</v>
      </c>
      <c r="AA1214">
        <v>35</v>
      </c>
      <c r="AB1214" t="s">
        <v>32</v>
      </c>
      <c r="AC1214">
        <v>0.72</v>
      </c>
    </row>
    <row r="1215" spans="1:29">
      <c r="A1215" t="str">
        <f>"002761"</f>
        <v>002761</v>
      </c>
      <c r="B1215" t="s">
        <v>1382</v>
      </c>
      <c r="C1215">
        <v>0.1</v>
      </c>
      <c r="D1215">
        <v>19.22</v>
      </c>
      <c r="E1215">
        <v>0.02</v>
      </c>
      <c r="F1215">
        <v>19.22</v>
      </c>
      <c r="G1215">
        <v>19.23</v>
      </c>
      <c r="H1215">
        <v>7349</v>
      </c>
      <c r="I1215">
        <v>117</v>
      </c>
      <c r="J1215">
        <v>0.1</v>
      </c>
      <c r="K1215">
        <v>0.77</v>
      </c>
      <c r="L1215">
        <v>19.5</v>
      </c>
      <c r="M1215">
        <v>19.5</v>
      </c>
      <c r="N1215">
        <v>19.08</v>
      </c>
      <c r="O1215">
        <v>19.2</v>
      </c>
      <c r="P1215">
        <v>127.04</v>
      </c>
      <c r="Q1215">
        <v>14104958</v>
      </c>
      <c r="R1215">
        <v>1.39</v>
      </c>
      <c r="S1215" t="s">
        <v>99</v>
      </c>
      <c r="T1215" t="s">
        <v>152</v>
      </c>
      <c r="U1215">
        <v>2.19</v>
      </c>
      <c r="V1215">
        <v>19.19</v>
      </c>
      <c r="W1215">
        <v>4665</v>
      </c>
      <c r="X1215">
        <v>2684</v>
      </c>
      <c r="Y1215">
        <v>1.74</v>
      </c>
      <c r="Z1215">
        <v>0</v>
      </c>
      <c r="AA1215">
        <v>19</v>
      </c>
      <c r="AB1215" t="s">
        <v>32</v>
      </c>
      <c r="AC1215">
        <v>0.95</v>
      </c>
    </row>
    <row r="1216" spans="1:29">
      <c r="A1216" t="str">
        <f>"002762"</f>
        <v>002762</v>
      </c>
      <c r="B1216" t="s">
        <v>1383</v>
      </c>
      <c r="C1216">
        <v>3.15</v>
      </c>
      <c r="D1216">
        <v>6.88</v>
      </c>
      <c r="E1216">
        <v>0.21</v>
      </c>
      <c r="F1216">
        <v>6.88</v>
      </c>
      <c r="G1216">
        <v>6.89</v>
      </c>
      <c r="H1216">
        <v>63608</v>
      </c>
      <c r="I1216">
        <v>757</v>
      </c>
      <c r="J1216">
        <v>-0.57</v>
      </c>
      <c r="K1216">
        <v>3.37</v>
      </c>
      <c r="L1216">
        <v>6.64</v>
      </c>
      <c r="M1216">
        <v>6.92</v>
      </c>
      <c r="N1216">
        <v>6.56</v>
      </c>
      <c r="O1216">
        <v>6.67</v>
      </c>
      <c r="P1216">
        <v>29.31</v>
      </c>
      <c r="Q1216">
        <v>42907580</v>
      </c>
      <c r="R1216">
        <v>1.67</v>
      </c>
      <c r="S1216" t="s">
        <v>622</v>
      </c>
      <c r="T1216" t="s">
        <v>136</v>
      </c>
      <c r="U1216">
        <v>5.4</v>
      </c>
      <c r="V1216">
        <v>6.75</v>
      </c>
      <c r="W1216">
        <v>28614</v>
      </c>
      <c r="X1216">
        <v>34994</v>
      </c>
      <c r="Y1216">
        <v>0.82</v>
      </c>
      <c r="Z1216">
        <v>288</v>
      </c>
      <c r="AA1216">
        <v>71</v>
      </c>
      <c r="AB1216" t="s">
        <v>32</v>
      </c>
      <c r="AC1216">
        <v>1.89</v>
      </c>
    </row>
    <row r="1217" spans="1:29">
      <c r="A1217" t="str">
        <f>"002763"</f>
        <v>002763</v>
      </c>
      <c r="B1217" t="s">
        <v>1384</v>
      </c>
      <c r="C1217">
        <v>2.41</v>
      </c>
      <c r="D1217">
        <v>11.49</v>
      </c>
      <c r="E1217">
        <v>0.27</v>
      </c>
      <c r="F1217">
        <v>11.49</v>
      </c>
      <c r="G1217">
        <v>11.5</v>
      </c>
      <c r="H1217">
        <v>24971</v>
      </c>
      <c r="I1217">
        <v>366</v>
      </c>
      <c r="J1217">
        <v>0.09</v>
      </c>
      <c r="K1217">
        <v>0.64</v>
      </c>
      <c r="L1217">
        <v>11.24</v>
      </c>
      <c r="M1217">
        <v>11.6</v>
      </c>
      <c r="N1217">
        <v>11.16</v>
      </c>
      <c r="O1217">
        <v>11.22</v>
      </c>
      <c r="P1217">
        <v>10.58</v>
      </c>
      <c r="Q1217">
        <v>28376198</v>
      </c>
      <c r="R1217">
        <v>1.39</v>
      </c>
      <c r="S1217" t="s">
        <v>622</v>
      </c>
      <c r="T1217" t="s">
        <v>31</v>
      </c>
      <c r="U1217">
        <v>3.92</v>
      </c>
      <c r="V1217">
        <v>11.36</v>
      </c>
      <c r="W1217">
        <v>11093</v>
      </c>
      <c r="X1217">
        <v>13878</v>
      </c>
      <c r="Y1217">
        <v>0.8</v>
      </c>
      <c r="Z1217">
        <v>174</v>
      </c>
      <c r="AA1217">
        <v>357</v>
      </c>
      <c r="AB1217" t="s">
        <v>32</v>
      </c>
      <c r="AC1217">
        <v>3.89</v>
      </c>
    </row>
    <row r="1218" spans="1:29">
      <c r="A1218" t="str">
        <f>"002765"</f>
        <v>002765</v>
      </c>
      <c r="B1218" t="s">
        <v>1385</v>
      </c>
      <c r="C1218">
        <v>0.74</v>
      </c>
      <c r="D1218">
        <v>6.84</v>
      </c>
      <c r="E1218">
        <v>0.05</v>
      </c>
      <c r="F1218">
        <v>6.83</v>
      </c>
      <c r="G1218">
        <v>6.84</v>
      </c>
      <c r="H1218">
        <v>13816</v>
      </c>
      <c r="I1218">
        <v>143</v>
      </c>
      <c r="J1218">
        <v>0</v>
      </c>
      <c r="K1218">
        <v>0.54</v>
      </c>
      <c r="L1218">
        <v>6.78</v>
      </c>
      <c r="M1218">
        <v>6.85</v>
      </c>
      <c r="N1218">
        <v>6.74</v>
      </c>
      <c r="O1218">
        <v>6.79</v>
      </c>
      <c r="P1218">
        <v>27.78</v>
      </c>
      <c r="Q1218">
        <v>9426351</v>
      </c>
      <c r="R1218">
        <v>1.34</v>
      </c>
      <c r="S1218" t="s">
        <v>80</v>
      </c>
      <c r="T1218" t="s">
        <v>221</v>
      </c>
      <c r="U1218">
        <v>1.62</v>
      </c>
      <c r="V1218">
        <v>6.82</v>
      </c>
      <c r="W1218">
        <v>4196</v>
      </c>
      <c r="X1218">
        <v>9620</v>
      </c>
      <c r="Y1218">
        <v>0.44</v>
      </c>
      <c r="Z1218">
        <v>450</v>
      </c>
      <c r="AA1218">
        <v>80</v>
      </c>
      <c r="AB1218" t="s">
        <v>32</v>
      </c>
      <c r="AC1218">
        <v>2.55</v>
      </c>
    </row>
    <row r="1219" spans="1:29">
      <c r="A1219" t="str">
        <f>"002766"</f>
        <v>002766</v>
      </c>
      <c r="B1219" t="s">
        <v>1386</v>
      </c>
      <c r="C1219">
        <v>0.8</v>
      </c>
      <c r="D1219">
        <v>8.78</v>
      </c>
      <c r="E1219">
        <v>0.07</v>
      </c>
      <c r="F1219">
        <v>8.77</v>
      </c>
      <c r="G1219">
        <v>8.78</v>
      </c>
      <c r="H1219">
        <v>153955</v>
      </c>
      <c r="I1219">
        <v>6794</v>
      </c>
      <c r="J1219">
        <v>0.11</v>
      </c>
      <c r="K1219">
        <v>6.18</v>
      </c>
      <c r="L1219">
        <v>8.73</v>
      </c>
      <c r="M1219">
        <v>8.83</v>
      </c>
      <c r="N1219">
        <v>8.59</v>
      </c>
      <c r="O1219">
        <v>8.71</v>
      </c>
      <c r="P1219">
        <v>32.61</v>
      </c>
      <c r="Q1219">
        <v>134156088</v>
      </c>
      <c r="R1219">
        <v>0.85</v>
      </c>
      <c r="S1219" t="s">
        <v>80</v>
      </c>
      <c r="T1219" t="s">
        <v>31</v>
      </c>
      <c r="U1219">
        <v>2.76</v>
      </c>
      <c r="V1219">
        <v>8.71</v>
      </c>
      <c r="W1219">
        <v>81482</v>
      </c>
      <c r="X1219">
        <v>72473</v>
      </c>
      <c r="Y1219">
        <v>1.12</v>
      </c>
      <c r="Z1219">
        <v>385</v>
      </c>
      <c r="AA1219">
        <v>592</v>
      </c>
      <c r="AB1219" t="s">
        <v>32</v>
      </c>
      <c r="AC1219">
        <v>2.49</v>
      </c>
    </row>
    <row r="1220" spans="1:29">
      <c r="A1220" t="str">
        <f>"002767"</f>
        <v>002767</v>
      </c>
      <c r="B1220" t="s">
        <v>1387</v>
      </c>
      <c r="C1220">
        <v>1.35</v>
      </c>
      <c r="D1220">
        <v>15.71</v>
      </c>
      <c r="E1220">
        <v>0.21</v>
      </c>
      <c r="F1220">
        <v>15.7</v>
      </c>
      <c r="G1220">
        <v>15.71</v>
      </c>
      <c r="H1220">
        <v>31242</v>
      </c>
      <c r="I1220">
        <v>589</v>
      </c>
      <c r="J1220">
        <v>0</v>
      </c>
      <c r="K1220">
        <v>4.56</v>
      </c>
      <c r="L1220">
        <v>15.32</v>
      </c>
      <c r="M1220">
        <v>15.99</v>
      </c>
      <c r="N1220">
        <v>15.18</v>
      </c>
      <c r="O1220">
        <v>15.5</v>
      </c>
      <c r="P1220">
        <v>84.99</v>
      </c>
      <c r="Q1220">
        <v>48776544</v>
      </c>
      <c r="R1220">
        <v>1.81</v>
      </c>
      <c r="S1220" t="s">
        <v>606</v>
      </c>
      <c r="T1220" t="s">
        <v>149</v>
      </c>
      <c r="U1220">
        <v>5.23</v>
      </c>
      <c r="V1220">
        <v>15.61</v>
      </c>
      <c r="W1220">
        <v>14872</v>
      </c>
      <c r="X1220">
        <v>16369</v>
      </c>
      <c r="Y1220">
        <v>0.91</v>
      </c>
      <c r="Z1220">
        <v>108</v>
      </c>
      <c r="AA1220">
        <v>69</v>
      </c>
      <c r="AB1220" t="s">
        <v>32</v>
      </c>
      <c r="AC1220">
        <v>0.68</v>
      </c>
    </row>
    <row r="1221" spans="1:29">
      <c r="A1221" t="str">
        <f>"002768"</f>
        <v>002768</v>
      </c>
      <c r="B1221" t="s">
        <v>1388</v>
      </c>
      <c r="C1221">
        <v>0.44</v>
      </c>
      <c r="D1221">
        <v>25.37</v>
      </c>
      <c r="E1221">
        <v>0.11</v>
      </c>
      <c r="F1221">
        <v>25.37</v>
      </c>
      <c r="G1221">
        <v>25.38</v>
      </c>
      <c r="H1221">
        <v>10156</v>
      </c>
      <c r="I1221">
        <v>115</v>
      </c>
      <c r="J1221">
        <v>0</v>
      </c>
      <c r="K1221">
        <v>1.17</v>
      </c>
      <c r="L1221">
        <v>25.19</v>
      </c>
      <c r="M1221">
        <v>25.45</v>
      </c>
      <c r="N1221">
        <v>25.08</v>
      </c>
      <c r="O1221">
        <v>25.26</v>
      </c>
      <c r="P1221">
        <v>31.08</v>
      </c>
      <c r="Q1221">
        <v>25738332</v>
      </c>
      <c r="R1221">
        <v>1.03</v>
      </c>
      <c r="S1221" t="s">
        <v>508</v>
      </c>
      <c r="T1221" t="s">
        <v>162</v>
      </c>
      <c r="U1221">
        <v>1.46</v>
      </c>
      <c r="V1221">
        <v>25.34</v>
      </c>
      <c r="W1221">
        <v>6716</v>
      </c>
      <c r="X1221">
        <v>3440</v>
      </c>
      <c r="Y1221">
        <v>1.95</v>
      </c>
      <c r="Z1221">
        <v>4</v>
      </c>
      <c r="AA1221">
        <v>37</v>
      </c>
      <c r="AB1221" t="s">
        <v>32</v>
      </c>
      <c r="AC1221">
        <v>0.87</v>
      </c>
    </row>
    <row r="1222" spans="1:29">
      <c r="A1222" t="str">
        <f>"002769"</f>
        <v>002769</v>
      </c>
      <c r="B1222" t="s">
        <v>1389</v>
      </c>
      <c r="C1222">
        <v>2.16</v>
      </c>
      <c r="D1222">
        <v>12.27</v>
      </c>
      <c r="E1222">
        <v>0.26</v>
      </c>
      <c r="F1222">
        <v>12.27</v>
      </c>
      <c r="G1222">
        <v>12.28</v>
      </c>
      <c r="H1222">
        <v>51401</v>
      </c>
      <c r="I1222">
        <v>1413</v>
      </c>
      <c r="J1222">
        <v>0.25</v>
      </c>
      <c r="K1222">
        <v>2.18</v>
      </c>
      <c r="L1222">
        <v>12.02</v>
      </c>
      <c r="M1222">
        <v>12.28</v>
      </c>
      <c r="N1222">
        <v>11.92</v>
      </c>
      <c r="O1222">
        <v>12.01</v>
      </c>
      <c r="P1222">
        <v>28.1</v>
      </c>
      <c r="Q1222">
        <v>62504512</v>
      </c>
      <c r="R1222">
        <v>1.09</v>
      </c>
      <c r="S1222" t="s">
        <v>742</v>
      </c>
      <c r="T1222" t="s">
        <v>31</v>
      </c>
      <c r="U1222">
        <v>3</v>
      </c>
      <c r="V1222">
        <v>12.16</v>
      </c>
      <c r="W1222">
        <v>24626</v>
      </c>
      <c r="X1222">
        <v>26775</v>
      </c>
      <c r="Y1222">
        <v>0.92</v>
      </c>
      <c r="Z1222">
        <v>1392</v>
      </c>
      <c r="AA1222">
        <v>318</v>
      </c>
      <c r="AB1222" t="s">
        <v>32</v>
      </c>
      <c r="AC1222">
        <v>2.36</v>
      </c>
    </row>
    <row r="1223" spans="1:29">
      <c r="A1223" t="str">
        <f>"002770"</f>
        <v>002770</v>
      </c>
      <c r="B1223" t="s">
        <v>1390</v>
      </c>
      <c r="C1223">
        <v>2.31</v>
      </c>
      <c r="D1223">
        <v>3.54</v>
      </c>
      <c r="E1223">
        <v>0.08</v>
      </c>
      <c r="F1223">
        <v>3.54</v>
      </c>
      <c r="G1223">
        <v>3.55</v>
      </c>
      <c r="H1223">
        <v>262976</v>
      </c>
      <c r="I1223">
        <v>3956</v>
      </c>
      <c r="J1223">
        <v>0</v>
      </c>
      <c r="K1223">
        <v>4.52</v>
      </c>
      <c r="L1223">
        <v>3.57</v>
      </c>
      <c r="M1223">
        <v>3.69</v>
      </c>
      <c r="N1223">
        <v>3.49</v>
      </c>
      <c r="O1223">
        <v>3.46</v>
      </c>
      <c r="P1223">
        <v>41.41</v>
      </c>
      <c r="Q1223">
        <v>93799784</v>
      </c>
      <c r="R1223">
        <v>0.67</v>
      </c>
      <c r="S1223" t="s">
        <v>953</v>
      </c>
      <c r="T1223" t="s">
        <v>164</v>
      </c>
      <c r="U1223">
        <v>5.78</v>
      </c>
      <c r="V1223">
        <v>3.57</v>
      </c>
      <c r="W1223">
        <v>131127</v>
      </c>
      <c r="X1223">
        <v>131849</v>
      </c>
      <c r="Y1223">
        <v>0.99</v>
      </c>
      <c r="Z1223">
        <v>811</v>
      </c>
      <c r="AA1223">
        <v>1534</v>
      </c>
      <c r="AB1223" t="s">
        <v>32</v>
      </c>
      <c r="AC1223">
        <v>5.82</v>
      </c>
    </row>
    <row r="1224" spans="1:29">
      <c r="A1224" t="str">
        <f>"002771"</f>
        <v>002771</v>
      </c>
      <c r="B1224" t="s">
        <v>1391</v>
      </c>
      <c r="C1224">
        <v>-0.19</v>
      </c>
      <c r="D1224">
        <v>15.67</v>
      </c>
      <c r="E1224">
        <v>-0.03</v>
      </c>
      <c r="F1224">
        <v>15.67</v>
      </c>
      <c r="G1224">
        <v>15.68</v>
      </c>
      <c r="H1224">
        <v>28614</v>
      </c>
      <c r="I1224">
        <v>443</v>
      </c>
      <c r="J1224">
        <v>0.06</v>
      </c>
      <c r="K1224">
        <v>3.13</v>
      </c>
      <c r="L1224">
        <v>15.65</v>
      </c>
      <c r="M1224">
        <v>15.74</v>
      </c>
      <c r="N1224">
        <v>15.42</v>
      </c>
      <c r="O1224">
        <v>15.7</v>
      </c>
      <c r="P1224">
        <v>76.58</v>
      </c>
      <c r="Q1224">
        <v>44633104</v>
      </c>
      <c r="R1224">
        <v>1.19</v>
      </c>
      <c r="S1224" t="s">
        <v>270</v>
      </c>
      <c r="T1224" t="s">
        <v>45</v>
      </c>
      <c r="U1224">
        <v>2.04</v>
      </c>
      <c r="V1224">
        <v>15.6</v>
      </c>
      <c r="W1224">
        <v>16184</v>
      </c>
      <c r="X1224">
        <v>12429</v>
      </c>
      <c r="Y1224">
        <v>1.3</v>
      </c>
      <c r="Z1224">
        <v>100</v>
      </c>
      <c r="AA1224">
        <v>218</v>
      </c>
      <c r="AB1224" t="s">
        <v>32</v>
      </c>
      <c r="AC1224">
        <v>0.92</v>
      </c>
    </row>
    <row r="1225" spans="1:29">
      <c r="A1225" t="str">
        <f>"002772"</f>
        <v>002772</v>
      </c>
      <c r="B1225" t="s">
        <v>1392</v>
      </c>
      <c r="C1225">
        <v>2.11</v>
      </c>
      <c r="D1225">
        <v>8.21</v>
      </c>
      <c r="E1225">
        <v>0.17</v>
      </c>
      <c r="F1225">
        <v>8.2</v>
      </c>
      <c r="G1225">
        <v>8.21</v>
      </c>
      <c r="H1225">
        <v>53143</v>
      </c>
      <c r="I1225">
        <v>802</v>
      </c>
      <c r="J1225">
        <v>0.24</v>
      </c>
      <c r="K1225">
        <v>2.09</v>
      </c>
      <c r="L1225">
        <v>8.06</v>
      </c>
      <c r="M1225">
        <v>8.25</v>
      </c>
      <c r="N1225">
        <v>8</v>
      </c>
      <c r="O1225">
        <v>8.04</v>
      </c>
      <c r="P1225">
        <v>41.33</v>
      </c>
      <c r="Q1225">
        <v>43252188</v>
      </c>
      <c r="R1225">
        <v>0.96</v>
      </c>
      <c r="S1225" t="s">
        <v>404</v>
      </c>
      <c r="T1225" t="s">
        <v>266</v>
      </c>
      <c r="U1225">
        <v>3.11</v>
      </c>
      <c r="V1225">
        <v>8.14</v>
      </c>
      <c r="W1225">
        <v>24847</v>
      </c>
      <c r="X1225">
        <v>28295</v>
      </c>
      <c r="Y1225">
        <v>0.88</v>
      </c>
      <c r="Z1225">
        <v>485</v>
      </c>
      <c r="AA1225">
        <v>350</v>
      </c>
      <c r="AB1225" t="s">
        <v>32</v>
      </c>
      <c r="AC1225">
        <v>2.54</v>
      </c>
    </row>
    <row r="1226" spans="1:29">
      <c r="A1226" t="str">
        <f>"002773"</f>
        <v>002773</v>
      </c>
      <c r="B1226" t="s">
        <v>1393</v>
      </c>
      <c r="C1226">
        <v>1.51</v>
      </c>
      <c r="D1226">
        <v>51.62</v>
      </c>
      <c r="E1226">
        <v>0.77</v>
      </c>
      <c r="F1226">
        <v>51.62</v>
      </c>
      <c r="G1226">
        <v>51.64</v>
      </c>
      <c r="H1226">
        <v>10549</v>
      </c>
      <c r="I1226">
        <v>88</v>
      </c>
      <c r="J1226">
        <v>0.04</v>
      </c>
      <c r="K1226">
        <v>0.22</v>
      </c>
      <c r="L1226">
        <v>50.06</v>
      </c>
      <c r="M1226">
        <v>51.97</v>
      </c>
      <c r="N1226">
        <v>49.81</v>
      </c>
      <c r="O1226">
        <v>50.85</v>
      </c>
      <c r="P1226">
        <v>42.24</v>
      </c>
      <c r="Q1226">
        <v>54027360</v>
      </c>
      <c r="R1226">
        <v>0.43</v>
      </c>
      <c r="S1226" t="s">
        <v>195</v>
      </c>
      <c r="T1226" t="s">
        <v>146</v>
      </c>
      <c r="U1226">
        <v>4.25</v>
      </c>
      <c r="V1226">
        <v>51.21</v>
      </c>
      <c r="W1226">
        <v>5676</v>
      </c>
      <c r="X1226">
        <v>4873</v>
      </c>
      <c r="Y1226">
        <v>1.16</v>
      </c>
      <c r="Z1226">
        <v>95</v>
      </c>
      <c r="AA1226">
        <v>10</v>
      </c>
      <c r="AB1226" t="s">
        <v>32</v>
      </c>
      <c r="AC1226">
        <v>4.75</v>
      </c>
    </row>
    <row r="1227" spans="1:29">
      <c r="A1227" t="str">
        <f>"002774"</f>
        <v>002774</v>
      </c>
      <c r="B1227" t="s">
        <v>1394</v>
      </c>
      <c r="C1227">
        <v>2.92</v>
      </c>
      <c r="D1227">
        <v>10.21</v>
      </c>
      <c r="E1227">
        <v>0.29</v>
      </c>
      <c r="F1227">
        <v>10.21</v>
      </c>
      <c r="G1227">
        <v>10.22</v>
      </c>
      <c r="H1227">
        <v>122804</v>
      </c>
      <c r="I1227">
        <v>2805</v>
      </c>
      <c r="J1227">
        <v>0.2</v>
      </c>
      <c r="K1227">
        <v>13.96</v>
      </c>
      <c r="L1227">
        <v>9.8</v>
      </c>
      <c r="M1227">
        <v>10.39</v>
      </c>
      <c r="N1227">
        <v>9.67</v>
      </c>
      <c r="O1227">
        <v>9.92</v>
      </c>
      <c r="P1227">
        <v>89.5</v>
      </c>
      <c r="Q1227">
        <v>123869216</v>
      </c>
      <c r="R1227">
        <v>0.93</v>
      </c>
      <c r="S1227" t="s">
        <v>44</v>
      </c>
      <c r="T1227" t="s">
        <v>136</v>
      </c>
      <c r="U1227">
        <v>7.26</v>
      </c>
      <c r="V1227">
        <v>10.09</v>
      </c>
      <c r="W1227">
        <v>55870</v>
      </c>
      <c r="X1227">
        <v>66934</v>
      </c>
      <c r="Y1227">
        <v>0.83</v>
      </c>
      <c r="Z1227">
        <v>933</v>
      </c>
      <c r="AA1227">
        <v>258</v>
      </c>
      <c r="AB1227" t="s">
        <v>32</v>
      </c>
      <c r="AC1227">
        <v>0.88</v>
      </c>
    </row>
    <row r="1228" spans="1:29">
      <c r="A1228" t="str">
        <f>"002775"</f>
        <v>002775</v>
      </c>
      <c r="B1228" t="s">
        <v>1395</v>
      </c>
      <c r="C1228">
        <v>5.85</v>
      </c>
      <c r="D1228">
        <v>8.51</v>
      </c>
      <c r="E1228">
        <v>0.47</v>
      </c>
      <c r="F1228">
        <v>8.51</v>
      </c>
      <c r="G1228">
        <v>8.52</v>
      </c>
      <c r="H1228">
        <v>65201</v>
      </c>
      <c r="I1228">
        <v>874</v>
      </c>
      <c r="J1228">
        <v>-0.11</v>
      </c>
      <c r="K1228">
        <v>1.72</v>
      </c>
      <c r="L1228">
        <v>8.11</v>
      </c>
      <c r="M1228">
        <v>8.66</v>
      </c>
      <c r="N1228">
        <v>8.11</v>
      </c>
      <c r="O1228">
        <v>8.04</v>
      </c>
      <c r="P1228">
        <v>68.48</v>
      </c>
      <c r="Q1228">
        <v>55041052</v>
      </c>
      <c r="R1228">
        <v>3.05</v>
      </c>
      <c r="S1228" t="s">
        <v>49</v>
      </c>
      <c r="T1228" t="s">
        <v>31</v>
      </c>
      <c r="U1228">
        <v>6.84</v>
      </c>
      <c r="V1228">
        <v>8.44</v>
      </c>
      <c r="W1228">
        <v>31942</v>
      </c>
      <c r="X1228">
        <v>33259</v>
      </c>
      <c r="Y1228">
        <v>0.96</v>
      </c>
      <c r="Z1228">
        <v>440</v>
      </c>
      <c r="AA1228">
        <v>1071</v>
      </c>
      <c r="AB1228" t="s">
        <v>32</v>
      </c>
      <c r="AC1228">
        <v>3.8</v>
      </c>
    </row>
    <row r="1229" spans="1:29">
      <c r="A1229" t="str">
        <f>"002776"</f>
        <v>002776</v>
      </c>
      <c r="B1229" t="s">
        <v>1396</v>
      </c>
      <c r="C1229">
        <v>0.46</v>
      </c>
      <c r="D1229">
        <v>10.95</v>
      </c>
      <c r="E1229">
        <v>0.05</v>
      </c>
      <c r="F1229">
        <v>10.95</v>
      </c>
      <c r="G1229">
        <v>10.96</v>
      </c>
      <c r="H1229">
        <v>9823</v>
      </c>
      <c r="I1229">
        <v>1174</v>
      </c>
      <c r="J1229">
        <v>0</v>
      </c>
      <c r="K1229">
        <v>0.48</v>
      </c>
      <c r="L1229">
        <v>10.85</v>
      </c>
      <c r="M1229">
        <v>11.03</v>
      </c>
      <c r="N1229">
        <v>10.8</v>
      </c>
      <c r="O1229">
        <v>10.9</v>
      </c>
      <c r="P1229">
        <v>23.79</v>
      </c>
      <c r="Q1229">
        <v>10739713</v>
      </c>
      <c r="R1229">
        <v>0.38</v>
      </c>
      <c r="S1229" t="s">
        <v>622</v>
      </c>
      <c r="T1229" t="s">
        <v>136</v>
      </c>
      <c r="U1229">
        <v>2.11</v>
      </c>
      <c r="V1229">
        <v>10.93</v>
      </c>
      <c r="W1229">
        <v>4566</v>
      </c>
      <c r="X1229">
        <v>5257</v>
      </c>
      <c r="Y1229">
        <v>0.87</v>
      </c>
      <c r="Z1229">
        <v>146</v>
      </c>
      <c r="AA1229">
        <v>91</v>
      </c>
      <c r="AB1229" t="s">
        <v>32</v>
      </c>
      <c r="AC1229">
        <v>2.06</v>
      </c>
    </row>
    <row r="1230" spans="1:29">
      <c r="A1230" t="str">
        <f>"002777"</f>
        <v>002777</v>
      </c>
      <c r="B1230" t="s">
        <v>1397</v>
      </c>
      <c r="C1230">
        <v>3.21</v>
      </c>
      <c r="D1230">
        <v>29.29</v>
      </c>
      <c r="E1230">
        <v>0.91</v>
      </c>
      <c r="F1230">
        <v>29.29</v>
      </c>
      <c r="G1230">
        <v>29.3</v>
      </c>
      <c r="H1230">
        <v>69272</v>
      </c>
      <c r="I1230">
        <v>883</v>
      </c>
      <c r="J1230">
        <v>1.6</v>
      </c>
      <c r="K1230">
        <v>11.54</v>
      </c>
      <c r="L1230">
        <v>30.1</v>
      </c>
      <c r="M1230">
        <v>31.22</v>
      </c>
      <c r="N1230">
        <v>28.68</v>
      </c>
      <c r="O1230">
        <v>28.38</v>
      </c>
      <c r="P1230">
        <v>151.64</v>
      </c>
      <c r="Q1230">
        <v>209113168</v>
      </c>
      <c r="R1230">
        <v>3.24</v>
      </c>
      <c r="S1230" t="s">
        <v>270</v>
      </c>
      <c r="T1230" t="s">
        <v>146</v>
      </c>
      <c r="U1230">
        <v>8.95</v>
      </c>
      <c r="V1230">
        <v>30.19</v>
      </c>
      <c r="W1230">
        <v>38303</v>
      </c>
      <c r="X1230">
        <v>30968</v>
      </c>
      <c r="Y1230">
        <v>1.24</v>
      </c>
      <c r="Z1230">
        <v>20</v>
      </c>
      <c r="AA1230">
        <v>438</v>
      </c>
      <c r="AB1230" t="s">
        <v>32</v>
      </c>
      <c r="AC1230">
        <v>0.6</v>
      </c>
    </row>
    <row r="1231" spans="1:29">
      <c r="A1231" t="str">
        <f>"002778"</f>
        <v>002778</v>
      </c>
      <c r="B1231" t="s">
        <v>1398</v>
      </c>
      <c r="C1231">
        <v>9.99</v>
      </c>
      <c r="D1231">
        <v>23.35</v>
      </c>
      <c r="E1231">
        <v>2.12</v>
      </c>
      <c r="F1231">
        <v>23.35</v>
      </c>
      <c r="G1231" t="s">
        <v>32</v>
      </c>
      <c r="H1231">
        <v>75291</v>
      </c>
      <c r="I1231">
        <v>3</v>
      </c>
      <c r="J1231">
        <v>0</v>
      </c>
      <c r="K1231">
        <v>13.56</v>
      </c>
      <c r="L1231">
        <v>23.35</v>
      </c>
      <c r="M1231">
        <v>23.35</v>
      </c>
      <c r="N1231">
        <v>22.29</v>
      </c>
      <c r="O1231">
        <v>21.23</v>
      </c>
      <c r="P1231">
        <v>83.76</v>
      </c>
      <c r="Q1231">
        <v>174451504</v>
      </c>
      <c r="R1231">
        <v>3.73</v>
      </c>
      <c r="S1231" t="s">
        <v>110</v>
      </c>
      <c r="T1231" t="s">
        <v>87</v>
      </c>
      <c r="U1231">
        <v>4.99</v>
      </c>
      <c r="V1231">
        <v>23.17</v>
      </c>
      <c r="W1231">
        <v>51522</v>
      </c>
      <c r="X1231">
        <v>23768</v>
      </c>
      <c r="Y1231">
        <v>2.17</v>
      </c>
      <c r="Z1231">
        <v>6118</v>
      </c>
      <c r="AA1231">
        <v>0</v>
      </c>
      <c r="AB1231" t="s">
        <v>32</v>
      </c>
      <c r="AC1231">
        <v>0.56</v>
      </c>
    </row>
    <row r="1232" spans="1:29">
      <c r="A1232" t="str">
        <f>"002779"</f>
        <v>002779</v>
      </c>
      <c r="B1232" t="s">
        <v>1399</v>
      </c>
      <c r="C1232">
        <v>1.14</v>
      </c>
      <c r="D1232">
        <v>20.48</v>
      </c>
      <c r="E1232">
        <v>0.23</v>
      </c>
      <c r="F1232">
        <v>20.48</v>
      </c>
      <c r="G1232">
        <v>20.49</v>
      </c>
      <c r="H1232">
        <v>3228</v>
      </c>
      <c r="I1232">
        <v>369</v>
      </c>
      <c r="J1232">
        <v>0.24</v>
      </c>
      <c r="K1232">
        <v>0.8</v>
      </c>
      <c r="L1232">
        <v>20.2</v>
      </c>
      <c r="M1232">
        <v>20.54</v>
      </c>
      <c r="N1232">
        <v>20.04</v>
      </c>
      <c r="O1232">
        <v>20.25</v>
      </c>
      <c r="P1232">
        <v>149.19</v>
      </c>
      <c r="Q1232">
        <v>6578321</v>
      </c>
      <c r="R1232">
        <v>0.79</v>
      </c>
      <c r="S1232" t="s">
        <v>481</v>
      </c>
      <c r="T1232" t="s">
        <v>149</v>
      </c>
      <c r="U1232">
        <v>2.47</v>
      </c>
      <c r="V1232">
        <v>20.38</v>
      </c>
      <c r="W1232">
        <v>1325</v>
      </c>
      <c r="X1232">
        <v>1902</v>
      </c>
      <c r="Y1232">
        <v>0.7</v>
      </c>
      <c r="Z1232">
        <v>11</v>
      </c>
      <c r="AA1232">
        <v>48</v>
      </c>
      <c r="AB1232" t="s">
        <v>32</v>
      </c>
      <c r="AC1232">
        <v>0.4</v>
      </c>
    </row>
    <row r="1233" spans="1:29">
      <c r="A1233" t="str">
        <f>"002780"</f>
        <v>002780</v>
      </c>
      <c r="B1233" t="s">
        <v>1400</v>
      </c>
      <c r="C1233">
        <v>2.15</v>
      </c>
      <c r="D1233">
        <v>16.63</v>
      </c>
      <c r="E1233">
        <v>0.35</v>
      </c>
      <c r="F1233">
        <v>16.62</v>
      </c>
      <c r="G1233">
        <v>16.63</v>
      </c>
      <c r="H1233">
        <v>24334</v>
      </c>
      <c r="I1233">
        <v>616</v>
      </c>
      <c r="J1233">
        <v>0.12</v>
      </c>
      <c r="K1233">
        <v>3.77</v>
      </c>
      <c r="L1233">
        <v>16.39</v>
      </c>
      <c r="M1233">
        <v>16.63</v>
      </c>
      <c r="N1233">
        <v>16.19</v>
      </c>
      <c r="O1233">
        <v>16.28</v>
      </c>
      <c r="P1233">
        <v>304.14</v>
      </c>
      <c r="Q1233">
        <v>40096604</v>
      </c>
      <c r="R1233">
        <v>1.02</v>
      </c>
      <c r="S1233" t="s">
        <v>73</v>
      </c>
      <c r="T1233" t="s">
        <v>45</v>
      </c>
      <c r="U1233">
        <v>2.7</v>
      </c>
      <c r="V1233">
        <v>16.48</v>
      </c>
      <c r="W1233">
        <v>8278</v>
      </c>
      <c r="X1233">
        <v>16055</v>
      </c>
      <c r="Y1233">
        <v>0.52</v>
      </c>
      <c r="Z1233">
        <v>76</v>
      </c>
      <c r="AA1233">
        <v>663</v>
      </c>
      <c r="AB1233" t="s">
        <v>32</v>
      </c>
      <c r="AC1233">
        <v>0.65</v>
      </c>
    </row>
    <row r="1234" spans="1:29">
      <c r="A1234" t="str">
        <f>"002781"</f>
        <v>002781</v>
      </c>
      <c r="B1234" t="s">
        <v>1401</v>
      </c>
      <c r="C1234">
        <v>2.72</v>
      </c>
      <c r="D1234">
        <v>16.6</v>
      </c>
      <c r="E1234">
        <v>0.44</v>
      </c>
      <c r="F1234">
        <v>16.59</v>
      </c>
      <c r="G1234">
        <v>16.6</v>
      </c>
      <c r="H1234">
        <v>26648</v>
      </c>
      <c r="I1234">
        <v>501</v>
      </c>
      <c r="J1234">
        <v>0.06</v>
      </c>
      <c r="K1234">
        <v>2.91</v>
      </c>
      <c r="L1234">
        <v>16.15</v>
      </c>
      <c r="M1234">
        <v>16.8</v>
      </c>
      <c r="N1234">
        <v>16.1</v>
      </c>
      <c r="O1234">
        <v>16.16</v>
      </c>
      <c r="P1234">
        <v>22.57</v>
      </c>
      <c r="Q1234">
        <v>43967508</v>
      </c>
      <c r="R1234">
        <v>1.35</v>
      </c>
      <c r="S1234" t="s">
        <v>59</v>
      </c>
      <c r="T1234" t="s">
        <v>31</v>
      </c>
      <c r="U1234">
        <v>4.33</v>
      </c>
      <c r="V1234">
        <v>16.5</v>
      </c>
      <c r="W1234">
        <v>9456</v>
      </c>
      <c r="X1234">
        <v>17191</v>
      </c>
      <c r="Y1234">
        <v>0.55</v>
      </c>
      <c r="Z1234">
        <v>36</v>
      </c>
      <c r="AA1234">
        <v>158</v>
      </c>
      <c r="AB1234" t="s">
        <v>32</v>
      </c>
      <c r="AC1234">
        <v>0.92</v>
      </c>
    </row>
    <row r="1235" spans="1:29">
      <c r="A1235" t="str">
        <f>"002782"</f>
        <v>002782</v>
      </c>
      <c r="B1235" t="s">
        <v>1402</v>
      </c>
      <c r="C1235">
        <v>0.35</v>
      </c>
      <c r="D1235">
        <v>16.99</v>
      </c>
      <c r="E1235">
        <v>0.06</v>
      </c>
      <c r="F1235">
        <v>16.99</v>
      </c>
      <c r="G1235">
        <v>17</v>
      </c>
      <c r="H1235">
        <v>89455</v>
      </c>
      <c r="I1235">
        <v>1077</v>
      </c>
      <c r="J1235">
        <v>0</v>
      </c>
      <c r="K1235">
        <v>8.4</v>
      </c>
      <c r="L1235">
        <v>16.93</v>
      </c>
      <c r="M1235">
        <v>17.22</v>
      </c>
      <c r="N1235">
        <v>16.54</v>
      </c>
      <c r="O1235">
        <v>16.93</v>
      </c>
      <c r="P1235">
        <v>100.33</v>
      </c>
      <c r="Q1235">
        <v>151397856</v>
      </c>
      <c r="R1235">
        <v>0.89</v>
      </c>
      <c r="S1235" t="s">
        <v>104</v>
      </c>
      <c r="T1235" t="s">
        <v>31</v>
      </c>
      <c r="U1235">
        <v>4.02</v>
      </c>
      <c r="V1235">
        <v>16.92</v>
      </c>
      <c r="W1235">
        <v>47698</v>
      </c>
      <c r="X1235">
        <v>41756</v>
      </c>
      <c r="Y1235">
        <v>1.14</v>
      </c>
      <c r="Z1235">
        <v>948</v>
      </c>
      <c r="AA1235">
        <v>421</v>
      </c>
      <c r="AB1235" t="s">
        <v>32</v>
      </c>
      <c r="AC1235">
        <v>1.06</v>
      </c>
    </row>
    <row r="1236" spans="1:29">
      <c r="A1236" t="str">
        <f>"002783"</f>
        <v>002783</v>
      </c>
      <c r="B1236" t="s">
        <v>1403</v>
      </c>
      <c r="C1236">
        <v>3.58</v>
      </c>
      <c r="D1236">
        <v>8.39</v>
      </c>
      <c r="E1236">
        <v>0.29</v>
      </c>
      <c r="F1236">
        <v>8.38</v>
      </c>
      <c r="G1236">
        <v>8.39</v>
      </c>
      <c r="H1236">
        <v>32268</v>
      </c>
      <c r="I1236">
        <v>165</v>
      </c>
      <c r="J1236">
        <v>0.12</v>
      </c>
      <c r="K1236">
        <v>1.88</v>
      </c>
      <c r="L1236">
        <v>8.09</v>
      </c>
      <c r="M1236">
        <v>8.74</v>
      </c>
      <c r="N1236">
        <v>8.06</v>
      </c>
      <c r="O1236">
        <v>8.1</v>
      </c>
      <c r="P1236">
        <v>68.44</v>
      </c>
      <c r="Q1236">
        <v>26997830</v>
      </c>
      <c r="R1236">
        <v>2.99</v>
      </c>
      <c r="S1236" t="s">
        <v>218</v>
      </c>
      <c r="T1236" t="s">
        <v>193</v>
      </c>
      <c r="U1236">
        <v>8.4</v>
      </c>
      <c r="V1236">
        <v>8.37</v>
      </c>
      <c r="W1236">
        <v>15311</v>
      </c>
      <c r="X1236">
        <v>16957</v>
      </c>
      <c r="Y1236">
        <v>0.9</v>
      </c>
      <c r="Z1236">
        <v>659</v>
      </c>
      <c r="AA1236">
        <v>273</v>
      </c>
      <c r="AB1236" t="s">
        <v>32</v>
      </c>
      <c r="AC1236">
        <v>1.71</v>
      </c>
    </row>
    <row r="1237" spans="1:29">
      <c r="A1237" t="str">
        <f>"002785"</f>
        <v>002785</v>
      </c>
      <c r="B1237" t="s">
        <v>1404</v>
      </c>
      <c r="C1237">
        <v>2.53</v>
      </c>
      <c r="D1237">
        <v>8.92</v>
      </c>
      <c r="E1237">
        <v>0.22</v>
      </c>
      <c r="F1237">
        <v>8.91</v>
      </c>
      <c r="G1237">
        <v>8.92</v>
      </c>
      <c r="H1237">
        <v>23354</v>
      </c>
      <c r="I1237">
        <v>392</v>
      </c>
      <c r="J1237">
        <v>0</v>
      </c>
      <c r="K1237">
        <v>2.41</v>
      </c>
      <c r="L1237">
        <v>8.7</v>
      </c>
      <c r="M1237">
        <v>9.25</v>
      </c>
      <c r="N1237">
        <v>8.7</v>
      </c>
      <c r="O1237">
        <v>8.7</v>
      </c>
      <c r="P1237">
        <v>115.82</v>
      </c>
      <c r="Q1237">
        <v>20892862</v>
      </c>
      <c r="R1237">
        <v>1.95</v>
      </c>
      <c r="S1237" t="s">
        <v>69</v>
      </c>
      <c r="T1237" t="s">
        <v>236</v>
      </c>
      <c r="U1237">
        <v>6.32</v>
      </c>
      <c r="V1237">
        <v>8.95</v>
      </c>
      <c r="W1237">
        <v>11022</v>
      </c>
      <c r="X1237">
        <v>12331</v>
      </c>
      <c r="Y1237">
        <v>0.89</v>
      </c>
      <c r="Z1237">
        <v>243</v>
      </c>
      <c r="AA1237">
        <v>17</v>
      </c>
      <c r="AB1237" t="s">
        <v>32</v>
      </c>
      <c r="AC1237">
        <v>0.97</v>
      </c>
    </row>
    <row r="1238" spans="1:29">
      <c r="A1238" t="str">
        <f>"002786"</f>
        <v>002786</v>
      </c>
      <c r="B1238" t="s">
        <v>1405</v>
      </c>
      <c r="C1238">
        <v>1.96</v>
      </c>
      <c r="D1238">
        <v>6.25</v>
      </c>
      <c r="E1238">
        <v>0.12</v>
      </c>
      <c r="F1238">
        <v>6.24</v>
      </c>
      <c r="G1238">
        <v>6.25</v>
      </c>
      <c r="H1238">
        <v>33119</v>
      </c>
      <c r="I1238">
        <v>453</v>
      </c>
      <c r="J1238">
        <v>0.32</v>
      </c>
      <c r="K1238">
        <v>2.42</v>
      </c>
      <c r="L1238">
        <v>6.16</v>
      </c>
      <c r="M1238">
        <v>6.26</v>
      </c>
      <c r="N1238">
        <v>6.08</v>
      </c>
      <c r="O1238">
        <v>6.13</v>
      </c>
      <c r="P1238" t="s">
        <v>32</v>
      </c>
      <c r="Q1238">
        <v>20479014</v>
      </c>
      <c r="R1238">
        <v>1.77</v>
      </c>
      <c r="S1238" t="s">
        <v>171</v>
      </c>
      <c r="T1238" t="s">
        <v>31</v>
      </c>
      <c r="U1238">
        <v>2.94</v>
      </c>
      <c r="V1238">
        <v>6.18</v>
      </c>
      <c r="W1238">
        <v>14295</v>
      </c>
      <c r="X1238">
        <v>18824</v>
      </c>
      <c r="Y1238">
        <v>0.76</v>
      </c>
      <c r="Z1238">
        <v>145</v>
      </c>
      <c r="AA1238">
        <v>595</v>
      </c>
      <c r="AB1238" t="s">
        <v>32</v>
      </c>
      <c r="AC1238">
        <v>1.37</v>
      </c>
    </row>
    <row r="1239" spans="1:29">
      <c r="A1239" t="str">
        <f>"002787"</f>
        <v>002787</v>
      </c>
      <c r="B1239" t="s">
        <v>1406</v>
      </c>
      <c r="C1239">
        <v>1.34</v>
      </c>
      <c r="D1239">
        <v>11.38</v>
      </c>
      <c r="E1239">
        <v>0.15</v>
      </c>
      <c r="F1239">
        <v>11.38</v>
      </c>
      <c r="G1239">
        <v>11.39</v>
      </c>
      <c r="H1239">
        <v>42400</v>
      </c>
      <c r="I1239">
        <v>1521</v>
      </c>
      <c r="J1239">
        <v>-0.25</v>
      </c>
      <c r="K1239">
        <v>4.14</v>
      </c>
      <c r="L1239">
        <v>11.23</v>
      </c>
      <c r="M1239">
        <v>11.56</v>
      </c>
      <c r="N1239">
        <v>11.2</v>
      </c>
      <c r="O1239">
        <v>11.23</v>
      </c>
      <c r="P1239">
        <v>66.82</v>
      </c>
      <c r="Q1239">
        <v>48336668</v>
      </c>
      <c r="R1239">
        <v>0.43</v>
      </c>
      <c r="S1239" t="s">
        <v>91</v>
      </c>
      <c r="T1239" t="s">
        <v>87</v>
      </c>
      <c r="U1239">
        <v>3.21</v>
      </c>
      <c r="V1239">
        <v>11.4</v>
      </c>
      <c r="W1239">
        <v>21626</v>
      </c>
      <c r="X1239">
        <v>20774</v>
      </c>
      <c r="Y1239">
        <v>1.04</v>
      </c>
      <c r="Z1239">
        <v>18</v>
      </c>
      <c r="AA1239">
        <v>34</v>
      </c>
      <c r="AB1239" t="s">
        <v>32</v>
      </c>
      <c r="AC1239">
        <v>1.02</v>
      </c>
    </row>
    <row r="1240" spans="1:29">
      <c r="A1240" t="str">
        <f>"002788"</f>
        <v>002788</v>
      </c>
      <c r="B1240" t="s">
        <v>1407</v>
      </c>
      <c r="C1240">
        <v>1.46</v>
      </c>
      <c r="D1240">
        <v>15.95</v>
      </c>
      <c r="E1240">
        <v>0.23</v>
      </c>
      <c r="F1240">
        <v>15.95</v>
      </c>
      <c r="G1240">
        <v>15.96</v>
      </c>
      <c r="H1240">
        <v>26738</v>
      </c>
      <c r="I1240">
        <v>297</v>
      </c>
      <c r="J1240">
        <v>0.25</v>
      </c>
      <c r="K1240">
        <v>2.53</v>
      </c>
      <c r="L1240">
        <v>15.6</v>
      </c>
      <c r="M1240">
        <v>16.08</v>
      </c>
      <c r="N1240">
        <v>15.58</v>
      </c>
      <c r="O1240">
        <v>15.72</v>
      </c>
      <c r="P1240">
        <v>23.68</v>
      </c>
      <c r="Q1240">
        <v>42482964</v>
      </c>
      <c r="R1240">
        <v>1.2</v>
      </c>
      <c r="S1240" t="s">
        <v>77</v>
      </c>
      <c r="T1240" t="s">
        <v>236</v>
      </c>
      <c r="U1240">
        <v>3.18</v>
      </c>
      <c r="V1240">
        <v>15.89</v>
      </c>
      <c r="W1240">
        <v>13319</v>
      </c>
      <c r="X1240">
        <v>13419</v>
      </c>
      <c r="Y1240">
        <v>0.99</v>
      </c>
      <c r="Z1240">
        <v>105</v>
      </c>
      <c r="AA1240">
        <v>54</v>
      </c>
      <c r="AB1240" t="s">
        <v>32</v>
      </c>
      <c r="AC1240">
        <v>1.06</v>
      </c>
    </row>
    <row r="1241" spans="1:29">
      <c r="A1241" t="str">
        <f>"002789"</f>
        <v>002789</v>
      </c>
      <c r="B1241" t="s">
        <v>1408</v>
      </c>
      <c r="C1241">
        <v>3.01</v>
      </c>
      <c r="D1241">
        <v>34.93</v>
      </c>
      <c r="E1241">
        <v>1.02</v>
      </c>
      <c r="F1241">
        <v>34.92</v>
      </c>
      <c r="G1241">
        <v>34.93</v>
      </c>
      <c r="H1241">
        <v>14156</v>
      </c>
      <c r="I1241">
        <v>212</v>
      </c>
      <c r="J1241">
        <v>0.03</v>
      </c>
      <c r="K1241">
        <v>3.74</v>
      </c>
      <c r="L1241">
        <v>33.8</v>
      </c>
      <c r="M1241">
        <v>35.48</v>
      </c>
      <c r="N1241">
        <v>33.78</v>
      </c>
      <c r="O1241">
        <v>33.91</v>
      </c>
      <c r="P1241">
        <v>24.21</v>
      </c>
      <c r="Q1241">
        <v>49272016</v>
      </c>
      <c r="R1241">
        <v>2.56</v>
      </c>
      <c r="S1241" t="s">
        <v>59</v>
      </c>
      <c r="T1241" t="s">
        <v>31</v>
      </c>
      <c r="U1241">
        <v>5.01</v>
      </c>
      <c r="V1241">
        <v>34.81</v>
      </c>
      <c r="W1241">
        <v>6119</v>
      </c>
      <c r="X1241">
        <v>8036</v>
      </c>
      <c r="Y1241">
        <v>0.76</v>
      </c>
      <c r="Z1241">
        <v>20</v>
      </c>
      <c r="AA1241">
        <v>127</v>
      </c>
      <c r="AB1241" t="s">
        <v>32</v>
      </c>
      <c r="AC1241">
        <v>0.38</v>
      </c>
    </row>
    <row r="1242" spans="1:29">
      <c r="A1242" t="str">
        <f>"002790"</f>
        <v>002790</v>
      </c>
      <c r="B1242" t="s">
        <v>1409</v>
      </c>
      <c r="C1242">
        <v>0.92</v>
      </c>
      <c r="D1242">
        <v>12.02</v>
      </c>
      <c r="E1242">
        <v>0.11</v>
      </c>
      <c r="F1242">
        <v>12.01</v>
      </c>
      <c r="G1242">
        <v>12.02</v>
      </c>
      <c r="H1242">
        <v>44306</v>
      </c>
      <c r="I1242">
        <v>500</v>
      </c>
      <c r="J1242">
        <v>0.08</v>
      </c>
      <c r="K1242">
        <v>6.92</v>
      </c>
      <c r="L1242">
        <v>11.91</v>
      </c>
      <c r="M1242">
        <v>12.1</v>
      </c>
      <c r="N1242">
        <v>11.68</v>
      </c>
      <c r="O1242">
        <v>11.91</v>
      </c>
      <c r="P1242">
        <v>41.08</v>
      </c>
      <c r="Q1242">
        <v>52454240</v>
      </c>
      <c r="R1242">
        <v>0.96</v>
      </c>
      <c r="S1242" t="s">
        <v>545</v>
      </c>
      <c r="T1242" t="s">
        <v>236</v>
      </c>
      <c r="U1242">
        <v>3.53</v>
      </c>
      <c r="V1242">
        <v>11.84</v>
      </c>
      <c r="W1242">
        <v>25666</v>
      </c>
      <c r="X1242">
        <v>18640</v>
      </c>
      <c r="Y1242">
        <v>1.38</v>
      </c>
      <c r="Z1242">
        <v>307</v>
      </c>
      <c r="AA1242">
        <v>369</v>
      </c>
      <c r="AB1242" t="s">
        <v>32</v>
      </c>
      <c r="AC1242">
        <v>0.64</v>
      </c>
    </row>
    <row r="1243" spans="1:29">
      <c r="A1243" t="str">
        <f>"002791"</f>
        <v>002791</v>
      </c>
      <c r="B1243" t="s">
        <v>1410</v>
      </c>
      <c r="C1243">
        <v>1.86</v>
      </c>
      <c r="D1243">
        <v>12.03</v>
      </c>
      <c r="E1243">
        <v>0.22</v>
      </c>
      <c r="F1243">
        <v>12.02</v>
      </c>
      <c r="G1243">
        <v>12.03</v>
      </c>
      <c r="H1243">
        <v>13489</v>
      </c>
      <c r="I1243">
        <v>216</v>
      </c>
      <c r="J1243">
        <v>0.17</v>
      </c>
      <c r="K1243">
        <v>1.68</v>
      </c>
      <c r="L1243">
        <v>11.83</v>
      </c>
      <c r="M1243">
        <v>12.08</v>
      </c>
      <c r="N1243">
        <v>11.7</v>
      </c>
      <c r="O1243">
        <v>11.81</v>
      </c>
      <c r="P1243" t="s">
        <v>32</v>
      </c>
      <c r="Q1243">
        <v>16109263</v>
      </c>
      <c r="R1243">
        <v>1.76</v>
      </c>
      <c r="S1243" t="s">
        <v>69</v>
      </c>
      <c r="T1243" t="s">
        <v>136</v>
      </c>
      <c r="U1243">
        <v>3.22</v>
      </c>
      <c r="V1243">
        <v>11.94</v>
      </c>
      <c r="W1243">
        <v>6655</v>
      </c>
      <c r="X1243">
        <v>6833</v>
      </c>
      <c r="Y1243">
        <v>0.97</v>
      </c>
      <c r="Z1243">
        <v>31</v>
      </c>
      <c r="AA1243">
        <v>31</v>
      </c>
      <c r="AB1243" t="s">
        <v>32</v>
      </c>
      <c r="AC1243">
        <v>0.8</v>
      </c>
    </row>
    <row r="1244" spans="1:29">
      <c r="A1244" t="str">
        <f>"002792"</f>
        <v>002792</v>
      </c>
      <c r="B1244" t="s">
        <v>1411</v>
      </c>
      <c r="C1244">
        <v>1.16</v>
      </c>
      <c r="D1244">
        <v>23.62</v>
      </c>
      <c r="E1244">
        <v>0.27</v>
      </c>
      <c r="F1244">
        <v>23.61</v>
      </c>
      <c r="G1244">
        <v>23.62</v>
      </c>
      <c r="H1244">
        <v>16818</v>
      </c>
      <c r="I1244">
        <v>708</v>
      </c>
      <c r="J1244">
        <v>-0.12</v>
      </c>
      <c r="K1244">
        <v>2.38</v>
      </c>
      <c r="L1244">
        <v>23.34</v>
      </c>
      <c r="M1244">
        <v>23.72</v>
      </c>
      <c r="N1244">
        <v>23.15</v>
      </c>
      <c r="O1244">
        <v>23.35</v>
      </c>
      <c r="P1244" t="s">
        <v>32</v>
      </c>
      <c r="Q1244">
        <v>39556856</v>
      </c>
      <c r="R1244">
        <v>0.72</v>
      </c>
      <c r="S1244" t="s">
        <v>119</v>
      </c>
      <c r="T1244" t="s">
        <v>136</v>
      </c>
      <c r="U1244">
        <v>2.44</v>
      </c>
      <c r="V1244">
        <v>23.52</v>
      </c>
      <c r="W1244">
        <v>7067</v>
      </c>
      <c r="X1244">
        <v>9751</v>
      </c>
      <c r="Y1244">
        <v>0.72</v>
      </c>
      <c r="Z1244">
        <v>84</v>
      </c>
      <c r="AA1244">
        <v>138</v>
      </c>
      <c r="AB1244" t="s">
        <v>32</v>
      </c>
      <c r="AC1244">
        <v>0.71</v>
      </c>
    </row>
    <row r="1245" spans="1:29">
      <c r="A1245" t="str">
        <f>"002793"</f>
        <v>002793</v>
      </c>
      <c r="B1245" t="s">
        <v>1412</v>
      </c>
      <c r="C1245">
        <v>1.52</v>
      </c>
      <c r="D1245">
        <v>13.36</v>
      </c>
      <c r="E1245">
        <v>0.2</v>
      </c>
      <c r="F1245">
        <v>13.35</v>
      </c>
      <c r="G1245">
        <v>13.36</v>
      </c>
      <c r="H1245">
        <v>10514</v>
      </c>
      <c r="I1245">
        <v>222</v>
      </c>
      <c r="J1245">
        <v>0.3</v>
      </c>
      <c r="K1245">
        <v>1.63</v>
      </c>
      <c r="L1245">
        <v>13.2</v>
      </c>
      <c r="M1245">
        <v>13.36</v>
      </c>
      <c r="N1245">
        <v>13.11</v>
      </c>
      <c r="O1245">
        <v>13.16</v>
      </c>
      <c r="P1245">
        <v>33.13</v>
      </c>
      <c r="Q1245">
        <v>13969917</v>
      </c>
      <c r="R1245">
        <v>1.02</v>
      </c>
      <c r="S1245" t="s">
        <v>171</v>
      </c>
      <c r="T1245" t="s">
        <v>149</v>
      </c>
      <c r="U1245">
        <v>1.9</v>
      </c>
      <c r="V1245">
        <v>13.29</v>
      </c>
      <c r="W1245">
        <v>4035</v>
      </c>
      <c r="X1245">
        <v>6479</v>
      </c>
      <c r="Y1245">
        <v>0.62</v>
      </c>
      <c r="Z1245">
        <v>148</v>
      </c>
      <c r="AA1245">
        <v>348</v>
      </c>
      <c r="AB1245" t="s">
        <v>32</v>
      </c>
      <c r="AC1245">
        <v>0.64</v>
      </c>
    </row>
    <row r="1246" spans="1:29">
      <c r="A1246" t="str">
        <f>"002795"</f>
        <v>002795</v>
      </c>
      <c r="B1246" t="s">
        <v>1413</v>
      </c>
      <c r="C1246">
        <v>3.99</v>
      </c>
      <c r="D1246">
        <v>24.26</v>
      </c>
      <c r="E1246">
        <v>0.93</v>
      </c>
      <c r="F1246">
        <v>24.26</v>
      </c>
      <c r="G1246">
        <v>24.27</v>
      </c>
      <c r="H1246">
        <v>138538</v>
      </c>
      <c r="I1246">
        <v>6378</v>
      </c>
      <c r="J1246">
        <v>1.34</v>
      </c>
      <c r="K1246">
        <v>21.73</v>
      </c>
      <c r="L1246">
        <v>23.44</v>
      </c>
      <c r="M1246">
        <v>24.27</v>
      </c>
      <c r="N1246">
        <v>22.7</v>
      </c>
      <c r="O1246">
        <v>23.33</v>
      </c>
      <c r="P1246">
        <v>159.68</v>
      </c>
      <c r="Q1246">
        <v>326792768</v>
      </c>
      <c r="R1246">
        <v>1.03</v>
      </c>
      <c r="S1246" t="s">
        <v>241</v>
      </c>
      <c r="T1246" t="s">
        <v>149</v>
      </c>
      <c r="U1246">
        <v>6.73</v>
      </c>
      <c r="V1246">
        <v>23.59</v>
      </c>
      <c r="W1246">
        <v>65854</v>
      </c>
      <c r="X1246">
        <v>72683</v>
      </c>
      <c r="Y1246">
        <v>0.91</v>
      </c>
      <c r="Z1246">
        <v>1708</v>
      </c>
      <c r="AA1246">
        <v>2314</v>
      </c>
      <c r="AB1246" t="s">
        <v>32</v>
      </c>
      <c r="AC1246">
        <v>0.64</v>
      </c>
    </row>
    <row r="1247" spans="1:29">
      <c r="A1247" t="str">
        <f>"002796"</f>
        <v>002796</v>
      </c>
      <c r="B1247" t="s">
        <v>1414</v>
      </c>
      <c r="C1247">
        <v>3.45</v>
      </c>
      <c r="D1247">
        <v>28.22</v>
      </c>
      <c r="E1247">
        <v>0.94</v>
      </c>
      <c r="F1247">
        <v>28.21</v>
      </c>
      <c r="G1247">
        <v>28.22</v>
      </c>
      <c r="H1247">
        <v>19230</v>
      </c>
      <c r="I1247">
        <v>567</v>
      </c>
      <c r="J1247">
        <v>0.21</v>
      </c>
      <c r="K1247">
        <v>6.43</v>
      </c>
      <c r="L1247">
        <v>27.31</v>
      </c>
      <c r="M1247">
        <v>28.46</v>
      </c>
      <c r="N1247">
        <v>27.31</v>
      </c>
      <c r="O1247">
        <v>27.28</v>
      </c>
      <c r="P1247">
        <v>114.21</v>
      </c>
      <c r="Q1247">
        <v>54103232</v>
      </c>
      <c r="R1247">
        <v>1.18</v>
      </c>
      <c r="S1247" t="s">
        <v>171</v>
      </c>
      <c r="T1247" t="s">
        <v>87</v>
      </c>
      <c r="U1247">
        <v>4.22</v>
      </c>
      <c r="V1247">
        <v>28.14</v>
      </c>
      <c r="W1247">
        <v>9001</v>
      </c>
      <c r="X1247">
        <v>10228</v>
      </c>
      <c r="Y1247">
        <v>0.88</v>
      </c>
      <c r="Z1247">
        <v>35</v>
      </c>
      <c r="AA1247">
        <v>64</v>
      </c>
      <c r="AB1247" t="s">
        <v>32</v>
      </c>
      <c r="AC1247">
        <v>0.3</v>
      </c>
    </row>
    <row r="1248" spans="1:29">
      <c r="A1248" t="str">
        <f>"002797"</f>
        <v>002797</v>
      </c>
      <c r="B1248" t="s">
        <v>1415</v>
      </c>
      <c r="C1248">
        <v>1.78</v>
      </c>
      <c r="D1248">
        <v>6.28</v>
      </c>
      <c r="E1248">
        <v>0.11</v>
      </c>
      <c r="F1248">
        <v>6.28</v>
      </c>
      <c r="G1248">
        <v>6.29</v>
      </c>
      <c r="H1248">
        <v>766224</v>
      </c>
      <c r="I1248">
        <v>6077</v>
      </c>
      <c r="J1248">
        <v>0</v>
      </c>
      <c r="K1248">
        <v>3.99</v>
      </c>
      <c r="L1248">
        <v>6.14</v>
      </c>
      <c r="M1248">
        <v>6.39</v>
      </c>
      <c r="N1248">
        <v>6.13</v>
      </c>
      <c r="O1248">
        <v>6.17</v>
      </c>
      <c r="P1248">
        <v>79.7</v>
      </c>
      <c r="Q1248">
        <v>481083872</v>
      </c>
      <c r="R1248">
        <v>2.09</v>
      </c>
      <c r="S1248" t="s">
        <v>158</v>
      </c>
      <c r="T1248" t="s">
        <v>31</v>
      </c>
      <c r="U1248">
        <v>4.21</v>
      </c>
      <c r="V1248">
        <v>6.28</v>
      </c>
      <c r="W1248">
        <v>337104</v>
      </c>
      <c r="X1248">
        <v>429120</v>
      </c>
      <c r="Y1248">
        <v>0.79</v>
      </c>
      <c r="Z1248">
        <v>6532</v>
      </c>
      <c r="AA1248">
        <v>4536</v>
      </c>
      <c r="AB1248" t="s">
        <v>32</v>
      </c>
      <c r="AC1248">
        <v>19.18</v>
      </c>
    </row>
    <row r="1249" spans="1:29">
      <c r="A1249" t="str">
        <f>"002798"</f>
        <v>002798</v>
      </c>
      <c r="B1249" t="s">
        <v>1416</v>
      </c>
      <c r="C1249">
        <v>1.19</v>
      </c>
      <c r="D1249">
        <v>33.99</v>
      </c>
      <c r="E1249">
        <v>0.4</v>
      </c>
      <c r="F1249">
        <v>33.97</v>
      </c>
      <c r="G1249">
        <v>33.99</v>
      </c>
      <c r="H1249">
        <v>11231</v>
      </c>
      <c r="I1249">
        <v>125</v>
      </c>
      <c r="J1249">
        <v>0.09</v>
      </c>
      <c r="K1249">
        <v>2.05</v>
      </c>
      <c r="L1249">
        <v>33.26</v>
      </c>
      <c r="M1249">
        <v>35.2</v>
      </c>
      <c r="N1249">
        <v>33.26</v>
      </c>
      <c r="O1249">
        <v>33.59</v>
      </c>
      <c r="P1249">
        <v>43.62</v>
      </c>
      <c r="Q1249">
        <v>38513472</v>
      </c>
      <c r="R1249">
        <v>1.23</v>
      </c>
      <c r="S1249" t="s">
        <v>545</v>
      </c>
      <c r="T1249" t="s">
        <v>146</v>
      </c>
      <c r="U1249">
        <v>5.78</v>
      </c>
      <c r="V1249">
        <v>34.29</v>
      </c>
      <c r="W1249">
        <v>3589</v>
      </c>
      <c r="X1249">
        <v>7642</v>
      </c>
      <c r="Y1249">
        <v>0.47</v>
      </c>
      <c r="Z1249">
        <v>11</v>
      </c>
      <c r="AA1249">
        <v>106</v>
      </c>
      <c r="AB1249" t="s">
        <v>32</v>
      </c>
      <c r="AC1249">
        <v>0.55</v>
      </c>
    </row>
    <row r="1250" spans="1:29">
      <c r="A1250" t="str">
        <f>"002799"</f>
        <v>002799</v>
      </c>
      <c r="B1250" t="s">
        <v>1417</v>
      </c>
      <c r="C1250">
        <v>-1.18</v>
      </c>
      <c r="D1250">
        <v>16.73</v>
      </c>
      <c r="E1250">
        <v>-0.2</v>
      </c>
      <c r="F1250">
        <v>16.72</v>
      </c>
      <c r="G1250">
        <v>16.73</v>
      </c>
      <c r="H1250">
        <v>29730</v>
      </c>
      <c r="I1250">
        <v>642</v>
      </c>
      <c r="J1250">
        <v>-0.11</v>
      </c>
      <c r="K1250">
        <v>3.87</v>
      </c>
      <c r="L1250">
        <v>16.82</v>
      </c>
      <c r="M1250">
        <v>16.89</v>
      </c>
      <c r="N1250">
        <v>16.08</v>
      </c>
      <c r="O1250">
        <v>16.93</v>
      </c>
      <c r="P1250">
        <v>88.98</v>
      </c>
      <c r="Q1250">
        <v>49024088</v>
      </c>
      <c r="R1250">
        <v>1.09</v>
      </c>
      <c r="S1250" t="s">
        <v>91</v>
      </c>
      <c r="T1250" t="s">
        <v>223</v>
      </c>
      <c r="U1250">
        <v>4.78</v>
      </c>
      <c r="V1250">
        <v>16.49</v>
      </c>
      <c r="W1250">
        <v>15824</v>
      </c>
      <c r="X1250">
        <v>13905</v>
      </c>
      <c r="Y1250">
        <v>1.14</v>
      </c>
      <c r="Z1250">
        <v>150</v>
      </c>
      <c r="AA1250">
        <v>87</v>
      </c>
      <c r="AB1250" t="s">
        <v>32</v>
      </c>
      <c r="AC1250">
        <v>0.77</v>
      </c>
    </row>
    <row r="1251" spans="1:29">
      <c r="A1251" t="str">
        <f>"002800"</f>
        <v>002800</v>
      </c>
      <c r="B1251" t="s">
        <v>1418</v>
      </c>
      <c r="C1251">
        <v>2.07</v>
      </c>
      <c r="D1251">
        <v>20.2</v>
      </c>
      <c r="E1251">
        <v>0.41</v>
      </c>
      <c r="F1251">
        <v>20.2</v>
      </c>
      <c r="G1251">
        <v>20.25</v>
      </c>
      <c r="H1251">
        <v>7980</v>
      </c>
      <c r="I1251">
        <v>430</v>
      </c>
      <c r="J1251">
        <v>0</v>
      </c>
      <c r="K1251">
        <v>2.29</v>
      </c>
      <c r="L1251">
        <v>19.85</v>
      </c>
      <c r="M1251">
        <v>20.29</v>
      </c>
      <c r="N1251">
        <v>19.63</v>
      </c>
      <c r="O1251">
        <v>19.79</v>
      </c>
      <c r="P1251" t="s">
        <v>32</v>
      </c>
      <c r="Q1251">
        <v>16022803</v>
      </c>
      <c r="R1251">
        <v>1.51</v>
      </c>
      <c r="S1251" t="s">
        <v>742</v>
      </c>
      <c r="T1251" t="s">
        <v>156</v>
      </c>
      <c r="U1251">
        <v>3.34</v>
      </c>
      <c r="V1251">
        <v>20.08</v>
      </c>
      <c r="W1251">
        <v>3557</v>
      </c>
      <c r="X1251">
        <v>4422</v>
      </c>
      <c r="Y1251">
        <v>0.8</v>
      </c>
      <c r="Z1251">
        <v>68</v>
      </c>
      <c r="AA1251">
        <v>4</v>
      </c>
      <c r="AB1251" t="s">
        <v>32</v>
      </c>
      <c r="AC1251">
        <v>0.35</v>
      </c>
    </row>
    <row r="1252" spans="1:29">
      <c r="A1252" t="str">
        <f>"002801"</f>
        <v>002801</v>
      </c>
      <c r="B1252" t="s">
        <v>1419</v>
      </c>
      <c r="C1252">
        <v>2.22</v>
      </c>
      <c r="D1252">
        <v>25.83</v>
      </c>
      <c r="E1252">
        <v>0.56</v>
      </c>
      <c r="F1252">
        <v>25.82</v>
      </c>
      <c r="G1252">
        <v>25.83</v>
      </c>
      <c r="H1252">
        <v>5095</v>
      </c>
      <c r="I1252">
        <v>163</v>
      </c>
      <c r="J1252">
        <v>0.04</v>
      </c>
      <c r="K1252">
        <v>1.73</v>
      </c>
      <c r="L1252">
        <v>25.36</v>
      </c>
      <c r="M1252">
        <v>25.88</v>
      </c>
      <c r="N1252">
        <v>25.2</v>
      </c>
      <c r="O1252">
        <v>25.27</v>
      </c>
      <c r="P1252">
        <v>41.35</v>
      </c>
      <c r="Q1252">
        <v>13057836</v>
      </c>
      <c r="R1252">
        <v>1.77</v>
      </c>
      <c r="S1252" t="s">
        <v>104</v>
      </c>
      <c r="T1252" t="s">
        <v>149</v>
      </c>
      <c r="U1252">
        <v>2.69</v>
      </c>
      <c r="V1252">
        <v>25.63</v>
      </c>
      <c r="W1252">
        <v>2344</v>
      </c>
      <c r="X1252">
        <v>2751</v>
      </c>
      <c r="Y1252">
        <v>0.85</v>
      </c>
      <c r="Z1252">
        <v>23</v>
      </c>
      <c r="AA1252">
        <v>16</v>
      </c>
      <c r="AB1252" t="s">
        <v>32</v>
      </c>
      <c r="AC1252">
        <v>0.29</v>
      </c>
    </row>
    <row r="1253" spans="1:29">
      <c r="A1253" t="str">
        <f>"002802"</f>
        <v>002802</v>
      </c>
      <c r="B1253" t="s">
        <v>1420</v>
      </c>
      <c r="C1253">
        <v>2.26</v>
      </c>
      <c r="D1253">
        <v>27.62</v>
      </c>
      <c r="E1253">
        <v>0.61</v>
      </c>
      <c r="F1253">
        <v>27.61</v>
      </c>
      <c r="G1253">
        <v>27.62</v>
      </c>
      <c r="H1253">
        <v>20981</v>
      </c>
      <c r="I1253">
        <v>679</v>
      </c>
      <c r="J1253">
        <v>0.15</v>
      </c>
      <c r="K1253">
        <v>5.76</v>
      </c>
      <c r="L1253">
        <v>26.8</v>
      </c>
      <c r="M1253">
        <v>27.84</v>
      </c>
      <c r="N1253">
        <v>26.8</v>
      </c>
      <c r="O1253">
        <v>27.01</v>
      </c>
      <c r="P1253">
        <v>49.6</v>
      </c>
      <c r="Q1253">
        <v>57732692</v>
      </c>
      <c r="R1253">
        <v>1.43</v>
      </c>
      <c r="S1253" t="s">
        <v>218</v>
      </c>
      <c r="T1253" t="s">
        <v>87</v>
      </c>
      <c r="U1253">
        <v>3.85</v>
      </c>
      <c r="V1253">
        <v>27.52</v>
      </c>
      <c r="W1253">
        <v>9590</v>
      </c>
      <c r="X1253">
        <v>11390</v>
      </c>
      <c r="Y1253">
        <v>0.84</v>
      </c>
      <c r="Z1253">
        <v>78</v>
      </c>
      <c r="AA1253">
        <v>7</v>
      </c>
      <c r="AB1253" t="s">
        <v>32</v>
      </c>
      <c r="AC1253">
        <v>0.36</v>
      </c>
    </row>
    <row r="1254" spans="1:29">
      <c r="A1254" t="str">
        <f>"002803"</f>
        <v>002803</v>
      </c>
      <c r="B1254" t="s">
        <v>1421</v>
      </c>
      <c r="C1254">
        <v>0.29</v>
      </c>
      <c r="D1254">
        <v>31.09</v>
      </c>
      <c r="E1254">
        <v>0.09</v>
      </c>
      <c r="F1254">
        <v>31.09</v>
      </c>
      <c r="G1254">
        <v>31.1</v>
      </c>
      <c r="H1254">
        <v>5014</v>
      </c>
      <c r="I1254">
        <v>106</v>
      </c>
      <c r="J1254">
        <v>0.03</v>
      </c>
      <c r="K1254">
        <v>1.09</v>
      </c>
      <c r="L1254">
        <v>30.5</v>
      </c>
      <c r="M1254">
        <v>31.35</v>
      </c>
      <c r="N1254">
        <v>30.5</v>
      </c>
      <c r="O1254">
        <v>31</v>
      </c>
      <c r="P1254">
        <v>47.66</v>
      </c>
      <c r="Q1254">
        <v>15535161</v>
      </c>
      <c r="R1254">
        <v>0.8</v>
      </c>
      <c r="S1254" t="s">
        <v>91</v>
      </c>
      <c r="T1254" t="s">
        <v>236</v>
      </c>
      <c r="U1254">
        <v>2.74</v>
      </c>
      <c r="V1254">
        <v>30.98</v>
      </c>
      <c r="W1254">
        <v>2475</v>
      </c>
      <c r="X1254">
        <v>2539</v>
      </c>
      <c r="Y1254">
        <v>0.97</v>
      </c>
      <c r="Z1254">
        <v>82</v>
      </c>
      <c r="AA1254">
        <v>30</v>
      </c>
      <c r="AB1254" t="s">
        <v>32</v>
      </c>
      <c r="AC1254">
        <v>0.46</v>
      </c>
    </row>
    <row r="1255" spans="1:29">
      <c r="A1255" t="str">
        <f>"002805"</f>
        <v>002805</v>
      </c>
      <c r="B1255" t="s">
        <v>1422</v>
      </c>
      <c r="C1255">
        <v>0.08</v>
      </c>
      <c r="D1255">
        <v>24.08</v>
      </c>
      <c r="E1255">
        <v>0.02</v>
      </c>
      <c r="F1255">
        <v>24.07</v>
      </c>
      <c r="G1255">
        <v>24.08</v>
      </c>
      <c r="H1255">
        <v>25863</v>
      </c>
      <c r="I1255">
        <v>856</v>
      </c>
      <c r="J1255">
        <v>0.04</v>
      </c>
      <c r="K1255">
        <v>4.84</v>
      </c>
      <c r="L1255">
        <v>23.91</v>
      </c>
      <c r="M1255">
        <v>24.26</v>
      </c>
      <c r="N1255">
        <v>23.66</v>
      </c>
      <c r="O1255">
        <v>24.06</v>
      </c>
      <c r="P1255">
        <v>83.45</v>
      </c>
      <c r="Q1255">
        <v>62226900</v>
      </c>
      <c r="R1255">
        <v>1.05</v>
      </c>
      <c r="S1255" t="s">
        <v>218</v>
      </c>
      <c r="T1255" t="s">
        <v>162</v>
      </c>
      <c r="U1255">
        <v>2.49</v>
      </c>
      <c r="V1255">
        <v>24.06</v>
      </c>
      <c r="W1255">
        <v>12503</v>
      </c>
      <c r="X1255">
        <v>13360</v>
      </c>
      <c r="Y1255">
        <v>0.94</v>
      </c>
      <c r="Z1255">
        <v>110</v>
      </c>
      <c r="AA1255">
        <v>33</v>
      </c>
      <c r="AB1255" t="s">
        <v>32</v>
      </c>
      <c r="AC1255">
        <v>0.53</v>
      </c>
    </row>
    <row r="1256" spans="1:29">
      <c r="A1256" t="str">
        <f>"002806"</f>
        <v>002806</v>
      </c>
      <c r="B1256" t="s">
        <v>1423</v>
      </c>
      <c r="C1256">
        <v>0.03</v>
      </c>
      <c r="D1256">
        <v>29.21</v>
      </c>
      <c r="E1256">
        <v>0.01</v>
      </c>
      <c r="F1256">
        <v>29.2</v>
      </c>
      <c r="G1256">
        <v>29.21</v>
      </c>
      <c r="H1256">
        <v>45141</v>
      </c>
      <c r="I1256">
        <v>800</v>
      </c>
      <c r="J1256">
        <v>0.24</v>
      </c>
      <c r="K1256">
        <v>8.04</v>
      </c>
      <c r="L1256">
        <v>29.19</v>
      </c>
      <c r="M1256">
        <v>29.55</v>
      </c>
      <c r="N1256">
        <v>29</v>
      </c>
      <c r="O1256">
        <v>29.2</v>
      </c>
      <c r="P1256">
        <v>265.62</v>
      </c>
      <c r="Q1256">
        <v>132079952</v>
      </c>
      <c r="R1256">
        <v>0.85</v>
      </c>
      <c r="S1256" t="s">
        <v>63</v>
      </c>
      <c r="T1256" t="s">
        <v>136</v>
      </c>
      <c r="U1256">
        <v>1.88</v>
      </c>
      <c r="V1256">
        <v>29.26</v>
      </c>
      <c r="W1256">
        <v>25373</v>
      </c>
      <c r="X1256">
        <v>19768</v>
      </c>
      <c r="Y1256">
        <v>1.28</v>
      </c>
      <c r="Z1256">
        <v>1355</v>
      </c>
      <c r="AA1256">
        <v>110</v>
      </c>
      <c r="AB1256" t="s">
        <v>32</v>
      </c>
      <c r="AC1256">
        <v>0.56</v>
      </c>
    </row>
    <row r="1257" spans="1:29">
      <c r="A1257" t="str">
        <f>"002807"</f>
        <v>002807</v>
      </c>
      <c r="B1257" t="s">
        <v>1424</v>
      </c>
      <c r="C1257">
        <v>-1.01</v>
      </c>
      <c r="D1257">
        <v>5.86</v>
      </c>
      <c r="E1257">
        <v>-0.06</v>
      </c>
      <c r="F1257">
        <v>5.85</v>
      </c>
      <c r="G1257">
        <v>5.86</v>
      </c>
      <c r="H1257">
        <v>300000</v>
      </c>
      <c r="I1257">
        <v>2628</v>
      </c>
      <c r="J1257">
        <v>0</v>
      </c>
      <c r="K1257">
        <v>4.18</v>
      </c>
      <c r="L1257">
        <v>5.84</v>
      </c>
      <c r="M1257">
        <v>5.95</v>
      </c>
      <c r="N1257">
        <v>5.77</v>
      </c>
      <c r="O1257">
        <v>5.92</v>
      </c>
      <c r="P1257">
        <v>14.15</v>
      </c>
      <c r="Q1257">
        <v>175803488</v>
      </c>
      <c r="R1257">
        <v>1.27</v>
      </c>
      <c r="S1257" t="s">
        <v>30</v>
      </c>
      <c r="T1257" t="s">
        <v>87</v>
      </c>
      <c r="U1257">
        <v>3.04</v>
      </c>
      <c r="V1257">
        <v>5.86</v>
      </c>
      <c r="W1257">
        <v>174491</v>
      </c>
      <c r="X1257">
        <v>125509</v>
      </c>
      <c r="Y1257">
        <v>1.39</v>
      </c>
      <c r="Z1257">
        <v>3003</v>
      </c>
      <c r="AA1257">
        <v>247</v>
      </c>
      <c r="AB1257" t="s">
        <v>32</v>
      </c>
      <c r="AC1257">
        <v>7.18</v>
      </c>
    </row>
    <row r="1258" spans="1:29">
      <c r="A1258" t="str">
        <f>"002808"</f>
        <v>002808</v>
      </c>
      <c r="B1258" t="s">
        <v>1425</v>
      </c>
      <c r="C1258">
        <v>0.56</v>
      </c>
      <c r="D1258">
        <v>10.82</v>
      </c>
      <c r="E1258">
        <v>0.06</v>
      </c>
      <c r="F1258">
        <v>10.81</v>
      </c>
      <c r="G1258">
        <v>10.82</v>
      </c>
      <c r="H1258">
        <v>8585</v>
      </c>
      <c r="I1258">
        <v>45</v>
      </c>
      <c r="J1258">
        <v>0.09</v>
      </c>
      <c r="K1258">
        <v>0.98</v>
      </c>
      <c r="L1258">
        <v>10.68</v>
      </c>
      <c r="M1258">
        <v>10.85</v>
      </c>
      <c r="N1258">
        <v>10.67</v>
      </c>
      <c r="O1258">
        <v>10.76</v>
      </c>
      <c r="P1258">
        <v>156.68</v>
      </c>
      <c r="Q1258">
        <v>9260764</v>
      </c>
      <c r="R1258">
        <v>0.99</v>
      </c>
      <c r="S1258" t="s">
        <v>63</v>
      </c>
      <c r="T1258" t="s">
        <v>87</v>
      </c>
      <c r="U1258">
        <v>1.67</v>
      </c>
      <c r="V1258">
        <v>10.79</v>
      </c>
      <c r="W1258">
        <v>4497</v>
      </c>
      <c r="X1258">
        <v>4088</v>
      </c>
      <c r="Y1258">
        <v>1.1</v>
      </c>
      <c r="Z1258">
        <v>103</v>
      </c>
      <c r="AA1258">
        <v>106</v>
      </c>
      <c r="AB1258" t="s">
        <v>32</v>
      </c>
      <c r="AC1258">
        <v>0.88</v>
      </c>
    </row>
    <row r="1259" spans="1:29">
      <c r="A1259" t="str">
        <f>"002809"</f>
        <v>002809</v>
      </c>
      <c r="B1259" t="s">
        <v>1426</v>
      </c>
      <c r="C1259">
        <v>2.16</v>
      </c>
      <c r="D1259">
        <v>19.9</v>
      </c>
      <c r="E1259">
        <v>0.42</v>
      </c>
      <c r="F1259">
        <v>19.9</v>
      </c>
      <c r="G1259">
        <v>19.95</v>
      </c>
      <c r="H1259">
        <v>26537</v>
      </c>
      <c r="I1259">
        <v>753</v>
      </c>
      <c r="J1259">
        <v>-0.34</v>
      </c>
      <c r="K1259">
        <v>4.41</v>
      </c>
      <c r="L1259">
        <v>19.37</v>
      </c>
      <c r="M1259">
        <v>21</v>
      </c>
      <c r="N1259">
        <v>19.37</v>
      </c>
      <c r="O1259">
        <v>19.48</v>
      </c>
      <c r="P1259">
        <v>44.49</v>
      </c>
      <c r="Q1259">
        <v>53503856</v>
      </c>
      <c r="R1259">
        <v>2.76</v>
      </c>
      <c r="S1259" t="s">
        <v>218</v>
      </c>
      <c r="T1259" t="s">
        <v>136</v>
      </c>
      <c r="U1259">
        <v>8.37</v>
      </c>
      <c r="V1259">
        <v>20.16</v>
      </c>
      <c r="W1259">
        <v>12703</v>
      </c>
      <c r="X1259">
        <v>13834</v>
      </c>
      <c r="Y1259">
        <v>0.92</v>
      </c>
      <c r="Z1259">
        <v>49</v>
      </c>
      <c r="AA1259">
        <v>21</v>
      </c>
      <c r="AB1259" t="s">
        <v>32</v>
      </c>
      <c r="AC1259">
        <v>0.6</v>
      </c>
    </row>
    <row r="1260" spans="1:29">
      <c r="A1260" t="str">
        <f>"002810"</f>
        <v>002810</v>
      </c>
      <c r="B1260" t="s">
        <v>1427</v>
      </c>
      <c r="C1260">
        <v>5.24</v>
      </c>
      <c r="D1260">
        <v>16.88</v>
      </c>
      <c r="E1260">
        <v>0.84</v>
      </c>
      <c r="F1260">
        <v>16.87</v>
      </c>
      <c r="G1260">
        <v>16.88</v>
      </c>
      <c r="H1260">
        <v>62229</v>
      </c>
      <c r="I1260">
        <v>280</v>
      </c>
      <c r="J1260">
        <v>-0.4</v>
      </c>
      <c r="K1260">
        <v>10.14</v>
      </c>
      <c r="L1260">
        <v>16.18</v>
      </c>
      <c r="M1260">
        <v>17.64</v>
      </c>
      <c r="N1260">
        <v>16.1</v>
      </c>
      <c r="O1260">
        <v>16.04</v>
      </c>
      <c r="P1260">
        <v>47.2</v>
      </c>
      <c r="Q1260">
        <v>105477016</v>
      </c>
      <c r="R1260">
        <v>2.2</v>
      </c>
      <c r="S1260" t="s">
        <v>218</v>
      </c>
      <c r="T1260" t="s">
        <v>162</v>
      </c>
      <c r="U1260">
        <v>9.6</v>
      </c>
      <c r="V1260">
        <v>16.95</v>
      </c>
      <c r="W1260">
        <v>29134</v>
      </c>
      <c r="X1260">
        <v>33094</v>
      </c>
      <c r="Y1260">
        <v>0.88</v>
      </c>
      <c r="Z1260">
        <v>1</v>
      </c>
      <c r="AA1260">
        <v>27</v>
      </c>
      <c r="AB1260" t="s">
        <v>32</v>
      </c>
      <c r="AC1260">
        <v>0.61</v>
      </c>
    </row>
    <row r="1261" spans="1:29">
      <c r="A1261" t="str">
        <f>"002811"</f>
        <v>002811</v>
      </c>
      <c r="B1261" t="s">
        <v>1428</v>
      </c>
      <c r="C1261">
        <v>2.38</v>
      </c>
      <c r="D1261">
        <v>15.92</v>
      </c>
      <c r="E1261">
        <v>0.37</v>
      </c>
      <c r="F1261">
        <v>15.91</v>
      </c>
      <c r="G1261">
        <v>15.92</v>
      </c>
      <c r="H1261">
        <v>27919</v>
      </c>
      <c r="I1261">
        <v>1201</v>
      </c>
      <c r="J1261">
        <v>-0.49</v>
      </c>
      <c r="K1261">
        <v>6.2</v>
      </c>
      <c r="L1261">
        <v>15.36</v>
      </c>
      <c r="M1261">
        <v>16.88</v>
      </c>
      <c r="N1261">
        <v>15.36</v>
      </c>
      <c r="O1261">
        <v>15.55</v>
      </c>
      <c r="P1261">
        <v>36.97</v>
      </c>
      <c r="Q1261">
        <v>44678976</v>
      </c>
      <c r="R1261">
        <v>3.06</v>
      </c>
      <c r="S1261" t="s">
        <v>59</v>
      </c>
      <c r="T1261" t="s">
        <v>31</v>
      </c>
      <c r="U1261">
        <v>9.77</v>
      </c>
      <c r="V1261">
        <v>16</v>
      </c>
      <c r="W1261">
        <v>13443</v>
      </c>
      <c r="X1261">
        <v>14476</v>
      </c>
      <c r="Y1261">
        <v>0.93</v>
      </c>
      <c r="Z1261">
        <v>75</v>
      </c>
      <c r="AA1261">
        <v>21</v>
      </c>
      <c r="AB1261" t="s">
        <v>32</v>
      </c>
      <c r="AC1261">
        <v>0.45</v>
      </c>
    </row>
    <row r="1262" spans="1:29">
      <c r="A1262" t="str">
        <f>"002812"</f>
        <v>002812</v>
      </c>
      <c r="B1262" t="s">
        <v>1429</v>
      </c>
      <c r="C1262">
        <v>-2.04</v>
      </c>
      <c r="D1262">
        <v>47.96</v>
      </c>
      <c r="E1262">
        <v>-1</v>
      </c>
      <c r="F1262">
        <v>47.96</v>
      </c>
      <c r="G1262">
        <v>47.98</v>
      </c>
      <c r="H1262">
        <v>23885</v>
      </c>
      <c r="I1262">
        <v>208</v>
      </c>
      <c r="J1262">
        <v>-0.07</v>
      </c>
      <c r="K1262">
        <v>1.9</v>
      </c>
      <c r="L1262">
        <v>48</v>
      </c>
      <c r="M1262">
        <v>48.55</v>
      </c>
      <c r="N1262">
        <v>46.61</v>
      </c>
      <c r="O1262">
        <v>48.96</v>
      </c>
      <c r="P1262">
        <v>135.18</v>
      </c>
      <c r="Q1262">
        <v>113665976</v>
      </c>
      <c r="R1262">
        <v>1</v>
      </c>
      <c r="S1262" t="s">
        <v>91</v>
      </c>
      <c r="T1262" t="s">
        <v>250</v>
      </c>
      <c r="U1262">
        <v>3.96</v>
      </c>
      <c r="V1262">
        <v>47.59</v>
      </c>
      <c r="W1262">
        <v>13919</v>
      </c>
      <c r="X1262">
        <v>9966</v>
      </c>
      <c r="Y1262">
        <v>1.4</v>
      </c>
      <c r="Z1262">
        <v>39</v>
      </c>
      <c r="AA1262">
        <v>2</v>
      </c>
      <c r="AB1262" t="s">
        <v>32</v>
      </c>
      <c r="AC1262">
        <v>1.26</v>
      </c>
    </row>
    <row r="1263" spans="1:29">
      <c r="A1263" t="str">
        <f>"002813"</f>
        <v>002813</v>
      </c>
      <c r="B1263" t="s">
        <v>1430</v>
      </c>
      <c r="C1263">
        <v>0.64</v>
      </c>
      <c r="D1263">
        <v>37.64</v>
      </c>
      <c r="E1263">
        <v>0.24</v>
      </c>
      <c r="F1263">
        <v>37.64</v>
      </c>
      <c r="G1263">
        <v>37.65</v>
      </c>
      <c r="H1263">
        <v>28704</v>
      </c>
      <c r="I1263">
        <v>562</v>
      </c>
      <c r="J1263">
        <v>-0.1</v>
      </c>
      <c r="K1263">
        <v>9.57</v>
      </c>
      <c r="L1263">
        <v>37.38</v>
      </c>
      <c r="M1263">
        <v>37.75</v>
      </c>
      <c r="N1263">
        <v>36.81</v>
      </c>
      <c r="O1263">
        <v>37.4</v>
      </c>
      <c r="P1263">
        <v>147.86</v>
      </c>
      <c r="Q1263">
        <v>107335128</v>
      </c>
      <c r="R1263">
        <v>0.84</v>
      </c>
      <c r="S1263" t="s">
        <v>80</v>
      </c>
      <c r="T1263" t="s">
        <v>31</v>
      </c>
      <c r="U1263">
        <v>2.51</v>
      </c>
      <c r="V1263">
        <v>37.39</v>
      </c>
      <c r="W1263">
        <v>14716</v>
      </c>
      <c r="X1263">
        <v>13987</v>
      </c>
      <c r="Y1263">
        <v>1.05</v>
      </c>
      <c r="Z1263">
        <v>338</v>
      </c>
      <c r="AA1263">
        <v>95</v>
      </c>
      <c r="AB1263" t="s">
        <v>32</v>
      </c>
      <c r="AC1263">
        <v>0.3</v>
      </c>
    </row>
    <row r="1264" spans="1:29">
      <c r="A1264" t="str">
        <f>"002815"</f>
        <v>002815</v>
      </c>
      <c r="B1264" t="s">
        <v>1431</v>
      </c>
      <c r="C1264">
        <v>-0.28</v>
      </c>
      <c r="D1264">
        <v>17.72</v>
      </c>
      <c r="E1264">
        <v>-0.05</v>
      </c>
      <c r="F1264">
        <v>17.72</v>
      </c>
      <c r="G1264">
        <v>17.73</v>
      </c>
      <c r="H1264">
        <v>73838</v>
      </c>
      <c r="I1264">
        <v>636</v>
      </c>
      <c r="J1264">
        <v>-0.33</v>
      </c>
      <c r="K1264">
        <v>3.41</v>
      </c>
      <c r="L1264">
        <v>18</v>
      </c>
      <c r="M1264">
        <v>18.07</v>
      </c>
      <c r="N1264">
        <v>17.6</v>
      </c>
      <c r="O1264">
        <v>17.77</v>
      </c>
      <c r="P1264">
        <v>28.72</v>
      </c>
      <c r="Q1264">
        <v>131579336</v>
      </c>
      <c r="R1264">
        <v>1.23</v>
      </c>
      <c r="S1264" t="s">
        <v>699</v>
      </c>
      <c r="T1264" t="s">
        <v>31</v>
      </c>
      <c r="U1264">
        <v>2.64</v>
      </c>
      <c r="V1264">
        <v>17.82</v>
      </c>
      <c r="W1264">
        <v>39497</v>
      </c>
      <c r="X1264">
        <v>34340</v>
      </c>
      <c r="Y1264">
        <v>1.15</v>
      </c>
      <c r="Z1264">
        <v>85</v>
      </c>
      <c r="AA1264">
        <v>19</v>
      </c>
      <c r="AB1264" t="s">
        <v>32</v>
      </c>
      <c r="AC1264">
        <v>2.16</v>
      </c>
    </row>
    <row r="1265" spans="1:29">
      <c r="A1265" t="str">
        <f>"002816"</f>
        <v>002816</v>
      </c>
      <c r="B1265" t="s">
        <v>1432</v>
      </c>
      <c r="C1265">
        <v>1.76</v>
      </c>
      <c r="D1265">
        <v>15.58</v>
      </c>
      <c r="E1265">
        <v>0.27</v>
      </c>
      <c r="F1265">
        <v>15.58</v>
      </c>
      <c r="G1265">
        <v>15.6</v>
      </c>
      <c r="H1265">
        <v>6161</v>
      </c>
      <c r="I1265">
        <v>45</v>
      </c>
      <c r="J1265">
        <v>-0.12</v>
      </c>
      <c r="K1265">
        <v>1.08</v>
      </c>
      <c r="L1265">
        <v>15.31</v>
      </c>
      <c r="M1265">
        <v>15.66</v>
      </c>
      <c r="N1265">
        <v>15.26</v>
      </c>
      <c r="O1265">
        <v>15.31</v>
      </c>
      <c r="P1265" t="s">
        <v>32</v>
      </c>
      <c r="Q1265">
        <v>9577584</v>
      </c>
      <c r="R1265">
        <v>1.03</v>
      </c>
      <c r="S1265" t="s">
        <v>171</v>
      </c>
      <c r="T1265" t="s">
        <v>31</v>
      </c>
      <c r="U1265">
        <v>2.61</v>
      </c>
      <c r="V1265">
        <v>15.55</v>
      </c>
      <c r="W1265">
        <v>2197</v>
      </c>
      <c r="X1265">
        <v>3963</v>
      </c>
      <c r="Y1265">
        <v>0.55</v>
      </c>
      <c r="Z1265">
        <v>17</v>
      </c>
      <c r="AA1265">
        <v>52</v>
      </c>
      <c r="AB1265" t="s">
        <v>32</v>
      </c>
      <c r="AC1265">
        <v>0.57</v>
      </c>
    </row>
    <row r="1266" spans="1:29">
      <c r="A1266" t="str">
        <f>"002817"</f>
        <v>002817</v>
      </c>
      <c r="B1266" t="s">
        <v>1433</v>
      </c>
      <c r="C1266">
        <v>1.15</v>
      </c>
      <c r="D1266">
        <v>22</v>
      </c>
      <c r="E1266">
        <v>0.25</v>
      </c>
      <c r="F1266">
        <v>22</v>
      </c>
      <c r="G1266">
        <v>22.02</v>
      </c>
      <c r="H1266">
        <v>5115</v>
      </c>
      <c r="I1266">
        <v>50</v>
      </c>
      <c r="J1266">
        <v>-0.13</v>
      </c>
      <c r="K1266">
        <v>1.23</v>
      </c>
      <c r="L1266">
        <v>21.75</v>
      </c>
      <c r="M1266">
        <v>22.07</v>
      </c>
      <c r="N1266">
        <v>21.4</v>
      </c>
      <c r="O1266">
        <v>21.75</v>
      </c>
      <c r="P1266">
        <v>44.71</v>
      </c>
      <c r="Q1266">
        <v>11198419</v>
      </c>
      <c r="R1266">
        <v>1.18</v>
      </c>
      <c r="S1266" t="s">
        <v>142</v>
      </c>
      <c r="T1266" t="s">
        <v>143</v>
      </c>
      <c r="U1266">
        <v>3.08</v>
      </c>
      <c r="V1266">
        <v>21.89</v>
      </c>
      <c r="W1266">
        <v>2105</v>
      </c>
      <c r="X1266">
        <v>3009</v>
      </c>
      <c r="Y1266">
        <v>0.7</v>
      </c>
      <c r="Z1266">
        <v>17</v>
      </c>
      <c r="AA1266">
        <v>7</v>
      </c>
      <c r="AB1266" t="s">
        <v>32</v>
      </c>
      <c r="AC1266">
        <v>0.42</v>
      </c>
    </row>
    <row r="1267" spans="1:29">
      <c r="A1267" t="str">
        <f>"002818"</f>
        <v>002818</v>
      </c>
      <c r="B1267" t="s">
        <v>1434</v>
      </c>
      <c r="C1267">
        <v>0.88</v>
      </c>
      <c r="D1267">
        <v>26.45</v>
      </c>
      <c r="E1267">
        <v>0.23</v>
      </c>
      <c r="F1267">
        <v>26.45</v>
      </c>
      <c r="G1267">
        <v>26.46</v>
      </c>
      <c r="H1267">
        <v>18820</v>
      </c>
      <c r="I1267">
        <v>257</v>
      </c>
      <c r="J1267">
        <v>-0.1</v>
      </c>
      <c r="K1267">
        <v>2.06</v>
      </c>
      <c r="L1267">
        <v>26.13</v>
      </c>
      <c r="M1267">
        <v>26.58</v>
      </c>
      <c r="N1267">
        <v>26.13</v>
      </c>
      <c r="O1267">
        <v>26.22</v>
      </c>
      <c r="P1267">
        <v>16.55</v>
      </c>
      <c r="Q1267">
        <v>49700808</v>
      </c>
      <c r="R1267">
        <v>1.74</v>
      </c>
      <c r="S1267" t="s">
        <v>38</v>
      </c>
      <c r="T1267" t="s">
        <v>146</v>
      </c>
      <c r="U1267">
        <v>1.72</v>
      </c>
      <c r="V1267">
        <v>26.41</v>
      </c>
      <c r="W1267">
        <v>8992</v>
      </c>
      <c r="X1267">
        <v>9828</v>
      </c>
      <c r="Y1267">
        <v>0.91</v>
      </c>
      <c r="Z1267">
        <v>50</v>
      </c>
      <c r="AA1267">
        <v>68</v>
      </c>
      <c r="AB1267" t="s">
        <v>32</v>
      </c>
      <c r="AC1267">
        <v>0.92</v>
      </c>
    </row>
    <row r="1268" spans="1:29">
      <c r="A1268" t="str">
        <f>"002819"</f>
        <v>002819</v>
      </c>
      <c r="B1268" t="s">
        <v>1435</v>
      </c>
      <c r="C1268" t="s">
        <v>32</v>
      </c>
      <c r="D1268">
        <v>28.49</v>
      </c>
      <c r="E1268" t="s">
        <v>32</v>
      </c>
      <c r="F1268" t="s">
        <v>32</v>
      </c>
      <c r="G1268" t="s">
        <v>32</v>
      </c>
      <c r="H1268">
        <v>0</v>
      </c>
      <c r="I1268">
        <v>0</v>
      </c>
      <c r="J1268" t="s">
        <v>32</v>
      </c>
      <c r="K1268">
        <v>0</v>
      </c>
      <c r="L1268" t="s">
        <v>32</v>
      </c>
      <c r="M1268" t="s">
        <v>32</v>
      </c>
      <c r="N1268" t="s">
        <v>32</v>
      </c>
      <c r="O1268">
        <v>28.49</v>
      </c>
      <c r="P1268">
        <v>233.99</v>
      </c>
      <c r="Q1268">
        <v>0</v>
      </c>
      <c r="R1268">
        <v>0</v>
      </c>
      <c r="S1268" t="s">
        <v>606</v>
      </c>
      <c r="T1268" t="s">
        <v>45</v>
      </c>
      <c r="U1268">
        <v>0</v>
      </c>
      <c r="V1268">
        <v>28.49</v>
      </c>
      <c r="W1268">
        <v>0</v>
      </c>
      <c r="X1268">
        <v>0</v>
      </c>
      <c r="Y1268" t="s">
        <v>32</v>
      </c>
      <c r="Z1268">
        <v>0</v>
      </c>
      <c r="AA1268">
        <v>0</v>
      </c>
      <c r="AB1268" t="s">
        <v>32</v>
      </c>
      <c r="AC1268">
        <v>0.44</v>
      </c>
    </row>
    <row r="1269" spans="1:29">
      <c r="A1269" t="str">
        <f>"002820"</f>
        <v>002820</v>
      </c>
      <c r="B1269" t="s">
        <v>1436</v>
      </c>
      <c r="C1269">
        <v>9.98</v>
      </c>
      <c r="D1269">
        <v>15.65</v>
      </c>
      <c r="E1269">
        <v>1.42</v>
      </c>
      <c r="F1269">
        <v>15.65</v>
      </c>
      <c r="G1269" t="s">
        <v>32</v>
      </c>
      <c r="H1269">
        <v>66970</v>
      </c>
      <c r="I1269">
        <v>500</v>
      </c>
      <c r="J1269">
        <v>0</v>
      </c>
      <c r="K1269">
        <v>5.55</v>
      </c>
      <c r="L1269">
        <v>14.1</v>
      </c>
      <c r="M1269">
        <v>15.65</v>
      </c>
      <c r="N1269">
        <v>14.08</v>
      </c>
      <c r="O1269">
        <v>14.23</v>
      </c>
      <c r="P1269">
        <v>27.43</v>
      </c>
      <c r="Q1269">
        <v>101921392</v>
      </c>
      <c r="R1269">
        <v>2.47</v>
      </c>
      <c r="S1269" t="s">
        <v>213</v>
      </c>
      <c r="T1269" t="s">
        <v>248</v>
      </c>
      <c r="U1269">
        <v>11.03</v>
      </c>
      <c r="V1269">
        <v>15.22</v>
      </c>
      <c r="W1269">
        <v>46601</v>
      </c>
      <c r="X1269">
        <v>20368</v>
      </c>
      <c r="Y1269">
        <v>2.29</v>
      </c>
      <c r="Z1269">
        <v>11801</v>
      </c>
      <c r="AA1269">
        <v>0</v>
      </c>
      <c r="AB1269" t="s">
        <v>32</v>
      </c>
      <c r="AC1269">
        <v>1.21</v>
      </c>
    </row>
    <row r="1270" spans="1:29">
      <c r="A1270" t="str">
        <f>"002821"</f>
        <v>002821</v>
      </c>
      <c r="B1270" t="s">
        <v>1437</v>
      </c>
      <c r="C1270">
        <v>0.98</v>
      </c>
      <c r="D1270">
        <v>82.8</v>
      </c>
      <c r="E1270">
        <v>0.8</v>
      </c>
      <c r="F1270">
        <v>82.79</v>
      </c>
      <c r="G1270">
        <v>82.8</v>
      </c>
      <c r="H1270">
        <v>25066</v>
      </c>
      <c r="I1270">
        <v>268</v>
      </c>
      <c r="J1270">
        <v>-0.11</v>
      </c>
      <c r="K1270">
        <v>2.07</v>
      </c>
      <c r="L1270">
        <v>82</v>
      </c>
      <c r="M1270">
        <v>84.5</v>
      </c>
      <c r="N1270">
        <v>80.47</v>
      </c>
      <c r="O1270">
        <v>82</v>
      </c>
      <c r="P1270">
        <v>75.02</v>
      </c>
      <c r="Q1270">
        <v>207321888</v>
      </c>
      <c r="R1270">
        <v>1.16</v>
      </c>
      <c r="S1270" t="s">
        <v>36</v>
      </c>
      <c r="T1270" t="s">
        <v>248</v>
      </c>
      <c r="U1270">
        <v>4.91</v>
      </c>
      <c r="V1270">
        <v>82.71</v>
      </c>
      <c r="W1270">
        <v>12669</v>
      </c>
      <c r="X1270">
        <v>12397</v>
      </c>
      <c r="Y1270">
        <v>1.02</v>
      </c>
      <c r="Z1270">
        <v>3</v>
      </c>
      <c r="AA1270">
        <v>160</v>
      </c>
      <c r="AB1270" t="s">
        <v>32</v>
      </c>
      <c r="AC1270">
        <v>1.21</v>
      </c>
    </row>
    <row r="1271" spans="1:29">
      <c r="A1271" t="str">
        <f>"002822"</f>
        <v>002822</v>
      </c>
      <c r="B1271" t="s">
        <v>1438</v>
      </c>
      <c r="C1271">
        <v>9.97</v>
      </c>
      <c r="D1271">
        <v>6.29</v>
      </c>
      <c r="E1271">
        <v>0.57</v>
      </c>
      <c r="F1271">
        <v>6.29</v>
      </c>
      <c r="G1271" t="s">
        <v>32</v>
      </c>
      <c r="H1271">
        <v>115067</v>
      </c>
      <c r="I1271">
        <v>155</v>
      </c>
      <c r="J1271">
        <v>0</v>
      </c>
      <c r="K1271">
        <v>3.76</v>
      </c>
      <c r="L1271">
        <v>5.78</v>
      </c>
      <c r="M1271">
        <v>6.29</v>
      </c>
      <c r="N1271">
        <v>5.75</v>
      </c>
      <c r="O1271">
        <v>5.72</v>
      </c>
      <c r="P1271">
        <v>31.19</v>
      </c>
      <c r="Q1271">
        <v>70977680</v>
      </c>
      <c r="R1271">
        <v>3.72</v>
      </c>
      <c r="S1271" t="s">
        <v>59</v>
      </c>
      <c r="T1271" t="s">
        <v>31</v>
      </c>
      <c r="U1271">
        <v>9.44</v>
      </c>
      <c r="V1271">
        <v>6.17</v>
      </c>
      <c r="W1271">
        <v>76245</v>
      </c>
      <c r="X1271">
        <v>38821</v>
      </c>
      <c r="Y1271">
        <v>1.96</v>
      </c>
      <c r="Z1271">
        <v>56934</v>
      </c>
      <c r="AA1271">
        <v>0</v>
      </c>
      <c r="AB1271" t="s">
        <v>32</v>
      </c>
      <c r="AC1271">
        <v>3.06</v>
      </c>
    </row>
    <row r="1272" spans="1:29">
      <c r="A1272" t="str">
        <f>"002823"</f>
        <v>002823</v>
      </c>
      <c r="B1272" t="s">
        <v>1439</v>
      </c>
      <c r="C1272">
        <v>1.62</v>
      </c>
      <c r="D1272">
        <v>13.18</v>
      </c>
      <c r="E1272">
        <v>0.21</v>
      </c>
      <c r="F1272">
        <v>13.18</v>
      </c>
      <c r="G1272">
        <v>13.19</v>
      </c>
      <c r="H1272">
        <v>18843</v>
      </c>
      <c r="I1272">
        <v>475</v>
      </c>
      <c r="J1272">
        <v>0</v>
      </c>
      <c r="K1272">
        <v>1.89</v>
      </c>
      <c r="L1272">
        <v>12.96</v>
      </c>
      <c r="M1272">
        <v>13.22</v>
      </c>
      <c r="N1272">
        <v>12.92</v>
      </c>
      <c r="O1272">
        <v>12.97</v>
      </c>
      <c r="P1272">
        <v>26.14</v>
      </c>
      <c r="Q1272">
        <v>24748426</v>
      </c>
      <c r="R1272">
        <v>0.9</v>
      </c>
      <c r="S1272" t="s">
        <v>241</v>
      </c>
      <c r="T1272" t="s">
        <v>31</v>
      </c>
      <c r="U1272">
        <v>2.31</v>
      </c>
      <c r="V1272">
        <v>13.13</v>
      </c>
      <c r="W1272">
        <v>8483</v>
      </c>
      <c r="X1272">
        <v>10360</v>
      </c>
      <c r="Y1272">
        <v>0.82</v>
      </c>
      <c r="Z1272">
        <v>136</v>
      </c>
      <c r="AA1272">
        <v>208</v>
      </c>
      <c r="AB1272" t="s">
        <v>32</v>
      </c>
      <c r="AC1272">
        <v>1</v>
      </c>
    </row>
    <row r="1273" spans="1:29">
      <c r="A1273" t="str">
        <f>"002824"</f>
        <v>002824</v>
      </c>
      <c r="B1273" t="s">
        <v>1440</v>
      </c>
      <c r="C1273">
        <v>9.98</v>
      </c>
      <c r="D1273">
        <v>13.11</v>
      </c>
      <c r="E1273">
        <v>1.19</v>
      </c>
      <c r="F1273">
        <v>13.11</v>
      </c>
      <c r="G1273" t="s">
        <v>32</v>
      </c>
      <c r="H1273">
        <v>35184</v>
      </c>
      <c r="I1273">
        <v>148</v>
      </c>
      <c r="J1273">
        <v>0</v>
      </c>
      <c r="K1273">
        <v>4.75</v>
      </c>
      <c r="L1273">
        <v>11.91</v>
      </c>
      <c r="M1273">
        <v>13.11</v>
      </c>
      <c r="N1273">
        <v>11.72</v>
      </c>
      <c r="O1273">
        <v>11.92</v>
      </c>
      <c r="P1273">
        <v>75.09</v>
      </c>
      <c r="Q1273">
        <v>45683632</v>
      </c>
      <c r="R1273">
        <v>4.58</v>
      </c>
      <c r="S1273" t="s">
        <v>324</v>
      </c>
      <c r="T1273" t="s">
        <v>136</v>
      </c>
      <c r="U1273">
        <v>11.66</v>
      </c>
      <c r="V1273">
        <v>12.98</v>
      </c>
      <c r="W1273">
        <v>27893</v>
      </c>
      <c r="X1273">
        <v>7291</v>
      </c>
      <c r="Y1273">
        <v>3.83</v>
      </c>
      <c r="Z1273">
        <v>11617</v>
      </c>
      <c r="AA1273">
        <v>0</v>
      </c>
      <c r="AB1273" t="s">
        <v>32</v>
      </c>
      <c r="AC1273">
        <v>0.74</v>
      </c>
    </row>
    <row r="1274" spans="1:29">
      <c r="A1274" t="str">
        <f>"002825"</f>
        <v>002825</v>
      </c>
      <c r="B1274" t="s">
        <v>1441</v>
      </c>
      <c r="C1274">
        <v>3.34</v>
      </c>
      <c r="D1274">
        <v>15.17</v>
      </c>
      <c r="E1274">
        <v>0.49</v>
      </c>
      <c r="F1274">
        <v>15.17</v>
      </c>
      <c r="G1274">
        <v>15.19</v>
      </c>
      <c r="H1274">
        <v>24465</v>
      </c>
      <c r="I1274">
        <v>235</v>
      </c>
      <c r="J1274">
        <v>-0.25</v>
      </c>
      <c r="K1274">
        <v>5.98</v>
      </c>
      <c r="L1274">
        <v>14.77</v>
      </c>
      <c r="M1274">
        <v>15.5</v>
      </c>
      <c r="N1274">
        <v>14.57</v>
      </c>
      <c r="O1274">
        <v>14.68</v>
      </c>
      <c r="P1274">
        <v>97.87</v>
      </c>
      <c r="Q1274">
        <v>37037456</v>
      </c>
      <c r="R1274">
        <v>2.55</v>
      </c>
      <c r="S1274" t="s">
        <v>218</v>
      </c>
      <c r="T1274" t="s">
        <v>366</v>
      </c>
      <c r="U1274">
        <v>6.34</v>
      </c>
      <c r="V1274">
        <v>15.14</v>
      </c>
      <c r="W1274">
        <v>10921</v>
      </c>
      <c r="X1274">
        <v>13543</v>
      </c>
      <c r="Y1274">
        <v>0.81</v>
      </c>
      <c r="Z1274">
        <v>2857</v>
      </c>
      <c r="AA1274">
        <v>51</v>
      </c>
      <c r="AB1274" t="s">
        <v>32</v>
      </c>
      <c r="AC1274">
        <v>0.41</v>
      </c>
    </row>
    <row r="1275" spans="1:29">
      <c r="A1275" t="str">
        <f>"002826"</f>
        <v>002826</v>
      </c>
      <c r="B1275" t="s">
        <v>1442</v>
      </c>
      <c r="C1275">
        <v>2.23</v>
      </c>
      <c r="D1275">
        <v>15.59</v>
      </c>
      <c r="E1275">
        <v>0.34</v>
      </c>
      <c r="F1275">
        <v>15.58</v>
      </c>
      <c r="G1275">
        <v>15.59</v>
      </c>
      <c r="H1275">
        <v>23145</v>
      </c>
      <c r="I1275">
        <v>496</v>
      </c>
      <c r="J1275">
        <v>0.06</v>
      </c>
      <c r="K1275">
        <v>1.76</v>
      </c>
      <c r="L1275">
        <v>15.06</v>
      </c>
      <c r="M1275">
        <v>15.59</v>
      </c>
      <c r="N1275">
        <v>15.06</v>
      </c>
      <c r="O1275">
        <v>15.25</v>
      </c>
      <c r="P1275">
        <v>120.26</v>
      </c>
      <c r="Q1275">
        <v>35766892</v>
      </c>
      <c r="R1275">
        <v>0.98</v>
      </c>
      <c r="S1275" t="s">
        <v>195</v>
      </c>
      <c r="T1275" t="s">
        <v>432</v>
      </c>
      <c r="U1275">
        <v>3.48</v>
      </c>
      <c r="V1275">
        <v>15.45</v>
      </c>
      <c r="W1275">
        <v>9552</v>
      </c>
      <c r="X1275">
        <v>13592</v>
      </c>
      <c r="Y1275">
        <v>0.7</v>
      </c>
      <c r="Z1275">
        <v>162</v>
      </c>
      <c r="AA1275">
        <v>392</v>
      </c>
      <c r="AB1275" t="s">
        <v>32</v>
      </c>
      <c r="AC1275">
        <v>1.32</v>
      </c>
    </row>
    <row r="1276" spans="1:29">
      <c r="A1276" t="str">
        <f>"002827"</f>
        <v>002827</v>
      </c>
      <c r="B1276" t="s">
        <v>1443</v>
      </c>
      <c r="C1276">
        <v>8.04</v>
      </c>
      <c r="D1276">
        <v>15.18</v>
      </c>
      <c r="E1276">
        <v>1.13</v>
      </c>
      <c r="F1276">
        <v>15.16</v>
      </c>
      <c r="G1276">
        <v>15.18</v>
      </c>
      <c r="H1276">
        <v>47440</v>
      </c>
      <c r="I1276">
        <v>804</v>
      </c>
      <c r="J1276">
        <v>0.4</v>
      </c>
      <c r="K1276">
        <v>7.51</v>
      </c>
      <c r="L1276">
        <v>14.1</v>
      </c>
      <c r="M1276">
        <v>15.46</v>
      </c>
      <c r="N1276">
        <v>13.97</v>
      </c>
      <c r="O1276">
        <v>14.05</v>
      </c>
      <c r="P1276">
        <v>175.28</v>
      </c>
      <c r="Q1276">
        <v>70984864</v>
      </c>
      <c r="R1276">
        <v>5.99</v>
      </c>
      <c r="S1276" t="s">
        <v>218</v>
      </c>
      <c r="T1276" t="s">
        <v>432</v>
      </c>
      <c r="U1276">
        <v>10.6</v>
      </c>
      <c r="V1276">
        <v>14.96</v>
      </c>
      <c r="W1276">
        <v>21346</v>
      </c>
      <c r="X1276">
        <v>26093</v>
      </c>
      <c r="Y1276">
        <v>0.82</v>
      </c>
      <c r="Z1276">
        <v>12</v>
      </c>
      <c r="AA1276">
        <v>33</v>
      </c>
      <c r="AB1276" t="s">
        <v>32</v>
      </c>
      <c r="AC1276">
        <v>0.63</v>
      </c>
    </row>
    <row r="1277" spans="1:29">
      <c r="A1277" t="str">
        <f>"002828"</f>
        <v>002828</v>
      </c>
      <c r="B1277" t="s">
        <v>1444</v>
      </c>
      <c r="C1277">
        <v>1.49</v>
      </c>
      <c r="D1277">
        <v>15.71</v>
      </c>
      <c r="E1277">
        <v>0.23</v>
      </c>
      <c r="F1277">
        <v>15.71</v>
      </c>
      <c r="G1277">
        <v>15.72</v>
      </c>
      <c r="H1277">
        <v>57654</v>
      </c>
      <c r="I1277">
        <v>1383</v>
      </c>
      <c r="J1277">
        <v>0.06</v>
      </c>
      <c r="K1277">
        <v>5.85</v>
      </c>
      <c r="L1277">
        <v>15.35</v>
      </c>
      <c r="M1277">
        <v>15.79</v>
      </c>
      <c r="N1277">
        <v>15.33</v>
      </c>
      <c r="O1277">
        <v>15.48</v>
      </c>
      <c r="P1277" t="s">
        <v>32</v>
      </c>
      <c r="Q1277">
        <v>90130048</v>
      </c>
      <c r="R1277">
        <v>1.05</v>
      </c>
      <c r="S1277" t="s">
        <v>831</v>
      </c>
      <c r="T1277" t="s">
        <v>156</v>
      </c>
      <c r="U1277">
        <v>2.97</v>
      </c>
      <c r="V1277">
        <v>15.63</v>
      </c>
      <c r="W1277">
        <v>29085</v>
      </c>
      <c r="X1277">
        <v>28568</v>
      </c>
      <c r="Y1277">
        <v>1.02</v>
      </c>
      <c r="Z1277">
        <v>424</v>
      </c>
      <c r="AA1277">
        <v>263</v>
      </c>
      <c r="AB1277" t="s">
        <v>32</v>
      </c>
      <c r="AC1277">
        <v>0.99</v>
      </c>
    </row>
    <row r="1278" spans="1:29">
      <c r="A1278" t="str">
        <f>"002829"</f>
        <v>002829</v>
      </c>
      <c r="B1278" t="s">
        <v>1445</v>
      </c>
      <c r="C1278">
        <v>1.55</v>
      </c>
      <c r="D1278">
        <v>28.84</v>
      </c>
      <c r="E1278">
        <v>0.44</v>
      </c>
      <c r="F1278">
        <v>28.83</v>
      </c>
      <c r="G1278">
        <v>28.84</v>
      </c>
      <c r="H1278">
        <v>32146</v>
      </c>
      <c r="I1278">
        <v>816</v>
      </c>
      <c r="J1278">
        <v>0.56</v>
      </c>
      <c r="K1278">
        <v>5.22</v>
      </c>
      <c r="L1278">
        <v>28.53</v>
      </c>
      <c r="M1278">
        <v>29</v>
      </c>
      <c r="N1278">
        <v>28.11</v>
      </c>
      <c r="O1278">
        <v>28.4</v>
      </c>
      <c r="P1278">
        <v>308.4</v>
      </c>
      <c r="Q1278">
        <v>91972376</v>
      </c>
      <c r="R1278">
        <v>1.05</v>
      </c>
      <c r="S1278" t="s">
        <v>119</v>
      </c>
      <c r="T1278" t="s">
        <v>45</v>
      </c>
      <c r="U1278">
        <v>3.13</v>
      </c>
      <c r="V1278">
        <v>28.61</v>
      </c>
      <c r="W1278">
        <v>15745</v>
      </c>
      <c r="X1278">
        <v>16401</v>
      </c>
      <c r="Y1278">
        <v>0.96</v>
      </c>
      <c r="Z1278">
        <v>239</v>
      </c>
      <c r="AA1278">
        <v>143</v>
      </c>
      <c r="AB1278" t="s">
        <v>32</v>
      </c>
      <c r="AC1278">
        <v>0.62</v>
      </c>
    </row>
    <row r="1279" spans="1:29">
      <c r="A1279" t="str">
        <f>"002830"</f>
        <v>002830</v>
      </c>
      <c r="B1279" t="s">
        <v>1446</v>
      </c>
      <c r="C1279">
        <v>0.2</v>
      </c>
      <c r="D1279">
        <v>20.24</v>
      </c>
      <c r="E1279">
        <v>0.04</v>
      </c>
      <c r="F1279">
        <v>20.24</v>
      </c>
      <c r="G1279">
        <v>20.25</v>
      </c>
      <c r="H1279">
        <v>27963</v>
      </c>
      <c r="I1279">
        <v>1022</v>
      </c>
      <c r="J1279">
        <v>0.05</v>
      </c>
      <c r="K1279">
        <v>7.02</v>
      </c>
      <c r="L1279">
        <v>20.25</v>
      </c>
      <c r="M1279">
        <v>20.76</v>
      </c>
      <c r="N1279">
        <v>20.01</v>
      </c>
      <c r="O1279">
        <v>20.2</v>
      </c>
      <c r="P1279" t="s">
        <v>32</v>
      </c>
      <c r="Q1279">
        <v>57083532</v>
      </c>
      <c r="R1279">
        <v>0.6</v>
      </c>
      <c r="S1279" t="s">
        <v>59</v>
      </c>
      <c r="T1279" t="s">
        <v>31</v>
      </c>
      <c r="U1279">
        <v>3.71</v>
      </c>
      <c r="V1279">
        <v>20.41</v>
      </c>
      <c r="W1279">
        <v>14519</v>
      </c>
      <c r="X1279">
        <v>13443</v>
      </c>
      <c r="Y1279">
        <v>1.08</v>
      </c>
      <c r="Z1279">
        <v>303</v>
      </c>
      <c r="AA1279">
        <v>94</v>
      </c>
      <c r="AB1279" t="s">
        <v>32</v>
      </c>
      <c r="AC1279">
        <v>0.4</v>
      </c>
    </row>
    <row r="1280" spans="1:29">
      <c r="A1280" t="str">
        <f>"002831"</f>
        <v>002831</v>
      </c>
      <c r="B1280" t="s">
        <v>1447</v>
      </c>
      <c r="C1280">
        <v>-2.59</v>
      </c>
      <c r="D1280">
        <v>53.41</v>
      </c>
      <c r="E1280">
        <v>-1.42</v>
      </c>
      <c r="F1280">
        <v>53.41</v>
      </c>
      <c r="G1280">
        <v>53.48</v>
      </c>
      <c r="H1280">
        <v>9319</v>
      </c>
      <c r="I1280">
        <v>64</v>
      </c>
      <c r="J1280">
        <v>-0.03</v>
      </c>
      <c r="K1280">
        <v>0.78</v>
      </c>
      <c r="L1280">
        <v>55</v>
      </c>
      <c r="M1280">
        <v>55.1</v>
      </c>
      <c r="N1280">
        <v>53.1</v>
      </c>
      <c r="O1280">
        <v>54.83</v>
      </c>
      <c r="P1280">
        <v>38.34</v>
      </c>
      <c r="Q1280">
        <v>50285924</v>
      </c>
      <c r="R1280">
        <v>1.29</v>
      </c>
      <c r="S1280" t="s">
        <v>91</v>
      </c>
      <c r="T1280" t="s">
        <v>31</v>
      </c>
      <c r="U1280">
        <v>3.65</v>
      </c>
      <c r="V1280">
        <v>53.96</v>
      </c>
      <c r="W1280">
        <v>6572</v>
      </c>
      <c r="X1280">
        <v>2747</v>
      </c>
      <c r="Y1280">
        <v>2.39</v>
      </c>
      <c r="Z1280">
        <v>15</v>
      </c>
      <c r="AA1280">
        <v>10</v>
      </c>
      <c r="AB1280" t="s">
        <v>32</v>
      </c>
      <c r="AC1280">
        <v>1.19</v>
      </c>
    </row>
    <row r="1281" spans="1:29">
      <c r="A1281" t="str">
        <f>"002832"</f>
        <v>002832</v>
      </c>
      <c r="B1281" t="s">
        <v>1448</v>
      </c>
      <c r="C1281">
        <v>1.18</v>
      </c>
      <c r="D1281">
        <v>39.4</v>
      </c>
      <c r="E1281">
        <v>0.46</v>
      </c>
      <c r="F1281">
        <v>39.39</v>
      </c>
      <c r="G1281">
        <v>39.4</v>
      </c>
      <c r="H1281">
        <v>7624</v>
      </c>
      <c r="I1281">
        <v>91</v>
      </c>
      <c r="J1281">
        <v>0.36</v>
      </c>
      <c r="K1281">
        <v>0.97</v>
      </c>
      <c r="L1281">
        <v>38.94</v>
      </c>
      <c r="M1281">
        <v>39.83</v>
      </c>
      <c r="N1281">
        <v>38.53</v>
      </c>
      <c r="O1281">
        <v>38.94</v>
      </c>
      <c r="P1281">
        <v>21.03</v>
      </c>
      <c r="Q1281">
        <v>29846874</v>
      </c>
      <c r="R1281">
        <v>1.06</v>
      </c>
      <c r="S1281" t="s">
        <v>622</v>
      </c>
      <c r="T1281" t="s">
        <v>136</v>
      </c>
      <c r="U1281">
        <v>3.34</v>
      </c>
      <c r="V1281">
        <v>39.15</v>
      </c>
      <c r="W1281">
        <v>3093</v>
      </c>
      <c r="X1281">
        <v>4531</v>
      </c>
      <c r="Y1281">
        <v>0.68</v>
      </c>
      <c r="Z1281">
        <v>8</v>
      </c>
      <c r="AA1281">
        <v>139</v>
      </c>
      <c r="AB1281" t="s">
        <v>32</v>
      </c>
      <c r="AC1281">
        <v>0.79</v>
      </c>
    </row>
    <row r="1282" spans="1:29">
      <c r="A1282" t="str">
        <f>"002833"</f>
        <v>002833</v>
      </c>
      <c r="B1282" t="s">
        <v>1449</v>
      </c>
      <c r="C1282">
        <v>1.04</v>
      </c>
      <c r="D1282">
        <v>50.3</v>
      </c>
      <c r="E1282">
        <v>0.52</v>
      </c>
      <c r="F1282">
        <v>50.27</v>
      </c>
      <c r="G1282">
        <v>50.3</v>
      </c>
      <c r="H1282">
        <v>5524</v>
      </c>
      <c r="I1282">
        <v>99</v>
      </c>
      <c r="J1282">
        <v>-0.01</v>
      </c>
      <c r="K1282">
        <v>1.02</v>
      </c>
      <c r="L1282">
        <v>49.78</v>
      </c>
      <c r="M1282">
        <v>50.32</v>
      </c>
      <c r="N1282">
        <v>49.31</v>
      </c>
      <c r="O1282">
        <v>49.78</v>
      </c>
      <c r="P1282">
        <v>24.09</v>
      </c>
      <c r="Q1282">
        <v>27623514</v>
      </c>
      <c r="R1282">
        <v>0.85</v>
      </c>
      <c r="S1282" t="s">
        <v>171</v>
      </c>
      <c r="T1282" t="s">
        <v>136</v>
      </c>
      <c r="U1282">
        <v>2.03</v>
      </c>
      <c r="V1282">
        <v>50.01</v>
      </c>
      <c r="W1282">
        <v>1963</v>
      </c>
      <c r="X1282">
        <v>3560</v>
      </c>
      <c r="Y1282">
        <v>0.55</v>
      </c>
      <c r="Z1282">
        <v>46</v>
      </c>
      <c r="AA1282">
        <v>13</v>
      </c>
      <c r="AB1282" t="s">
        <v>32</v>
      </c>
      <c r="AC1282">
        <v>0.54</v>
      </c>
    </row>
    <row r="1283" spans="1:29">
      <c r="A1283" t="str">
        <f>"002835"</f>
        <v>002835</v>
      </c>
      <c r="B1283" t="s">
        <v>1450</v>
      </c>
      <c r="C1283">
        <v>-3.37</v>
      </c>
      <c r="D1283">
        <v>9.75</v>
      </c>
      <c r="E1283">
        <v>-0.34</v>
      </c>
      <c r="F1283">
        <v>9.74</v>
      </c>
      <c r="G1283">
        <v>9.75</v>
      </c>
      <c r="H1283">
        <v>145895</v>
      </c>
      <c r="I1283">
        <v>4540</v>
      </c>
      <c r="J1283">
        <v>0.52</v>
      </c>
      <c r="K1283">
        <v>17.13</v>
      </c>
      <c r="L1283">
        <v>9.57</v>
      </c>
      <c r="M1283">
        <v>9.83</v>
      </c>
      <c r="N1283">
        <v>9.23</v>
      </c>
      <c r="O1283">
        <v>10.09</v>
      </c>
      <c r="P1283" t="s">
        <v>32</v>
      </c>
      <c r="Q1283">
        <v>139455216</v>
      </c>
      <c r="R1283">
        <v>2.26</v>
      </c>
      <c r="S1283" t="s">
        <v>63</v>
      </c>
      <c r="T1283" t="s">
        <v>31</v>
      </c>
      <c r="U1283">
        <v>5.95</v>
      </c>
      <c r="V1283">
        <v>9.56</v>
      </c>
      <c r="W1283">
        <v>84261</v>
      </c>
      <c r="X1283">
        <v>61633</v>
      </c>
      <c r="Y1283">
        <v>1.37</v>
      </c>
      <c r="Z1283">
        <v>229</v>
      </c>
      <c r="AA1283">
        <v>343</v>
      </c>
      <c r="AB1283" t="s">
        <v>32</v>
      </c>
      <c r="AC1283">
        <v>0.85</v>
      </c>
    </row>
    <row r="1284" spans="1:29">
      <c r="A1284" t="str">
        <f>"002836"</f>
        <v>002836</v>
      </c>
      <c r="B1284" t="s">
        <v>1451</v>
      </c>
      <c r="C1284">
        <v>1.81</v>
      </c>
      <c r="D1284">
        <v>15.76</v>
      </c>
      <c r="E1284">
        <v>0.28</v>
      </c>
      <c r="F1284">
        <v>15.75</v>
      </c>
      <c r="G1284">
        <v>15.76</v>
      </c>
      <c r="H1284">
        <v>21812</v>
      </c>
      <c r="I1284">
        <v>409</v>
      </c>
      <c r="J1284">
        <v>0.19</v>
      </c>
      <c r="K1284">
        <v>3.87</v>
      </c>
      <c r="L1284">
        <v>15.32</v>
      </c>
      <c r="M1284">
        <v>15.86</v>
      </c>
      <c r="N1284">
        <v>15.32</v>
      </c>
      <c r="O1284">
        <v>15.48</v>
      </c>
      <c r="P1284">
        <v>81.26</v>
      </c>
      <c r="Q1284">
        <v>34096540</v>
      </c>
      <c r="R1284">
        <v>1.98</v>
      </c>
      <c r="S1284" t="s">
        <v>91</v>
      </c>
      <c r="T1284" t="s">
        <v>136</v>
      </c>
      <c r="U1284">
        <v>3.49</v>
      </c>
      <c r="V1284">
        <v>15.63</v>
      </c>
      <c r="W1284">
        <v>8672</v>
      </c>
      <c r="X1284">
        <v>13140</v>
      </c>
      <c r="Y1284">
        <v>0.66</v>
      </c>
      <c r="Z1284">
        <v>32</v>
      </c>
      <c r="AA1284">
        <v>1334</v>
      </c>
      <c r="AB1284" t="s">
        <v>32</v>
      </c>
      <c r="AC1284">
        <v>0.56</v>
      </c>
    </row>
    <row r="1285" spans="1:29">
      <c r="A1285" t="str">
        <f>"002837"</f>
        <v>002837</v>
      </c>
      <c r="B1285" t="s">
        <v>1452</v>
      </c>
      <c r="C1285">
        <v>-0.12</v>
      </c>
      <c r="D1285">
        <v>16.42</v>
      </c>
      <c r="E1285">
        <v>-0.02</v>
      </c>
      <c r="F1285">
        <v>16.42</v>
      </c>
      <c r="G1285">
        <v>16.43</v>
      </c>
      <c r="H1285">
        <v>27205</v>
      </c>
      <c r="I1285">
        <v>589</v>
      </c>
      <c r="J1285">
        <v>-0.05</v>
      </c>
      <c r="K1285">
        <v>3.98</v>
      </c>
      <c r="L1285">
        <v>16.46</v>
      </c>
      <c r="M1285">
        <v>16.58</v>
      </c>
      <c r="N1285">
        <v>16.2</v>
      </c>
      <c r="O1285">
        <v>16.44</v>
      </c>
      <c r="P1285">
        <v>306.96</v>
      </c>
      <c r="Q1285">
        <v>44667720</v>
      </c>
      <c r="R1285">
        <v>1.42</v>
      </c>
      <c r="S1285" t="s">
        <v>171</v>
      </c>
      <c r="T1285" t="s">
        <v>31</v>
      </c>
      <c r="U1285">
        <v>2.31</v>
      </c>
      <c r="V1285">
        <v>16.42</v>
      </c>
      <c r="W1285">
        <v>13973</v>
      </c>
      <c r="X1285">
        <v>13232</v>
      </c>
      <c r="Y1285">
        <v>1.06</v>
      </c>
      <c r="Z1285">
        <v>127</v>
      </c>
      <c r="AA1285">
        <v>159</v>
      </c>
      <c r="AB1285" t="s">
        <v>32</v>
      </c>
      <c r="AC1285">
        <v>0.68</v>
      </c>
    </row>
    <row r="1286" spans="1:29">
      <c r="A1286" t="str">
        <f>"002838"</f>
        <v>002838</v>
      </c>
      <c r="B1286" t="s">
        <v>1453</v>
      </c>
      <c r="C1286">
        <v>4.78</v>
      </c>
      <c r="D1286">
        <v>19.51</v>
      </c>
      <c r="E1286">
        <v>0.89</v>
      </c>
      <c r="F1286">
        <v>19.51</v>
      </c>
      <c r="G1286">
        <v>19.54</v>
      </c>
      <c r="H1286">
        <v>10633</v>
      </c>
      <c r="I1286">
        <v>162</v>
      </c>
      <c r="J1286">
        <v>0.31</v>
      </c>
      <c r="K1286">
        <v>1.41</v>
      </c>
      <c r="L1286">
        <v>18.72</v>
      </c>
      <c r="M1286">
        <v>19.8</v>
      </c>
      <c r="N1286">
        <v>18.61</v>
      </c>
      <c r="O1286">
        <v>18.62</v>
      </c>
      <c r="P1286">
        <v>49.21</v>
      </c>
      <c r="Q1286">
        <v>20409788</v>
      </c>
      <c r="R1286">
        <v>2.61</v>
      </c>
      <c r="S1286" t="s">
        <v>508</v>
      </c>
      <c r="T1286" t="s">
        <v>162</v>
      </c>
      <c r="U1286">
        <v>6.39</v>
      </c>
      <c r="V1286">
        <v>19.19</v>
      </c>
      <c r="W1286">
        <v>4672</v>
      </c>
      <c r="X1286">
        <v>5960</v>
      </c>
      <c r="Y1286">
        <v>0.78</v>
      </c>
      <c r="Z1286">
        <v>2</v>
      </c>
      <c r="AA1286">
        <v>20</v>
      </c>
      <c r="AB1286" t="s">
        <v>32</v>
      </c>
      <c r="AC1286">
        <v>0.75</v>
      </c>
    </row>
    <row r="1287" spans="1:29">
      <c r="A1287" t="str">
        <f>"002839"</f>
        <v>002839</v>
      </c>
      <c r="B1287" t="s">
        <v>1454</v>
      </c>
      <c r="C1287">
        <v>-0.96</v>
      </c>
      <c r="D1287">
        <v>6.21</v>
      </c>
      <c r="E1287">
        <v>-0.06</v>
      </c>
      <c r="F1287">
        <v>6.2</v>
      </c>
      <c r="G1287">
        <v>6.21</v>
      </c>
      <c r="H1287">
        <v>663368</v>
      </c>
      <c r="I1287">
        <v>5874</v>
      </c>
      <c r="J1287">
        <v>0.32</v>
      </c>
      <c r="K1287">
        <v>7.89</v>
      </c>
      <c r="L1287">
        <v>6.17</v>
      </c>
      <c r="M1287">
        <v>6.35</v>
      </c>
      <c r="N1287">
        <v>6.13</v>
      </c>
      <c r="O1287">
        <v>6.27</v>
      </c>
      <c r="P1287">
        <v>12.29</v>
      </c>
      <c r="Q1287">
        <v>412000384</v>
      </c>
      <c r="R1287">
        <v>1.31</v>
      </c>
      <c r="S1287" t="s">
        <v>30</v>
      </c>
      <c r="T1287" t="s">
        <v>87</v>
      </c>
      <c r="U1287">
        <v>3.51</v>
      </c>
      <c r="V1287">
        <v>6.21</v>
      </c>
      <c r="W1287">
        <v>382996</v>
      </c>
      <c r="X1287">
        <v>280372</v>
      </c>
      <c r="Y1287">
        <v>1.37</v>
      </c>
      <c r="Z1287">
        <v>2488</v>
      </c>
      <c r="AA1287">
        <v>1769</v>
      </c>
      <c r="AB1287" t="s">
        <v>32</v>
      </c>
      <c r="AC1287">
        <v>8.41</v>
      </c>
    </row>
    <row r="1288" spans="1:29">
      <c r="A1288" t="str">
        <f>"002840"</f>
        <v>002840</v>
      </c>
      <c r="B1288" t="s">
        <v>1455</v>
      </c>
      <c r="C1288">
        <v>0.99</v>
      </c>
      <c r="D1288">
        <v>17.3</v>
      </c>
      <c r="E1288">
        <v>0.17</v>
      </c>
      <c r="F1288">
        <v>17.3</v>
      </c>
      <c r="G1288">
        <v>17.31</v>
      </c>
      <c r="H1288">
        <v>78962</v>
      </c>
      <c r="I1288">
        <v>1913</v>
      </c>
      <c r="J1288">
        <v>0.12</v>
      </c>
      <c r="K1288">
        <v>5.38</v>
      </c>
      <c r="L1288">
        <v>17.49</v>
      </c>
      <c r="M1288">
        <v>17.65</v>
      </c>
      <c r="N1288">
        <v>17.08</v>
      </c>
      <c r="O1288">
        <v>17.13</v>
      </c>
      <c r="P1288">
        <v>24.79</v>
      </c>
      <c r="Q1288">
        <v>136468640</v>
      </c>
      <c r="R1288">
        <v>0.84</v>
      </c>
      <c r="S1288" t="s">
        <v>213</v>
      </c>
      <c r="T1288" t="s">
        <v>149</v>
      </c>
      <c r="U1288">
        <v>3.33</v>
      </c>
      <c r="V1288">
        <v>17.28</v>
      </c>
      <c r="W1288">
        <v>44442</v>
      </c>
      <c r="X1288">
        <v>34519</v>
      </c>
      <c r="Y1288">
        <v>1.29</v>
      </c>
      <c r="Z1288">
        <v>192</v>
      </c>
      <c r="AA1288">
        <v>735</v>
      </c>
      <c r="AB1288" t="s">
        <v>32</v>
      </c>
      <c r="AC1288">
        <v>1.47</v>
      </c>
    </row>
    <row r="1289" spans="1:29">
      <c r="A1289" t="str">
        <f>"002841"</f>
        <v>002841</v>
      </c>
      <c r="B1289" t="s">
        <v>1456</v>
      </c>
      <c r="C1289">
        <v>-1</v>
      </c>
      <c r="D1289">
        <v>60.39</v>
      </c>
      <c r="E1289">
        <v>-0.61</v>
      </c>
      <c r="F1289">
        <v>60.39</v>
      </c>
      <c r="G1289">
        <v>60.4</v>
      </c>
      <c r="H1289">
        <v>13592</v>
      </c>
      <c r="I1289">
        <v>70</v>
      </c>
      <c r="J1289">
        <v>0.07</v>
      </c>
      <c r="K1289">
        <v>2.04</v>
      </c>
      <c r="L1289">
        <v>62</v>
      </c>
      <c r="M1289">
        <v>62</v>
      </c>
      <c r="N1289">
        <v>59.69</v>
      </c>
      <c r="O1289">
        <v>61</v>
      </c>
      <c r="P1289">
        <v>76.86</v>
      </c>
      <c r="Q1289">
        <v>82161952</v>
      </c>
      <c r="R1289">
        <v>0.99</v>
      </c>
      <c r="S1289" t="s">
        <v>63</v>
      </c>
      <c r="T1289" t="s">
        <v>136</v>
      </c>
      <c r="U1289">
        <v>3.79</v>
      </c>
      <c r="V1289">
        <v>60.45</v>
      </c>
      <c r="W1289">
        <v>6285</v>
      </c>
      <c r="X1289">
        <v>7307</v>
      </c>
      <c r="Y1289">
        <v>0.86</v>
      </c>
      <c r="Z1289">
        <v>60</v>
      </c>
      <c r="AA1289">
        <v>2</v>
      </c>
      <c r="AB1289" t="s">
        <v>32</v>
      </c>
      <c r="AC1289">
        <v>0.67</v>
      </c>
    </row>
    <row r="1290" spans="1:29">
      <c r="A1290" t="str">
        <f>"002842"</f>
        <v>002842</v>
      </c>
      <c r="B1290" t="s">
        <v>1457</v>
      </c>
      <c r="C1290">
        <v>1.27</v>
      </c>
      <c r="D1290">
        <v>20.8</v>
      </c>
      <c r="E1290">
        <v>0.26</v>
      </c>
      <c r="F1290">
        <v>20.8</v>
      </c>
      <c r="G1290">
        <v>20.83</v>
      </c>
      <c r="H1290">
        <v>26730</v>
      </c>
      <c r="I1290">
        <v>541</v>
      </c>
      <c r="J1290">
        <v>0.14</v>
      </c>
      <c r="K1290">
        <v>3.72</v>
      </c>
      <c r="L1290">
        <v>20.5</v>
      </c>
      <c r="M1290">
        <v>21.54</v>
      </c>
      <c r="N1290">
        <v>20.4</v>
      </c>
      <c r="O1290">
        <v>20.54</v>
      </c>
      <c r="P1290">
        <v>41.71</v>
      </c>
      <c r="Q1290">
        <v>56007280</v>
      </c>
      <c r="R1290">
        <v>0.92</v>
      </c>
      <c r="S1290" t="s">
        <v>356</v>
      </c>
      <c r="T1290" t="s">
        <v>136</v>
      </c>
      <c r="U1290">
        <v>5.55</v>
      </c>
      <c r="V1290">
        <v>20.95</v>
      </c>
      <c r="W1290">
        <v>13212</v>
      </c>
      <c r="X1290">
        <v>13518</v>
      </c>
      <c r="Y1290">
        <v>0.98</v>
      </c>
      <c r="Z1290">
        <v>147</v>
      </c>
      <c r="AA1290">
        <v>20</v>
      </c>
      <c r="AB1290" t="s">
        <v>32</v>
      </c>
      <c r="AC1290">
        <v>0.72</v>
      </c>
    </row>
    <row r="1291" spans="1:29">
      <c r="A1291" t="str">
        <f>"002843"</f>
        <v>002843</v>
      </c>
      <c r="B1291" t="s">
        <v>1458</v>
      </c>
      <c r="C1291">
        <v>1.57</v>
      </c>
      <c r="D1291">
        <v>14.9</v>
      </c>
      <c r="E1291">
        <v>0.23</v>
      </c>
      <c r="F1291">
        <v>14.89</v>
      </c>
      <c r="G1291">
        <v>14.9</v>
      </c>
      <c r="H1291">
        <v>15320</v>
      </c>
      <c r="I1291">
        <v>307</v>
      </c>
      <c r="J1291">
        <v>-0.06</v>
      </c>
      <c r="K1291">
        <v>1.82</v>
      </c>
      <c r="L1291">
        <v>14.64</v>
      </c>
      <c r="M1291">
        <v>14.95</v>
      </c>
      <c r="N1291">
        <v>14.45</v>
      </c>
      <c r="O1291">
        <v>14.67</v>
      </c>
      <c r="P1291">
        <v>33.95</v>
      </c>
      <c r="Q1291">
        <v>22630928</v>
      </c>
      <c r="R1291">
        <v>1.52</v>
      </c>
      <c r="S1291" t="s">
        <v>449</v>
      </c>
      <c r="T1291" t="s">
        <v>152</v>
      </c>
      <c r="U1291">
        <v>3.41</v>
      </c>
      <c r="V1291">
        <v>14.77</v>
      </c>
      <c r="W1291">
        <v>8013</v>
      </c>
      <c r="X1291">
        <v>7306</v>
      </c>
      <c r="Y1291">
        <v>1.1</v>
      </c>
      <c r="Z1291">
        <v>15</v>
      </c>
      <c r="AA1291">
        <v>188</v>
      </c>
      <c r="AB1291" t="s">
        <v>32</v>
      </c>
      <c r="AC1291">
        <v>0.84</v>
      </c>
    </row>
    <row r="1292" spans="1:29">
      <c r="A1292" t="str">
        <f>"002845"</f>
        <v>002845</v>
      </c>
      <c r="B1292" t="s">
        <v>1459</v>
      </c>
      <c r="C1292">
        <v>1.87</v>
      </c>
      <c r="D1292">
        <v>20.18</v>
      </c>
      <c r="E1292">
        <v>0.37</v>
      </c>
      <c r="F1292">
        <v>20.18</v>
      </c>
      <c r="G1292">
        <v>20.19</v>
      </c>
      <c r="H1292">
        <v>31430</v>
      </c>
      <c r="I1292">
        <v>539</v>
      </c>
      <c r="J1292">
        <v>0.05</v>
      </c>
      <c r="K1292">
        <v>5.04</v>
      </c>
      <c r="L1292">
        <v>19.78</v>
      </c>
      <c r="M1292">
        <v>20.32</v>
      </c>
      <c r="N1292">
        <v>19.51</v>
      </c>
      <c r="O1292">
        <v>19.81</v>
      </c>
      <c r="P1292">
        <v>28.28</v>
      </c>
      <c r="Q1292">
        <v>62688248</v>
      </c>
      <c r="R1292">
        <v>1.46</v>
      </c>
      <c r="S1292" t="s">
        <v>63</v>
      </c>
      <c r="T1292" t="s">
        <v>31</v>
      </c>
      <c r="U1292">
        <v>4.09</v>
      </c>
      <c r="V1292">
        <v>19.95</v>
      </c>
      <c r="W1292">
        <v>15789</v>
      </c>
      <c r="X1292">
        <v>15641</v>
      </c>
      <c r="Y1292">
        <v>1.01</v>
      </c>
      <c r="Z1292">
        <v>14</v>
      </c>
      <c r="AA1292">
        <v>90</v>
      </c>
      <c r="AB1292" t="s">
        <v>32</v>
      </c>
      <c r="AC1292">
        <v>0.62</v>
      </c>
    </row>
    <row r="1293" spans="1:29">
      <c r="A1293" t="str">
        <f>"002846"</f>
        <v>002846</v>
      </c>
      <c r="B1293" t="s">
        <v>1460</v>
      </c>
      <c r="C1293">
        <v>1.34</v>
      </c>
      <c r="D1293">
        <v>13.6</v>
      </c>
      <c r="E1293">
        <v>0.18</v>
      </c>
      <c r="F1293">
        <v>13.59</v>
      </c>
      <c r="G1293">
        <v>13.6</v>
      </c>
      <c r="H1293">
        <v>116336</v>
      </c>
      <c r="I1293">
        <v>2224</v>
      </c>
      <c r="J1293">
        <v>1.12</v>
      </c>
      <c r="K1293">
        <v>23.08</v>
      </c>
      <c r="L1293">
        <v>13.41</v>
      </c>
      <c r="M1293">
        <v>13.88</v>
      </c>
      <c r="N1293">
        <v>13.26</v>
      </c>
      <c r="O1293">
        <v>13.42</v>
      </c>
      <c r="P1293">
        <v>86.63</v>
      </c>
      <c r="Q1293">
        <v>157149632</v>
      </c>
      <c r="R1293">
        <v>1.99</v>
      </c>
      <c r="S1293" t="s">
        <v>91</v>
      </c>
      <c r="T1293" t="s">
        <v>136</v>
      </c>
      <c r="U1293">
        <v>4.62</v>
      </c>
      <c r="V1293">
        <v>13.51</v>
      </c>
      <c r="W1293">
        <v>58350</v>
      </c>
      <c r="X1293">
        <v>57985</v>
      </c>
      <c r="Y1293">
        <v>1.01</v>
      </c>
      <c r="Z1293">
        <v>32</v>
      </c>
      <c r="AA1293">
        <v>110</v>
      </c>
      <c r="AB1293" t="s">
        <v>32</v>
      </c>
      <c r="AC1293">
        <v>0.5</v>
      </c>
    </row>
    <row r="1294" spans="1:29">
      <c r="A1294" t="str">
        <f>"002847"</f>
        <v>002847</v>
      </c>
      <c r="B1294" t="s">
        <v>1461</v>
      </c>
      <c r="C1294">
        <v>4.3</v>
      </c>
      <c r="D1294">
        <v>35.38</v>
      </c>
      <c r="E1294">
        <v>1.46</v>
      </c>
      <c r="F1294">
        <v>35.38</v>
      </c>
      <c r="G1294">
        <v>35.39</v>
      </c>
      <c r="H1294">
        <v>88859</v>
      </c>
      <c r="I1294">
        <v>1841</v>
      </c>
      <c r="J1294">
        <v>-0.33</v>
      </c>
      <c r="K1294">
        <v>25.17</v>
      </c>
      <c r="L1294">
        <v>34.2</v>
      </c>
      <c r="M1294">
        <v>35.7</v>
      </c>
      <c r="N1294">
        <v>33.24</v>
      </c>
      <c r="O1294">
        <v>33.92</v>
      </c>
      <c r="P1294">
        <v>40.64</v>
      </c>
      <c r="Q1294">
        <v>307707360</v>
      </c>
      <c r="R1294">
        <v>1.24</v>
      </c>
      <c r="S1294" t="s">
        <v>213</v>
      </c>
      <c r="T1294" t="s">
        <v>152</v>
      </c>
      <c r="U1294">
        <v>7.25</v>
      </c>
      <c r="V1294">
        <v>34.63</v>
      </c>
      <c r="W1294">
        <v>38999</v>
      </c>
      <c r="X1294">
        <v>49859</v>
      </c>
      <c r="Y1294">
        <v>0.78</v>
      </c>
      <c r="Z1294">
        <v>189</v>
      </c>
      <c r="AA1294">
        <v>78</v>
      </c>
      <c r="AB1294" t="s">
        <v>32</v>
      </c>
      <c r="AC1294">
        <v>0.35</v>
      </c>
    </row>
    <row r="1295" spans="1:29">
      <c r="A1295" t="str">
        <f>"002848"</f>
        <v>002848</v>
      </c>
      <c r="B1295" t="s">
        <v>1462</v>
      </c>
      <c r="C1295">
        <v>0.46</v>
      </c>
      <c r="D1295">
        <v>13.24</v>
      </c>
      <c r="E1295">
        <v>0.06</v>
      </c>
      <c r="F1295">
        <v>13.23</v>
      </c>
      <c r="G1295">
        <v>13.24</v>
      </c>
      <c r="H1295">
        <v>43111</v>
      </c>
      <c r="I1295">
        <v>1160</v>
      </c>
      <c r="J1295">
        <v>0.23</v>
      </c>
      <c r="K1295">
        <v>5.17</v>
      </c>
      <c r="L1295">
        <v>13.17</v>
      </c>
      <c r="M1295">
        <v>13.32</v>
      </c>
      <c r="N1295">
        <v>13.09</v>
      </c>
      <c r="O1295">
        <v>13.18</v>
      </c>
      <c r="P1295" t="s">
        <v>32</v>
      </c>
      <c r="Q1295">
        <v>57027328</v>
      </c>
      <c r="R1295">
        <v>0.53</v>
      </c>
      <c r="S1295" t="s">
        <v>119</v>
      </c>
      <c r="T1295" t="s">
        <v>152</v>
      </c>
      <c r="U1295">
        <v>1.75</v>
      </c>
      <c r="V1295">
        <v>13.23</v>
      </c>
      <c r="W1295">
        <v>22356</v>
      </c>
      <c r="X1295">
        <v>20754</v>
      </c>
      <c r="Y1295">
        <v>1.08</v>
      </c>
      <c r="Z1295">
        <v>946</v>
      </c>
      <c r="AA1295">
        <v>105</v>
      </c>
      <c r="AB1295" t="s">
        <v>32</v>
      </c>
      <c r="AC1295">
        <v>0.83</v>
      </c>
    </row>
    <row r="1296" spans="1:29">
      <c r="A1296" t="str">
        <f>"002849"</f>
        <v>002849</v>
      </c>
      <c r="B1296" t="s">
        <v>1463</v>
      </c>
      <c r="C1296">
        <v>0.12</v>
      </c>
      <c r="D1296">
        <v>17.39</v>
      </c>
      <c r="E1296">
        <v>0.02</v>
      </c>
      <c r="F1296">
        <v>17.39</v>
      </c>
      <c r="G1296">
        <v>17.45</v>
      </c>
      <c r="H1296">
        <v>15716</v>
      </c>
      <c r="I1296">
        <v>248</v>
      </c>
      <c r="J1296">
        <v>-0.33</v>
      </c>
      <c r="K1296">
        <v>2.73</v>
      </c>
      <c r="L1296">
        <v>17.42</v>
      </c>
      <c r="M1296">
        <v>17.66</v>
      </c>
      <c r="N1296">
        <v>17.12</v>
      </c>
      <c r="O1296">
        <v>17.37</v>
      </c>
      <c r="P1296">
        <v>49.31</v>
      </c>
      <c r="Q1296">
        <v>27432560</v>
      </c>
      <c r="R1296">
        <v>0.98</v>
      </c>
      <c r="S1296" t="s">
        <v>606</v>
      </c>
      <c r="T1296" t="s">
        <v>149</v>
      </c>
      <c r="U1296">
        <v>3.11</v>
      </c>
      <c r="V1296">
        <v>17.46</v>
      </c>
      <c r="W1296">
        <v>8155</v>
      </c>
      <c r="X1296">
        <v>7560</v>
      </c>
      <c r="Y1296">
        <v>1.08</v>
      </c>
      <c r="Z1296">
        <v>74</v>
      </c>
      <c r="AA1296">
        <v>74</v>
      </c>
      <c r="AB1296" t="s">
        <v>32</v>
      </c>
      <c r="AC1296">
        <v>0.57</v>
      </c>
    </row>
    <row r="1297" spans="1:29">
      <c r="A1297" t="str">
        <f>"002850"</f>
        <v>002850</v>
      </c>
      <c r="B1297" t="s">
        <v>1464</v>
      </c>
      <c r="C1297">
        <v>0.4</v>
      </c>
      <c r="D1297">
        <v>27.39</v>
      </c>
      <c r="E1297">
        <v>0.11</v>
      </c>
      <c r="F1297">
        <v>27.39</v>
      </c>
      <c r="G1297">
        <v>27.4</v>
      </c>
      <c r="H1297">
        <v>22655</v>
      </c>
      <c r="I1297">
        <v>403</v>
      </c>
      <c r="J1297">
        <v>0</v>
      </c>
      <c r="K1297">
        <v>2.44</v>
      </c>
      <c r="L1297">
        <v>27</v>
      </c>
      <c r="M1297">
        <v>27.68</v>
      </c>
      <c r="N1297">
        <v>26.9</v>
      </c>
      <c r="O1297">
        <v>27.28</v>
      </c>
      <c r="P1297">
        <v>64.53</v>
      </c>
      <c r="Q1297">
        <v>62129776</v>
      </c>
      <c r="R1297">
        <v>0.86</v>
      </c>
      <c r="S1297" t="s">
        <v>241</v>
      </c>
      <c r="T1297" t="s">
        <v>31</v>
      </c>
      <c r="U1297">
        <v>2.86</v>
      </c>
      <c r="V1297">
        <v>27.42</v>
      </c>
      <c r="W1297">
        <v>12453</v>
      </c>
      <c r="X1297">
        <v>10201</v>
      </c>
      <c r="Y1297">
        <v>1.22</v>
      </c>
      <c r="Z1297">
        <v>49</v>
      </c>
      <c r="AA1297">
        <v>14</v>
      </c>
      <c r="AB1297" t="s">
        <v>32</v>
      </c>
      <c r="AC1297">
        <v>0.93</v>
      </c>
    </row>
    <row r="1298" spans="1:29">
      <c r="A1298" t="str">
        <f>"002851"</f>
        <v>002851</v>
      </c>
      <c r="B1298" t="s">
        <v>1465</v>
      </c>
      <c r="C1298">
        <v>-1</v>
      </c>
      <c r="D1298">
        <v>29.65</v>
      </c>
      <c r="E1298">
        <v>-0.3</v>
      </c>
      <c r="F1298">
        <v>29.65</v>
      </c>
      <c r="G1298">
        <v>29.66</v>
      </c>
      <c r="H1298">
        <v>19613</v>
      </c>
      <c r="I1298">
        <v>282</v>
      </c>
      <c r="J1298">
        <v>0.17</v>
      </c>
      <c r="K1298">
        <v>1.56</v>
      </c>
      <c r="L1298">
        <v>29.95</v>
      </c>
      <c r="M1298">
        <v>29.98</v>
      </c>
      <c r="N1298">
        <v>29.57</v>
      </c>
      <c r="O1298">
        <v>29.95</v>
      </c>
      <c r="P1298">
        <v>82.53</v>
      </c>
      <c r="Q1298">
        <v>58415572</v>
      </c>
      <c r="R1298">
        <v>0.86</v>
      </c>
      <c r="S1298" t="s">
        <v>104</v>
      </c>
      <c r="T1298" t="s">
        <v>31</v>
      </c>
      <c r="U1298">
        <v>1.37</v>
      </c>
      <c r="V1298">
        <v>29.78</v>
      </c>
      <c r="W1298">
        <v>11400</v>
      </c>
      <c r="X1298">
        <v>8213</v>
      </c>
      <c r="Y1298">
        <v>1.39</v>
      </c>
      <c r="Z1298">
        <v>154</v>
      </c>
      <c r="AA1298">
        <v>11</v>
      </c>
      <c r="AB1298" t="s">
        <v>32</v>
      </c>
      <c r="AC1298">
        <v>1.25</v>
      </c>
    </row>
    <row r="1299" spans="1:29">
      <c r="A1299" t="str">
        <f>"002852"</f>
        <v>002852</v>
      </c>
      <c r="B1299" t="s">
        <v>1466</v>
      </c>
      <c r="C1299">
        <v>4.33</v>
      </c>
      <c r="D1299">
        <v>16.13</v>
      </c>
      <c r="E1299">
        <v>0.67</v>
      </c>
      <c r="F1299">
        <v>16.13</v>
      </c>
      <c r="G1299">
        <v>16.14</v>
      </c>
      <c r="H1299">
        <v>40646</v>
      </c>
      <c r="I1299">
        <v>410</v>
      </c>
      <c r="J1299">
        <v>0.12</v>
      </c>
      <c r="K1299">
        <v>3.24</v>
      </c>
      <c r="L1299">
        <v>15.46</v>
      </c>
      <c r="M1299">
        <v>16.33</v>
      </c>
      <c r="N1299">
        <v>15.44</v>
      </c>
      <c r="O1299">
        <v>15.46</v>
      </c>
      <c r="P1299">
        <v>21.68</v>
      </c>
      <c r="Q1299">
        <v>64653976</v>
      </c>
      <c r="R1299">
        <v>2.12</v>
      </c>
      <c r="S1299" t="s">
        <v>213</v>
      </c>
      <c r="T1299" t="s">
        <v>152</v>
      </c>
      <c r="U1299">
        <v>5.76</v>
      </c>
      <c r="V1299">
        <v>15.91</v>
      </c>
      <c r="W1299">
        <v>17303</v>
      </c>
      <c r="X1299">
        <v>23343</v>
      </c>
      <c r="Y1299">
        <v>0.74</v>
      </c>
      <c r="Z1299">
        <v>534</v>
      </c>
      <c r="AA1299">
        <v>368</v>
      </c>
      <c r="AB1299" t="s">
        <v>32</v>
      </c>
      <c r="AC1299">
        <v>1.25</v>
      </c>
    </row>
    <row r="1300" spans="1:29">
      <c r="A1300" t="str">
        <f>"002853"</f>
        <v>002853</v>
      </c>
      <c r="B1300" t="s">
        <v>1467</v>
      </c>
      <c r="C1300">
        <v>1.14</v>
      </c>
      <c r="D1300">
        <v>21.36</v>
      </c>
      <c r="E1300">
        <v>0.24</v>
      </c>
      <c r="F1300">
        <v>21.36</v>
      </c>
      <c r="G1300">
        <v>21.37</v>
      </c>
      <c r="H1300">
        <v>11888</v>
      </c>
      <c r="I1300">
        <v>222</v>
      </c>
      <c r="J1300">
        <v>-0.04</v>
      </c>
      <c r="K1300">
        <v>2.23</v>
      </c>
      <c r="L1300">
        <v>21.35</v>
      </c>
      <c r="M1300">
        <v>21.46</v>
      </c>
      <c r="N1300">
        <v>20.78</v>
      </c>
      <c r="O1300">
        <v>21.12</v>
      </c>
      <c r="P1300">
        <v>63.74</v>
      </c>
      <c r="Q1300">
        <v>25301912</v>
      </c>
      <c r="R1300">
        <v>1.38</v>
      </c>
      <c r="S1300" t="s">
        <v>545</v>
      </c>
      <c r="T1300" t="s">
        <v>136</v>
      </c>
      <c r="U1300">
        <v>3.22</v>
      </c>
      <c r="V1300">
        <v>21.28</v>
      </c>
      <c r="W1300">
        <v>6103</v>
      </c>
      <c r="X1300">
        <v>5785</v>
      </c>
      <c r="Y1300">
        <v>1.05</v>
      </c>
      <c r="Z1300">
        <v>187</v>
      </c>
      <c r="AA1300">
        <v>116</v>
      </c>
      <c r="AB1300" t="s">
        <v>32</v>
      </c>
      <c r="AC1300">
        <v>0.53</v>
      </c>
    </row>
    <row r="1301" spans="1:29">
      <c r="A1301" t="str">
        <f>"002855"</f>
        <v>002855</v>
      </c>
      <c r="B1301" t="s">
        <v>1468</v>
      </c>
      <c r="C1301">
        <v>0.9</v>
      </c>
      <c r="D1301">
        <v>10.11</v>
      </c>
      <c r="E1301">
        <v>0.09</v>
      </c>
      <c r="F1301">
        <v>10.1</v>
      </c>
      <c r="G1301">
        <v>10.11</v>
      </c>
      <c r="H1301">
        <v>20603</v>
      </c>
      <c r="I1301">
        <v>410</v>
      </c>
      <c r="J1301">
        <v>0.1</v>
      </c>
      <c r="K1301">
        <v>2.47</v>
      </c>
      <c r="L1301">
        <v>10</v>
      </c>
      <c r="M1301">
        <v>10.16</v>
      </c>
      <c r="N1301">
        <v>9.93</v>
      </c>
      <c r="O1301">
        <v>10.02</v>
      </c>
      <c r="P1301">
        <v>74.56</v>
      </c>
      <c r="Q1301">
        <v>20755156</v>
      </c>
      <c r="R1301">
        <v>1.16</v>
      </c>
      <c r="S1301" t="s">
        <v>508</v>
      </c>
      <c r="T1301" t="s">
        <v>136</v>
      </c>
      <c r="U1301">
        <v>2.3</v>
      </c>
      <c r="V1301">
        <v>10.07</v>
      </c>
      <c r="W1301">
        <v>10849</v>
      </c>
      <c r="X1301">
        <v>9753</v>
      </c>
      <c r="Y1301">
        <v>1.11</v>
      </c>
      <c r="Z1301">
        <v>133</v>
      </c>
      <c r="AA1301">
        <v>182</v>
      </c>
      <c r="AB1301" t="s">
        <v>32</v>
      </c>
      <c r="AC1301">
        <v>0.83</v>
      </c>
    </row>
    <row r="1302" spans="1:29">
      <c r="A1302" t="str">
        <f>"002856"</f>
        <v>002856</v>
      </c>
      <c r="B1302" t="s">
        <v>1469</v>
      </c>
      <c r="C1302" t="s">
        <v>32</v>
      </c>
      <c r="D1302">
        <v>26.47</v>
      </c>
      <c r="E1302" t="s">
        <v>32</v>
      </c>
      <c r="F1302" t="s">
        <v>32</v>
      </c>
      <c r="G1302" t="s">
        <v>32</v>
      </c>
      <c r="H1302">
        <v>0</v>
      </c>
      <c r="I1302">
        <v>0</v>
      </c>
      <c r="J1302" t="s">
        <v>32</v>
      </c>
      <c r="K1302">
        <v>0</v>
      </c>
      <c r="L1302" t="s">
        <v>32</v>
      </c>
      <c r="M1302" t="s">
        <v>32</v>
      </c>
      <c r="N1302" t="s">
        <v>32</v>
      </c>
      <c r="O1302">
        <v>26.47</v>
      </c>
      <c r="P1302">
        <v>142.38</v>
      </c>
      <c r="Q1302">
        <v>0</v>
      </c>
      <c r="R1302">
        <v>0</v>
      </c>
      <c r="S1302" t="s">
        <v>59</v>
      </c>
      <c r="T1302" t="s">
        <v>31</v>
      </c>
      <c r="U1302">
        <v>0</v>
      </c>
      <c r="V1302">
        <v>26.47</v>
      </c>
      <c r="W1302">
        <v>0</v>
      </c>
      <c r="X1302">
        <v>0</v>
      </c>
      <c r="Y1302" t="s">
        <v>32</v>
      </c>
      <c r="Z1302">
        <v>0</v>
      </c>
      <c r="AA1302">
        <v>0</v>
      </c>
      <c r="AB1302" t="s">
        <v>32</v>
      </c>
      <c r="AC1302">
        <v>0.3</v>
      </c>
    </row>
    <row r="1303" spans="1:29">
      <c r="A1303" t="str">
        <f>"002857"</f>
        <v>002857</v>
      </c>
      <c r="B1303" t="s">
        <v>1470</v>
      </c>
      <c r="C1303">
        <v>5.23</v>
      </c>
      <c r="D1303">
        <v>15.09</v>
      </c>
      <c r="E1303">
        <v>0.75</v>
      </c>
      <c r="F1303">
        <v>15.09</v>
      </c>
      <c r="G1303">
        <v>15.1</v>
      </c>
      <c r="H1303">
        <v>101647</v>
      </c>
      <c r="I1303">
        <v>2007</v>
      </c>
      <c r="J1303">
        <v>-0.06</v>
      </c>
      <c r="K1303">
        <v>20.54</v>
      </c>
      <c r="L1303">
        <v>14.44</v>
      </c>
      <c r="M1303">
        <v>15.77</v>
      </c>
      <c r="N1303">
        <v>14.03</v>
      </c>
      <c r="O1303">
        <v>14.34</v>
      </c>
      <c r="P1303" t="s">
        <v>32</v>
      </c>
      <c r="Q1303">
        <v>155054960</v>
      </c>
      <c r="R1303">
        <v>4.19</v>
      </c>
      <c r="S1303" t="s">
        <v>606</v>
      </c>
      <c r="T1303" t="s">
        <v>164</v>
      </c>
      <c r="U1303">
        <v>12.13</v>
      </c>
      <c r="V1303">
        <v>15.25</v>
      </c>
      <c r="W1303">
        <v>61725</v>
      </c>
      <c r="X1303">
        <v>39922</v>
      </c>
      <c r="Y1303">
        <v>1.55</v>
      </c>
      <c r="Z1303">
        <v>12</v>
      </c>
      <c r="AA1303">
        <v>781</v>
      </c>
      <c r="AB1303" t="s">
        <v>32</v>
      </c>
      <c r="AC1303">
        <v>0.49</v>
      </c>
    </row>
    <row r="1304" spans="1:29">
      <c r="A1304" t="str">
        <f>"002858"</f>
        <v>002858</v>
      </c>
      <c r="B1304" t="s">
        <v>1471</v>
      </c>
      <c r="C1304">
        <v>-2.03</v>
      </c>
      <c r="D1304">
        <v>17.82</v>
      </c>
      <c r="E1304">
        <v>-0.37</v>
      </c>
      <c r="F1304">
        <v>17.81</v>
      </c>
      <c r="G1304">
        <v>17.82</v>
      </c>
      <c r="H1304">
        <v>56513</v>
      </c>
      <c r="I1304">
        <v>1057</v>
      </c>
      <c r="J1304">
        <v>0</v>
      </c>
      <c r="K1304">
        <v>9.17</v>
      </c>
      <c r="L1304">
        <v>17.77</v>
      </c>
      <c r="M1304">
        <v>17.9</v>
      </c>
      <c r="N1304">
        <v>17.35</v>
      </c>
      <c r="O1304">
        <v>18.19</v>
      </c>
      <c r="P1304" t="s">
        <v>32</v>
      </c>
      <c r="Q1304">
        <v>99731264</v>
      </c>
      <c r="R1304">
        <v>1.39</v>
      </c>
      <c r="S1304" t="s">
        <v>57</v>
      </c>
      <c r="T1304" t="s">
        <v>366</v>
      </c>
      <c r="U1304">
        <v>3.02</v>
      </c>
      <c r="V1304">
        <v>17.65</v>
      </c>
      <c r="W1304">
        <v>32874</v>
      </c>
      <c r="X1304">
        <v>23638</v>
      </c>
      <c r="Y1304">
        <v>1.39</v>
      </c>
      <c r="Z1304">
        <v>418</v>
      </c>
      <c r="AA1304">
        <v>238</v>
      </c>
      <c r="AB1304" t="s">
        <v>32</v>
      </c>
      <c r="AC1304">
        <v>0.62</v>
      </c>
    </row>
    <row r="1305" spans="1:29">
      <c r="A1305" t="str">
        <f>"002859"</f>
        <v>002859</v>
      </c>
      <c r="B1305" t="s">
        <v>1472</v>
      </c>
      <c r="C1305">
        <v>0.45</v>
      </c>
      <c r="D1305">
        <v>40.5</v>
      </c>
      <c r="E1305">
        <v>0.18</v>
      </c>
      <c r="F1305">
        <v>40.5</v>
      </c>
      <c r="G1305">
        <v>40.51</v>
      </c>
      <c r="H1305">
        <v>35984</v>
      </c>
      <c r="I1305">
        <v>422</v>
      </c>
      <c r="J1305">
        <v>0.35</v>
      </c>
      <c r="K1305">
        <v>3.32</v>
      </c>
      <c r="L1305">
        <v>40.32</v>
      </c>
      <c r="M1305">
        <v>40.75</v>
      </c>
      <c r="N1305">
        <v>39.5</v>
      </c>
      <c r="O1305">
        <v>40.32</v>
      </c>
      <c r="P1305">
        <v>87.97</v>
      </c>
      <c r="Q1305">
        <v>144578928</v>
      </c>
      <c r="R1305">
        <v>0.84</v>
      </c>
      <c r="S1305" t="s">
        <v>63</v>
      </c>
      <c r="T1305" t="s">
        <v>149</v>
      </c>
      <c r="U1305">
        <v>3.1</v>
      </c>
      <c r="V1305">
        <v>40.18</v>
      </c>
      <c r="W1305">
        <v>20122</v>
      </c>
      <c r="X1305">
        <v>15861</v>
      </c>
      <c r="Y1305">
        <v>1.27</v>
      </c>
      <c r="Z1305">
        <v>49</v>
      </c>
      <c r="AA1305">
        <v>51</v>
      </c>
      <c r="AB1305" t="s">
        <v>32</v>
      </c>
      <c r="AC1305">
        <v>1.08</v>
      </c>
    </row>
    <row r="1306" spans="1:29">
      <c r="A1306" t="str">
        <f>"002860"</f>
        <v>002860</v>
      </c>
      <c r="B1306" t="s">
        <v>1473</v>
      </c>
      <c r="C1306">
        <v>0.05</v>
      </c>
      <c r="D1306">
        <v>21.02</v>
      </c>
      <c r="E1306">
        <v>0.01</v>
      </c>
      <c r="F1306">
        <v>21.02</v>
      </c>
      <c r="G1306">
        <v>21.03</v>
      </c>
      <c r="H1306">
        <v>16208</v>
      </c>
      <c r="I1306">
        <v>269</v>
      </c>
      <c r="J1306">
        <v>0</v>
      </c>
      <c r="K1306">
        <v>3.42</v>
      </c>
      <c r="L1306">
        <v>20.71</v>
      </c>
      <c r="M1306">
        <v>21.13</v>
      </c>
      <c r="N1306">
        <v>20.71</v>
      </c>
      <c r="O1306">
        <v>21.01</v>
      </c>
      <c r="P1306">
        <v>24.75</v>
      </c>
      <c r="Q1306">
        <v>33937416</v>
      </c>
      <c r="R1306">
        <v>1.09</v>
      </c>
      <c r="S1306" t="s">
        <v>104</v>
      </c>
      <c r="T1306" t="s">
        <v>149</v>
      </c>
      <c r="U1306">
        <v>2</v>
      </c>
      <c r="V1306">
        <v>20.94</v>
      </c>
      <c r="W1306">
        <v>10453</v>
      </c>
      <c r="X1306">
        <v>5755</v>
      </c>
      <c r="Y1306">
        <v>1.82</v>
      </c>
      <c r="Z1306">
        <v>50</v>
      </c>
      <c r="AA1306">
        <v>35</v>
      </c>
      <c r="AB1306" t="s">
        <v>32</v>
      </c>
      <c r="AC1306">
        <v>0.47</v>
      </c>
    </row>
    <row r="1307" spans="1:29">
      <c r="A1307" t="str">
        <f>"002861"</f>
        <v>002861</v>
      </c>
      <c r="B1307" t="s">
        <v>1474</v>
      </c>
      <c r="C1307">
        <v>-0.52</v>
      </c>
      <c r="D1307">
        <v>24.89</v>
      </c>
      <c r="E1307">
        <v>-0.13</v>
      </c>
      <c r="F1307">
        <v>24.88</v>
      </c>
      <c r="G1307">
        <v>24.89</v>
      </c>
      <c r="H1307">
        <v>33714</v>
      </c>
      <c r="I1307">
        <v>1310</v>
      </c>
      <c r="J1307">
        <v>0.53</v>
      </c>
      <c r="K1307">
        <v>6.35</v>
      </c>
      <c r="L1307">
        <v>24.68</v>
      </c>
      <c r="M1307">
        <v>24.92</v>
      </c>
      <c r="N1307">
        <v>24.03</v>
      </c>
      <c r="O1307">
        <v>25.02</v>
      </c>
      <c r="P1307">
        <v>146.99</v>
      </c>
      <c r="Q1307">
        <v>82498592</v>
      </c>
      <c r="R1307">
        <v>0.57</v>
      </c>
      <c r="S1307" t="s">
        <v>119</v>
      </c>
      <c r="T1307" t="s">
        <v>193</v>
      </c>
      <c r="U1307">
        <v>3.56</v>
      </c>
      <c r="V1307">
        <v>24.47</v>
      </c>
      <c r="W1307">
        <v>19775</v>
      </c>
      <c r="X1307">
        <v>13939</v>
      </c>
      <c r="Y1307">
        <v>1.42</v>
      </c>
      <c r="Z1307">
        <v>23</v>
      </c>
      <c r="AA1307">
        <v>219</v>
      </c>
      <c r="AB1307" t="s">
        <v>32</v>
      </c>
      <c r="AC1307">
        <v>0.53</v>
      </c>
    </row>
    <row r="1308" spans="1:29">
      <c r="A1308" t="str">
        <f>"002862"</f>
        <v>002862</v>
      </c>
      <c r="B1308" t="s">
        <v>1475</v>
      </c>
      <c r="C1308">
        <v>1.96</v>
      </c>
      <c r="D1308">
        <v>20.25</v>
      </c>
      <c r="E1308">
        <v>0.39</v>
      </c>
      <c r="F1308">
        <v>20.25</v>
      </c>
      <c r="G1308">
        <v>20.28</v>
      </c>
      <c r="H1308">
        <v>3570</v>
      </c>
      <c r="I1308">
        <v>58</v>
      </c>
      <c r="J1308">
        <v>-0.14</v>
      </c>
      <c r="K1308">
        <v>1.15</v>
      </c>
      <c r="L1308">
        <v>20</v>
      </c>
      <c r="M1308">
        <v>20.36</v>
      </c>
      <c r="N1308">
        <v>19.75</v>
      </c>
      <c r="O1308">
        <v>19.86</v>
      </c>
      <c r="P1308">
        <v>86.67</v>
      </c>
      <c r="Q1308">
        <v>7209843</v>
      </c>
      <c r="R1308">
        <v>0.93</v>
      </c>
      <c r="S1308" t="s">
        <v>57</v>
      </c>
      <c r="T1308" t="s">
        <v>136</v>
      </c>
      <c r="U1308">
        <v>3.07</v>
      </c>
      <c r="V1308">
        <v>20.2</v>
      </c>
      <c r="W1308">
        <v>1647</v>
      </c>
      <c r="X1308">
        <v>1923</v>
      </c>
      <c r="Y1308">
        <v>0.86</v>
      </c>
      <c r="Z1308">
        <v>13</v>
      </c>
      <c r="AA1308">
        <v>90</v>
      </c>
      <c r="AB1308" t="s">
        <v>32</v>
      </c>
      <c r="AC1308">
        <v>0.31</v>
      </c>
    </row>
    <row r="1309" spans="1:29">
      <c r="A1309" t="str">
        <f>"002863"</f>
        <v>002863</v>
      </c>
      <c r="B1309" t="s">
        <v>1476</v>
      </c>
      <c r="C1309">
        <v>1.6</v>
      </c>
      <c r="D1309">
        <v>8.23</v>
      </c>
      <c r="E1309">
        <v>0.13</v>
      </c>
      <c r="F1309">
        <v>8.22</v>
      </c>
      <c r="G1309">
        <v>8.23</v>
      </c>
      <c r="H1309">
        <v>52542</v>
      </c>
      <c r="I1309">
        <v>1145</v>
      </c>
      <c r="J1309">
        <v>0.12</v>
      </c>
      <c r="K1309">
        <v>2.83</v>
      </c>
      <c r="L1309">
        <v>8.12</v>
      </c>
      <c r="M1309">
        <v>8.25</v>
      </c>
      <c r="N1309">
        <v>8.12</v>
      </c>
      <c r="O1309">
        <v>8.1</v>
      </c>
      <c r="P1309">
        <v>54.03</v>
      </c>
      <c r="Q1309">
        <v>43104472</v>
      </c>
      <c r="R1309">
        <v>1.1</v>
      </c>
      <c r="S1309" t="s">
        <v>80</v>
      </c>
      <c r="T1309" t="s">
        <v>149</v>
      </c>
      <c r="U1309">
        <v>1.6</v>
      </c>
      <c r="V1309">
        <v>8.2</v>
      </c>
      <c r="W1309">
        <v>23333</v>
      </c>
      <c r="X1309">
        <v>29209</v>
      </c>
      <c r="Y1309">
        <v>0.8</v>
      </c>
      <c r="Z1309">
        <v>1</v>
      </c>
      <c r="AA1309">
        <v>996</v>
      </c>
      <c r="AB1309" t="s">
        <v>32</v>
      </c>
      <c r="AC1309">
        <v>1.86</v>
      </c>
    </row>
    <row r="1310" spans="1:29">
      <c r="A1310" t="str">
        <f>"002864"</f>
        <v>002864</v>
      </c>
      <c r="B1310" t="s">
        <v>1477</v>
      </c>
      <c r="C1310">
        <v>1.07</v>
      </c>
      <c r="D1310">
        <v>44.57</v>
      </c>
      <c r="E1310">
        <v>0.47</v>
      </c>
      <c r="F1310">
        <v>44.57</v>
      </c>
      <c r="G1310">
        <v>44.58</v>
      </c>
      <c r="H1310">
        <v>24522</v>
      </c>
      <c r="I1310">
        <v>530</v>
      </c>
      <c r="J1310">
        <v>-0.06</v>
      </c>
      <c r="K1310">
        <v>11.32</v>
      </c>
      <c r="L1310">
        <v>43.11</v>
      </c>
      <c r="M1310">
        <v>44.97</v>
      </c>
      <c r="N1310">
        <v>42.9</v>
      </c>
      <c r="O1310">
        <v>44.1</v>
      </c>
      <c r="P1310">
        <v>100.46</v>
      </c>
      <c r="Q1310">
        <v>108717104</v>
      </c>
      <c r="R1310">
        <v>0.84</v>
      </c>
      <c r="S1310" t="s">
        <v>195</v>
      </c>
      <c r="T1310" t="s">
        <v>223</v>
      </c>
      <c r="U1310">
        <v>4.69</v>
      </c>
      <c r="V1310">
        <v>44.33</v>
      </c>
      <c r="W1310">
        <v>12026</v>
      </c>
      <c r="X1310">
        <v>12496</v>
      </c>
      <c r="Y1310">
        <v>0.96</v>
      </c>
      <c r="Z1310">
        <v>102</v>
      </c>
      <c r="AA1310">
        <v>175</v>
      </c>
      <c r="AB1310" t="s">
        <v>32</v>
      </c>
      <c r="AC1310">
        <v>0.22</v>
      </c>
    </row>
    <row r="1311" spans="1:29">
      <c r="A1311" t="str">
        <f>"002865"</f>
        <v>002865</v>
      </c>
      <c r="B1311" t="s">
        <v>1478</v>
      </c>
      <c r="C1311">
        <v>-1.93</v>
      </c>
      <c r="D1311">
        <v>20.79</v>
      </c>
      <c r="E1311">
        <v>-0.41</v>
      </c>
      <c r="F1311">
        <v>20.78</v>
      </c>
      <c r="G1311">
        <v>20.79</v>
      </c>
      <c r="H1311">
        <v>70775</v>
      </c>
      <c r="I1311">
        <v>1612</v>
      </c>
      <c r="J1311">
        <v>0.1</v>
      </c>
      <c r="K1311">
        <v>18.58</v>
      </c>
      <c r="L1311">
        <v>20.75</v>
      </c>
      <c r="M1311">
        <v>21.18</v>
      </c>
      <c r="N1311">
        <v>20.2</v>
      </c>
      <c r="O1311">
        <v>21.2</v>
      </c>
      <c r="P1311">
        <v>43.71</v>
      </c>
      <c r="Q1311">
        <v>146043648</v>
      </c>
      <c r="R1311">
        <v>1.69</v>
      </c>
      <c r="S1311" t="s">
        <v>80</v>
      </c>
      <c r="T1311" t="s">
        <v>209</v>
      </c>
      <c r="U1311">
        <v>4.62</v>
      </c>
      <c r="V1311">
        <v>20.64</v>
      </c>
      <c r="W1311">
        <v>41156</v>
      </c>
      <c r="X1311">
        <v>29618</v>
      </c>
      <c r="Y1311">
        <v>1.39</v>
      </c>
      <c r="Z1311">
        <v>679</v>
      </c>
      <c r="AA1311">
        <v>274</v>
      </c>
      <c r="AB1311" t="s">
        <v>32</v>
      </c>
      <c r="AC1311">
        <v>0.38</v>
      </c>
    </row>
    <row r="1312" spans="1:29">
      <c r="A1312" t="str">
        <f>"002866"</f>
        <v>002866</v>
      </c>
      <c r="B1312" t="s">
        <v>1479</v>
      </c>
      <c r="C1312">
        <v>-0.81</v>
      </c>
      <c r="D1312">
        <v>17.11</v>
      </c>
      <c r="E1312">
        <v>-0.14</v>
      </c>
      <c r="F1312">
        <v>17.11</v>
      </c>
      <c r="G1312">
        <v>17.12</v>
      </c>
      <c r="H1312">
        <v>130079</v>
      </c>
      <c r="I1312">
        <v>3316</v>
      </c>
      <c r="J1312">
        <v>-0.16</v>
      </c>
      <c r="K1312">
        <v>16.13</v>
      </c>
      <c r="L1312">
        <v>17.25</v>
      </c>
      <c r="M1312">
        <v>17.26</v>
      </c>
      <c r="N1312">
        <v>16.46</v>
      </c>
      <c r="O1312">
        <v>17.25</v>
      </c>
      <c r="P1312">
        <v>40.14</v>
      </c>
      <c r="Q1312">
        <v>219581552</v>
      </c>
      <c r="R1312">
        <v>0.69</v>
      </c>
      <c r="S1312" t="s">
        <v>65</v>
      </c>
      <c r="T1312" t="s">
        <v>87</v>
      </c>
      <c r="U1312">
        <v>4.64</v>
      </c>
      <c r="V1312">
        <v>16.88</v>
      </c>
      <c r="W1312">
        <v>69817</v>
      </c>
      <c r="X1312">
        <v>60262</v>
      </c>
      <c r="Y1312">
        <v>1.16</v>
      </c>
      <c r="Z1312">
        <v>825</v>
      </c>
      <c r="AA1312">
        <v>3</v>
      </c>
      <c r="AB1312" t="s">
        <v>32</v>
      </c>
      <c r="AC1312">
        <v>0.81</v>
      </c>
    </row>
    <row r="1313" spans="1:29">
      <c r="A1313" t="str">
        <f>"002867"</f>
        <v>002867</v>
      </c>
      <c r="B1313" t="s">
        <v>1480</v>
      </c>
      <c r="C1313">
        <v>-2.29</v>
      </c>
      <c r="D1313">
        <v>31.55</v>
      </c>
      <c r="E1313">
        <v>-0.74</v>
      </c>
      <c r="F1313">
        <v>31.54</v>
      </c>
      <c r="G1313">
        <v>31.55</v>
      </c>
      <c r="H1313">
        <v>22454</v>
      </c>
      <c r="I1313">
        <v>219</v>
      </c>
      <c r="J1313">
        <v>0.03</v>
      </c>
      <c r="K1313">
        <v>1.38</v>
      </c>
      <c r="L1313">
        <v>32.25</v>
      </c>
      <c r="M1313">
        <v>32.25</v>
      </c>
      <c r="N1313">
        <v>30.87</v>
      </c>
      <c r="O1313">
        <v>32.29</v>
      </c>
      <c r="P1313">
        <v>23.85</v>
      </c>
      <c r="Q1313">
        <v>70973136</v>
      </c>
      <c r="R1313">
        <v>1.87</v>
      </c>
      <c r="S1313" t="s">
        <v>622</v>
      </c>
      <c r="T1313" t="s">
        <v>31</v>
      </c>
      <c r="U1313">
        <v>4.27</v>
      </c>
      <c r="V1313">
        <v>31.61</v>
      </c>
      <c r="W1313">
        <v>12970</v>
      </c>
      <c r="X1313">
        <v>9484</v>
      </c>
      <c r="Y1313">
        <v>1.37</v>
      </c>
      <c r="Z1313">
        <v>53</v>
      </c>
      <c r="AA1313">
        <v>83</v>
      </c>
      <c r="AB1313" t="s">
        <v>32</v>
      </c>
      <c r="AC1313">
        <v>1.63</v>
      </c>
    </row>
    <row r="1314" spans="1:29">
      <c r="A1314" t="str">
        <f>"002868"</f>
        <v>002868</v>
      </c>
      <c r="B1314" t="s">
        <v>1481</v>
      </c>
      <c r="C1314">
        <v>1.35</v>
      </c>
      <c r="D1314">
        <v>18.71</v>
      </c>
      <c r="E1314">
        <v>0.25</v>
      </c>
      <c r="F1314">
        <v>18.7</v>
      </c>
      <c r="G1314">
        <v>18.71</v>
      </c>
      <c r="H1314">
        <v>5183</v>
      </c>
      <c r="I1314">
        <v>43</v>
      </c>
      <c r="J1314">
        <v>0.05</v>
      </c>
      <c r="K1314">
        <v>1.35</v>
      </c>
      <c r="L1314">
        <v>18.5</v>
      </c>
      <c r="M1314">
        <v>18.79</v>
      </c>
      <c r="N1314">
        <v>18.32</v>
      </c>
      <c r="O1314">
        <v>18.46</v>
      </c>
      <c r="P1314">
        <v>30.24</v>
      </c>
      <c r="Q1314">
        <v>9654773</v>
      </c>
      <c r="R1314">
        <v>1.66</v>
      </c>
      <c r="S1314" t="s">
        <v>115</v>
      </c>
      <c r="T1314" t="s">
        <v>236</v>
      </c>
      <c r="U1314">
        <v>2.55</v>
      </c>
      <c r="V1314">
        <v>18.63</v>
      </c>
      <c r="W1314">
        <v>2253</v>
      </c>
      <c r="X1314">
        <v>2930</v>
      </c>
      <c r="Y1314">
        <v>0.77</v>
      </c>
      <c r="Z1314">
        <v>69</v>
      </c>
      <c r="AA1314">
        <v>59</v>
      </c>
      <c r="AB1314" t="s">
        <v>32</v>
      </c>
      <c r="AC1314">
        <v>0.38</v>
      </c>
    </row>
    <row r="1315" spans="1:29">
      <c r="A1315" t="str">
        <f>"002869"</f>
        <v>002869</v>
      </c>
      <c r="B1315" t="s">
        <v>1482</v>
      </c>
      <c r="C1315">
        <v>3.84</v>
      </c>
      <c r="D1315">
        <v>25.18</v>
      </c>
      <c r="E1315">
        <v>0.93</v>
      </c>
      <c r="F1315">
        <v>25.15</v>
      </c>
      <c r="G1315">
        <v>25.18</v>
      </c>
      <c r="H1315">
        <v>17866</v>
      </c>
      <c r="I1315">
        <v>827</v>
      </c>
      <c r="J1315">
        <v>0.16</v>
      </c>
      <c r="K1315">
        <v>3.93</v>
      </c>
      <c r="L1315">
        <v>24.46</v>
      </c>
      <c r="M1315">
        <v>25.18</v>
      </c>
      <c r="N1315">
        <v>24.16</v>
      </c>
      <c r="O1315">
        <v>24.25</v>
      </c>
      <c r="P1315">
        <v>107.21</v>
      </c>
      <c r="Q1315">
        <v>44287624</v>
      </c>
      <c r="R1315">
        <v>1.86</v>
      </c>
      <c r="S1315" t="s">
        <v>119</v>
      </c>
      <c r="T1315" t="s">
        <v>31</v>
      </c>
      <c r="U1315">
        <v>4.21</v>
      </c>
      <c r="V1315">
        <v>24.79</v>
      </c>
      <c r="W1315">
        <v>6907</v>
      </c>
      <c r="X1315">
        <v>10958</v>
      </c>
      <c r="Y1315">
        <v>0.63</v>
      </c>
      <c r="Z1315">
        <v>6003</v>
      </c>
      <c r="AA1315">
        <v>41</v>
      </c>
      <c r="AB1315" t="s">
        <v>32</v>
      </c>
      <c r="AC1315">
        <v>0.45</v>
      </c>
    </row>
    <row r="1316" spans="1:29">
      <c r="A1316" t="str">
        <f>"002870"</f>
        <v>002870</v>
      </c>
      <c r="B1316" t="s">
        <v>1483</v>
      </c>
      <c r="C1316">
        <v>0.5</v>
      </c>
      <c r="D1316">
        <v>22.27</v>
      </c>
      <c r="E1316">
        <v>0.11</v>
      </c>
      <c r="F1316">
        <v>22.27</v>
      </c>
      <c r="G1316">
        <v>22.28</v>
      </c>
      <c r="H1316">
        <v>10914</v>
      </c>
      <c r="I1316">
        <v>309</v>
      </c>
      <c r="J1316">
        <v>0</v>
      </c>
      <c r="K1316">
        <v>2.72</v>
      </c>
      <c r="L1316">
        <v>22.1</v>
      </c>
      <c r="M1316">
        <v>22.34</v>
      </c>
      <c r="N1316">
        <v>22.01</v>
      </c>
      <c r="O1316">
        <v>22.16</v>
      </c>
      <c r="P1316">
        <v>121.87</v>
      </c>
      <c r="Q1316">
        <v>24242324</v>
      </c>
      <c r="R1316">
        <v>0.6</v>
      </c>
      <c r="S1316" t="s">
        <v>606</v>
      </c>
      <c r="T1316" t="s">
        <v>136</v>
      </c>
      <c r="U1316">
        <v>1.49</v>
      </c>
      <c r="V1316">
        <v>22.21</v>
      </c>
      <c r="W1316">
        <v>5715</v>
      </c>
      <c r="X1316">
        <v>5199</v>
      </c>
      <c r="Y1316">
        <v>1.1</v>
      </c>
      <c r="Z1316">
        <v>133</v>
      </c>
      <c r="AA1316">
        <v>175</v>
      </c>
      <c r="AB1316" t="s">
        <v>32</v>
      </c>
      <c r="AC1316">
        <v>0.4</v>
      </c>
    </row>
    <row r="1317" spans="1:29">
      <c r="A1317" t="str">
        <f>"002871"</f>
        <v>002871</v>
      </c>
      <c r="B1317" t="s">
        <v>1484</v>
      </c>
      <c r="C1317">
        <v>0.75</v>
      </c>
      <c r="D1317">
        <v>21.4</v>
      </c>
      <c r="E1317">
        <v>0.16</v>
      </c>
      <c r="F1317">
        <v>21.39</v>
      </c>
      <c r="G1317">
        <v>21.4</v>
      </c>
      <c r="H1317">
        <v>38083</v>
      </c>
      <c r="I1317">
        <v>884</v>
      </c>
      <c r="J1317">
        <v>0.28</v>
      </c>
      <c r="K1317">
        <v>13.18</v>
      </c>
      <c r="L1317">
        <v>21.39</v>
      </c>
      <c r="M1317">
        <v>21.55</v>
      </c>
      <c r="N1317">
        <v>21.01</v>
      </c>
      <c r="O1317">
        <v>21.24</v>
      </c>
      <c r="P1317">
        <v>46.88</v>
      </c>
      <c r="Q1317">
        <v>81211984</v>
      </c>
      <c r="R1317">
        <v>0.81</v>
      </c>
      <c r="S1317" t="s">
        <v>241</v>
      </c>
      <c r="T1317" t="s">
        <v>162</v>
      </c>
      <c r="U1317">
        <v>2.54</v>
      </c>
      <c r="V1317">
        <v>21.32</v>
      </c>
      <c r="W1317">
        <v>20020</v>
      </c>
      <c r="X1317">
        <v>18063</v>
      </c>
      <c r="Y1317">
        <v>1.11</v>
      </c>
      <c r="Z1317">
        <v>91</v>
      </c>
      <c r="AA1317">
        <v>504</v>
      </c>
      <c r="AB1317" t="s">
        <v>32</v>
      </c>
      <c r="AC1317">
        <v>0.29</v>
      </c>
    </row>
    <row r="1318" spans="1:29">
      <c r="A1318" t="str">
        <f>"002872"</f>
        <v>002872</v>
      </c>
      <c r="B1318" t="s">
        <v>1485</v>
      </c>
      <c r="C1318">
        <v>2.79</v>
      </c>
      <c r="D1318">
        <v>18.76</v>
      </c>
      <c r="E1318">
        <v>0.51</v>
      </c>
      <c r="F1318">
        <v>18.76</v>
      </c>
      <c r="G1318">
        <v>18.77</v>
      </c>
      <c r="H1318">
        <v>104233</v>
      </c>
      <c r="I1318">
        <v>1335</v>
      </c>
      <c r="J1318">
        <v>0.11</v>
      </c>
      <c r="K1318">
        <v>7.27</v>
      </c>
      <c r="L1318">
        <v>18.21</v>
      </c>
      <c r="M1318">
        <v>18.81</v>
      </c>
      <c r="N1318">
        <v>18.06</v>
      </c>
      <c r="O1318">
        <v>18.25</v>
      </c>
      <c r="P1318">
        <v>15.01</v>
      </c>
      <c r="Q1318">
        <v>192896224</v>
      </c>
      <c r="R1318">
        <v>1.03</v>
      </c>
      <c r="S1318" t="s">
        <v>142</v>
      </c>
      <c r="T1318" t="s">
        <v>221</v>
      </c>
      <c r="U1318">
        <v>4.11</v>
      </c>
      <c r="V1318">
        <v>18.51</v>
      </c>
      <c r="W1318">
        <v>49654</v>
      </c>
      <c r="X1318">
        <v>54579</v>
      </c>
      <c r="Y1318">
        <v>0.91</v>
      </c>
      <c r="Z1318">
        <v>621</v>
      </c>
      <c r="AA1318">
        <v>259</v>
      </c>
      <c r="AB1318" t="s">
        <v>32</v>
      </c>
      <c r="AC1318">
        <v>1.43</v>
      </c>
    </row>
    <row r="1319" spans="1:29">
      <c r="A1319" t="str">
        <f>"002873"</f>
        <v>002873</v>
      </c>
      <c r="B1319" t="s">
        <v>1486</v>
      </c>
      <c r="C1319">
        <v>2.19</v>
      </c>
      <c r="D1319">
        <v>25.63</v>
      </c>
      <c r="E1319">
        <v>0.55</v>
      </c>
      <c r="F1319">
        <v>25.63</v>
      </c>
      <c r="G1319">
        <v>25.64</v>
      </c>
      <c r="H1319">
        <v>39528</v>
      </c>
      <c r="I1319">
        <v>757</v>
      </c>
      <c r="J1319">
        <v>0.2</v>
      </c>
      <c r="K1319">
        <v>6.05</v>
      </c>
      <c r="L1319">
        <v>24.83</v>
      </c>
      <c r="M1319">
        <v>26.27</v>
      </c>
      <c r="N1319">
        <v>24.6</v>
      </c>
      <c r="O1319">
        <v>25.08</v>
      </c>
      <c r="P1319">
        <v>43.81</v>
      </c>
      <c r="Q1319">
        <v>100791304</v>
      </c>
      <c r="R1319">
        <v>0.64</v>
      </c>
      <c r="S1319" t="s">
        <v>195</v>
      </c>
      <c r="T1319" t="s">
        <v>253</v>
      </c>
      <c r="U1319">
        <v>6.66</v>
      </c>
      <c r="V1319">
        <v>25.5</v>
      </c>
      <c r="W1319">
        <v>18533</v>
      </c>
      <c r="X1319">
        <v>20995</v>
      </c>
      <c r="Y1319">
        <v>0.88</v>
      </c>
      <c r="Z1319">
        <v>350</v>
      </c>
      <c r="AA1319">
        <v>1</v>
      </c>
      <c r="AB1319" t="s">
        <v>32</v>
      </c>
      <c r="AC1319">
        <v>0.65</v>
      </c>
    </row>
    <row r="1320" spans="1:29">
      <c r="A1320" t="str">
        <f>"002875"</f>
        <v>002875</v>
      </c>
      <c r="B1320" t="s">
        <v>1487</v>
      </c>
      <c r="C1320">
        <v>1.64</v>
      </c>
      <c r="D1320">
        <v>17.95</v>
      </c>
      <c r="E1320">
        <v>0.29</v>
      </c>
      <c r="F1320">
        <v>17.88</v>
      </c>
      <c r="G1320">
        <v>17.95</v>
      </c>
      <c r="H1320">
        <v>64697</v>
      </c>
      <c r="I1320">
        <v>1088</v>
      </c>
      <c r="J1320">
        <v>2.92</v>
      </c>
      <c r="K1320">
        <v>16.64</v>
      </c>
      <c r="L1320">
        <v>17.66</v>
      </c>
      <c r="M1320">
        <v>18.4</v>
      </c>
      <c r="N1320">
        <v>17.44</v>
      </c>
      <c r="O1320">
        <v>17.66</v>
      </c>
      <c r="P1320">
        <v>16.41</v>
      </c>
      <c r="Q1320">
        <v>115568848</v>
      </c>
      <c r="R1320">
        <v>1.52</v>
      </c>
      <c r="S1320" t="s">
        <v>622</v>
      </c>
      <c r="T1320" t="s">
        <v>31</v>
      </c>
      <c r="U1320">
        <v>5.44</v>
      </c>
      <c r="V1320">
        <v>17.86</v>
      </c>
      <c r="W1320">
        <v>32906</v>
      </c>
      <c r="X1320">
        <v>31790</v>
      </c>
      <c r="Y1320">
        <v>1.04</v>
      </c>
      <c r="Z1320">
        <v>47</v>
      </c>
      <c r="AA1320">
        <v>6</v>
      </c>
      <c r="AB1320" t="s">
        <v>32</v>
      </c>
      <c r="AC1320">
        <v>0.39</v>
      </c>
    </row>
    <row r="1321" spans="1:29">
      <c r="A1321" t="str">
        <f>"002876"</f>
        <v>002876</v>
      </c>
      <c r="B1321" t="s">
        <v>1488</v>
      </c>
      <c r="C1321">
        <v>1.84</v>
      </c>
      <c r="D1321">
        <v>49.9</v>
      </c>
      <c r="E1321">
        <v>0.9</v>
      </c>
      <c r="F1321">
        <v>49.8</v>
      </c>
      <c r="G1321">
        <v>49.9</v>
      </c>
      <c r="H1321">
        <v>10070</v>
      </c>
      <c r="I1321">
        <v>293</v>
      </c>
      <c r="J1321">
        <v>-0.29</v>
      </c>
      <c r="K1321">
        <v>1.72</v>
      </c>
      <c r="L1321">
        <v>48.2</v>
      </c>
      <c r="M1321">
        <v>50.4</v>
      </c>
      <c r="N1321">
        <v>48</v>
      </c>
      <c r="O1321">
        <v>49</v>
      </c>
      <c r="P1321">
        <v>74.66</v>
      </c>
      <c r="Q1321">
        <v>49818276</v>
      </c>
      <c r="R1321">
        <v>0.86</v>
      </c>
      <c r="S1321" t="s">
        <v>63</v>
      </c>
      <c r="T1321" t="s">
        <v>31</v>
      </c>
      <c r="U1321">
        <v>4.9</v>
      </c>
      <c r="V1321">
        <v>49.47</v>
      </c>
      <c r="W1321">
        <v>4738</v>
      </c>
      <c r="X1321">
        <v>5332</v>
      </c>
      <c r="Y1321">
        <v>0.89</v>
      </c>
      <c r="Z1321">
        <v>5</v>
      </c>
      <c r="AA1321">
        <v>94</v>
      </c>
      <c r="AB1321" t="s">
        <v>32</v>
      </c>
      <c r="AC1321">
        <v>0.59</v>
      </c>
    </row>
    <row r="1322" spans="1:29">
      <c r="A1322" t="str">
        <f>"002877"</f>
        <v>002877</v>
      </c>
      <c r="B1322" t="s">
        <v>1489</v>
      </c>
      <c r="C1322">
        <v>0.73</v>
      </c>
      <c r="D1322">
        <v>19.45</v>
      </c>
      <c r="E1322">
        <v>0.14</v>
      </c>
      <c r="F1322">
        <v>19.45</v>
      </c>
      <c r="G1322">
        <v>19.46</v>
      </c>
      <c r="H1322">
        <v>27822</v>
      </c>
      <c r="I1322">
        <v>957</v>
      </c>
      <c r="J1322">
        <v>0.21</v>
      </c>
      <c r="K1322">
        <v>5.36</v>
      </c>
      <c r="L1322">
        <v>19.33</v>
      </c>
      <c r="M1322">
        <v>19.49</v>
      </c>
      <c r="N1322">
        <v>19.14</v>
      </c>
      <c r="O1322">
        <v>19.31</v>
      </c>
      <c r="P1322">
        <v>94.69</v>
      </c>
      <c r="Q1322">
        <v>53866180</v>
      </c>
      <c r="R1322">
        <v>0.95</v>
      </c>
      <c r="S1322" t="s">
        <v>606</v>
      </c>
      <c r="T1322" t="s">
        <v>87</v>
      </c>
      <c r="U1322">
        <v>1.81</v>
      </c>
      <c r="V1322">
        <v>19.36</v>
      </c>
      <c r="W1322">
        <v>13017</v>
      </c>
      <c r="X1322">
        <v>14805</v>
      </c>
      <c r="Y1322">
        <v>0.88</v>
      </c>
      <c r="Z1322">
        <v>44</v>
      </c>
      <c r="AA1322">
        <v>124</v>
      </c>
      <c r="AB1322" t="s">
        <v>32</v>
      </c>
      <c r="AC1322">
        <v>0.52</v>
      </c>
    </row>
    <row r="1323" spans="1:29">
      <c r="A1323" t="str">
        <f>"002878"</f>
        <v>002878</v>
      </c>
      <c r="B1323" t="s">
        <v>1490</v>
      </c>
      <c r="C1323">
        <v>0.45</v>
      </c>
      <c r="D1323">
        <v>24.42</v>
      </c>
      <c r="E1323">
        <v>0.11</v>
      </c>
      <c r="F1323">
        <v>24.41</v>
      </c>
      <c r="G1323">
        <v>24.42</v>
      </c>
      <c r="H1323">
        <v>30616</v>
      </c>
      <c r="I1323">
        <v>548</v>
      </c>
      <c r="J1323">
        <v>0.08</v>
      </c>
      <c r="K1323">
        <v>9.56</v>
      </c>
      <c r="L1323">
        <v>24.18</v>
      </c>
      <c r="M1323">
        <v>24.6</v>
      </c>
      <c r="N1323">
        <v>23.8</v>
      </c>
      <c r="O1323">
        <v>24.31</v>
      </c>
      <c r="P1323">
        <v>39.86</v>
      </c>
      <c r="Q1323">
        <v>74211760</v>
      </c>
      <c r="R1323">
        <v>0.8</v>
      </c>
      <c r="S1323" t="s">
        <v>57</v>
      </c>
      <c r="T1323" t="s">
        <v>45</v>
      </c>
      <c r="U1323">
        <v>3.29</v>
      </c>
      <c r="V1323">
        <v>24.24</v>
      </c>
      <c r="W1323">
        <v>15975</v>
      </c>
      <c r="X1323">
        <v>14641</v>
      </c>
      <c r="Y1323">
        <v>1.09</v>
      </c>
      <c r="Z1323">
        <v>30</v>
      </c>
      <c r="AA1323">
        <v>390</v>
      </c>
      <c r="AB1323" t="s">
        <v>32</v>
      </c>
      <c r="AC1323">
        <v>0.32</v>
      </c>
    </row>
    <row r="1324" spans="1:29">
      <c r="A1324" t="str">
        <f>"002879"</f>
        <v>002879</v>
      </c>
      <c r="B1324" t="s">
        <v>1491</v>
      </c>
      <c r="C1324">
        <v>2.05</v>
      </c>
      <c r="D1324">
        <v>16.45</v>
      </c>
      <c r="E1324">
        <v>0.33</v>
      </c>
      <c r="F1324">
        <v>16.45</v>
      </c>
      <c r="G1324">
        <v>16.46</v>
      </c>
      <c r="H1324">
        <v>29804</v>
      </c>
      <c r="I1324">
        <v>588</v>
      </c>
      <c r="J1324">
        <v>0.24</v>
      </c>
      <c r="K1324">
        <v>2.35</v>
      </c>
      <c r="L1324">
        <v>16.13</v>
      </c>
      <c r="M1324">
        <v>16.48</v>
      </c>
      <c r="N1324">
        <v>16.01</v>
      </c>
      <c r="O1324">
        <v>16.12</v>
      </c>
      <c r="P1324">
        <v>32.32</v>
      </c>
      <c r="Q1324">
        <v>48608560</v>
      </c>
      <c r="R1324">
        <v>0.88</v>
      </c>
      <c r="S1324" t="s">
        <v>104</v>
      </c>
      <c r="T1324" t="s">
        <v>152</v>
      </c>
      <c r="U1324">
        <v>2.92</v>
      </c>
      <c r="V1324">
        <v>16.31</v>
      </c>
      <c r="W1324">
        <v>13488</v>
      </c>
      <c r="X1324">
        <v>16315</v>
      </c>
      <c r="Y1324">
        <v>0.83</v>
      </c>
      <c r="Z1324">
        <v>117</v>
      </c>
      <c r="AA1324">
        <v>114</v>
      </c>
      <c r="AB1324" t="s">
        <v>32</v>
      </c>
      <c r="AC1324">
        <v>1.27</v>
      </c>
    </row>
    <row r="1325" spans="1:29">
      <c r="A1325" t="str">
        <f>"002880"</f>
        <v>002880</v>
      </c>
      <c r="B1325" t="s">
        <v>1492</v>
      </c>
      <c r="C1325">
        <v>-1.51</v>
      </c>
      <c r="D1325">
        <v>49.65</v>
      </c>
      <c r="E1325">
        <v>-0.76</v>
      </c>
      <c r="F1325">
        <v>49.65</v>
      </c>
      <c r="G1325">
        <v>49.7</v>
      </c>
      <c r="H1325">
        <v>27222</v>
      </c>
      <c r="I1325">
        <v>221</v>
      </c>
      <c r="J1325">
        <v>0.51</v>
      </c>
      <c r="K1325">
        <v>10.08</v>
      </c>
      <c r="L1325">
        <v>49.06</v>
      </c>
      <c r="M1325">
        <v>50.87</v>
      </c>
      <c r="N1325">
        <v>48</v>
      </c>
      <c r="O1325">
        <v>50.41</v>
      </c>
      <c r="P1325">
        <v>54.18</v>
      </c>
      <c r="Q1325">
        <v>134965632</v>
      </c>
      <c r="R1325">
        <v>1.08</v>
      </c>
      <c r="S1325" t="s">
        <v>36</v>
      </c>
      <c r="T1325" t="s">
        <v>31</v>
      </c>
      <c r="U1325">
        <v>5.69</v>
      </c>
      <c r="V1325">
        <v>49.58</v>
      </c>
      <c r="W1325">
        <v>13975</v>
      </c>
      <c r="X1325">
        <v>13246</v>
      </c>
      <c r="Y1325">
        <v>1.06</v>
      </c>
      <c r="Z1325">
        <v>61</v>
      </c>
      <c r="AA1325">
        <v>8</v>
      </c>
      <c r="AB1325" t="s">
        <v>32</v>
      </c>
      <c r="AC1325">
        <v>0.27</v>
      </c>
    </row>
    <row r="1326" spans="1:29">
      <c r="A1326" t="str">
        <f>"002881"</f>
        <v>002881</v>
      </c>
      <c r="B1326" t="s">
        <v>1493</v>
      </c>
      <c r="C1326">
        <v>-0.99</v>
      </c>
      <c r="D1326">
        <v>21.99</v>
      </c>
      <c r="E1326">
        <v>-0.22</v>
      </c>
      <c r="F1326">
        <v>21.98</v>
      </c>
      <c r="G1326">
        <v>21.99</v>
      </c>
      <c r="H1326">
        <v>47028</v>
      </c>
      <c r="I1326">
        <v>1216</v>
      </c>
      <c r="J1326">
        <v>0.27</v>
      </c>
      <c r="K1326">
        <v>10.37</v>
      </c>
      <c r="L1326">
        <v>22.21</v>
      </c>
      <c r="M1326">
        <v>22.33</v>
      </c>
      <c r="N1326">
        <v>21.62</v>
      </c>
      <c r="O1326">
        <v>22.21</v>
      </c>
      <c r="P1326">
        <v>95.51</v>
      </c>
      <c r="Q1326">
        <v>103286632</v>
      </c>
      <c r="R1326">
        <v>0.47</v>
      </c>
      <c r="S1326" t="s">
        <v>119</v>
      </c>
      <c r="T1326" t="s">
        <v>31</v>
      </c>
      <c r="U1326">
        <v>3.2</v>
      </c>
      <c r="V1326">
        <v>21.96</v>
      </c>
      <c r="W1326">
        <v>27390</v>
      </c>
      <c r="X1326">
        <v>19637</v>
      </c>
      <c r="Y1326">
        <v>1.39</v>
      </c>
      <c r="Z1326">
        <v>56</v>
      </c>
      <c r="AA1326">
        <v>53</v>
      </c>
      <c r="AB1326" t="s">
        <v>32</v>
      </c>
      <c r="AC1326">
        <v>0.45</v>
      </c>
    </row>
    <row r="1327" spans="1:29">
      <c r="A1327" t="str">
        <f>"002882"</f>
        <v>002882</v>
      </c>
      <c r="B1327" t="s">
        <v>1494</v>
      </c>
      <c r="C1327">
        <v>0.08</v>
      </c>
      <c r="D1327">
        <v>11.8</v>
      </c>
      <c r="E1327">
        <v>0.01</v>
      </c>
      <c r="F1327">
        <v>11.8</v>
      </c>
      <c r="G1327">
        <v>11.81</v>
      </c>
      <c r="H1327">
        <v>52809</v>
      </c>
      <c r="I1327">
        <v>1406</v>
      </c>
      <c r="J1327">
        <v>-0.07</v>
      </c>
      <c r="K1327">
        <v>6.36</v>
      </c>
      <c r="L1327">
        <v>11.78</v>
      </c>
      <c r="M1327">
        <v>11.93</v>
      </c>
      <c r="N1327">
        <v>11.73</v>
      </c>
      <c r="O1327">
        <v>11.79</v>
      </c>
      <c r="P1327">
        <v>28.1</v>
      </c>
      <c r="Q1327">
        <v>62406032</v>
      </c>
      <c r="R1327">
        <v>0.56</v>
      </c>
      <c r="S1327" t="s">
        <v>104</v>
      </c>
      <c r="T1327" t="s">
        <v>31</v>
      </c>
      <c r="U1327">
        <v>1.7</v>
      </c>
      <c r="V1327">
        <v>11.82</v>
      </c>
      <c r="W1327">
        <v>31865</v>
      </c>
      <c r="X1327">
        <v>20944</v>
      </c>
      <c r="Y1327">
        <v>1.52</v>
      </c>
      <c r="Z1327">
        <v>660</v>
      </c>
      <c r="AA1327">
        <v>136</v>
      </c>
      <c r="AB1327" t="s">
        <v>32</v>
      </c>
      <c r="AC1327">
        <v>0.83</v>
      </c>
    </row>
    <row r="1328" spans="1:29">
      <c r="A1328" t="str">
        <f>"002883"</f>
        <v>002883</v>
      </c>
      <c r="B1328" t="s">
        <v>1495</v>
      </c>
      <c r="C1328">
        <v>5.24</v>
      </c>
      <c r="D1328">
        <v>28.1</v>
      </c>
      <c r="E1328">
        <v>1.4</v>
      </c>
      <c r="F1328">
        <v>28.1</v>
      </c>
      <c r="G1328">
        <v>28.11</v>
      </c>
      <c r="H1328">
        <v>27357</v>
      </c>
      <c r="I1328">
        <v>415</v>
      </c>
      <c r="J1328">
        <v>0.39</v>
      </c>
      <c r="K1328">
        <v>8.82</v>
      </c>
      <c r="L1328">
        <v>27.31</v>
      </c>
      <c r="M1328">
        <v>29.37</v>
      </c>
      <c r="N1328">
        <v>27.3</v>
      </c>
      <c r="O1328">
        <v>26.7</v>
      </c>
      <c r="P1328">
        <v>51.34</v>
      </c>
      <c r="Q1328">
        <v>77286368</v>
      </c>
      <c r="R1328">
        <v>4.22</v>
      </c>
      <c r="S1328" t="s">
        <v>49</v>
      </c>
      <c r="T1328" t="s">
        <v>87</v>
      </c>
      <c r="U1328">
        <v>7.75</v>
      </c>
      <c r="V1328">
        <v>28.25</v>
      </c>
      <c r="W1328">
        <v>13713</v>
      </c>
      <c r="X1328">
        <v>13644</v>
      </c>
      <c r="Y1328">
        <v>1.01</v>
      </c>
      <c r="Z1328">
        <v>125</v>
      </c>
      <c r="AA1328">
        <v>25</v>
      </c>
      <c r="AB1328" t="s">
        <v>32</v>
      </c>
      <c r="AC1328">
        <v>0.31</v>
      </c>
    </row>
    <row r="1329" spans="1:29">
      <c r="A1329" t="str">
        <f>"002884"</f>
        <v>002884</v>
      </c>
      <c r="B1329" t="s">
        <v>1496</v>
      </c>
      <c r="C1329">
        <v>3.7</v>
      </c>
      <c r="D1329">
        <v>24.11</v>
      </c>
      <c r="E1329">
        <v>0.86</v>
      </c>
      <c r="F1329">
        <v>24.11</v>
      </c>
      <c r="G1329">
        <v>24.15</v>
      </c>
      <c r="H1329">
        <v>24245</v>
      </c>
      <c r="I1329">
        <v>233</v>
      </c>
      <c r="J1329">
        <v>-0.16</v>
      </c>
      <c r="K1329">
        <v>3.54</v>
      </c>
      <c r="L1329">
        <v>23.32</v>
      </c>
      <c r="M1329">
        <v>25.51</v>
      </c>
      <c r="N1329">
        <v>23.13</v>
      </c>
      <c r="O1329">
        <v>23.25</v>
      </c>
      <c r="P1329">
        <v>18.71</v>
      </c>
      <c r="Q1329">
        <v>58423252</v>
      </c>
      <c r="R1329">
        <v>2.35</v>
      </c>
      <c r="S1329" t="s">
        <v>171</v>
      </c>
      <c r="T1329" t="s">
        <v>136</v>
      </c>
      <c r="U1329">
        <v>10.24</v>
      </c>
      <c r="V1329">
        <v>24.1</v>
      </c>
      <c r="W1329">
        <v>10403</v>
      </c>
      <c r="X1329">
        <v>13842</v>
      </c>
      <c r="Y1329">
        <v>0.75</v>
      </c>
      <c r="Z1329">
        <v>100</v>
      </c>
      <c r="AA1329">
        <v>5</v>
      </c>
      <c r="AB1329" t="s">
        <v>32</v>
      </c>
      <c r="AC1329">
        <v>0.69</v>
      </c>
    </row>
    <row r="1330" spans="1:29">
      <c r="A1330" t="str">
        <f>"002885"</f>
        <v>002885</v>
      </c>
      <c r="B1330" t="s">
        <v>1497</v>
      </c>
      <c r="C1330">
        <v>1.69</v>
      </c>
      <c r="D1330">
        <v>23.44</v>
      </c>
      <c r="E1330">
        <v>0.39</v>
      </c>
      <c r="F1330">
        <v>23.44</v>
      </c>
      <c r="G1330">
        <v>23.45</v>
      </c>
      <c r="H1330">
        <v>36491</v>
      </c>
      <c r="I1330">
        <v>752</v>
      </c>
      <c r="J1330">
        <v>0.04</v>
      </c>
      <c r="K1330">
        <v>8.09</v>
      </c>
      <c r="L1330">
        <v>23.1</v>
      </c>
      <c r="M1330">
        <v>23.59</v>
      </c>
      <c r="N1330">
        <v>22.87</v>
      </c>
      <c r="O1330">
        <v>23.05</v>
      </c>
      <c r="P1330">
        <v>96.2</v>
      </c>
      <c r="Q1330">
        <v>84914400</v>
      </c>
      <c r="R1330">
        <v>0.94</v>
      </c>
      <c r="S1330" t="s">
        <v>63</v>
      </c>
      <c r="T1330" t="s">
        <v>31</v>
      </c>
      <c r="U1330">
        <v>3.12</v>
      </c>
      <c r="V1330">
        <v>23.27</v>
      </c>
      <c r="W1330">
        <v>18456</v>
      </c>
      <c r="X1330">
        <v>18035</v>
      </c>
      <c r="Y1330">
        <v>1.02</v>
      </c>
      <c r="Z1330">
        <v>170</v>
      </c>
      <c r="AA1330">
        <v>22</v>
      </c>
      <c r="AB1330" t="s">
        <v>32</v>
      </c>
      <c r="AC1330">
        <v>0.45</v>
      </c>
    </row>
    <row r="1331" spans="1:29">
      <c r="A1331" t="str">
        <f>"002886"</f>
        <v>002886</v>
      </c>
      <c r="B1331" t="s">
        <v>1498</v>
      </c>
      <c r="C1331">
        <v>1.44</v>
      </c>
      <c r="D1331">
        <v>23.9</v>
      </c>
      <c r="E1331">
        <v>0.34</v>
      </c>
      <c r="F1331">
        <v>23.9</v>
      </c>
      <c r="G1331">
        <v>23.91</v>
      </c>
      <c r="H1331">
        <v>58415</v>
      </c>
      <c r="I1331">
        <v>1527</v>
      </c>
      <c r="J1331">
        <v>0.04</v>
      </c>
      <c r="K1331">
        <v>11.78</v>
      </c>
      <c r="L1331">
        <v>23.64</v>
      </c>
      <c r="M1331">
        <v>24.02</v>
      </c>
      <c r="N1331">
        <v>22.89</v>
      </c>
      <c r="O1331">
        <v>23.56</v>
      </c>
      <c r="P1331">
        <v>70.1</v>
      </c>
      <c r="Q1331">
        <v>137666432</v>
      </c>
      <c r="R1331">
        <v>0.59</v>
      </c>
      <c r="S1331" t="s">
        <v>508</v>
      </c>
      <c r="T1331" t="s">
        <v>31</v>
      </c>
      <c r="U1331">
        <v>4.8</v>
      </c>
      <c r="V1331">
        <v>23.57</v>
      </c>
      <c r="W1331">
        <v>28568</v>
      </c>
      <c r="X1331">
        <v>29846</v>
      </c>
      <c r="Y1331">
        <v>0.96</v>
      </c>
      <c r="Z1331">
        <v>625</v>
      </c>
      <c r="AA1331">
        <v>37</v>
      </c>
      <c r="AB1331" t="s">
        <v>32</v>
      </c>
      <c r="AC1331">
        <v>0.5</v>
      </c>
    </row>
    <row r="1332" spans="1:29">
      <c r="A1332" t="str">
        <f>"002887"</f>
        <v>002887</v>
      </c>
      <c r="B1332" t="s">
        <v>1499</v>
      </c>
      <c r="C1332">
        <v>5.61</v>
      </c>
      <c r="D1332">
        <v>24.08</v>
      </c>
      <c r="E1332">
        <v>1.28</v>
      </c>
      <c r="F1332">
        <v>24.08</v>
      </c>
      <c r="G1332">
        <v>24.09</v>
      </c>
      <c r="H1332">
        <v>22189</v>
      </c>
      <c r="I1332">
        <v>1726</v>
      </c>
      <c r="J1332">
        <v>0.54</v>
      </c>
      <c r="K1332">
        <v>5.55</v>
      </c>
      <c r="L1332">
        <v>22.75</v>
      </c>
      <c r="M1332">
        <v>24.15</v>
      </c>
      <c r="N1332">
        <v>22.69</v>
      </c>
      <c r="O1332">
        <v>22.8</v>
      </c>
      <c r="P1332">
        <v>28.31</v>
      </c>
      <c r="Q1332">
        <v>52235112</v>
      </c>
      <c r="R1332">
        <v>1.74</v>
      </c>
      <c r="S1332" t="s">
        <v>49</v>
      </c>
      <c r="T1332" t="s">
        <v>248</v>
      </c>
      <c r="U1332">
        <v>6.4</v>
      </c>
      <c r="V1332">
        <v>23.54</v>
      </c>
      <c r="W1332">
        <v>8182</v>
      </c>
      <c r="X1332">
        <v>14007</v>
      </c>
      <c r="Y1332">
        <v>0.58</v>
      </c>
      <c r="Z1332">
        <v>143</v>
      </c>
      <c r="AA1332">
        <v>70</v>
      </c>
      <c r="AB1332" t="s">
        <v>32</v>
      </c>
      <c r="AC1332">
        <v>0.4</v>
      </c>
    </row>
    <row r="1333" spans="1:29">
      <c r="A1333" t="str">
        <f>"002888"</f>
        <v>002888</v>
      </c>
      <c r="B1333" t="s">
        <v>1500</v>
      </c>
      <c r="C1333">
        <v>-1.08</v>
      </c>
      <c r="D1333">
        <v>21.07</v>
      </c>
      <c r="E1333">
        <v>-0.23</v>
      </c>
      <c r="F1333">
        <v>21.07</v>
      </c>
      <c r="G1333">
        <v>21.08</v>
      </c>
      <c r="H1333">
        <v>55321</v>
      </c>
      <c r="I1333">
        <v>1363</v>
      </c>
      <c r="J1333">
        <v>0.1</v>
      </c>
      <c r="K1333">
        <v>15.55</v>
      </c>
      <c r="L1333">
        <v>21.02</v>
      </c>
      <c r="M1333">
        <v>21.29</v>
      </c>
      <c r="N1333">
        <v>20.38</v>
      </c>
      <c r="O1333">
        <v>21.3</v>
      </c>
      <c r="P1333">
        <v>110.06</v>
      </c>
      <c r="Q1333">
        <v>115496864</v>
      </c>
      <c r="R1333">
        <v>1.32</v>
      </c>
      <c r="S1333" t="s">
        <v>63</v>
      </c>
      <c r="T1333" t="s">
        <v>136</v>
      </c>
      <c r="U1333">
        <v>4.27</v>
      </c>
      <c r="V1333">
        <v>20.88</v>
      </c>
      <c r="W1333">
        <v>32147</v>
      </c>
      <c r="X1333">
        <v>23174</v>
      </c>
      <c r="Y1333">
        <v>1.39</v>
      </c>
      <c r="Z1333">
        <v>465</v>
      </c>
      <c r="AA1333">
        <v>120</v>
      </c>
      <c r="AB1333" t="s">
        <v>32</v>
      </c>
      <c r="AC1333">
        <v>0.36</v>
      </c>
    </row>
    <row r="1334" spans="1:29">
      <c r="A1334" t="str">
        <f>"002889"</f>
        <v>002889</v>
      </c>
      <c r="B1334" t="s">
        <v>1501</v>
      </c>
      <c r="C1334">
        <v>2.91</v>
      </c>
      <c r="D1334">
        <v>35.33</v>
      </c>
      <c r="E1334">
        <v>1</v>
      </c>
      <c r="F1334">
        <v>35.32</v>
      </c>
      <c r="G1334">
        <v>35.33</v>
      </c>
      <c r="H1334">
        <v>37364</v>
      </c>
      <c r="I1334">
        <v>1118</v>
      </c>
      <c r="J1334">
        <v>0.17</v>
      </c>
      <c r="K1334">
        <v>10.82</v>
      </c>
      <c r="L1334">
        <v>34.35</v>
      </c>
      <c r="M1334">
        <v>35.36</v>
      </c>
      <c r="N1334">
        <v>34.03</v>
      </c>
      <c r="O1334">
        <v>34.33</v>
      </c>
      <c r="P1334">
        <v>22.16</v>
      </c>
      <c r="Q1334">
        <v>130565968</v>
      </c>
      <c r="R1334">
        <v>0.88</v>
      </c>
      <c r="S1334" t="s">
        <v>742</v>
      </c>
      <c r="T1334" t="s">
        <v>31</v>
      </c>
      <c r="U1334">
        <v>3.87</v>
      </c>
      <c r="V1334">
        <v>34.94</v>
      </c>
      <c r="W1334">
        <v>17599</v>
      </c>
      <c r="X1334">
        <v>19765</v>
      </c>
      <c r="Y1334">
        <v>0.89</v>
      </c>
      <c r="Z1334">
        <v>60</v>
      </c>
      <c r="AA1334">
        <v>52</v>
      </c>
      <c r="AB1334" t="s">
        <v>32</v>
      </c>
      <c r="AC1334">
        <v>0.35</v>
      </c>
    </row>
    <row r="1335" spans="1:29">
      <c r="A1335" t="str">
        <f>"002890"</f>
        <v>002890</v>
      </c>
      <c r="B1335" t="s">
        <v>1502</v>
      </c>
      <c r="C1335">
        <v>2.12</v>
      </c>
      <c r="D1335">
        <v>28.38</v>
      </c>
      <c r="E1335">
        <v>0.59</v>
      </c>
      <c r="F1335">
        <v>28.37</v>
      </c>
      <c r="G1335">
        <v>28.38</v>
      </c>
      <c r="H1335">
        <v>14719</v>
      </c>
      <c r="I1335">
        <v>124</v>
      </c>
      <c r="J1335">
        <v>-0.13</v>
      </c>
      <c r="K1335">
        <v>8.83</v>
      </c>
      <c r="L1335">
        <v>27.61</v>
      </c>
      <c r="M1335">
        <v>28.57</v>
      </c>
      <c r="N1335">
        <v>27.56</v>
      </c>
      <c r="O1335">
        <v>27.79</v>
      </c>
      <c r="P1335">
        <v>63.24</v>
      </c>
      <c r="Q1335">
        <v>41458464</v>
      </c>
      <c r="R1335">
        <v>1.75</v>
      </c>
      <c r="S1335" t="s">
        <v>481</v>
      </c>
      <c r="T1335" t="s">
        <v>162</v>
      </c>
      <c r="U1335">
        <v>3.63</v>
      </c>
      <c r="V1335">
        <v>28.17</v>
      </c>
      <c r="W1335">
        <v>6836</v>
      </c>
      <c r="X1335">
        <v>7882</v>
      </c>
      <c r="Y1335">
        <v>0.87</v>
      </c>
      <c r="Z1335">
        <v>2</v>
      </c>
      <c r="AA1335">
        <v>5</v>
      </c>
      <c r="AB1335" t="s">
        <v>32</v>
      </c>
      <c r="AC1335">
        <v>0.17</v>
      </c>
    </row>
    <row r="1336" spans="1:29">
      <c r="A1336" t="str">
        <f>"002891"</f>
        <v>002891</v>
      </c>
      <c r="B1336" t="s">
        <v>1503</v>
      </c>
      <c r="C1336">
        <v>0.65</v>
      </c>
      <c r="D1336">
        <v>38.73</v>
      </c>
      <c r="E1336">
        <v>0.25</v>
      </c>
      <c r="F1336">
        <v>38.7</v>
      </c>
      <c r="G1336">
        <v>38.73</v>
      </c>
      <c r="H1336">
        <v>13796</v>
      </c>
      <c r="I1336">
        <v>117</v>
      </c>
      <c r="J1336">
        <v>-0.02</v>
      </c>
      <c r="K1336">
        <v>5.52</v>
      </c>
      <c r="L1336">
        <v>38.2</v>
      </c>
      <c r="M1336">
        <v>39.67</v>
      </c>
      <c r="N1336">
        <v>37.88</v>
      </c>
      <c r="O1336">
        <v>38.48</v>
      </c>
      <c r="P1336">
        <v>76.75</v>
      </c>
      <c r="Q1336">
        <v>53281028</v>
      </c>
      <c r="R1336">
        <v>1.51</v>
      </c>
      <c r="S1336" t="s">
        <v>102</v>
      </c>
      <c r="T1336" t="s">
        <v>162</v>
      </c>
      <c r="U1336">
        <v>4.65</v>
      </c>
      <c r="V1336">
        <v>38.62</v>
      </c>
      <c r="W1336">
        <v>6458</v>
      </c>
      <c r="X1336">
        <v>7337</v>
      </c>
      <c r="Y1336">
        <v>0.88</v>
      </c>
      <c r="Z1336">
        <v>15</v>
      </c>
      <c r="AA1336">
        <v>79</v>
      </c>
      <c r="AB1336" t="s">
        <v>32</v>
      </c>
      <c r="AC1336">
        <v>0.25</v>
      </c>
    </row>
    <row r="1337" spans="1:29">
      <c r="A1337" t="str">
        <f>"002892"</f>
        <v>002892</v>
      </c>
      <c r="B1337" t="s">
        <v>1504</v>
      </c>
      <c r="C1337">
        <v>5.79</v>
      </c>
      <c r="D1337">
        <v>35.63</v>
      </c>
      <c r="E1337">
        <v>1.95</v>
      </c>
      <c r="F1337">
        <v>35.63</v>
      </c>
      <c r="G1337">
        <v>35.64</v>
      </c>
      <c r="H1337">
        <v>39116</v>
      </c>
      <c r="I1337">
        <v>398</v>
      </c>
      <c r="J1337">
        <v>-0.46</v>
      </c>
      <c r="K1337">
        <v>22.22</v>
      </c>
      <c r="L1337">
        <v>33.24</v>
      </c>
      <c r="M1337">
        <v>36.98</v>
      </c>
      <c r="N1337">
        <v>33.23</v>
      </c>
      <c r="O1337">
        <v>33.68</v>
      </c>
      <c r="P1337">
        <v>88.71</v>
      </c>
      <c r="Q1337">
        <v>139418112</v>
      </c>
      <c r="R1337">
        <v>1.43</v>
      </c>
      <c r="S1337" t="s">
        <v>104</v>
      </c>
      <c r="T1337" t="s">
        <v>152</v>
      </c>
      <c r="U1337">
        <v>11.13</v>
      </c>
      <c r="V1337">
        <v>35.64</v>
      </c>
      <c r="W1337">
        <v>19112</v>
      </c>
      <c r="X1337">
        <v>20003</v>
      </c>
      <c r="Y1337">
        <v>0.96</v>
      </c>
      <c r="Z1337">
        <v>871</v>
      </c>
      <c r="AA1337">
        <v>1</v>
      </c>
      <c r="AB1337" t="s">
        <v>32</v>
      </c>
      <c r="AC1337">
        <v>0.18</v>
      </c>
    </row>
    <row r="1338" spans="1:29">
      <c r="A1338" t="str">
        <f>"002893"</f>
        <v>002893</v>
      </c>
      <c r="B1338" t="s">
        <v>1505</v>
      </c>
      <c r="C1338">
        <v>2.27</v>
      </c>
      <c r="D1338">
        <v>24.34</v>
      </c>
      <c r="E1338">
        <v>0.54</v>
      </c>
      <c r="F1338">
        <v>24.33</v>
      </c>
      <c r="G1338">
        <v>24.34</v>
      </c>
      <c r="H1338">
        <v>22141</v>
      </c>
      <c r="I1338">
        <v>490</v>
      </c>
      <c r="J1338">
        <v>-0.03</v>
      </c>
      <c r="K1338">
        <v>7.38</v>
      </c>
      <c r="L1338">
        <v>23.73</v>
      </c>
      <c r="M1338">
        <v>24.44</v>
      </c>
      <c r="N1338">
        <v>23.61</v>
      </c>
      <c r="O1338">
        <v>23.8</v>
      </c>
      <c r="P1338">
        <v>8.52</v>
      </c>
      <c r="Q1338">
        <v>53466608</v>
      </c>
      <c r="R1338">
        <v>1.2</v>
      </c>
      <c r="S1338" t="s">
        <v>174</v>
      </c>
      <c r="T1338" t="s">
        <v>45</v>
      </c>
      <c r="U1338">
        <v>3.49</v>
      </c>
      <c r="V1338">
        <v>24.15</v>
      </c>
      <c r="W1338">
        <v>9139</v>
      </c>
      <c r="X1338">
        <v>13001</v>
      </c>
      <c r="Y1338">
        <v>0.7</v>
      </c>
      <c r="Z1338">
        <v>112</v>
      </c>
      <c r="AA1338">
        <v>452</v>
      </c>
      <c r="AB1338" t="s">
        <v>32</v>
      </c>
      <c r="AC1338">
        <v>0.3</v>
      </c>
    </row>
    <row r="1339" spans="1:29">
      <c r="A1339" t="str">
        <f>"002895"</f>
        <v>002895</v>
      </c>
      <c r="B1339" t="s">
        <v>1506</v>
      </c>
      <c r="C1339">
        <v>10.02</v>
      </c>
      <c r="D1339">
        <v>20.43</v>
      </c>
      <c r="E1339">
        <v>1.86</v>
      </c>
      <c r="F1339">
        <v>20.43</v>
      </c>
      <c r="G1339" t="s">
        <v>32</v>
      </c>
      <c r="H1339">
        <v>18115</v>
      </c>
      <c r="I1339">
        <v>41</v>
      </c>
      <c r="J1339">
        <v>0</v>
      </c>
      <c r="K1339">
        <v>4.53</v>
      </c>
      <c r="L1339">
        <v>20.43</v>
      </c>
      <c r="M1339">
        <v>20.43</v>
      </c>
      <c r="N1339">
        <v>20.43</v>
      </c>
      <c r="O1339">
        <v>18.57</v>
      </c>
      <c r="P1339">
        <v>517.71</v>
      </c>
      <c r="Q1339">
        <v>37009272</v>
      </c>
      <c r="R1339">
        <v>1.06</v>
      </c>
      <c r="S1339" t="s">
        <v>218</v>
      </c>
      <c r="T1339" t="s">
        <v>253</v>
      </c>
      <c r="U1339">
        <v>0</v>
      </c>
      <c r="V1339">
        <v>20.43</v>
      </c>
      <c r="W1339">
        <v>16293</v>
      </c>
      <c r="X1339">
        <v>1822</v>
      </c>
      <c r="Y1339">
        <v>8.94</v>
      </c>
      <c r="Z1339">
        <v>12016</v>
      </c>
      <c r="AA1339">
        <v>0</v>
      </c>
      <c r="AB1339" t="s">
        <v>32</v>
      </c>
      <c r="AC1339">
        <v>0.4</v>
      </c>
    </row>
    <row r="1340" spans="1:29">
      <c r="A1340" t="str">
        <f>"002896"</f>
        <v>002896</v>
      </c>
      <c r="B1340" t="s">
        <v>1507</v>
      </c>
      <c r="C1340">
        <v>0.06</v>
      </c>
      <c r="D1340">
        <v>47.19</v>
      </c>
      <c r="E1340">
        <v>0.03</v>
      </c>
      <c r="F1340">
        <v>47.18</v>
      </c>
      <c r="G1340">
        <v>47.19</v>
      </c>
      <c r="H1340">
        <v>19245</v>
      </c>
      <c r="I1340">
        <v>509</v>
      </c>
      <c r="J1340">
        <v>-0.01</v>
      </c>
      <c r="K1340">
        <v>9.62</v>
      </c>
      <c r="L1340">
        <v>47.13</v>
      </c>
      <c r="M1340">
        <v>48</v>
      </c>
      <c r="N1340">
        <v>46.78</v>
      </c>
      <c r="O1340">
        <v>47.16</v>
      </c>
      <c r="P1340">
        <v>74.5</v>
      </c>
      <c r="Q1340">
        <v>91016576</v>
      </c>
      <c r="R1340">
        <v>0.61</v>
      </c>
      <c r="S1340" t="s">
        <v>241</v>
      </c>
      <c r="T1340" t="s">
        <v>149</v>
      </c>
      <c r="U1340">
        <v>2.59</v>
      </c>
      <c r="V1340">
        <v>47.29</v>
      </c>
      <c r="W1340">
        <v>9568</v>
      </c>
      <c r="X1340">
        <v>9677</v>
      </c>
      <c r="Y1340">
        <v>0.99</v>
      </c>
      <c r="Z1340">
        <v>83</v>
      </c>
      <c r="AA1340">
        <v>218</v>
      </c>
      <c r="AB1340" t="s">
        <v>32</v>
      </c>
      <c r="AC1340">
        <v>0.2</v>
      </c>
    </row>
    <row r="1341" spans="1:29">
      <c r="A1341" t="str">
        <f>"002897"</f>
        <v>002897</v>
      </c>
      <c r="B1341" t="s">
        <v>1508</v>
      </c>
      <c r="C1341">
        <v>1.43</v>
      </c>
      <c r="D1341">
        <v>25.45</v>
      </c>
      <c r="E1341">
        <v>0.36</v>
      </c>
      <c r="F1341">
        <v>25.45</v>
      </c>
      <c r="G1341">
        <v>25.46</v>
      </c>
      <c r="H1341">
        <v>105814</v>
      </c>
      <c r="I1341">
        <v>1765</v>
      </c>
      <c r="J1341">
        <v>0</v>
      </c>
      <c r="K1341">
        <v>24.8</v>
      </c>
      <c r="L1341">
        <v>25.14</v>
      </c>
      <c r="M1341">
        <v>26.39</v>
      </c>
      <c r="N1341">
        <v>25.12</v>
      </c>
      <c r="O1341">
        <v>25.09</v>
      </c>
      <c r="P1341">
        <v>64.24</v>
      </c>
      <c r="Q1341">
        <v>271221216</v>
      </c>
      <c r="R1341">
        <v>0.61</v>
      </c>
      <c r="S1341" t="s">
        <v>63</v>
      </c>
      <c r="T1341" t="s">
        <v>149</v>
      </c>
      <c r="U1341">
        <v>5.06</v>
      </c>
      <c r="V1341">
        <v>25.63</v>
      </c>
      <c r="W1341">
        <v>56664</v>
      </c>
      <c r="X1341">
        <v>49149</v>
      </c>
      <c r="Y1341">
        <v>1.15</v>
      </c>
      <c r="Z1341">
        <v>121</v>
      </c>
      <c r="AA1341">
        <v>89</v>
      </c>
      <c r="AB1341" t="s">
        <v>32</v>
      </c>
      <c r="AC1341">
        <v>0.43</v>
      </c>
    </row>
    <row r="1342" spans="1:29">
      <c r="A1342" t="str">
        <f>"002898"</f>
        <v>002898</v>
      </c>
      <c r="B1342" t="s">
        <v>1509</v>
      </c>
      <c r="C1342">
        <v>1.77</v>
      </c>
      <c r="D1342">
        <v>23</v>
      </c>
      <c r="E1342">
        <v>0.4</v>
      </c>
      <c r="F1342">
        <v>22.99</v>
      </c>
      <c r="G1342">
        <v>23</v>
      </c>
      <c r="H1342">
        <v>74619</v>
      </c>
      <c r="I1342">
        <v>2017</v>
      </c>
      <c r="J1342">
        <v>0</v>
      </c>
      <c r="K1342">
        <v>18.65</v>
      </c>
      <c r="L1342">
        <v>22.35</v>
      </c>
      <c r="M1342">
        <v>23.09</v>
      </c>
      <c r="N1342">
        <v>21.66</v>
      </c>
      <c r="O1342">
        <v>22.6</v>
      </c>
      <c r="P1342">
        <v>163.94</v>
      </c>
      <c r="Q1342">
        <v>167091296</v>
      </c>
      <c r="R1342">
        <v>0.97</v>
      </c>
      <c r="S1342" t="s">
        <v>142</v>
      </c>
      <c r="T1342" t="s">
        <v>136</v>
      </c>
      <c r="U1342">
        <v>6.33</v>
      </c>
      <c r="V1342">
        <v>22.39</v>
      </c>
      <c r="W1342">
        <v>38155</v>
      </c>
      <c r="X1342">
        <v>36463</v>
      </c>
      <c r="Y1342">
        <v>1.05</v>
      </c>
      <c r="Z1342">
        <v>316</v>
      </c>
      <c r="AA1342">
        <v>471</v>
      </c>
      <c r="AB1342" t="s">
        <v>32</v>
      </c>
      <c r="AC1342">
        <v>0.4</v>
      </c>
    </row>
    <row r="1343" spans="1:29">
      <c r="A1343" t="str">
        <f>"002899"</f>
        <v>002899</v>
      </c>
      <c r="B1343" t="s">
        <v>1510</v>
      </c>
      <c r="C1343">
        <v>1.84</v>
      </c>
      <c r="D1343">
        <v>21.05</v>
      </c>
      <c r="E1343">
        <v>0.38</v>
      </c>
      <c r="F1343">
        <v>21.05</v>
      </c>
      <c r="G1343">
        <v>21.06</v>
      </c>
      <c r="H1343">
        <v>20504</v>
      </c>
      <c r="I1343">
        <v>288</v>
      </c>
      <c r="J1343">
        <v>0</v>
      </c>
      <c r="K1343">
        <v>6.83</v>
      </c>
      <c r="L1343">
        <v>20.55</v>
      </c>
      <c r="M1343">
        <v>21.2</v>
      </c>
      <c r="N1343">
        <v>20.55</v>
      </c>
      <c r="O1343">
        <v>20.67</v>
      </c>
      <c r="P1343">
        <v>105.43</v>
      </c>
      <c r="Q1343">
        <v>42913108</v>
      </c>
      <c r="R1343">
        <v>0.64</v>
      </c>
      <c r="S1343" t="s">
        <v>57</v>
      </c>
      <c r="T1343" t="s">
        <v>162</v>
      </c>
      <c r="U1343">
        <v>3.14</v>
      </c>
      <c r="V1343">
        <v>20.93</v>
      </c>
      <c r="W1343">
        <v>9119</v>
      </c>
      <c r="X1343">
        <v>11384</v>
      </c>
      <c r="Y1343">
        <v>0.8</v>
      </c>
      <c r="Z1343">
        <v>124</v>
      </c>
      <c r="AA1343">
        <v>23</v>
      </c>
      <c r="AB1343" t="s">
        <v>32</v>
      </c>
      <c r="AC1343">
        <v>0.3</v>
      </c>
    </row>
    <row r="1344" spans="1:29">
      <c r="A1344" t="str">
        <f>"002900"</f>
        <v>002900</v>
      </c>
      <c r="B1344" t="s">
        <v>1511</v>
      </c>
      <c r="C1344">
        <v>2.73</v>
      </c>
      <c r="D1344">
        <v>16.54</v>
      </c>
      <c r="E1344">
        <v>0.44</v>
      </c>
      <c r="F1344">
        <v>16.53</v>
      </c>
      <c r="G1344">
        <v>16.54</v>
      </c>
      <c r="H1344">
        <v>60029</v>
      </c>
      <c r="I1344">
        <v>1042</v>
      </c>
      <c r="J1344">
        <v>-0.11</v>
      </c>
      <c r="K1344">
        <v>7.58</v>
      </c>
      <c r="L1344">
        <v>15.99</v>
      </c>
      <c r="M1344">
        <v>16.58</v>
      </c>
      <c r="N1344">
        <v>15.97</v>
      </c>
      <c r="O1344">
        <v>16.1</v>
      </c>
      <c r="P1344">
        <v>21.09</v>
      </c>
      <c r="Q1344">
        <v>98227000</v>
      </c>
      <c r="R1344">
        <v>0.91</v>
      </c>
      <c r="S1344" t="s">
        <v>142</v>
      </c>
      <c r="T1344" t="s">
        <v>297</v>
      </c>
      <c r="U1344">
        <v>3.79</v>
      </c>
      <c r="V1344">
        <v>16.36</v>
      </c>
      <c r="W1344">
        <v>29861</v>
      </c>
      <c r="X1344">
        <v>30167</v>
      </c>
      <c r="Y1344">
        <v>0.99</v>
      </c>
      <c r="Z1344">
        <v>493</v>
      </c>
      <c r="AA1344">
        <v>65</v>
      </c>
      <c r="AB1344" t="s">
        <v>32</v>
      </c>
      <c r="AC1344">
        <v>0.79</v>
      </c>
    </row>
    <row r="1345" spans="1:29">
      <c r="A1345" t="str">
        <f>"002901"</f>
        <v>002901</v>
      </c>
      <c r="B1345" t="s">
        <v>1512</v>
      </c>
      <c r="C1345">
        <v>2.78</v>
      </c>
      <c r="D1345">
        <v>37.77</v>
      </c>
      <c r="E1345">
        <v>1.02</v>
      </c>
      <c r="F1345">
        <v>37.77</v>
      </c>
      <c r="G1345">
        <v>37.78</v>
      </c>
      <c r="H1345">
        <v>13435</v>
      </c>
      <c r="I1345">
        <v>202</v>
      </c>
      <c r="J1345">
        <v>0.03</v>
      </c>
      <c r="K1345">
        <v>3.35</v>
      </c>
      <c r="L1345">
        <v>36.75</v>
      </c>
      <c r="M1345">
        <v>38.1</v>
      </c>
      <c r="N1345">
        <v>36.56</v>
      </c>
      <c r="O1345">
        <v>36.75</v>
      </c>
      <c r="P1345">
        <v>55.08</v>
      </c>
      <c r="Q1345">
        <v>50381804</v>
      </c>
      <c r="R1345">
        <v>1.44</v>
      </c>
      <c r="S1345" t="s">
        <v>138</v>
      </c>
      <c r="T1345" t="s">
        <v>236</v>
      </c>
      <c r="U1345">
        <v>4.19</v>
      </c>
      <c r="V1345">
        <v>37.5</v>
      </c>
      <c r="W1345">
        <v>5245</v>
      </c>
      <c r="X1345">
        <v>8189</v>
      </c>
      <c r="Y1345">
        <v>0.64</v>
      </c>
      <c r="Z1345">
        <v>62</v>
      </c>
      <c r="AA1345">
        <v>27</v>
      </c>
      <c r="AB1345" t="s">
        <v>32</v>
      </c>
      <c r="AC1345">
        <v>0.4</v>
      </c>
    </row>
    <row r="1346" spans="1:29">
      <c r="A1346" t="str">
        <f>"002902"</f>
        <v>002902</v>
      </c>
      <c r="B1346" t="s">
        <v>1513</v>
      </c>
      <c r="C1346">
        <v>2.05</v>
      </c>
      <c r="D1346">
        <v>30.92</v>
      </c>
      <c r="E1346">
        <v>0.62</v>
      </c>
      <c r="F1346">
        <v>30.92</v>
      </c>
      <c r="G1346">
        <v>30.93</v>
      </c>
      <c r="H1346">
        <v>25273</v>
      </c>
      <c r="I1346">
        <v>646</v>
      </c>
      <c r="J1346">
        <v>0.03</v>
      </c>
      <c r="K1346">
        <v>7.22</v>
      </c>
      <c r="L1346">
        <v>30.29</v>
      </c>
      <c r="M1346">
        <v>31.05</v>
      </c>
      <c r="N1346">
        <v>30.07</v>
      </c>
      <c r="O1346">
        <v>30.3</v>
      </c>
      <c r="P1346">
        <v>133.62</v>
      </c>
      <c r="Q1346">
        <v>77527160</v>
      </c>
      <c r="R1346">
        <v>0.65</v>
      </c>
      <c r="S1346" t="s">
        <v>63</v>
      </c>
      <c r="T1346" t="s">
        <v>136</v>
      </c>
      <c r="U1346">
        <v>3.23</v>
      </c>
      <c r="V1346">
        <v>30.68</v>
      </c>
      <c r="W1346">
        <v>10905</v>
      </c>
      <c r="X1346">
        <v>14368</v>
      </c>
      <c r="Y1346">
        <v>0.76</v>
      </c>
      <c r="Z1346">
        <v>171</v>
      </c>
      <c r="AA1346">
        <v>52</v>
      </c>
      <c r="AB1346" t="s">
        <v>32</v>
      </c>
      <c r="AC1346">
        <v>0.35</v>
      </c>
    </row>
    <row r="1347" spans="1:29">
      <c r="A1347" t="str">
        <f>"002903"</f>
        <v>002903</v>
      </c>
      <c r="B1347" t="s">
        <v>1514</v>
      </c>
      <c r="C1347">
        <v>0.91</v>
      </c>
      <c r="D1347">
        <v>36.47</v>
      </c>
      <c r="E1347">
        <v>0.33</v>
      </c>
      <c r="F1347">
        <v>36.46</v>
      </c>
      <c r="G1347">
        <v>36.47</v>
      </c>
      <c r="H1347">
        <v>38670</v>
      </c>
      <c r="I1347">
        <v>1142</v>
      </c>
      <c r="J1347">
        <v>0.05</v>
      </c>
      <c r="K1347">
        <v>10.31</v>
      </c>
      <c r="L1347">
        <v>36.35</v>
      </c>
      <c r="M1347">
        <v>36.87</v>
      </c>
      <c r="N1347">
        <v>35.68</v>
      </c>
      <c r="O1347">
        <v>36.14</v>
      </c>
      <c r="P1347">
        <v>112.82</v>
      </c>
      <c r="Q1347">
        <v>140452048</v>
      </c>
      <c r="R1347">
        <v>0.83</v>
      </c>
      <c r="S1347" t="s">
        <v>179</v>
      </c>
      <c r="T1347" t="s">
        <v>152</v>
      </c>
      <c r="U1347">
        <v>3.29</v>
      </c>
      <c r="V1347">
        <v>36.32</v>
      </c>
      <c r="W1347">
        <v>19028</v>
      </c>
      <c r="X1347">
        <v>19642</v>
      </c>
      <c r="Y1347">
        <v>0.97</v>
      </c>
      <c r="Z1347">
        <v>127</v>
      </c>
      <c r="AA1347">
        <v>585</v>
      </c>
      <c r="AB1347" t="s">
        <v>32</v>
      </c>
      <c r="AC1347">
        <v>0.38</v>
      </c>
    </row>
    <row r="1348" spans="1:29">
      <c r="A1348" t="str">
        <f>"002905"</f>
        <v>002905</v>
      </c>
      <c r="B1348" t="s">
        <v>1515</v>
      </c>
      <c r="C1348">
        <v>1.9</v>
      </c>
      <c r="D1348">
        <v>19.82</v>
      </c>
      <c r="E1348">
        <v>0.37</v>
      </c>
      <c r="F1348">
        <v>19.81</v>
      </c>
      <c r="G1348">
        <v>19.82</v>
      </c>
      <c r="H1348">
        <v>28954</v>
      </c>
      <c r="I1348">
        <v>923</v>
      </c>
      <c r="J1348">
        <v>0.05</v>
      </c>
      <c r="K1348">
        <v>4.31</v>
      </c>
      <c r="L1348">
        <v>19.55</v>
      </c>
      <c r="M1348">
        <v>19.83</v>
      </c>
      <c r="N1348">
        <v>19.26</v>
      </c>
      <c r="O1348">
        <v>19.45</v>
      </c>
      <c r="P1348">
        <v>23.67</v>
      </c>
      <c r="Q1348">
        <v>56776548</v>
      </c>
      <c r="R1348">
        <v>1.11</v>
      </c>
      <c r="S1348" t="s">
        <v>148</v>
      </c>
      <c r="T1348" t="s">
        <v>136</v>
      </c>
      <c r="U1348">
        <v>2.93</v>
      </c>
      <c r="V1348">
        <v>19.61</v>
      </c>
      <c r="W1348">
        <v>14198</v>
      </c>
      <c r="X1348">
        <v>14756</v>
      </c>
      <c r="Y1348">
        <v>0.96</v>
      </c>
      <c r="Z1348">
        <v>21</v>
      </c>
      <c r="AA1348">
        <v>11</v>
      </c>
      <c r="AB1348" t="s">
        <v>32</v>
      </c>
      <c r="AC1348">
        <v>0.67</v>
      </c>
    </row>
    <row r="1349" spans="1:29">
      <c r="A1349" t="str">
        <f>"002906"</f>
        <v>002906</v>
      </c>
      <c r="B1349" t="s">
        <v>1516</v>
      </c>
      <c r="C1349">
        <v>0.32</v>
      </c>
      <c r="D1349">
        <v>18.6</v>
      </c>
      <c r="E1349">
        <v>0.06</v>
      </c>
      <c r="F1349">
        <v>18.6</v>
      </c>
      <c r="G1349">
        <v>18.61</v>
      </c>
      <c r="H1349">
        <v>41451</v>
      </c>
      <c r="I1349">
        <v>961</v>
      </c>
      <c r="J1349">
        <v>0.11</v>
      </c>
      <c r="K1349">
        <v>5.67</v>
      </c>
      <c r="L1349">
        <v>18.55</v>
      </c>
      <c r="M1349">
        <v>18.78</v>
      </c>
      <c r="N1349">
        <v>18.4</v>
      </c>
      <c r="O1349">
        <v>18.54</v>
      </c>
      <c r="P1349">
        <v>377.88</v>
      </c>
      <c r="Q1349">
        <v>76981032</v>
      </c>
      <c r="R1349">
        <v>1.11</v>
      </c>
      <c r="S1349" t="s">
        <v>80</v>
      </c>
      <c r="T1349" t="s">
        <v>136</v>
      </c>
      <c r="U1349">
        <v>2.05</v>
      </c>
      <c r="V1349">
        <v>18.57</v>
      </c>
      <c r="W1349">
        <v>22422</v>
      </c>
      <c r="X1349">
        <v>19029</v>
      </c>
      <c r="Y1349">
        <v>1.18</v>
      </c>
      <c r="Z1349">
        <v>36</v>
      </c>
      <c r="AA1349">
        <v>104</v>
      </c>
      <c r="AB1349" t="s">
        <v>32</v>
      </c>
      <c r="AC1349">
        <v>0.73</v>
      </c>
    </row>
    <row r="1350" spans="1:29">
      <c r="A1350" t="str">
        <f>"002907"</f>
        <v>002907</v>
      </c>
      <c r="B1350" t="s">
        <v>1517</v>
      </c>
      <c r="C1350">
        <v>1.56</v>
      </c>
      <c r="D1350">
        <v>28.01</v>
      </c>
      <c r="E1350">
        <v>0.43</v>
      </c>
      <c r="F1350">
        <v>28</v>
      </c>
      <c r="G1350">
        <v>28.01</v>
      </c>
      <c r="H1350">
        <v>25718</v>
      </c>
      <c r="I1350">
        <v>539</v>
      </c>
      <c r="J1350">
        <v>0.11</v>
      </c>
      <c r="K1350">
        <v>6.42</v>
      </c>
      <c r="L1350">
        <v>27.59</v>
      </c>
      <c r="M1350">
        <v>28.28</v>
      </c>
      <c r="N1350">
        <v>27.59</v>
      </c>
      <c r="O1350">
        <v>27.58</v>
      </c>
      <c r="P1350">
        <v>95.13</v>
      </c>
      <c r="Q1350">
        <v>71958248</v>
      </c>
      <c r="R1350">
        <v>0.97</v>
      </c>
      <c r="S1350" t="s">
        <v>142</v>
      </c>
      <c r="T1350" t="s">
        <v>221</v>
      </c>
      <c r="U1350">
        <v>2.5</v>
      </c>
      <c r="V1350">
        <v>27.98</v>
      </c>
      <c r="W1350">
        <v>14000</v>
      </c>
      <c r="X1350">
        <v>11718</v>
      </c>
      <c r="Y1350">
        <v>1.19</v>
      </c>
      <c r="Z1350">
        <v>66</v>
      </c>
      <c r="AA1350">
        <v>6</v>
      </c>
      <c r="AB1350" t="s">
        <v>32</v>
      </c>
      <c r="AC1350">
        <v>0.4</v>
      </c>
    </row>
    <row r="1351" spans="1:29">
      <c r="A1351" t="str">
        <f>"002908"</f>
        <v>002908</v>
      </c>
      <c r="B1351" t="s">
        <v>1518</v>
      </c>
      <c r="C1351">
        <v>-0.1</v>
      </c>
      <c r="D1351">
        <v>38.85</v>
      </c>
      <c r="E1351">
        <v>-0.04</v>
      </c>
      <c r="F1351">
        <v>38.84</v>
      </c>
      <c r="G1351">
        <v>38.85</v>
      </c>
      <c r="H1351">
        <v>42051</v>
      </c>
      <c r="I1351">
        <v>1163</v>
      </c>
      <c r="J1351">
        <v>0.03</v>
      </c>
      <c r="K1351">
        <v>12.61</v>
      </c>
      <c r="L1351">
        <v>39.16</v>
      </c>
      <c r="M1351">
        <v>39.17</v>
      </c>
      <c r="N1351">
        <v>38.2</v>
      </c>
      <c r="O1351">
        <v>38.89</v>
      </c>
      <c r="P1351">
        <v>167.22</v>
      </c>
      <c r="Q1351">
        <v>162990112</v>
      </c>
      <c r="R1351">
        <v>0.85</v>
      </c>
      <c r="S1351" t="s">
        <v>63</v>
      </c>
      <c r="T1351" t="s">
        <v>136</v>
      </c>
      <c r="U1351">
        <v>2.49</v>
      </c>
      <c r="V1351">
        <v>38.76</v>
      </c>
      <c r="W1351">
        <v>23701</v>
      </c>
      <c r="X1351">
        <v>18350</v>
      </c>
      <c r="Y1351">
        <v>1.29</v>
      </c>
      <c r="Z1351">
        <v>232</v>
      </c>
      <c r="AA1351">
        <v>28</v>
      </c>
      <c r="AB1351" t="s">
        <v>32</v>
      </c>
      <c r="AC1351">
        <v>0.33</v>
      </c>
    </row>
    <row r="1352" spans="1:29">
      <c r="A1352" t="str">
        <f>"002909"</f>
        <v>002909</v>
      </c>
      <c r="B1352" t="s">
        <v>1519</v>
      </c>
      <c r="C1352">
        <v>10.02</v>
      </c>
      <c r="D1352">
        <v>18.88</v>
      </c>
      <c r="E1352">
        <v>1.72</v>
      </c>
      <c r="F1352">
        <v>18.88</v>
      </c>
      <c r="G1352" t="s">
        <v>32</v>
      </c>
      <c r="H1352">
        <v>184806</v>
      </c>
      <c r="I1352">
        <v>145</v>
      </c>
      <c r="J1352">
        <v>0</v>
      </c>
      <c r="K1352">
        <v>44</v>
      </c>
      <c r="L1352">
        <v>17.17</v>
      </c>
      <c r="M1352">
        <v>18.88</v>
      </c>
      <c r="N1352">
        <v>16.92</v>
      </c>
      <c r="O1352">
        <v>17.16</v>
      </c>
      <c r="P1352" t="s">
        <v>32</v>
      </c>
      <c r="Q1352">
        <v>336758944</v>
      </c>
      <c r="R1352">
        <v>1.68</v>
      </c>
      <c r="S1352" t="s">
        <v>218</v>
      </c>
      <c r="T1352" t="s">
        <v>136</v>
      </c>
      <c r="U1352">
        <v>11.42</v>
      </c>
      <c r="V1352">
        <v>18.22</v>
      </c>
      <c r="W1352">
        <v>96148</v>
      </c>
      <c r="X1352">
        <v>88658</v>
      </c>
      <c r="Y1352">
        <v>1.08</v>
      </c>
      <c r="Z1352">
        <v>14145</v>
      </c>
      <c r="AA1352">
        <v>0</v>
      </c>
      <c r="AB1352" t="s">
        <v>32</v>
      </c>
      <c r="AC1352">
        <v>0.42</v>
      </c>
    </row>
    <row r="1353" spans="1:29">
      <c r="A1353" t="str">
        <f>"002910"</f>
        <v>002910</v>
      </c>
      <c r="B1353" t="s">
        <v>1520</v>
      </c>
      <c r="C1353">
        <v>1.3</v>
      </c>
      <c r="D1353">
        <v>22.56</v>
      </c>
      <c r="E1353">
        <v>0.29</v>
      </c>
      <c r="F1353">
        <v>22.56</v>
      </c>
      <c r="G1353">
        <v>22.57</v>
      </c>
      <c r="H1353">
        <v>81170</v>
      </c>
      <c r="I1353">
        <v>1984</v>
      </c>
      <c r="J1353">
        <v>0.22</v>
      </c>
      <c r="K1353">
        <v>17.33</v>
      </c>
      <c r="L1353">
        <v>22.28</v>
      </c>
      <c r="M1353">
        <v>22.65</v>
      </c>
      <c r="N1353">
        <v>21.86</v>
      </c>
      <c r="O1353">
        <v>22.27</v>
      </c>
      <c r="P1353">
        <v>59.59</v>
      </c>
      <c r="Q1353">
        <v>181436032</v>
      </c>
      <c r="R1353">
        <v>0.65</v>
      </c>
      <c r="S1353" t="s">
        <v>953</v>
      </c>
      <c r="T1353" t="s">
        <v>266</v>
      </c>
      <c r="U1353">
        <v>3.55</v>
      </c>
      <c r="V1353">
        <v>22.35</v>
      </c>
      <c r="W1353">
        <v>40781</v>
      </c>
      <c r="X1353">
        <v>40389</v>
      </c>
      <c r="Y1353">
        <v>1.01</v>
      </c>
      <c r="Z1353">
        <v>113</v>
      </c>
      <c r="AA1353">
        <v>156</v>
      </c>
      <c r="AB1353" t="s">
        <v>32</v>
      </c>
      <c r="AC1353">
        <v>0.47</v>
      </c>
    </row>
    <row r="1354" spans="1:29">
      <c r="A1354" t="str">
        <f>"002911"</f>
        <v>002911</v>
      </c>
      <c r="B1354" t="s">
        <v>1521</v>
      </c>
      <c r="C1354">
        <v>0.58</v>
      </c>
      <c r="D1354">
        <v>22.39</v>
      </c>
      <c r="E1354">
        <v>0.13</v>
      </c>
      <c r="F1354">
        <v>22.39</v>
      </c>
      <c r="G1354">
        <v>22.4</v>
      </c>
      <c r="H1354">
        <v>43025</v>
      </c>
      <c r="I1354">
        <v>1283</v>
      </c>
      <c r="J1354">
        <v>0.09</v>
      </c>
      <c r="K1354">
        <v>7.68</v>
      </c>
      <c r="L1354">
        <v>22.01</v>
      </c>
      <c r="M1354">
        <v>22.52</v>
      </c>
      <c r="N1354">
        <v>21.85</v>
      </c>
      <c r="O1354">
        <v>22.26</v>
      </c>
      <c r="P1354">
        <v>37.7</v>
      </c>
      <c r="Q1354">
        <v>95706200</v>
      </c>
      <c r="R1354">
        <v>1.45</v>
      </c>
      <c r="S1354" t="s">
        <v>174</v>
      </c>
      <c r="T1354" t="s">
        <v>136</v>
      </c>
      <c r="U1354">
        <v>3.01</v>
      </c>
      <c r="V1354">
        <v>22.24</v>
      </c>
      <c r="W1354">
        <v>21850</v>
      </c>
      <c r="X1354">
        <v>21175</v>
      </c>
      <c r="Y1354">
        <v>1.03</v>
      </c>
      <c r="Z1354">
        <v>346</v>
      </c>
      <c r="AA1354">
        <v>510</v>
      </c>
      <c r="AB1354" t="s">
        <v>32</v>
      </c>
      <c r="AC1354">
        <v>0.56</v>
      </c>
    </row>
    <row r="1355" spans="1:29">
      <c r="A1355" t="str">
        <f>"002912"</f>
        <v>002912</v>
      </c>
      <c r="B1355" t="s">
        <v>1522</v>
      </c>
      <c r="C1355">
        <v>0.75</v>
      </c>
      <c r="D1355">
        <v>101.76</v>
      </c>
      <c r="E1355">
        <v>0.76</v>
      </c>
      <c r="F1355">
        <v>101.72</v>
      </c>
      <c r="G1355">
        <v>101.76</v>
      </c>
      <c r="H1355">
        <v>22289</v>
      </c>
      <c r="I1355">
        <v>349</v>
      </c>
      <c r="J1355">
        <v>-0.01</v>
      </c>
      <c r="K1355">
        <v>8.34</v>
      </c>
      <c r="L1355">
        <v>99.3</v>
      </c>
      <c r="M1355">
        <v>103</v>
      </c>
      <c r="N1355">
        <v>98.32</v>
      </c>
      <c r="O1355">
        <v>101</v>
      </c>
      <c r="P1355">
        <v>928.67</v>
      </c>
      <c r="Q1355">
        <v>224438144</v>
      </c>
      <c r="R1355">
        <v>0.71</v>
      </c>
      <c r="S1355" t="s">
        <v>270</v>
      </c>
      <c r="T1355" t="s">
        <v>31</v>
      </c>
      <c r="U1355">
        <v>4.63</v>
      </c>
      <c r="V1355">
        <v>100.7</v>
      </c>
      <c r="W1355">
        <v>11942</v>
      </c>
      <c r="X1355">
        <v>10346</v>
      </c>
      <c r="Y1355">
        <v>1.15</v>
      </c>
      <c r="Z1355">
        <v>5</v>
      </c>
      <c r="AA1355">
        <v>75</v>
      </c>
      <c r="AB1355" t="s">
        <v>32</v>
      </c>
      <c r="AC1355">
        <v>0.27</v>
      </c>
    </row>
    <row r="1356" spans="1:29">
      <c r="A1356" t="str">
        <f>"002913"</f>
        <v>002913</v>
      </c>
      <c r="B1356" t="s">
        <v>1523</v>
      </c>
      <c r="C1356">
        <v>0.88</v>
      </c>
      <c r="D1356">
        <v>42.25</v>
      </c>
      <c r="E1356">
        <v>0.37</v>
      </c>
      <c r="F1356">
        <v>42.25</v>
      </c>
      <c r="G1356">
        <v>42.26</v>
      </c>
      <c r="H1356">
        <v>39339</v>
      </c>
      <c r="I1356">
        <v>500</v>
      </c>
      <c r="J1356">
        <v>0.14</v>
      </c>
      <c r="K1356">
        <v>10.92</v>
      </c>
      <c r="L1356">
        <v>41.96</v>
      </c>
      <c r="M1356">
        <v>42.38</v>
      </c>
      <c r="N1356">
        <v>41.33</v>
      </c>
      <c r="O1356">
        <v>41.88</v>
      </c>
      <c r="P1356">
        <v>33.75</v>
      </c>
      <c r="Q1356">
        <v>165047264</v>
      </c>
      <c r="R1356">
        <v>0.79</v>
      </c>
      <c r="S1356" t="s">
        <v>699</v>
      </c>
      <c r="T1356" t="s">
        <v>152</v>
      </c>
      <c r="U1356">
        <v>2.51</v>
      </c>
      <c r="V1356">
        <v>41.96</v>
      </c>
      <c r="W1356">
        <v>19158</v>
      </c>
      <c r="X1356">
        <v>20180</v>
      </c>
      <c r="Y1356">
        <v>0.95</v>
      </c>
      <c r="Z1356">
        <v>330</v>
      </c>
      <c r="AA1356">
        <v>104</v>
      </c>
      <c r="AB1356" t="s">
        <v>32</v>
      </c>
      <c r="AC1356">
        <v>0.36</v>
      </c>
    </row>
    <row r="1357" spans="1:29">
      <c r="A1357" t="str">
        <f>"002915"</f>
        <v>002915</v>
      </c>
      <c r="B1357" t="s">
        <v>1524</v>
      </c>
      <c r="C1357">
        <v>0.97</v>
      </c>
      <c r="D1357">
        <v>30.32</v>
      </c>
      <c r="E1357">
        <v>0.29</v>
      </c>
      <c r="F1357">
        <v>30.32</v>
      </c>
      <c r="G1357">
        <v>30.33</v>
      </c>
      <c r="H1357">
        <v>17819</v>
      </c>
      <c r="I1357">
        <v>348</v>
      </c>
      <c r="J1357">
        <v>-0.15</v>
      </c>
      <c r="K1357">
        <v>6.36</v>
      </c>
      <c r="L1357">
        <v>30</v>
      </c>
      <c r="M1357">
        <v>30.66</v>
      </c>
      <c r="N1357">
        <v>29.88</v>
      </c>
      <c r="O1357">
        <v>30.03</v>
      </c>
      <c r="P1357">
        <v>188.06</v>
      </c>
      <c r="Q1357">
        <v>54020000</v>
      </c>
      <c r="R1357">
        <v>0.74</v>
      </c>
      <c r="S1357" t="s">
        <v>218</v>
      </c>
      <c r="T1357" t="s">
        <v>149</v>
      </c>
      <c r="U1357">
        <v>2.6</v>
      </c>
      <c r="V1357">
        <v>30.32</v>
      </c>
      <c r="W1357">
        <v>7903</v>
      </c>
      <c r="X1357">
        <v>9916</v>
      </c>
      <c r="Y1357">
        <v>0.8</v>
      </c>
      <c r="Z1357">
        <v>275</v>
      </c>
      <c r="AA1357">
        <v>55</v>
      </c>
      <c r="AB1357" t="s">
        <v>32</v>
      </c>
      <c r="AC1357">
        <v>0.28</v>
      </c>
    </row>
    <row r="1358" spans="1:29">
      <c r="A1358" t="str">
        <f>"002916"</f>
        <v>002916</v>
      </c>
      <c r="B1358" t="s">
        <v>1525</v>
      </c>
      <c r="C1358">
        <v>0.09</v>
      </c>
      <c r="D1358">
        <v>69.31</v>
      </c>
      <c r="E1358">
        <v>0.06</v>
      </c>
      <c r="F1358">
        <v>69.3</v>
      </c>
      <c r="G1358">
        <v>69.31</v>
      </c>
      <c r="H1358">
        <v>43328</v>
      </c>
      <c r="I1358">
        <v>725</v>
      </c>
      <c r="J1358">
        <v>-0.08</v>
      </c>
      <c r="K1358">
        <v>6.19</v>
      </c>
      <c r="L1358">
        <v>69</v>
      </c>
      <c r="M1358">
        <v>70.39</v>
      </c>
      <c r="N1358">
        <v>68.5</v>
      </c>
      <c r="O1358">
        <v>69.25</v>
      </c>
      <c r="P1358">
        <v>41.44</v>
      </c>
      <c r="Q1358">
        <v>301199072</v>
      </c>
      <c r="R1358">
        <v>0.69</v>
      </c>
      <c r="S1358" t="s">
        <v>63</v>
      </c>
      <c r="T1358" t="s">
        <v>31</v>
      </c>
      <c r="U1358">
        <v>2.73</v>
      </c>
      <c r="V1358">
        <v>69.52</v>
      </c>
      <c r="W1358">
        <v>22831</v>
      </c>
      <c r="X1358">
        <v>20497</v>
      </c>
      <c r="Y1358">
        <v>1.11</v>
      </c>
      <c r="Z1358">
        <v>54</v>
      </c>
      <c r="AA1358">
        <v>175</v>
      </c>
      <c r="AB1358" t="s">
        <v>32</v>
      </c>
      <c r="AC1358">
        <v>0.7</v>
      </c>
    </row>
    <row r="1359" spans="1:29">
      <c r="A1359" t="str">
        <f>"002917"</f>
        <v>002917</v>
      </c>
      <c r="B1359" t="s">
        <v>1526</v>
      </c>
      <c r="C1359">
        <v>0.94</v>
      </c>
      <c r="D1359">
        <v>31.22</v>
      </c>
      <c r="E1359">
        <v>0.29</v>
      </c>
      <c r="F1359">
        <v>31.21</v>
      </c>
      <c r="G1359">
        <v>31.22</v>
      </c>
      <c r="H1359">
        <v>32254</v>
      </c>
      <c r="I1359">
        <v>768</v>
      </c>
      <c r="J1359">
        <v>-0.15</v>
      </c>
      <c r="K1359">
        <v>11.41</v>
      </c>
      <c r="L1359">
        <v>30.8</v>
      </c>
      <c r="M1359">
        <v>31.5</v>
      </c>
      <c r="N1359">
        <v>30.75</v>
      </c>
      <c r="O1359">
        <v>30.93</v>
      </c>
      <c r="P1359">
        <v>101.56</v>
      </c>
      <c r="Q1359">
        <v>100647848</v>
      </c>
      <c r="R1359">
        <v>0.65</v>
      </c>
      <c r="S1359" t="s">
        <v>218</v>
      </c>
      <c r="T1359" t="s">
        <v>31</v>
      </c>
      <c r="U1359">
        <v>2.42</v>
      </c>
      <c r="V1359">
        <v>31.2</v>
      </c>
      <c r="W1359">
        <v>16427</v>
      </c>
      <c r="X1359">
        <v>15827</v>
      </c>
      <c r="Y1359">
        <v>1.04</v>
      </c>
      <c r="Z1359">
        <v>64</v>
      </c>
      <c r="AA1359">
        <v>658</v>
      </c>
      <c r="AB1359" t="s">
        <v>32</v>
      </c>
      <c r="AC1359">
        <v>0.28</v>
      </c>
    </row>
    <row r="1360" spans="1:29">
      <c r="A1360" t="str">
        <f>"002918"</f>
        <v>002918</v>
      </c>
      <c r="B1360" t="s">
        <v>1527</v>
      </c>
      <c r="C1360">
        <v>2.74</v>
      </c>
      <c r="D1360">
        <v>23.28</v>
      </c>
      <c r="E1360">
        <v>0.62</v>
      </c>
      <c r="F1360">
        <v>23.28</v>
      </c>
      <c r="G1360">
        <v>23.29</v>
      </c>
      <c r="H1360">
        <v>34875</v>
      </c>
      <c r="I1360">
        <v>533</v>
      </c>
      <c r="J1360">
        <v>-0.08</v>
      </c>
      <c r="K1360">
        <v>5.9</v>
      </c>
      <c r="L1360">
        <v>22.66</v>
      </c>
      <c r="M1360">
        <v>23.49</v>
      </c>
      <c r="N1360">
        <v>22.51</v>
      </c>
      <c r="O1360">
        <v>22.66</v>
      </c>
      <c r="P1360">
        <v>29.68</v>
      </c>
      <c r="Q1360">
        <v>80634048</v>
      </c>
      <c r="R1360">
        <v>1.79</v>
      </c>
      <c r="S1360" t="s">
        <v>69</v>
      </c>
      <c r="T1360" t="s">
        <v>136</v>
      </c>
      <c r="U1360">
        <v>4.32</v>
      </c>
      <c r="V1360">
        <v>23.12</v>
      </c>
      <c r="W1360">
        <v>16065</v>
      </c>
      <c r="X1360">
        <v>18810</v>
      </c>
      <c r="Y1360">
        <v>0.85</v>
      </c>
      <c r="Z1360">
        <v>211</v>
      </c>
      <c r="AA1360">
        <v>6</v>
      </c>
      <c r="AB1360" t="s">
        <v>32</v>
      </c>
      <c r="AC1360">
        <v>0.59</v>
      </c>
    </row>
    <row r="1361" spans="1:29">
      <c r="A1361" t="str">
        <f>"002919"</f>
        <v>002919</v>
      </c>
      <c r="B1361" t="s">
        <v>1528</v>
      </c>
      <c r="C1361">
        <v>2.34</v>
      </c>
      <c r="D1361">
        <v>38.99</v>
      </c>
      <c r="E1361">
        <v>0.89</v>
      </c>
      <c r="F1361">
        <v>38.99</v>
      </c>
      <c r="G1361">
        <v>39</v>
      </c>
      <c r="H1361">
        <v>100422</v>
      </c>
      <c r="I1361">
        <v>807</v>
      </c>
      <c r="J1361">
        <v>0.13</v>
      </c>
      <c r="K1361">
        <v>49.32</v>
      </c>
      <c r="L1361">
        <v>38.06</v>
      </c>
      <c r="M1361">
        <v>39.65</v>
      </c>
      <c r="N1361">
        <v>37.6</v>
      </c>
      <c r="O1361">
        <v>38.1</v>
      </c>
      <c r="P1361">
        <v>91.28</v>
      </c>
      <c r="Q1361">
        <v>390400608</v>
      </c>
      <c r="R1361">
        <v>1.67</v>
      </c>
      <c r="S1361" t="s">
        <v>232</v>
      </c>
      <c r="T1361" t="s">
        <v>136</v>
      </c>
      <c r="U1361">
        <v>5.38</v>
      </c>
      <c r="V1361">
        <v>38.88</v>
      </c>
      <c r="W1361">
        <v>47640</v>
      </c>
      <c r="X1361">
        <v>52782</v>
      </c>
      <c r="Y1361">
        <v>0.9</v>
      </c>
      <c r="Z1361">
        <v>297</v>
      </c>
      <c r="AA1361">
        <v>273</v>
      </c>
      <c r="AB1361" t="s">
        <v>32</v>
      </c>
      <c r="AC1361">
        <v>0.2</v>
      </c>
    </row>
    <row r="1362" spans="1:29">
      <c r="A1362" t="str">
        <f>"002920"</f>
        <v>002920</v>
      </c>
      <c r="B1362" t="s">
        <v>1529</v>
      </c>
      <c r="C1362">
        <v>1.8</v>
      </c>
      <c r="D1362">
        <v>28.29</v>
      </c>
      <c r="E1362">
        <v>0.5</v>
      </c>
      <c r="F1362">
        <v>28.29</v>
      </c>
      <c r="G1362">
        <v>28.3</v>
      </c>
      <c r="H1362">
        <v>34538</v>
      </c>
      <c r="I1362">
        <v>459</v>
      </c>
      <c r="J1362">
        <v>-0.03</v>
      </c>
      <c r="K1362">
        <v>3.45</v>
      </c>
      <c r="L1362">
        <v>27.92</v>
      </c>
      <c r="M1362">
        <v>28.35</v>
      </c>
      <c r="N1362">
        <v>27.92</v>
      </c>
      <c r="O1362">
        <v>27.79</v>
      </c>
      <c r="P1362">
        <v>24.28</v>
      </c>
      <c r="Q1362">
        <v>97427080</v>
      </c>
      <c r="R1362">
        <v>1.06</v>
      </c>
      <c r="S1362" t="s">
        <v>80</v>
      </c>
      <c r="T1362" t="s">
        <v>136</v>
      </c>
      <c r="U1362">
        <v>1.55</v>
      </c>
      <c r="V1362">
        <v>28.21</v>
      </c>
      <c r="W1362">
        <v>14497</v>
      </c>
      <c r="X1362">
        <v>20041</v>
      </c>
      <c r="Y1362">
        <v>0.72</v>
      </c>
      <c r="Z1362">
        <v>267</v>
      </c>
      <c r="AA1362">
        <v>157</v>
      </c>
      <c r="AB1362" t="s">
        <v>32</v>
      </c>
      <c r="AC1362">
        <v>1</v>
      </c>
    </row>
    <row r="1363" spans="1:29">
      <c r="A1363" t="str">
        <f>"002921"</f>
        <v>002921</v>
      </c>
      <c r="B1363" t="s">
        <v>1530</v>
      </c>
      <c r="C1363">
        <v>5.63</v>
      </c>
      <c r="D1363">
        <v>39.22</v>
      </c>
      <c r="E1363">
        <v>2.09</v>
      </c>
      <c r="F1363">
        <v>39.22</v>
      </c>
      <c r="G1363">
        <v>39.23</v>
      </c>
      <c r="H1363">
        <v>50035</v>
      </c>
      <c r="I1363">
        <v>1184</v>
      </c>
      <c r="J1363">
        <v>0.26</v>
      </c>
      <c r="K1363">
        <v>25.02</v>
      </c>
      <c r="L1363">
        <v>37.4</v>
      </c>
      <c r="M1363">
        <v>39.49</v>
      </c>
      <c r="N1363">
        <v>37.2</v>
      </c>
      <c r="O1363">
        <v>37.13</v>
      </c>
      <c r="P1363">
        <v>55.99</v>
      </c>
      <c r="Q1363">
        <v>193055856</v>
      </c>
      <c r="R1363">
        <v>1.69</v>
      </c>
      <c r="S1363" t="s">
        <v>80</v>
      </c>
      <c r="T1363" t="s">
        <v>162</v>
      </c>
      <c r="U1363">
        <v>6.17</v>
      </c>
      <c r="V1363">
        <v>38.58</v>
      </c>
      <c r="W1363">
        <v>21715</v>
      </c>
      <c r="X1363">
        <v>28320</v>
      </c>
      <c r="Y1363">
        <v>0.77</v>
      </c>
      <c r="Z1363">
        <v>367</v>
      </c>
      <c r="AA1363">
        <v>13</v>
      </c>
      <c r="AB1363" t="s">
        <v>32</v>
      </c>
      <c r="AC1363">
        <v>0.2</v>
      </c>
    </row>
    <row r="1364" spans="1:29">
      <c r="A1364" t="str">
        <f>"002922"</f>
        <v>002922</v>
      </c>
      <c r="B1364" t="s">
        <v>1531</v>
      </c>
      <c r="C1364">
        <v>0.46</v>
      </c>
      <c r="D1364">
        <v>26.11</v>
      </c>
      <c r="E1364">
        <v>0.12</v>
      </c>
      <c r="F1364">
        <v>26.11</v>
      </c>
      <c r="G1364">
        <v>26.12</v>
      </c>
      <c r="H1364">
        <v>63335</v>
      </c>
      <c r="I1364">
        <v>2056</v>
      </c>
      <c r="J1364">
        <v>-0.41</v>
      </c>
      <c r="K1364">
        <v>19.19</v>
      </c>
      <c r="L1364">
        <v>26</v>
      </c>
      <c r="M1364">
        <v>26.49</v>
      </c>
      <c r="N1364">
        <v>25.51</v>
      </c>
      <c r="O1364">
        <v>25.99</v>
      </c>
      <c r="P1364">
        <v>645.38</v>
      </c>
      <c r="Q1364">
        <v>164680032</v>
      </c>
      <c r="R1364">
        <v>0.64</v>
      </c>
      <c r="S1364" t="s">
        <v>104</v>
      </c>
      <c r="T1364" t="s">
        <v>136</v>
      </c>
      <c r="U1364">
        <v>3.77</v>
      </c>
      <c r="V1364">
        <v>26</v>
      </c>
      <c r="W1364">
        <v>32737</v>
      </c>
      <c r="X1364">
        <v>30598</v>
      </c>
      <c r="Y1364">
        <v>1.07</v>
      </c>
      <c r="Z1364">
        <v>26</v>
      </c>
      <c r="AA1364">
        <v>244</v>
      </c>
      <c r="AB1364" t="s">
        <v>32</v>
      </c>
      <c r="AC1364">
        <v>0.33</v>
      </c>
    </row>
    <row r="1365" spans="1:29">
      <c r="A1365" t="str">
        <f>"002923"</f>
        <v>002923</v>
      </c>
      <c r="B1365" t="s">
        <v>1532</v>
      </c>
      <c r="C1365">
        <v>1.36</v>
      </c>
      <c r="D1365">
        <v>29.07</v>
      </c>
      <c r="E1365">
        <v>0.39</v>
      </c>
      <c r="F1365">
        <v>29.07</v>
      </c>
      <c r="G1365">
        <v>29.08</v>
      </c>
      <c r="H1365">
        <v>20311</v>
      </c>
      <c r="I1365">
        <v>215</v>
      </c>
      <c r="J1365">
        <v>0</v>
      </c>
      <c r="K1365">
        <v>6.77</v>
      </c>
      <c r="L1365">
        <v>28.59</v>
      </c>
      <c r="M1365">
        <v>29.2</v>
      </c>
      <c r="N1365">
        <v>28.36</v>
      </c>
      <c r="O1365">
        <v>28.68</v>
      </c>
      <c r="P1365">
        <v>43.69</v>
      </c>
      <c r="Q1365">
        <v>58724360</v>
      </c>
      <c r="R1365">
        <v>1.01</v>
      </c>
      <c r="S1365" t="s">
        <v>142</v>
      </c>
      <c r="T1365" t="s">
        <v>136</v>
      </c>
      <c r="U1365">
        <v>2.93</v>
      </c>
      <c r="V1365">
        <v>28.91</v>
      </c>
      <c r="W1365">
        <v>9669</v>
      </c>
      <c r="X1365">
        <v>10641</v>
      </c>
      <c r="Y1365">
        <v>0.91</v>
      </c>
      <c r="Z1365">
        <v>110</v>
      </c>
      <c r="AA1365">
        <v>11</v>
      </c>
      <c r="AB1365" t="s">
        <v>32</v>
      </c>
      <c r="AC1365">
        <v>0.3</v>
      </c>
    </row>
    <row r="1366" spans="1:29">
      <c r="A1366" t="str">
        <f>"002925"</f>
        <v>002925</v>
      </c>
      <c r="B1366" t="s">
        <v>1533</v>
      </c>
      <c r="C1366">
        <v>-0.69</v>
      </c>
      <c r="D1366">
        <v>62.97</v>
      </c>
      <c r="E1366">
        <v>-0.44</v>
      </c>
      <c r="F1366">
        <v>62.96</v>
      </c>
      <c r="G1366">
        <v>62.97</v>
      </c>
      <c r="H1366">
        <v>68389</v>
      </c>
      <c r="I1366">
        <v>936</v>
      </c>
      <c r="J1366">
        <v>0.06</v>
      </c>
      <c r="K1366">
        <v>9.12</v>
      </c>
      <c r="L1366">
        <v>63.6</v>
      </c>
      <c r="M1366">
        <v>63.6</v>
      </c>
      <c r="N1366">
        <v>61.6</v>
      </c>
      <c r="O1366">
        <v>63.41</v>
      </c>
      <c r="P1366">
        <v>42.02</v>
      </c>
      <c r="Q1366">
        <v>428374944</v>
      </c>
      <c r="R1366">
        <v>0.83</v>
      </c>
      <c r="S1366" t="s">
        <v>63</v>
      </c>
      <c r="T1366" t="s">
        <v>236</v>
      </c>
      <c r="U1366">
        <v>3.15</v>
      </c>
      <c r="V1366">
        <v>62.64</v>
      </c>
      <c r="W1366">
        <v>37055</v>
      </c>
      <c r="X1366">
        <v>31334</v>
      </c>
      <c r="Y1366">
        <v>1.18</v>
      </c>
      <c r="Z1366">
        <v>265</v>
      </c>
      <c r="AA1366">
        <v>15</v>
      </c>
      <c r="AB1366" t="s">
        <v>32</v>
      </c>
      <c r="AC1366">
        <v>0.75</v>
      </c>
    </row>
    <row r="1367" spans="1:29">
      <c r="A1367" t="str">
        <f>"002926"</f>
        <v>002926</v>
      </c>
      <c r="B1367" t="s">
        <v>1534</v>
      </c>
      <c r="C1367">
        <v>1.69</v>
      </c>
      <c r="D1367">
        <v>10.2</v>
      </c>
      <c r="E1367">
        <v>0.17</v>
      </c>
      <c r="F1367">
        <v>10.19</v>
      </c>
      <c r="G1367">
        <v>10.2</v>
      </c>
      <c r="H1367">
        <v>538261</v>
      </c>
      <c r="I1367">
        <v>4678</v>
      </c>
      <c r="J1367">
        <v>0</v>
      </c>
      <c r="K1367">
        <v>10.25</v>
      </c>
      <c r="L1367">
        <v>10</v>
      </c>
      <c r="M1367">
        <v>10.58</v>
      </c>
      <c r="N1367">
        <v>9.97</v>
      </c>
      <c r="O1367">
        <v>10.03</v>
      </c>
      <c r="P1367">
        <v>23.3</v>
      </c>
      <c r="Q1367">
        <v>553129344</v>
      </c>
      <c r="R1367">
        <v>2.4</v>
      </c>
      <c r="S1367" t="s">
        <v>158</v>
      </c>
      <c r="T1367" t="s">
        <v>146</v>
      </c>
      <c r="U1367">
        <v>6.08</v>
      </c>
      <c r="V1367">
        <v>10.28</v>
      </c>
      <c r="W1367">
        <v>261598</v>
      </c>
      <c r="X1367">
        <v>276662</v>
      </c>
      <c r="Y1367">
        <v>0.95</v>
      </c>
      <c r="Z1367">
        <v>4112</v>
      </c>
      <c r="AA1367">
        <v>1762</v>
      </c>
      <c r="AB1367" t="s">
        <v>32</v>
      </c>
      <c r="AC1367">
        <v>5.25</v>
      </c>
    </row>
    <row r="1368" spans="1:29">
      <c r="A1368" t="str">
        <f>"002927"</f>
        <v>002927</v>
      </c>
      <c r="B1368" t="s">
        <v>1535</v>
      </c>
      <c r="C1368">
        <v>0.24</v>
      </c>
      <c r="D1368">
        <v>37.45</v>
      </c>
      <c r="E1368">
        <v>0.09</v>
      </c>
      <c r="F1368">
        <v>37.44</v>
      </c>
      <c r="G1368">
        <v>37.45</v>
      </c>
      <c r="H1368">
        <v>35097</v>
      </c>
      <c r="I1368">
        <v>979</v>
      </c>
      <c r="J1368">
        <v>-0.04</v>
      </c>
      <c r="K1368">
        <v>11.51</v>
      </c>
      <c r="L1368">
        <v>37.35</v>
      </c>
      <c r="M1368">
        <v>37.8</v>
      </c>
      <c r="N1368">
        <v>36.86</v>
      </c>
      <c r="O1368">
        <v>37.36</v>
      </c>
      <c r="P1368">
        <v>126.55</v>
      </c>
      <c r="Q1368">
        <v>131206568</v>
      </c>
      <c r="R1368">
        <v>0.76</v>
      </c>
      <c r="S1368" t="s">
        <v>104</v>
      </c>
      <c r="T1368" t="s">
        <v>253</v>
      </c>
      <c r="U1368">
        <v>2.52</v>
      </c>
      <c r="V1368">
        <v>37.38</v>
      </c>
      <c r="W1368">
        <v>16700</v>
      </c>
      <c r="X1368">
        <v>18397</v>
      </c>
      <c r="Y1368">
        <v>0.91</v>
      </c>
      <c r="Z1368">
        <v>32</v>
      </c>
      <c r="AA1368">
        <v>73</v>
      </c>
      <c r="AB1368" t="s">
        <v>32</v>
      </c>
      <c r="AC1368">
        <v>0.3</v>
      </c>
    </row>
    <row r="1369" spans="1:29">
      <c r="A1369" t="str">
        <f>"002928"</f>
        <v>002928</v>
      </c>
      <c r="B1369" t="s">
        <v>1536</v>
      </c>
      <c r="C1369">
        <v>0.82</v>
      </c>
      <c r="D1369">
        <v>28.14</v>
      </c>
      <c r="E1369">
        <v>0.23</v>
      </c>
      <c r="F1369">
        <v>28.14</v>
      </c>
      <c r="G1369">
        <v>28.15</v>
      </c>
      <c r="H1369">
        <v>31661</v>
      </c>
      <c r="I1369">
        <v>907</v>
      </c>
      <c r="J1369">
        <v>-0.06</v>
      </c>
      <c r="K1369">
        <v>7.82</v>
      </c>
      <c r="L1369">
        <v>27.9</v>
      </c>
      <c r="M1369">
        <v>28.32</v>
      </c>
      <c r="N1369">
        <v>27.73</v>
      </c>
      <c r="O1369">
        <v>27.91</v>
      </c>
      <c r="P1369">
        <v>34.23</v>
      </c>
      <c r="Q1369">
        <v>88974080</v>
      </c>
      <c r="R1369">
        <v>1.09</v>
      </c>
      <c r="S1369" t="s">
        <v>134</v>
      </c>
      <c r="T1369" t="s">
        <v>253</v>
      </c>
      <c r="U1369">
        <v>2.11</v>
      </c>
      <c r="V1369">
        <v>28.1</v>
      </c>
      <c r="W1369">
        <v>16195</v>
      </c>
      <c r="X1369">
        <v>15466</v>
      </c>
      <c r="Y1369">
        <v>1.05</v>
      </c>
      <c r="Z1369">
        <v>186</v>
      </c>
      <c r="AA1369">
        <v>326</v>
      </c>
      <c r="AB1369" t="s">
        <v>32</v>
      </c>
      <c r="AC1369">
        <v>0.41</v>
      </c>
    </row>
    <row r="1370" spans="1:29">
      <c r="A1370" t="str">
        <f>"002929"</f>
        <v>002929</v>
      </c>
      <c r="B1370" t="s">
        <v>1537</v>
      </c>
      <c r="C1370">
        <v>1.93</v>
      </c>
      <c r="D1370">
        <v>40.72</v>
      </c>
      <c r="E1370">
        <v>0.77</v>
      </c>
      <c r="F1370">
        <v>40.72</v>
      </c>
      <c r="G1370">
        <v>40.73</v>
      </c>
      <c r="H1370">
        <v>36535</v>
      </c>
      <c r="I1370">
        <v>930</v>
      </c>
      <c r="J1370">
        <v>0</v>
      </c>
      <c r="K1370">
        <v>6.62</v>
      </c>
      <c r="L1370">
        <v>40.08</v>
      </c>
      <c r="M1370">
        <v>40.78</v>
      </c>
      <c r="N1370">
        <v>39.61</v>
      </c>
      <c r="O1370">
        <v>39.95</v>
      </c>
      <c r="P1370">
        <v>57.4</v>
      </c>
      <c r="Q1370">
        <v>147220960</v>
      </c>
      <c r="R1370">
        <v>0.96</v>
      </c>
      <c r="S1370" t="s">
        <v>119</v>
      </c>
      <c r="T1370" t="s">
        <v>238</v>
      </c>
      <c r="U1370">
        <v>2.93</v>
      </c>
      <c r="V1370">
        <v>40.3</v>
      </c>
      <c r="W1370">
        <v>15652</v>
      </c>
      <c r="X1370">
        <v>20882</v>
      </c>
      <c r="Y1370">
        <v>0.75</v>
      </c>
      <c r="Z1370">
        <v>177</v>
      </c>
      <c r="AA1370">
        <v>89</v>
      </c>
      <c r="AB1370" t="s">
        <v>32</v>
      </c>
      <c r="AC1370">
        <v>0.55</v>
      </c>
    </row>
    <row r="1371" spans="1:29">
      <c r="A1371" t="str">
        <f>"002930"</f>
        <v>002930</v>
      </c>
      <c r="B1371" t="s">
        <v>1538</v>
      </c>
      <c r="C1371">
        <v>2.13</v>
      </c>
      <c r="D1371">
        <v>36.92</v>
      </c>
      <c r="E1371">
        <v>0.77</v>
      </c>
      <c r="F1371">
        <v>36.92</v>
      </c>
      <c r="G1371">
        <v>36.93</v>
      </c>
      <c r="H1371">
        <v>84626</v>
      </c>
      <c r="I1371">
        <v>2021</v>
      </c>
      <c r="J1371">
        <v>0.11</v>
      </c>
      <c r="K1371">
        <v>13.91</v>
      </c>
      <c r="L1371">
        <v>36.42</v>
      </c>
      <c r="M1371">
        <v>37.15</v>
      </c>
      <c r="N1371">
        <v>36</v>
      </c>
      <c r="O1371">
        <v>36.15</v>
      </c>
      <c r="P1371">
        <v>83.24</v>
      </c>
      <c r="Q1371">
        <v>310494048</v>
      </c>
      <c r="R1371">
        <v>0.79</v>
      </c>
      <c r="S1371" t="s">
        <v>742</v>
      </c>
      <c r="T1371" t="s">
        <v>136</v>
      </c>
      <c r="U1371">
        <v>3.18</v>
      </c>
      <c r="V1371">
        <v>36.69</v>
      </c>
      <c r="W1371">
        <v>38895</v>
      </c>
      <c r="X1371">
        <v>45731</v>
      </c>
      <c r="Y1371">
        <v>0.85</v>
      </c>
      <c r="Z1371">
        <v>622</v>
      </c>
      <c r="AA1371">
        <v>294</v>
      </c>
      <c r="AB1371" t="s">
        <v>32</v>
      </c>
      <c r="AC1371">
        <v>0.61</v>
      </c>
    </row>
    <row r="1372" spans="1:29">
      <c r="A1372" t="str">
        <f>"002931"</f>
        <v>002931</v>
      </c>
      <c r="B1372" t="s">
        <v>1539</v>
      </c>
      <c r="C1372">
        <v>1.53</v>
      </c>
      <c r="D1372">
        <v>44.5</v>
      </c>
      <c r="E1372">
        <v>0.67</v>
      </c>
      <c r="F1372">
        <v>44.49</v>
      </c>
      <c r="G1372">
        <v>44.5</v>
      </c>
      <c r="H1372">
        <v>19003</v>
      </c>
      <c r="I1372">
        <v>627</v>
      </c>
      <c r="J1372">
        <v>0.04</v>
      </c>
      <c r="K1372">
        <v>8.55</v>
      </c>
      <c r="L1372">
        <v>44.19</v>
      </c>
      <c r="M1372">
        <v>44.7</v>
      </c>
      <c r="N1372">
        <v>43.81</v>
      </c>
      <c r="O1372">
        <v>43.83</v>
      </c>
      <c r="P1372">
        <v>98.98</v>
      </c>
      <c r="Q1372">
        <v>84261416</v>
      </c>
      <c r="R1372">
        <v>0.53</v>
      </c>
      <c r="S1372" t="s">
        <v>80</v>
      </c>
      <c r="T1372" t="s">
        <v>149</v>
      </c>
      <c r="U1372">
        <v>2.03</v>
      </c>
      <c r="V1372">
        <v>44.34</v>
      </c>
      <c r="W1372">
        <v>9784</v>
      </c>
      <c r="X1372">
        <v>9218</v>
      </c>
      <c r="Y1372">
        <v>1.06</v>
      </c>
      <c r="Z1372">
        <v>2</v>
      </c>
      <c r="AA1372">
        <v>86</v>
      </c>
      <c r="AB1372" t="s">
        <v>32</v>
      </c>
      <c r="AC1372">
        <v>0.22</v>
      </c>
    </row>
    <row r="1373" spans="1:29">
      <c r="A1373" t="str">
        <f>"002932"</f>
        <v>002932</v>
      </c>
      <c r="B1373" t="s">
        <v>1540</v>
      </c>
      <c r="C1373">
        <v>9.99</v>
      </c>
      <c r="D1373">
        <v>76.38</v>
      </c>
      <c r="E1373">
        <v>6.94</v>
      </c>
      <c r="F1373">
        <v>76.38</v>
      </c>
      <c r="G1373" t="s">
        <v>32</v>
      </c>
      <c r="H1373">
        <v>893</v>
      </c>
      <c r="I1373">
        <v>12</v>
      </c>
      <c r="J1373">
        <v>0</v>
      </c>
      <c r="K1373">
        <v>0.54</v>
      </c>
      <c r="L1373">
        <v>76.38</v>
      </c>
      <c r="M1373">
        <v>76.38</v>
      </c>
      <c r="N1373">
        <v>76.38</v>
      </c>
      <c r="O1373">
        <v>69.44</v>
      </c>
      <c r="P1373">
        <v>93.33</v>
      </c>
      <c r="Q1373">
        <v>6821422</v>
      </c>
      <c r="R1373">
        <v>1.86</v>
      </c>
      <c r="S1373" t="s">
        <v>138</v>
      </c>
      <c r="T1373" t="s">
        <v>193</v>
      </c>
      <c r="U1373">
        <v>0</v>
      </c>
      <c r="V1373">
        <v>76.38</v>
      </c>
      <c r="W1373">
        <v>716</v>
      </c>
      <c r="X1373">
        <v>177</v>
      </c>
      <c r="Y1373">
        <v>4.05</v>
      </c>
      <c r="Z1373">
        <v>22089</v>
      </c>
      <c r="AA1373">
        <v>0</v>
      </c>
      <c r="AB1373" t="s">
        <v>32</v>
      </c>
      <c r="AC1373">
        <v>0.17</v>
      </c>
    </row>
    <row r="1374" spans="1:29">
      <c r="A1374" t="str">
        <f>"300001"</f>
        <v>300001</v>
      </c>
      <c r="B1374" t="s">
        <v>1541</v>
      </c>
      <c r="C1374">
        <v>-1.21</v>
      </c>
      <c r="D1374">
        <v>14.64</v>
      </c>
      <c r="E1374">
        <v>-0.18</v>
      </c>
      <c r="F1374">
        <v>14.64</v>
      </c>
      <c r="G1374">
        <v>14.65</v>
      </c>
      <c r="H1374">
        <v>202913</v>
      </c>
      <c r="I1374">
        <v>2566</v>
      </c>
      <c r="J1374">
        <v>0.07</v>
      </c>
      <c r="K1374">
        <v>2.34</v>
      </c>
      <c r="L1374">
        <v>14.86</v>
      </c>
      <c r="M1374">
        <v>15.05</v>
      </c>
      <c r="N1374">
        <v>14.57</v>
      </c>
      <c r="O1374">
        <v>14.82</v>
      </c>
      <c r="P1374">
        <v>59.45</v>
      </c>
      <c r="Q1374">
        <v>299793280</v>
      </c>
      <c r="R1374">
        <v>1.33</v>
      </c>
      <c r="S1374" t="s">
        <v>104</v>
      </c>
      <c r="T1374" t="s">
        <v>162</v>
      </c>
      <c r="U1374">
        <v>3.24</v>
      </c>
      <c r="V1374">
        <v>14.77</v>
      </c>
      <c r="W1374">
        <v>105784</v>
      </c>
      <c r="X1374">
        <v>97129</v>
      </c>
      <c r="Y1374">
        <v>1.09</v>
      </c>
      <c r="Z1374">
        <v>157</v>
      </c>
      <c r="AA1374">
        <v>20</v>
      </c>
      <c r="AB1374" t="s">
        <v>32</v>
      </c>
      <c r="AC1374">
        <v>8.68</v>
      </c>
    </row>
    <row r="1375" spans="1:29">
      <c r="A1375" t="str">
        <f>"300002"</f>
        <v>300002</v>
      </c>
      <c r="B1375" t="s">
        <v>1542</v>
      </c>
      <c r="C1375">
        <v>2.64</v>
      </c>
      <c r="D1375">
        <v>4.27</v>
      </c>
      <c r="E1375">
        <v>0.11</v>
      </c>
      <c r="F1375">
        <v>4.27</v>
      </c>
      <c r="G1375">
        <v>4.28</v>
      </c>
      <c r="H1375">
        <v>235245</v>
      </c>
      <c r="I1375">
        <v>1197</v>
      </c>
      <c r="J1375">
        <v>-0.22</v>
      </c>
      <c r="K1375">
        <v>1.69</v>
      </c>
      <c r="L1375">
        <v>4.15</v>
      </c>
      <c r="M1375">
        <v>4.37</v>
      </c>
      <c r="N1375">
        <v>4.1</v>
      </c>
      <c r="O1375">
        <v>4.16</v>
      </c>
      <c r="P1375" t="s">
        <v>32</v>
      </c>
      <c r="Q1375">
        <v>100194112</v>
      </c>
      <c r="R1375">
        <v>1.36</v>
      </c>
      <c r="S1375" t="s">
        <v>270</v>
      </c>
      <c r="T1375" t="s">
        <v>45</v>
      </c>
      <c r="U1375">
        <v>6.49</v>
      </c>
      <c r="V1375">
        <v>4.26</v>
      </c>
      <c r="W1375">
        <v>94433</v>
      </c>
      <c r="X1375">
        <v>140812</v>
      </c>
      <c r="Y1375">
        <v>0.67</v>
      </c>
      <c r="Z1375">
        <v>520</v>
      </c>
      <c r="AA1375">
        <v>758</v>
      </c>
      <c r="AB1375" t="s">
        <v>32</v>
      </c>
      <c r="AC1375">
        <v>13.94</v>
      </c>
    </row>
    <row r="1376" spans="1:29">
      <c r="A1376" t="str">
        <f>"300003"</f>
        <v>300003</v>
      </c>
      <c r="B1376" t="s">
        <v>1543</v>
      </c>
      <c r="C1376">
        <v>0.84</v>
      </c>
      <c r="D1376">
        <v>36.12</v>
      </c>
      <c r="E1376">
        <v>0.3</v>
      </c>
      <c r="F1376">
        <v>36.11</v>
      </c>
      <c r="G1376">
        <v>36.12</v>
      </c>
      <c r="H1376">
        <v>216068</v>
      </c>
      <c r="I1376">
        <v>1079</v>
      </c>
      <c r="J1376">
        <v>0</v>
      </c>
      <c r="K1376">
        <v>1.53</v>
      </c>
      <c r="L1376">
        <v>35.4</v>
      </c>
      <c r="M1376">
        <v>36.54</v>
      </c>
      <c r="N1376">
        <v>34.7</v>
      </c>
      <c r="O1376">
        <v>35.82</v>
      </c>
      <c r="P1376">
        <v>53.06</v>
      </c>
      <c r="Q1376">
        <v>773228928</v>
      </c>
      <c r="R1376">
        <v>1.38</v>
      </c>
      <c r="S1376" t="s">
        <v>138</v>
      </c>
      <c r="T1376" t="s">
        <v>45</v>
      </c>
      <c r="U1376">
        <v>5.14</v>
      </c>
      <c r="V1376">
        <v>35.79</v>
      </c>
      <c r="W1376">
        <v>107631</v>
      </c>
      <c r="X1376">
        <v>108437</v>
      </c>
      <c r="Y1376">
        <v>0.99</v>
      </c>
      <c r="Z1376">
        <v>15</v>
      </c>
      <c r="AA1376">
        <v>2167</v>
      </c>
      <c r="AB1376" t="s">
        <v>32</v>
      </c>
      <c r="AC1376">
        <v>14.12</v>
      </c>
    </row>
    <row r="1377" spans="1:29">
      <c r="A1377" t="str">
        <f>"300004"</f>
        <v>300004</v>
      </c>
      <c r="B1377" t="s">
        <v>1544</v>
      </c>
      <c r="C1377">
        <v>10.08</v>
      </c>
      <c r="D1377">
        <v>4.26</v>
      </c>
      <c r="E1377">
        <v>0.39</v>
      </c>
      <c r="F1377">
        <v>4.26</v>
      </c>
      <c r="G1377" t="s">
        <v>32</v>
      </c>
      <c r="H1377">
        <v>264161</v>
      </c>
      <c r="I1377">
        <v>472</v>
      </c>
      <c r="J1377">
        <v>0</v>
      </c>
      <c r="K1377">
        <v>6.58</v>
      </c>
      <c r="L1377">
        <v>3.85</v>
      </c>
      <c r="M1377">
        <v>4.26</v>
      </c>
      <c r="N1377">
        <v>3.84</v>
      </c>
      <c r="O1377">
        <v>3.87</v>
      </c>
      <c r="P1377" t="s">
        <v>32</v>
      </c>
      <c r="Q1377">
        <v>109794648</v>
      </c>
      <c r="R1377">
        <v>2.5</v>
      </c>
      <c r="S1377" t="s">
        <v>104</v>
      </c>
      <c r="T1377" t="s">
        <v>136</v>
      </c>
      <c r="U1377">
        <v>10.85</v>
      </c>
      <c r="V1377">
        <v>4.16</v>
      </c>
      <c r="W1377">
        <v>146091</v>
      </c>
      <c r="X1377">
        <v>118070</v>
      </c>
      <c r="Y1377">
        <v>1.24</v>
      </c>
      <c r="Z1377">
        <v>6347</v>
      </c>
      <c r="AA1377">
        <v>0</v>
      </c>
      <c r="AB1377" t="s">
        <v>32</v>
      </c>
      <c r="AC1377">
        <v>4.02</v>
      </c>
    </row>
    <row r="1378" spans="1:29">
      <c r="A1378" t="str">
        <f>"300005"</f>
        <v>300005</v>
      </c>
      <c r="B1378" t="s">
        <v>1545</v>
      </c>
      <c r="C1378">
        <v>2.73</v>
      </c>
      <c r="D1378">
        <v>3.76</v>
      </c>
      <c r="E1378">
        <v>0.1</v>
      </c>
      <c r="F1378">
        <v>3.76</v>
      </c>
      <c r="G1378">
        <v>3.77</v>
      </c>
      <c r="H1378">
        <v>140841</v>
      </c>
      <c r="I1378">
        <v>2438</v>
      </c>
      <c r="J1378">
        <v>0</v>
      </c>
      <c r="K1378">
        <v>2.2</v>
      </c>
      <c r="L1378">
        <v>3.65</v>
      </c>
      <c r="M1378">
        <v>3.78</v>
      </c>
      <c r="N1378">
        <v>3.64</v>
      </c>
      <c r="O1378">
        <v>3.66</v>
      </c>
      <c r="P1378">
        <v>37.76</v>
      </c>
      <c r="Q1378">
        <v>52472392</v>
      </c>
      <c r="R1378">
        <v>1.85</v>
      </c>
      <c r="S1378" t="s">
        <v>622</v>
      </c>
      <c r="T1378" t="s">
        <v>45</v>
      </c>
      <c r="U1378">
        <v>3.83</v>
      </c>
      <c r="V1378">
        <v>3.73</v>
      </c>
      <c r="W1378">
        <v>53318</v>
      </c>
      <c r="X1378">
        <v>87523</v>
      </c>
      <c r="Y1378">
        <v>0.61</v>
      </c>
      <c r="Z1378">
        <v>1650</v>
      </c>
      <c r="AA1378">
        <v>3690</v>
      </c>
      <c r="AB1378" t="s">
        <v>32</v>
      </c>
      <c r="AC1378">
        <v>6.41</v>
      </c>
    </row>
    <row r="1379" spans="1:29">
      <c r="A1379" t="str">
        <f>"300006"</f>
        <v>300006</v>
      </c>
      <c r="B1379" t="s">
        <v>1546</v>
      </c>
      <c r="C1379">
        <v>2.55</v>
      </c>
      <c r="D1379">
        <v>4.43</v>
      </c>
      <c r="E1379">
        <v>0.11</v>
      </c>
      <c r="F1379">
        <v>4.42</v>
      </c>
      <c r="G1379">
        <v>4.43</v>
      </c>
      <c r="H1379">
        <v>125865</v>
      </c>
      <c r="I1379">
        <v>1989</v>
      </c>
      <c r="J1379">
        <v>0.23</v>
      </c>
      <c r="K1379">
        <v>2.15</v>
      </c>
      <c r="L1379">
        <v>4.29</v>
      </c>
      <c r="M1379">
        <v>4.43</v>
      </c>
      <c r="N1379">
        <v>4.28</v>
      </c>
      <c r="O1379">
        <v>4.32</v>
      </c>
      <c r="P1379">
        <v>19.74</v>
      </c>
      <c r="Q1379">
        <v>55021552</v>
      </c>
      <c r="R1379">
        <v>1.52</v>
      </c>
      <c r="S1379" t="s">
        <v>142</v>
      </c>
      <c r="T1379" t="s">
        <v>221</v>
      </c>
      <c r="U1379">
        <v>3.47</v>
      </c>
      <c r="V1379">
        <v>4.37</v>
      </c>
      <c r="W1379">
        <v>53504</v>
      </c>
      <c r="X1379">
        <v>72360</v>
      </c>
      <c r="Y1379">
        <v>0.74</v>
      </c>
      <c r="Z1379">
        <v>935</v>
      </c>
      <c r="AA1379">
        <v>396</v>
      </c>
      <c r="AB1379" t="s">
        <v>32</v>
      </c>
      <c r="AC1379">
        <v>5.86</v>
      </c>
    </row>
    <row r="1380" spans="1:29">
      <c r="A1380" t="str">
        <f>"300007"</f>
        <v>300007</v>
      </c>
      <c r="B1380" t="s">
        <v>1547</v>
      </c>
      <c r="C1380">
        <v>-3.54</v>
      </c>
      <c r="D1380">
        <v>12.53</v>
      </c>
      <c r="E1380">
        <v>-0.46</v>
      </c>
      <c r="F1380">
        <v>12.53</v>
      </c>
      <c r="G1380">
        <v>12.54</v>
      </c>
      <c r="H1380">
        <v>154848</v>
      </c>
      <c r="I1380">
        <v>1411</v>
      </c>
      <c r="J1380">
        <v>0.24</v>
      </c>
      <c r="K1380">
        <v>6.82</v>
      </c>
      <c r="L1380">
        <v>12.91</v>
      </c>
      <c r="M1380">
        <v>13.12</v>
      </c>
      <c r="N1380">
        <v>12.42</v>
      </c>
      <c r="O1380">
        <v>12.99</v>
      </c>
      <c r="P1380">
        <v>39.11</v>
      </c>
      <c r="Q1380">
        <v>197052928</v>
      </c>
      <c r="R1380">
        <v>4.81</v>
      </c>
      <c r="S1380" t="s">
        <v>606</v>
      </c>
      <c r="T1380" t="s">
        <v>164</v>
      </c>
      <c r="U1380">
        <v>5.39</v>
      </c>
      <c r="V1380">
        <v>12.73</v>
      </c>
      <c r="W1380">
        <v>95278</v>
      </c>
      <c r="X1380">
        <v>59569</v>
      </c>
      <c r="Y1380">
        <v>1.6</v>
      </c>
      <c r="Z1380">
        <v>974</v>
      </c>
      <c r="AA1380">
        <v>285</v>
      </c>
      <c r="AB1380" t="s">
        <v>32</v>
      </c>
      <c r="AC1380">
        <v>2.27</v>
      </c>
    </row>
    <row r="1381" spans="1:29">
      <c r="A1381" t="str">
        <f>"300008"</f>
        <v>300008</v>
      </c>
      <c r="B1381" t="s">
        <v>1548</v>
      </c>
      <c r="C1381">
        <v>-0.69</v>
      </c>
      <c r="D1381">
        <v>4.3</v>
      </c>
      <c r="E1381">
        <v>-0.03</v>
      </c>
      <c r="F1381">
        <v>4.3</v>
      </c>
      <c r="G1381">
        <v>4.31</v>
      </c>
      <c r="H1381">
        <v>684867</v>
      </c>
      <c r="I1381">
        <v>7368</v>
      </c>
      <c r="J1381">
        <v>-0.45</v>
      </c>
      <c r="K1381">
        <v>11.37</v>
      </c>
      <c r="L1381">
        <v>4.34</v>
      </c>
      <c r="M1381">
        <v>4.41</v>
      </c>
      <c r="N1381">
        <v>4.22</v>
      </c>
      <c r="O1381">
        <v>4.33</v>
      </c>
      <c r="P1381">
        <v>158.87</v>
      </c>
      <c r="Q1381">
        <v>294860224</v>
      </c>
      <c r="R1381">
        <v>1.93</v>
      </c>
      <c r="S1381" t="s">
        <v>1549</v>
      </c>
      <c r="T1381" t="s">
        <v>366</v>
      </c>
      <c r="U1381">
        <v>4.39</v>
      </c>
      <c r="V1381">
        <v>4.31</v>
      </c>
      <c r="W1381">
        <v>346585</v>
      </c>
      <c r="X1381">
        <v>338282</v>
      </c>
      <c r="Y1381">
        <v>1.02</v>
      </c>
      <c r="Z1381">
        <v>1556</v>
      </c>
      <c r="AA1381">
        <v>1437</v>
      </c>
      <c r="AB1381" t="s">
        <v>32</v>
      </c>
      <c r="AC1381">
        <v>6.02</v>
      </c>
    </row>
    <row r="1382" spans="1:29">
      <c r="A1382" t="str">
        <f>"300009"</f>
        <v>300009</v>
      </c>
      <c r="B1382" t="s">
        <v>1550</v>
      </c>
      <c r="C1382">
        <v>0.62</v>
      </c>
      <c r="D1382">
        <v>17.82</v>
      </c>
      <c r="E1382">
        <v>0.11</v>
      </c>
      <c r="F1382">
        <v>17.82</v>
      </c>
      <c r="G1382">
        <v>17.83</v>
      </c>
      <c r="H1382">
        <v>234694</v>
      </c>
      <c r="I1382">
        <v>735</v>
      </c>
      <c r="J1382">
        <v>0</v>
      </c>
      <c r="K1382">
        <v>3.58</v>
      </c>
      <c r="L1382">
        <v>17.57</v>
      </c>
      <c r="M1382">
        <v>18.05</v>
      </c>
      <c r="N1382">
        <v>17.14</v>
      </c>
      <c r="O1382">
        <v>17.71</v>
      </c>
      <c r="P1382">
        <v>74.62</v>
      </c>
      <c r="Q1382">
        <v>412221440</v>
      </c>
      <c r="R1382">
        <v>1.74</v>
      </c>
      <c r="S1382" t="s">
        <v>36</v>
      </c>
      <c r="T1382" t="s">
        <v>143</v>
      </c>
      <c r="U1382">
        <v>5.14</v>
      </c>
      <c r="V1382">
        <v>17.56</v>
      </c>
      <c r="W1382">
        <v>121727</v>
      </c>
      <c r="X1382">
        <v>112966</v>
      </c>
      <c r="Y1382">
        <v>1.08</v>
      </c>
      <c r="Z1382">
        <v>188</v>
      </c>
      <c r="AA1382">
        <v>575</v>
      </c>
      <c r="AB1382" t="s">
        <v>32</v>
      </c>
      <c r="AC1382">
        <v>6.55</v>
      </c>
    </row>
    <row r="1383" spans="1:29">
      <c r="A1383" t="str">
        <f>"300010"</f>
        <v>300010</v>
      </c>
      <c r="B1383" t="s">
        <v>1551</v>
      </c>
      <c r="C1383">
        <v>0.68</v>
      </c>
      <c r="D1383">
        <v>10.34</v>
      </c>
      <c r="E1383">
        <v>0.07</v>
      </c>
      <c r="F1383">
        <v>10.33</v>
      </c>
      <c r="G1383">
        <v>10.34</v>
      </c>
      <c r="H1383">
        <v>139330</v>
      </c>
      <c r="I1383">
        <v>911</v>
      </c>
      <c r="J1383">
        <v>0.1</v>
      </c>
      <c r="K1383">
        <v>2.21</v>
      </c>
      <c r="L1383">
        <v>10.28</v>
      </c>
      <c r="M1383">
        <v>10.57</v>
      </c>
      <c r="N1383">
        <v>10.09</v>
      </c>
      <c r="O1383">
        <v>10.27</v>
      </c>
      <c r="P1383">
        <v>126.86</v>
      </c>
      <c r="Q1383">
        <v>143504432</v>
      </c>
      <c r="R1383">
        <v>1.17</v>
      </c>
      <c r="S1383" t="s">
        <v>270</v>
      </c>
      <c r="T1383" t="s">
        <v>45</v>
      </c>
      <c r="U1383">
        <v>4.67</v>
      </c>
      <c r="V1383">
        <v>10.3</v>
      </c>
      <c r="W1383">
        <v>75316</v>
      </c>
      <c r="X1383">
        <v>64014</v>
      </c>
      <c r="Y1383">
        <v>1.18</v>
      </c>
      <c r="Z1383">
        <v>219</v>
      </c>
      <c r="AA1383">
        <v>598</v>
      </c>
      <c r="AB1383" t="s">
        <v>32</v>
      </c>
      <c r="AC1383">
        <v>6.31</v>
      </c>
    </row>
    <row r="1384" spans="1:29">
      <c r="A1384" t="str">
        <f>"300011"</f>
        <v>300011</v>
      </c>
      <c r="B1384" t="s">
        <v>1552</v>
      </c>
      <c r="C1384">
        <v>1.45</v>
      </c>
      <c r="D1384">
        <v>7</v>
      </c>
      <c r="E1384">
        <v>0.1</v>
      </c>
      <c r="F1384">
        <v>7</v>
      </c>
      <c r="G1384">
        <v>7.01</v>
      </c>
      <c r="H1384">
        <v>87074</v>
      </c>
      <c r="I1384">
        <v>979</v>
      </c>
      <c r="J1384">
        <v>0</v>
      </c>
      <c r="K1384">
        <v>1.96</v>
      </c>
      <c r="L1384">
        <v>6.93</v>
      </c>
      <c r="M1384">
        <v>7.08</v>
      </c>
      <c r="N1384">
        <v>6.84</v>
      </c>
      <c r="O1384">
        <v>6.9</v>
      </c>
      <c r="P1384" t="s">
        <v>32</v>
      </c>
      <c r="Q1384">
        <v>60661964</v>
      </c>
      <c r="R1384">
        <v>1.17</v>
      </c>
      <c r="S1384" t="s">
        <v>44</v>
      </c>
      <c r="T1384" t="s">
        <v>45</v>
      </c>
      <c r="U1384">
        <v>3.48</v>
      </c>
      <c r="V1384">
        <v>6.97</v>
      </c>
      <c r="W1384">
        <v>49082</v>
      </c>
      <c r="X1384">
        <v>37992</v>
      </c>
      <c r="Y1384">
        <v>1.29</v>
      </c>
      <c r="Z1384">
        <v>579</v>
      </c>
      <c r="AA1384">
        <v>287</v>
      </c>
      <c r="AB1384" t="s">
        <v>32</v>
      </c>
      <c r="AC1384">
        <v>4.45</v>
      </c>
    </row>
    <row r="1385" spans="1:29">
      <c r="A1385" t="str">
        <f>"300012"</f>
        <v>300012</v>
      </c>
      <c r="B1385" t="s">
        <v>1553</v>
      </c>
      <c r="C1385">
        <v>1.76</v>
      </c>
      <c r="D1385">
        <v>6.37</v>
      </c>
      <c r="E1385">
        <v>0.11</v>
      </c>
      <c r="F1385">
        <v>6.37</v>
      </c>
      <c r="G1385">
        <v>6.38</v>
      </c>
      <c r="H1385">
        <v>389666</v>
      </c>
      <c r="I1385">
        <v>3474</v>
      </c>
      <c r="J1385">
        <v>0.31</v>
      </c>
      <c r="K1385">
        <v>2.64</v>
      </c>
      <c r="L1385">
        <v>6.3</v>
      </c>
      <c r="M1385">
        <v>6.5</v>
      </c>
      <c r="N1385">
        <v>6.12</v>
      </c>
      <c r="O1385">
        <v>6.26</v>
      </c>
      <c r="P1385" t="s">
        <v>32</v>
      </c>
      <c r="Q1385">
        <v>248322544</v>
      </c>
      <c r="R1385">
        <v>1.04</v>
      </c>
      <c r="S1385" t="s">
        <v>606</v>
      </c>
      <c r="T1385" t="s">
        <v>31</v>
      </c>
      <c r="U1385">
        <v>6.07</v>
      </c>
      <c r="V1385">
        <v>6.37</v>
      </c>
      <c r="W1385">
        <v>171911</v>
      </c>
      <c r="X1385">
        <v>217755</v>
      </c>
      <c r="Y1385">
        <v>0.79</v>
      </c>
      <c r="Z1385">
        <v>36</v>
      </c>
      <c r="AA1385">
        <v>1344</v>
      </c>
      <c r="AB1385" t="s">
        <v>32</v>
      </c>
      <c r="AC1385">
        <v>14.75</v>
      </c>
    </row>
    <row r="1386" spans="1:29">
      <c r="A1386" t="str">
        <f>"300013"</f>
        <v>300013</v>
      </c>
      <c r="B1386" t="s">
        <v>1554</v>
      </c>
      <c r="C1386">
        <v>9.94</v>
      </c>
      <c r="D1386">
        <v>9.95</v>
      </c>
      <c r="E1386">
        <v>0.9</v>
      </c>
      <c r="F1386">
        <v>9.94</v>
      </c>
      <c r="G1386">
        <v>9.95</v>
      </c>
      <c r="H1386">
        <v>72827</v>
      </c>
      <c r="I1386">
        <v>1109</v>
      </c>
      <c r="J1386">
        <v>-0.09</v>
      </c>
      <c r="K1386">
        <v>3.1</v>
      </c>
      <c r="L1386">
        <v>9.1</v>
      </c>
      <c r="M1386">
        <v>9.96</v>
      </c>
      <c r="N1386">
        <v>9.07</v>
      </c>
      <c r="O1386">
        <v>9.05</v>
      </c>
      <c r="P1386">
        <v>107.99</v>
      </c>
      <c r="Q1386">
        <v>69951872</v>
      </c>
      <c r="R1386">
        <v>2.62</v>
      </c>
      <c r="S1386" t="s">
        <v>742</v>
      </c>
      <c r="T1386" t="s">
        <v>87</v>
      </c>
      <c r="U1386">
        <v>9.83</v>
      </c>
      <c r="V1386">
        <v>9.61</v>
      </c>
      <c r="W1386">
        <v>35334</v>
      </c>
      <c r="X1386">
        <v>37493</v>
      </c>
      <c r="Y1386">
        <v>0.94</v>
      </c>
      <c r="Z1386">
        <v>41</v>
      </c>
      <c r="AA1386">
        <v>1375</v>
      </c>
      <c r="AB1386" t="s">
        <v>32</v>
      </c>
      <c r="AC1386">
        <v>2.35</v>
      </c>
    </row>
    <row r="1387" spans="1:29">
      <c r="A1387" t="str">
        <f>"300014"</f>
        <v>300014</v>
      </c>
      <c r="B1387" t="s">
        <v>1555</v>
      </c>
      <c r="C1387">
        <v>0.89</v>
      </c>
      <c r="D1387">
        <v>16.97</v>
      </c>
      <c r="E1387">
        <v>0.15</v>
      </c>
      <c r="F1387">
        <v>16.97</v>
      </c>
      <c r="G1387">
        <v>16.98</v>
      </c>
      <c r="H1387">
        <v>111844</v>
      </c>
      <c r="I1387">
        <v>1647</v>
      </c>
      <c r="J1387">
        <v>-0.05</v>
      </c>
      <c r="K1387">
        <v>1.37</v>
      </c>
      <c r="L1387">
        <v>16.87</v>
      </c>
      <c r="M1387">
        <v>17</v>
      </c>
      <c r="N1387">
        <v>16.73</v>
      </c>
      <c r="O1387">
        <v>16.82</v>
      </c>
      <c r="P1387">
        <v>48.89</v>
      </c>
      <c r="Q1387">
        <v>189126464</v>
      </c>
      <c r="R1387">
        <v>1.45</v>
      </c>
      <c r="S1387" t="s">
        <v>63</v>
      </c>
      <c r="T1387" t="s">
        <v>136</v>
      </c>
      <c r="U1387">
        <v>1.61</v>
      </c>
      <c r="V1387">
        <v>16.91</v>
      </c>
      <c r="W1387">
        <v>50762</v>
      </c>
      <c r="X1387">
        <v>61082</v>
      </c>
      <c r="Y1387">
        <v>0.83</v>
      </c>
      <c r="Z1387">
        <v>286</v>
      </c>
      <c r="AA1387">
        <v>370</v>
      </c>
      <c r="AB1387" t="s">
        <v>32</v>
      </c>
      <c r="AC1387">
        <v>8.19</v>
      </c>
    </row>
    <row r="1388" spans="1:29">
      <c r="A1388" t="str">
        <f>"300015"</f>
        <v>300015</v>
      </c>
      <c r="B1388" t="s">
        <v>1556</v>
      </c>
      <c r="C1388">
        <v>-0.15</v>
      </c>
      <c r="D1388">
        <v>33.2</v>
      </c>
      <c r="E1388">
        <v>-0.05</v>
      </c>
      <c r="F1388">
        <v>33.19</v>
      </c>
      <c r="G1388">
        <v>33.2</v>
      </c>
      <c r="H1388">
        <v>240956</v>
      </c>
      <c r="I1388">
        <v>3225</v>
      </c>
      <c r="J1388">
        <v>0.27</v>
      </c>
      <c r="K1388">
        <v>1.31</v>
      </c>
      <c r="L1388">
        <v>32.91</v>
      </c>
      <c r="M1388">
        <v>33.98</v>
      </c>
      <c r="N1388">
        <v>32.41</v>
      </c>
      <c r="O1388">
        <v>33.25</v>
      </c>
      <c r="P1388">
        <v>91.37</v>
      </c>
      <c r="Q1388">
        <v>801858304</v>
      </c>
      <c r="R1388">
        <v>1.42</v>
      </c>
      <c r="S1388" t="s">
        <v>138</v>
      </c>
      <c r="T1388" t="s">
        <v>152</v>
      </c>
      <c r="U1388">
        <v>4.72</v>
      </c>
      <c r="V1388">
        <v>33.28</v>
      </c>
      <c r="W1388">
        <v>130967</v>
      </c>
      <c r="X1388">
        <v>109989</v>
      </c>
      <c r="Y1388">
        <v>1.19</v>
      </c>
      <c r="Z1388">
        <v>32</v>
      </c>
      <c r="AA1388">
        <v>13381</v>
      </c>
      <c r="AB1388" t="s">
        <v>32</v>
      </c>
      <c r="AC1388">
        <v>18.36</v>
      </c>
    </row>
    <row r="1389" spans="1:29">
      <c r="A1389" t="str">
        <f>"300016"</f>
        <v>300016</v>
      </c>
      <c r="B1389" t="s">
        <v>1557</v>
      </c>
      <c r="C1389">
        <v>2.14</v>
      </c>
      <c r="D1389">
        <v>11.48</v>
      </c>
      <c r="E1389">
        <v>0.24</v>
      </c>
      <c r="F1389">
        <v>11.47</v>
      </c>
      <c r="G1389">
        <v>11.48</v>
      </c>
      <c r="H1389">
        <v>75539</v>
      </c>
      <c r="I1389">
        <v>612</v>
      </c>
      <c r="J1389">
        <v>0</v>
      </c>
      <c r="K1389">
        <v>2.97</v>
      </c>
      <c r="L1389">
        <v>11.25</v>
      </c>
      <c r="M1389">
        <v>11.56</v>
      </c>
      <c r="N1389">
        <v>11.2</v>
      </c>
      <c r="O1389">
        <v>11.24</v>
      </c>
      <c r="P1389">
        <v>32.54</v>
      </c>
      <c r="Q1389">
        <v>86165280</v>
      </c>
      <c r="R1389">
        <v>0.99</v>
      </c>
      <c r="S1389" t="s">
        <v>195</v>
      </c>
      <c r="T1389" t="s">
        <v>45</v>
      </c>
      <c r="U1389">
        <v>3.2</v>
      </c>
      <c r="V1389">
        <v>11.41</v>
      </c>
      <c r="W1389">
        <v>35403</v>
      </c>
      <c r="X1389">
        <v>40136</v>
      </c>
      <c r="Y1389">
        <v>0.88</v>
      </c>
      <c r="Z1389">
        <v>84</v>
      </c>
      <c r="AA1389">
        <v>378</v>
      </c>
      <c r="AB1389" t="s">
        <v>32</v>
      </c>
      <c r="AC1389">
        <v>2.54</v>
      </c>
    </row>
    <row r="1390" spans="1:29">
      <c r="A1390" t="str">
        <f>"300017"</f>
        <v>300017</v>
      </c>
      <c r="B1390" t="s">
        <v>1558</v>
      </c>
      <c r="C1390">
        <v>-0.81</v>
      </c>
      <c r="D1390">
        <v>11.03</v>
      </c>
      <c r="E1390">
        <v>-0.09</v>
      </c>
      <c r="F1390">
        <v>11.02</v>
      </c>
      <c r="G1390">
        <v>11.03</v>
      </c>
      <c r="H1390">
        <v>579579</v>
      </c>
      <c r="I1390">
        <v>6573</v>
      </c>
      <c r="J1390">
        <v>0.18</v>
      </c>
      <c r="K1390">
        <v>3.61</v>
      </c>
      <c r="L1390">
        <v>11.12</v>
      </c>
      <c r="M1390">
        <v>11.28</v>
      </c>
      <c r="N1390">
        <v>10.96</v>
      </c>
      <c r="O1390">
        <v>11.12</v>
      </c>
      <c r="P1390">
        <v>30.84</v>
      </c>
      <c r="Q1390">
        <v>642930048</v>
      </c>
      <c r="R1390">
        <v>1.04</v>
      </c>
      <c r="S1390" t="s">
        <v>714</v>
      </c>
      <c r="T1390" t="s">
        <v>366</v>
      </c>
      <c r="U1390">
        <v>2.88</v>
      </c>
      <c r="V1390">
        <v>11.09</v>
      </c>
      <c r="W1390">
        <v>323714</v>
      </c>
      <c r="X1390">
        <v>255864</v>
      </c>
      <c r="Y1390">
        <v>1.27</v>
      </c>
      <c r="Z1390">
        <v>6627</v>
      </c>
      <c r="AA1390">
        <v>2315</v>
      </c>
      <c r="AB1390" t="s">
        <v>32</v>
      </c>
      <c r="AC1390">
        <v>16.08</v>
      </c>
    </row>
    <row r="1391" spans="1:29">
      <c r="A1391" t="str">
        <f>"300018"</f>
        <v>300018</v>
      </c>
      <c r="B1391" t="s">
        <v>1559</v>
      </c>
      <c r="C1391">
        <v>-0.2</v>
      </c>
      <c r="D1391">
        <v>5.09</v>
      </c>
      <c r="E1391">
        <v>-0.01</v>
      </c>
      <c r="F1391">
        <v>5.09</v>
      </c>
      <c r="G1391">
        <v>5.1</v>
      </c>
      <c r="H1391">
        <v>92225</v>
      </c>
      <c r="I1391">
        <v>510</v>
      </c>
      <c r="J1391">
        <v>0</v>
      </c>
      <c r="K1391">
        <v>2.67</v>
      </c>
      <c r="L1391">
        <v>5.25</v>
      </c>
      <c r="M1391">
        <v>5.25</v>
      </c>
      <c r="N1391">
        <v>4.97</v>
      </c>
      <c r="O1391">
        <v>5.1</v>
      </c>
      <c r="P1391">
        <v>114.34</v>
      </c>
      <c r="Q1391">
        <v>46841716</v>
      </c>
      <c r="R1391">
        <v>1.99</v>
      </c>
      <c r="S1391" t="s">
        <v>104</v>
      </c>
      <c r="T1391" t="s">
        <v>193</v>
      </c>
      <c r="U1391">
        <v>5.49</v>
      </c>
      <c r="V1391">
        <v>5.08</v>
      </c>
      <c r="W1391">
        <v>50935</v>
      </c>
      <c r="X1391">
        <v>41290</v>
      </c>
      <c r="Y1391">
        <v>1.23</v>
      </c>
      <c r="Z1391">
        <v>326</v>
      </c>
      <c r="AA1391">
        <v>276</v>
      </c>
      <c r="AB1391" t="s">
        <v>32</v>
      </c>
      <c r="AC1391">
        <v>3.46</v>
      </c>
    </row>
    <row r="1392" spans="1:29">
      <c r="A1392" t="str">
        <f>"300019"</f>
        <v>300019</v>
      </c>
      <c r="B1392" t="s">
        <v>1560</v>
      </c>
      <c r="C1392">
        <v>0.15</v>
      </c>
      <c r="D1392">
        <v>6.88</v>
      </c>
      <c r="E1392">
        <v>0.01</v>
      </c>
      <c r="F1392">
        <v>6.88</v>
      </c>
      <c r="G1392">
        <v>6.89</v>
      </c>
      <c r="H1392">
        <v>26990</v>
      </c>
      <c r="I1392">
        <v>238</v>
      </c>
      <c r="J1392">
        <v>0.15</v>
      </c>
      <c r="K1392">
        <v>1</v>
      </c>
      <c r="L1392">
        <v>6.85</v>
      </c>
      <c r="M1392">
        <v>6.93</v>
      </c>
      <c r="N1392">
        <v>6.79</v>
      </c>
      <c r="O1392">
        <v>6.87</v>
      </c>
      <c r="P1392" t="s">
        <v>32</v>
      </c>
      <c r="Q1392">
        <v>18540054</v>
      </c>
      <c r="R1392">
        <v>0.91</v>
      </c>
      <c r="S1392" t="s">
        <v>218</v>
      </c>
      <c r="T1392" t="s">
        <v>146</v>
      </c>
      <c r="U1392">
        <v>2.04</v>
      </c>
      <c r="V1392">
        <v>6.87</v>
      </c>
      <c r="W1392">
        <v>15921</v>
      </c>
      <c r="X1392">
        <v>11068</v>
      </c>
      <c r="Y1392">
        <v>1.44</v>
      </c>
      <c r="Z1392">
        <v>324</v>
      </c>
      <c r="AA1392">
        <v>276</v>
      </c>
      <c r="AB1392" t="s">
        <v>32</v>
      </c>
      <c r="AC1392">
        <v>2.71</v>
      </c>
    </row>
    <row r="1393" spans="1:29">
      <c r="A1393" t="str">
        <f>"300020"</f>
        <v>300020</v>
      </c>
      <c r="B1393" t="s">
        <v>1561</v>
      </c>
      <c r="C1393">
        <v>3.08</v>
      </c>
      <c r="D1393">
        <v>9.38</v>
      </c>
      <c r="E1393">
        <v>0.28</v>
      </c>
      <c r="F1393">
        <v>9.38</v>
      </c>
      <c r="G1393">
        <v>9.39</v>
      </c>
      <c r="H1393">
        <v>127758</v>
      </c>
      <c r="I1393">
        <v>2896</v>
      </c>
      <c r="J1393">
        <v>0.32</v>
      </c>
      <c r="K1393">
        <v>2.07</v>
      </c>
      <c r="L1393">
        <v>9.1</v>
      </c>
      <c r="M1393">
        <v>9.43</v>
      </c>
      <c r="N1393">
        <v>9.04</v>
      </c>
      <c r="O1393">
        <v>9.1</v>
      </c>
      <c r="P1393">
        <v>28.69</v>
      </c>
      <c r="Q1393">
        <v>118604352</v>
      </c>
      <c r="R1393">
        <v>1.32</v>
      </c>
      <c r="S1393" t="s">
        <v>270</v>
      </c>
      <c r="T1393" t="s">
        <v>149</v>
      </c>
      <c r="U1393">
        <v>4.29</v>
      </c>
      <c r="V1393">
        <v>9.28</v>
      </c>
      <c r="W1393">
        <v>53231</v>
      </c>
      <c r="X1393">
        <v>74526</v>
      </c>
      <c r="Y1393">
        <v>0.71</v>
      </c>
      <c r="Z1393">
        <v>20</v>
      </c>
      <c r="AA1393">
        <v>478</v>
      </c>
      <c r="AB1393" t="s">
        <v>32</v>
      </c>
      <c r="AC1393">
        <v>6.19</v>
      </c>
    </row>
    <row r="1394" spans="1:29">
      <c r="A1394" t="str">
        <f>"300021"</f>
        <v>300021</v>
      </c>
      <c r="B1394" t="s">
        <v>1562</v>
      </c>
      <c r="C1394">
        <v>2.97</v>
      </c>
      <c r="D1394">
        <v>5.54</v>
      </c>
      <c r="E1394">
        <v>0.16</v>
      </c>
      <c r="F1394">
        <v>5.53</v>
      </c>
      <c r="G1394">
        <v>5.54</v>
      </c>
      <c r="H1394">
        <v>109653</v>
      </c>
      <c r="I1394">
        <v>1488</v>
      </c>
      <c r="J1394">
        <v>0.18</v>
      </c>
      <c r="K1394">
        <v>1.68</v>
      </c>
      <c r="L1394">
        <v>5.38</v>
      </c>
      <c r="M1394">
        <v>5.68</v>
      </c>
      <c r="N1394">
        <v>5.37</v>
      </c>
      <c r="O1394">
        <v>5.38</v>
      </c>
      <c r="P1394">
        <v>23.97</v>
      </c>
      <c r="Q1394">
        <v>60824900</v>
      </c>
      <c r="R1394">
        <v>1.66</v>
      </c>
      <c r="S1394" t="s">
        <v>115</v>
      </c>
      <c r="T1394" t="s">
        <v>266</v>
      </c>
      <c r="U1394">
        <v>5.76</v>
      </c>
      <c r="V1394">
        <v>5.55</v>
      </c>
      <c r="W1394">
        <v>53127</v>
      </c>
      <c r="X1394">
        <v>56525</v>
      </c>
      <c r="Y1394">
        <v>0.94</v>
      </c>
      <c r="Z1394">
        <v>1939</v>
      </c>
      <c r="AA1394">
        <v>1725</v>
      </c>
      <c r="AB1394" t="s">
        <v>32</v>
      </c>
      <c r="AC1394">
        <v>6.53</v>
      </c>
    </row>
    <row r="1395" spans="1:29">
      <c r="A1395" t="str">
        <f>"300022"</f>
        <v>300022</v>
      </c>
      <c r="B1395" t="s">
        <v>1563</v>
      </c>
      <c r="C1395">
        <v>5.42</v>
      </c>
      <c r="D1395">
        <v>4.47</v>
      </c>
      <c r="E1395">
        <v>0.23</v>
      </c>
      <c r="F1395">
        <v>4.46</v>
      </c>
      <c r="G1395">
        <v>4.47</v>
      </c>
      <c r="H1395">
        <v>198262</v>
      </c>
      <c r="I1395">
        <v>4722</v>
      </c>
      <c r="J1395">
        <v>0</v>
      </c>
      <c r="K1395">
        <v>6.17</v>
      </c>
      <c r="L1395">
        <v>4.21</v>
      </c>
      <c r="M1395">
        <v>4.56</v>
      </c>
      <c r="N1395">
        <v>4.18</v>
      </c>
      <c r="O1395">
        <v>4.24</v>
      </c>
      <c r="P1395">
        <v>907.56</v>
      </c>
      <c r="Q1395">
        <v>86680192</v>
      </c>
      <c r="R1395">
        <v>1.53</v>
      </c>
      <c r="S1395" t="s">
        <v>481</v>
      </c>
      <c r="T1395" t="s">
        <v>146</v>
      </c>
      <c r="U1395">
        <v>8.96</v>
      </c>
      <c r="V1395">
        <v>4.37</v>
      </c>
      <c r="W1395">
        <v>95737</v>
      </c>
      <c r="X1395">
        <v>102524</v>
      </c>
      <c r="Y1395">
        <v>0.93</v>
      </c>
      <c r="Z1395">
        <v>717</v>
      </c>
      <c r="AA1395">
        <v>383</v>
      </c>
      <c r="AB1395" t="s">
        <v>32</v>
      </c>
      <c r="AC1395">
        <v>3.21</v>
      </c>
    </row>
    <row r="1396" spans="1:29">
      <c r="A1396" t="str">
        <f>"300023"</f>
        <v>300023</v>
      </c>
      <c r="B1396" t="s">
        <v>1564</v>
      </c>
      <c r="C1396">
        <v>2.87</v>
      </c>
      <c r="D1396">
        <v>6.1</v>
      </c>
      <c r="E1396">
        <v>0.17</v>
      </c>
      <c r="F1396">
        <v>6.09</v>
      </c>
      <c r="G1396">
        <v>6.1</v>
      </c>
      <c r="H1396">
        <v>32982</v>
      </c>
      <c r="I1396">
        <v>300</v>
      </c>
      <c r="J1396">
        <v>0</v>
      </c>
      <c r="K1396">
        <v>2.28</v>
      </c>
      <c r="L1396">
        <v>5.9</v>
      </c>
      <c r="M1396">
        <v>6.24</v>
      </c>
      <c r="N1396">
        <v>5.87</v>
      </c>
      <c r="O1396">
        <v>5.93</v>
      </c>
      <c r="P1396" t="s">
        <v>32</v>
      </c>
      <c r="Q1396">
        <v>20070550</v>
      </c>
      <c r="R1396">
        <v>0.9</v>
      </c>
      <c r="S1396" t="s">
        <v>171</v>
      </c>
      <c r="T1396" t="s">
        <v>223</v>
      </c>
      <c r="U1396">
        <v>6.24</v>
      </c>
      <c r="V1396">
        <v>6.09</v>
      </c>
      <c r="W1396">
        <v>16901</v>
      </c>
      <c r="X1396">
        <v>16081</v>
      </c>
      <c r="Y1396">
        <v>1.05</v>
      </c>
      <c r="Z1396">
        <v>155</v>
      </c>
      <c r="AA1396">
        <v>19</v>
      </c>
      <c r="AB1396" t="s">
        <v>32</v>
      </c>
      <c r="AC1396">
        <v>1.44</v>
      </c>
    </row>
    <row r="1397" spans="1:29">
      <c r="A1397" t="str">
        <f>"300024"</f>
        <v>300024</v>
      </c>
      <c r="B1397" t="s">
        <v>1565</v>
      </c>
      <c r="C1397">
        <v>1.31</v>
      </c>
      <c r="D1397">
        <v>17.73</v>
      </c>
      <c r="E1397">
        <v>0.23</v>
      </c>
      <c r="F1397">
        <v>17.73</v>
      </c>
      <c r="G1397">
        <v>17.74</v>
      </c>
      <c r="H1397">
        <v>172824</v>
      </c>
      <c r="I1397">
        <v>1447</v>
      </c>
      <c r="J1397">
        <v>-0.05</v>
      </c>
      <c r="K1397">
        <v>1.14</v>
      </c>
      <c r="L1397">
        <v>17.57</v>
      </c>
      <c r="M1397">
        <v>17.93</v>
      </c>
      <c r="N1397">
        <v>17.37</v>
      </c>
      <c r="O1397">
        <v>17.5</v>
      </c>
      <c r="P1397">
        <v>113.62</v>
      </c>
      <c r="Q1397">
        <v>306087232</v>
      </c>
      <c r="R1397">
        <v>1.63</v>
      </c>
      <c r="S1397" t="s">
        <v>171</v>
      </c>
      <c r="T1397" t="s">
        <v>111</v>
      </c>
      <c r="U1397">
        <v>3.2</v>
      </c>
      <c r="V1397">
        <v>17.71</v>
      </c>
      <c r="W1397">
        <v>87313</v>
      </c>
      <c r="X1397">
        <v>85511</v>
      </c>
      <c r="Y1397">
        <v>1.02</v>
      </c>
      <c r="Z1397">
        <v>508</v>
      </c>
      <c r="AA1397">
        <v>348</v>
      </c>
      <c r="AB1397" t="s">
        <v>32</v>
      </c>
      <c r="AC1397">
        <v>15.14</v>
      </c>
    </row>
    <row r="1398" spans="1:29">
      <c r="A1398" t="str">
        <f>"300025"</f>
        <v>300025</v>
      </c>
      <c r="B1398" t="s">
        <v>1566</v>
      </c>
      <c r="C1398">
        <v>1.24</v>
      </c>
      <c r="D1398">
        <v>4.08</v>
      </c>
      <c r="E1398">
        <v>0.05</v>
      </c>
      <c r="F1398">
        <v>4.08</v>
      </c>
      <c r="G1398">
        <v>4.09</v>
      </c>
      <c r="H1398">
        <v>87563</v>
      </c>
      <c r="I1398">
        <v>979</v>
      </c>
      <c r="J1398">
        <v>-0.23</v>
      </c>
      <c r="K1398">
        <v>2.25</v>
      </c>
      <c r="L1398">
        <v>4.03</v>
      </c>
      <c r="M1398">
        <v>4.14</v>
      </c>
      <c r="N1398">
        <v>3.99</v>
      </c>
      <c r="O1398">
        <v>4.03</v>
      </c>
      <c r="P1398" t="s">
        <v>32</v>
      </c>
      <c r="Q1398">
        <v>35630000</v>
      </c>
      <c r="R1398">
        <v>1.1</v>
      </c>
      <c r="S1398" t="s">
        <v>119</v>
      </c>
      <c r="T1398" t="s">
        <v>149</v>
      </c>
      <c r="U1398">
        <v>3.72</v>
      </c>
      <c r="V1398">
        <v>4.07</v>
      </c>
      <c r="W1398">
        <v>40355</v>
      </c>
      <c r="X1398">
        <v>47208</v>
      </c>
      <c r="Y1398">
        <v>0.85</v>
      </c>
      <c r="Z1398">
        <v>128</v>
      </c>
      <c r="AA1398">
        <v>292</v>
      </c>
      <c r="AB1398" t="s">
        <v>32</v>
      </c>
      <c r="AC1398">
        <v>3.89</v>
      </c>
    </row>
    <row r="1399" spans="1:29">
      <c r="A1399" t="str">
        <f>"300026"</f>
        <v>300026</v>
      </c>
      <c r="B1399" t="s">
        <v>1567</v>
      </c>
      <c r="C1399">
        <v>1.05</v>
      </c>
      <c r="D1399">
        <v>3.86</v>
      </c>
      <c r="E1399">
        <v>0.04</v>
      </c>
      <c r="F1399">
        <v>3.85</v>
      </c>
      <c r="G1399">
        <v>3.86</v>
      </c>
      <c r="H1399">
        <v>130558</v>
      </c>
      <c r="I1399">
        <v>993</v>
      </c>
      <c r="J1399">
        <v>0</v>
      </c>
      <c r="K1399">
        <v>0.55</v>
      </c>
      <c r="L1399">
        <v>3.82</v>
      </c>
      <c r="M1399">
        <v>3.87</v>
      </c>
      <c r="N1399">
        <v>3.79</v>
      </c>
      <c r="O1399">
        <v>3.82</v>
      </c>
      <c r="P1399">
        <v>17.42</v>
      </c>
      <c r="Q1399">
        <v>50148952</v>
      </c>
      <c r="R1399">
        <v>0.78</v>
      </c>
      <c r="S1399" t="s">
        <v>195</v>
      </c>
      <c r="T1399" t="s">
        <v>248</v>
      </c>
      <c r="U1399">
        <v>2.09</v>
      </c>
      <c r="V1399">
        <v>3.84</v>
      </c>
      <c r="W1399">
        <v>64066</v>
      </c>
      <c r="X1399">
        <v>66492</v>
      </c>
      <c r="Y1399">
        <v>0.96</v>
      </c>
      <c r="Z1399">
        <v>1601</v>
      </c>
      <c r="AA1399">
        <v>408</v>
      </c>
      <c r="AB1399" t="s">
        <v>32</v>
      </c>
      <c r="AC1399">
        <v>23.9</v>
      </c>
    </row>
    <row r="1400" spans="1:29">
      <c r="A1400" t="str">
        <f>"300027"</f>
        <v>300027</v>
      </c>
      <c r="B1400" t="s">
        <v>1568</v>
      </c>
      <c r="C1400">
        <v>0.3</v>
      </c>
      <c r="D1400">
        <v>6.6</v>
      </c>
      <c r="E1400">
        <v>0.02</v>
      </c>
      <c r="F1400">
        <v>6.59</v>
      </c>
      <c r="G1400">
        <v>6.6</v>
      </c>
      <c r="H1400">
        <v>430372</v>
      </c>
      <c r="I1400">
        <v>2475</v>
      </c>
      <c r="J1400">
        <v>0.15</v>
      </c>
      <c r="K1400">
        <v>2.24</v>
      </c>
      <c r="L1400">
        <v>6.55</v>
      </c>
      <c r="M1400">
        <v>6.64</v>
      </c>
      <c r="N1400">
        <v>6.47</v>
      </c>
      <c r="O1400">
        <v>6.58</v>
      </c>
      <c r="P1400">
        <v>17.71</v>
      </c>
      <c r="Q1400">
        <v>281740704</v>
      </c>
      <c r="R1400">
        <v>0.97</v>
      </c>
      <c r="S1400" t="s">
        <v>148</v>
      </c>
      <c r="T1400" t="s">
        <v>149</v>
      </c>
      <c r="U1400">
        <v>2.58</v>
      </c>
      <c r="V1400">
        <v>6.55</v>
      </c>
      <c r="W1400">
        <v>238717</v>
      </c>
      <c r="X1400">
        <v>191654</v>
      </c>
      <c r="Y1400">
        <v>1.25</v>
      </c>
      <c r="Z1400">
        <v>2117</v>
      </c>
      <c r="AA1400">
        <v>3751</v>
      </c>
      <c r="AB1400" t="s">
        <v>32</v>
      </c>
      <c r="AC1400">
        <v>19.2</v>
      </c>
    </row>
    <row r="1401" spans="1:29">
      <c r="A1401" t="str">
        <f>"300028"</f>
        <v>300028</v>
      </c>
      <c r="B1401" t="s">
        <v>1569</v>
      </c>
      <c r="C1401">
        <v>2.41</v>
      </c>
      <c r="D1401">
        <v>0.85</v>
      </c>
      <c r="E1401">
        <v>0.02</v>
      </c>
      <c r="F1401">
        <v>0.84</v>
      </c>
      <c r="G1401">
        <v>0.85</v>
      </c>
      <c r="H1401">
        <v>228738</v>
      </c>
      <c r="I1401">
        <v>4553</v>
      </c>
      <c r="J1401">
        <v>0</v>
      </c>
      <c r="K1401">
        <v>6.65</v>
      </c>
      <c r="L1401">
        <v>0.84</v>
      </c>
      <c r="M1401">
        <v>0.85</v>
      </c>
      <c r="N1401">
        <v>0.83</v>
      </c>
      <c r="O1401">
        <v>0.83</v>
      </c>
      <c r="P1401" t="s">
        <v>32</v>
      </c>
      <c r="Q1401">
        <v>19279142</v>
      </c>
      <c r="R1401">
        <v>0.8</v>
      </c>
      <c r="S1401" t="s">
        <v>119</v>
      </c>
      <c r="T1401" t="s">
        <v>146</v>
      </c>
      <c r="U1401">
        <v>2.41</v>
      </c>
      <c r="V1401">
        <v>0.84</v>
      </c>
      <c r="W1401">
        <v>115895</v>
      </c>
      <c r="X1401">
        <v>112842</v>
      </c>
      <c r="Y1401">
        <v>1.03</v>
      </c>
      <c r="Z1401">
        <v>15360</v>
      </c>
      <c r="AA1401">
        <v>24170</v>
      </c>
      <c r="AB1401" t="s">
        <v>32</v>
      </c>
      <c r="AC1401">
        <v>3.44</v>
      </c>
    </row>
    <row r="1402" spans="1:29">
      <c r="A1402" t="str">
        <f>"300029"</f>
        <v>300029</v>
      </c>
      <c r="B1402" t="s">
        <v>1570</v>
      </c>
      <c r="C1402">
        <v>2.53</v>
      </c>
      <c r="D1402">
        <v>5.68</v>
      </c>
      <c r="E1402">
        <v>0.14</v>
      </c>
      <c r="F1402">
        <v>5.67</v>
      </c>
      <c r="G1402">
        <v>5.68</v>
      </c>
      <c r="H1402">
        <v>22099</v>
      </c>
      <c r="I1402">
        <v>292</v>
      </c>
      <c r="J1402">
        <v>0.35</v>
      </c>
      <c r="K1402">
        <v>1.16</v>
      </c>
      <c r="L1402">
        <v>5.59</v>
      </c>
      <c r="M1402">
        <v>5.83</v>
      </c>
      <c r="N1402">
        <v>5.5</v>
      </c>
      <c r="O1402">
        <v>5.54</v>
      </c>
      <c r="P1402" t="s">
        <v>32</v>
      </c>
      <c r="Q1402">
        <v>12497643</v>
      </c>
      <c r="R1402">
        <v>1.84</v>
      </c>
      <c r="S1402" t="s">
        <v>171</v>
      </c>
      <c r="T1402" t="s">
        <v>87</v>
      </c>
      <c r="U1402">
        <v>5.96</v>
      </c>
      <c r="V1402">
        <v>5.66</v>
      </c>
      <c r="W1402">
        <v>9282</v>
      </c>
      <c r="X1402">
        <v>12817</v>
      </c>
      <c r="Y1402">
        <v>0.72</v>
      </c>
      <c r="Z1402">
        <v>164</v>
      </c>
      <c r="AA1402">
        <v>133</v>
      </c>
      <c r="AB1402" t="s">
        <v>32</v>
      </c>
      <c r="AC1402">
        <v>1.9</v>
      </c>
    </row>
    <row r="1403" spans="1:29">
      <c r="A1403" t="str">
        <f>"300030"</f>
        <v>300030</v>
      </c>
      <c r="B1403" t="s">
        <v>1571</v>
      </c>
      <c r="C1403">
        <v>1.99</v>
      </c>
      <c r="D1403">
        <v>6.66</v>
      </c>
      <c r="E1403">
        <v>0.13</v>
      </c>
      <c r="F1403">
        <v>6.65</v>
      </c>
      <c r="G1403">
        <v>6.66</v>
      </c>
      <c r="H1403">
        <v>38115</v>
      </c>
      <c r="I1403">
        <v>161</v>
      </c>
      <c r="J1403">
        <v>0.15</v>
      </c>
      <c r="K1403">
        <v>1.5</v>
      </c>
      <c r="L1403">
        <v>6.5</v>
      </c>
      <c r="M1403">
        <v>6.68</v>
      </c>
      <c r="N1403">
        <v>6.47</v>
      </c>
      <c r="O1403">
        <v>6.53</v>
      </c>
      <c r="P1403">
        <v>147.33</v>
      </c>
      <c r="Q1403">
        <v>25215666</v>
      </c>
      <c r="R1403">
        <v>1.13</v>
      </c>
      <c r="S1403" t="s">
        <v>138</v>
      </c>
      <c r="T1403" t="s">
        <v>136</v>
      </c>
      <c r="U1403">
        <v>3.22</v>
      </c>
      <c r="V1403">
        <v>6.62</v>
      </c>
      <c r="W1403">
        <v>19850</v>
      </c>
      <c r="X1403">
        <v>18264</v>
      </c>
      <c r="Y1403">
        <v>1.09</v>
      </c>
      <c r="Z1403">
        <v>114</v>
      </c>
      <c r="AA1403">
        <v>95</v>
      </c>
      <c r="AB1403" t="s">
        <v>32</v>
      </c>
      <c r="AC1403">
        <v>2.54</v>
      </c>
    </row>
    <row r="1404" spans="1:29">
      <c r="A1404" t="str">
        <f>"300031"</f>
        <v>300031</v>
      </c>
      <c r="B1404" t="s">
        <v>1572</v>
      </c>
      <c r="C1404">
        <v>2.22</v>
      </c>
      <c r="D1404">
        <v>14.3</v>
      </c>
      <c r="E1404">
        <v>0.31</v>
      </c>
      <c r="F1404">
        <v>14.29</v>
      </c>
      <c r="G1404">
        <v>14.3</v>
      </c>
      <c r="H1404">
        <v>71540</v>
      </c>
      <c r="I1404">
        <v>589</v>
      </c>
      <c r="J1404">
        <v>0</v>
      </c>
      <c r="K1404">
        <v>2.79</v>
      </c>
      <c r="L1404">
        <v>13.99</v>
      </c>
      <c r="M1404">
        <v>14.33</v>
      </c>
      <c r="N1404">
        <v>13.89</v>
      </c>
      <c r="O1404">
        <v>13.99</v>
      </c>
      <c r="P1404">
        <v>26.43</v>
      </c>
      <c r="Q1404">
        <v>101144336</v>
      </c>
      <c r="R1404">
        <v>2.55</v>
      </c>
      <c r="S1404" t="s">
        <v>316</v>
      </c>
      <c r="T1404" t="s">
        <v>87</v>
      </c>
      <c r="U1404">
        <v>3.15</v>
      </c>
      <c r="V1404">
        <v>14.14</v>
      </c>
      <c r="W1404">
        <v>29395</v>
      </c>
      <c r="X1404">
        <v>42145</v>
      </c>
      <c r="Y1404">
        <v>0.7</v>
      </c>
      <c r="Z1404">
        <v>304</v>
      </c>
      <c r="AA1404">
        <v>223</v>
      </c>
      <c r="AB1404" t="s">
        <v>32</v>
      </c>
      <c r="AC1404">
        <v>2.57</v>
      </c>
    </row>
    <row r="1405" spans="1:29">
      <c r="A1405" t="str">
        <f>"300032"</f>
        <v>300032</v>
      </c>
      <c r="B1405" t="s">
        <v>1573</v>
      </c>
      <c r="C1405">
        <v>0.65</v>
      </c>
      <c r="D1405">
        <v>4.67</v>
      </c>
      <c r="E1405">
        <v>0.03</v>
      </c>
      <c r="F1405">
        <v>4.66</v>
      </c>
      <c r="G1405">
        <v>4.67</v>
      </c>
      <c r="H1405">
        <v>251370</v>
      </c>
      <c r="I1405">
        <v>7332</v>
      </c>
      <c r="J1405">
        <v>0.43</v>
      </c>
      <c r="K1405">
        <v>3.18</v>
      </c>
      <c r="L1405">
        <v>4.68</v>
      </c>
      <c r="M1405">
        <v>4.69</v>
      </c>
      <c r="N1405">
        <v>4.47</v>
      </c>
      <c r="O1405">
        <v>4.64</v>
      </c>
      <c r="P1405" t="s">
        <v>32</v>
      </c>
      <c r="Q1405">
        <v>115701088</v>
      </c>
      <c r="R1405">
        <v>0.83</v>
      </c>
      <c r="S1405" t="s">
        <v>63</v>
      </c>
      <c r="T1405" t="s">
        <v>149</v>
      </c>
      <c r="U1405">
        <v>4.74</v>
      </c>
      <c r="V1405">
        <v>4.6</v>
      </c>
      <c r="W1405">
        <v>139402</v>
      </c>
      <c r="X1405">
        <v>111968</v>
      </c>
      <c r="Y1405">
        <v>1.25</v>
      </c>
      <c r="Z1405">
        <v>1814</v>
      </c>
      <c r="AA1405">
        <v>30</v>
      </c>
      <c r="AB1405" t="s">
        <v>32</v>
      </c>
      <c r="AC1405">
        <v>7.89</v>
      </c>
    </row>
    <row r="1406" spans="1:29">
      <c r="A1406" t="str">
        <f>"300033"</f>
        <v>300033</v>
      </c>
      <c r="B1406" t="s">
        <v>1574</v>
      </c>
      <c r="C1406">
        <v>8.91</v>
      </c>
      <c r="D1406">
        <v>41.06</v>
      </c>
      <c r="E1406">
        <v>3.36</v>
      </c>
      <c r="F1406">
        <v>41.04</v>
      </c>
      <c r="G1406">
        <v>41.06</v>
      </c>
      <c r="H1406">
        <v>107039</v>
      </c>
      <c r="I1406">
        <v>721</v>
      </c>
      <c r="J1406">
        <v>-0.16</v>
      </c>
      <c r="K1406">
        <v>4.06</v>
      </c>
      <c r="L1406">
        <v>37.71</v>
      </c>
      <c r="M1406">
        <v>41.47</v>
      </c>
      <c r="N1406">
        <v>37.45</v>
      </c>
      <c r="O1406">
        <v>37.7</v>
      </c>
      <c r="P1406">
        <v>73.25</v>
      </c>
      <c r="Q1406">
        <v>435662432</v>
      </c>
      <c r="R1406">
        <v>4.96</v>
      </c>
      <c r="S1406" t="s">
        <v>270</v>
      </c>
      <c r="T1406" t="s">
        <v>149</v>
      </c>
      <c r="U1406">
        <v>10.66</v>
      </c>
      <c r="V1406">
        <v>40.7</v>
      </c>
      <c r="W1406">
        <v>63955</v>
      </c>
      <c r="X1406">
        <v>43084</v>
      </c>
      <c r="Y1406">
        <v>1.48</v>
      </c>
      <c r="Z1406">
        <v>2</v>
      </c>
      <c r="AA1406">
        <v>156</v>
      </c>
      <c r="AB1406" t="s">
        <v>32</v>
      </c>
      <c r="AC1406">
        <v>2.64</v>
      </c>
    </row>
    <row r="1407" spans="1:29">
      <c r="A1407" t="str">
        <f>"300034"</f>
        <v>300034</v>
      </c>
      <c r="B1407" t="s">
        <v>1575</v>
      </c>
      <c r="C1407">
        <v>0.9</v>
      </c>
      <c r="D1407">
        <v>10.08</v>
      </c>
      <c r="E1407">
        <v>0.09</v>
      </c>
      <c r="F1407">
        <v>10.07</v>
      </c>
      <c r="G1407">
        <v>10.08</v>
      </c>
      <c r="H1407">
        <v>45443</v>
      </c>
      <c r="I1407">
        <v>557</v>
      </c>
      <c r="J1407">
        <v>-0.09</v>
      </c>
      <c r="K1407">
        <v>1.08</v>
      </c>
      <c r="L1407">
        <v>9.98</v>
      </c>
      <c r="M1407">
        <v>10.19</v>
      </c>
      <c r="N1407">
        <v>9.98</v>
      </c>
      <c r="O1407">
        <v>9.99</v>
      </c>
      <c r="P1407">
        <v>45.92</v>
      </c>
      <c r="Q1407">
        <v>45892148</v>
      </c>
      <c r="R1407">
        <v>1.17</v>
      </c>
      <c r="S1407" t="s">
        <v>356</v>
      </c>
      <c r="T1407" t="s">
        <v>45</v>
      </c>
      <c r="U1407">
        <v>2.1</v>
      </c>
      <c r="V1407">
        <v>10.1</v>
      </c>
      <c r="W1407">
        <v>20776</v>
      </c>
      <c r="X1407">
        <v>24667</v>
      </c>
      <c r="Y1407">
        <v>0.84</v>
      </c>
      <c r="Z1407">
        <v>825</v>
      </c>
      <c r="AA1407">
        <v>26</v>
      </c>
      <c r="AB1407" t="s">
        <v>32</v>
      </c>
      <c r="AC1407">
        <v>4.21</v>
      </c>
    </row>
    <row r="1408" spans="1:29">
      <c r="A1408" t="str">
        <f>"300035"</f>
        <v>300035</v>
      </c>
      <c r="B1408" t="s">
        <v>1576</v>
      </c>
      <c r="C1408">
        <v>1.97</v>
      </c>
      <c r="D1408">
        <v>6.2</v>
      </c>
      <c r="E1408">
        <v>0.12</v>
      </c>
      <c r="F1408">
        <v>6.2</v>
      </c>
      <c r="G1408">
        <v>6.21</v>
      </c>
      <c r="H1408">
        <v>317072</v>
      </c>
      <c r="I1408">
        <v>6602</v>
      </c>
      <c r="J1408">
        <v>-0.47</v>
      </c>
      <c r="K1408">
        <v>8.13</v>
      </c>
      <c r="L1408">
        <v>5.93</v>
      </c>
      <c r="M1408">
        <v>6.44</v>
      </c>
      <c r="N1408">
        <v>5.91</v>
      </c>
      <c r="O1408">
        <v>6.08</v>
      </c>
      <c r="P1408">
        <v>28.36</v>
      </c>
      <c r="Q1408">
        <v>194444560</v>
      </c>
      <c r="R1408">
        <v>1.03</v>
      </c>
      <c r="S1408" t="s">
        <v>104</v>
      </c>
      <c r="T1408" t="s">
        <v>152</v>
      </c>
      <c r="U1408">
        <v>8.72</v>
      </c>
      <c r="V1408">
        <v>6.13</v>
      </c>
      <c r="W1408">
        <v>169749</v>
      </c>
      <c r="X1408">
        <v>147322</v>
      </c>
      <c r="Y1408">
        <v>1.15</v>
      </c>
      <c r="Z1408">
        <v>168</v>
      </c>
      <c r="AA1408">
        <v>232</v>
      </c>
      <c r="AB1408" t="s">
        <v>32</v>
      </c>
      <c r="AC1408">
        <v>3.9</v>
      </c>
    </row>
    <row r="1409" spans="1:29">
      <c r="A1409" t="str">
        <f>"300036"</f>
        <v>300036</v>
      </c>
      <c r="B1409" t="s">
        <v>1577</v>
      </c>
      <c r="C1409">
        <v>-1.71</v>
      </c>
      <c r="D1409">
        <v>24.08</v>
      </c>
      <c r="E1409">
        <v>-0.42</v>
      </c>
      <c r="F1409">
        <v>24.07</v>
      </c>
      <c r="G1409">
        <v>24.08</v>
      </c>
      <c r="H1409">
        <v>308990</v>
      </c>
      <c r="I1409">
        <v>7884</v>
      </c>
      <c r="J1409">
        <v>0.25</v>
      </c>
      <c r="K1409">
        <v>9.3</v>
      </c>
      <c r="L1409">
        <v>24.19</v>
      </c>
      <c r="M1409">
        <v>24.38</v>
      </c>
      <c r="N1409">
        <v>23.58</v>
      </c>
      <c r="O1409">
        <v>24.5</v>
      </c>
      <c r="P1409">
        <v>211.97</v>
      </c>
      <c r="Q1409">
        <v>740758144</v>
      </c>
      <c r="R1409">
        <v>1.27</v>
      </c>
      <c r="S1409" t="s">
        <v>270</v>
      </c>
      <c r="T1409" t="s">
        <v>45</v>
      </c>
      <c r="U1409">
        <v>3.27</v>
      </c>
      <c r="V1409">
        <v>23.97</v>
      </c>
      <c r="W1409">
        <v>164489</v>
      </c>
      <c r="X1409">
        <v>144500</v>
      </c>
      <c r="Y1409">
        <v>1.14</v>
      </c>
      <c r="Z1409">
        <v>210</v>
      </c>
      <c r="AA1409">
        <v>471</v>
      </c>
      <c r="AB1409" t="s">
        <v>32</v>
      </c>
      <c r="AC1409">
        <v>3.32</v>
      </c>
    </row>
    <row r="1410" spans="1:29">
      <c r="A1410" t="str">
        <f>"300037"</f>
        <v>300037</v>
      </c>
      <c r="B1410" t="s">
        <v>1578</v>
      </c>
      <c r="C1410">
        <v>-0.29</v>
      </c>
      <c r="D1410">
        <v>27.22</v>
      </c>
      <c r="E1410">
        <v>-0.08</v>
      </c>
      <c r="F1410">
        <v>27.21</v>
      </c>
      <c r="G1410">
        <v>27.22</v>
      </c>
      <c r="H1410">
        <v>66766</v>
      </c>
      <c r="I1410">
        <v>649</v>
      </c>
      <c r="J1410">
        <v>-0.1</v>
      </c>
      <c r="K1410">
        <v>2.74</v>
      </c>
      <c r="L1410">
        <v>27.27</v>
      </c>
      <c r="M1410">
        <v>27.9</v>
      </c>
      <c r="N1410">
        <v>26.4</v>
      </c>
      <c r="O1410">
        <v>27.3</v>
      </c>
      <c r="P1410">
        <v>49.75</v>
      </c>
      <c r="Q1410">
        <v>181408528</v>
      </c>
      <c r="R1410">
        <v>0.87</v>
      </c>
      <c r="S1410" t="s">
        <v>218</v>
      </c>
      <c r="T1410" t="s">
        <v>31</v>
      </c>
      <c r="U1410">
        <v>5.49</v>
      </c>
      <c r="V1410">
        <v>27.17</v>
      </c>
      <c r="W1410">
        <v>30098</v>
      </c>
      <c r="X1410">
        <v>36667</v>
      </c>
      <c r="Y1410">
        <v>0.82</v>
      </c>
      <c r="Z1410">
        <v>123</v>
      </c>
      <c r="AA1410">
        <v>403</v>
      </c>
      <c r="AB1410" t="s">
        <v>32</v>
      </c>
      <c r="AC1410">
        <v>2.44</v>
      </c>
    </row>
    <row r="1411" spans="1:29">
      <c r="A1411" t="str">
        <f>"300038"</f>
        <v>300038</v>
      </c>
      <c r="B1411" t="s">
        <v>1579</v>
      </c>
      <c r="C1411">
        <v>1.8</v>
      </c>
      <c r="D1411">
        <v>11.9</v>
      </c>
      <c r="E1411">
        <v>0.21</v>
      </c>
      <c r="F1411">
        <v>11.89</v>
      </c>
      <c r="G1411">
        <v>11.9</v>
      </c>
      <c r="H1411">
        <v>282275</v>
      </c>
      <c r="I1411">
        <v>2974</v>
      </c>
      <c r="J1411">
        <v>0.17</v>
      </c>
      <c r="K1411">
        <v>6.88</v>
      </c>
      <c r="L1411">
        <v>11.98</v>
      </c>
      <c r="M1411">
        <v>12.09</v>
      </c>
      <c r="N1411">
        <v>11.7</v>
      </c>
      <c r="O1411">
        <v>11.69</v>
      </c>
      <c r="P1411">
        <v>29.14</v>
      </c>
      <c r="Q1411">
        <v>333369472</v>
      </c>
      <c r="R1411">
        <v>1.43</v>
      </c>
      <c r="S1411" t="s">
        <v>119</v>
      </c>
      <c r="T1411" t="s">
        <v>45</v>
      </c>
      <c r="U1411">
        <v>3.34</v>
      </c>
      <c r="V1411">
        <v>11.81</v>
      </c>
      <c r="W1411">
        <v>143119</v>
      </c>
      <c r="X1411">
        <v>139156</v>
      </c>
      <c r="Y1411">
        <v>1.03</v>
      </c>
      <c r="Z1411">
        <v>517</v>
      </c>
      <c r="AA1411">
        <v>2421</v>
      </c>
      <c r="AB1411" t="s">
        <v>32</v>
      </c>
      <c r="AC1411">
        <v>4.1</v>
      </c>
    </row>
    <row r="1412" spans="1:29">
      <c r="A1412" t="str">
        <f>"300039"</f>
        <v>300039</v>
      </c>
      <c r="B1412" t="s">
        <v>1580</v>
      </c>
      <c r="C1412">
        <v>3.34</v>
      </c>
      <c r="D1412">
        <v>5.88</v>
      </c>
      <c r="E1412">
        <v>0.19</v>
      </c>
      <c r="F1412">
        <v>5.88</v>
      </c>
      <c r="G1412">
        <v>5.89</v>
      </c>
      <c r="H1412">
        <v>99941</v>
      </c>
      <c r="I1412">
        <v>688</v>
      </c>
      <c r="J1412">
        <v>0</v>
      </c>
      <c r="K1412">
        <v>1.39</v>
      </c>
      <c r="L1412">
        <v>5.66</v>
      </c>
      <c r="M1412">
        <v>5.91</v>
      </c>
      <c r="N1412">
        <v>5.62</v>
      </c>
      <c r="O1412">
        <v>5.69</v>
      </c>
      <c r="P1412">
        <v>15.82</v>
      </c>
      <c r="Q1412">
        <v>57957524</v>
      </c>
      <c r="R1412">
        <v>2.39</v>
      </c>
      <c r="S1412" t="s">
        <v>195</v>
      </c>
      <c r="T1412" t="s">
        <v>366</v>
      </c>
      <c r="U1412">
        <v>5.1</v>
      </c>
      <c r="V1412">
        <v>5.8</v>
      </c>
      <c r="W1412">
        <v>33280</v>
      </c>
      <c r="X1412">
        <v>66660</v>
      </c>
      <c r="Y1412">
        <v>0.5</v>
      </c>
      <c r="Z1412">
        <v>24</v>
      </c>
      <c r="AA1412">
        <v>1136</v>
      </c>
      <c r="AB1412" t="s">
        <v>32</v>
      </c>
      <c r="AC1412">
        <v>7.19</v>
      </c>
    </row>
    <row r="1413" spans="1:29">
      <c r="A1413" t="str">
        <f>"300040"</f>
        <v>300040</v>
      </c>
      <c r="B1413" t="s">
        <v>1581</v>
      </c>
      <c r="C1413">
        <v>1.5</v>
      </c>
      <c r="D1413">
        <v>6.08</v>
      </c>
      <c r="E1413">
        <v>0.09</v>
      </c>
      <c r="F1413">
        <v>6.07</v>
      </c>
      <c r="G1413">
        <v>6.08</v>
      </c>
      <c r="H1413">
        <v>39626</v>
      </c>
      <c r="I1413">
        <v>344</v>
      </c>
      <c r="J1413">
        <v>0</v>
      </c>
      <c r="K1413">
        <v>1.7</v>
      </c>
      <c r="L1413">
        <v>6.06</v>
      </c>
      <c r="M1413">
        <v>6.1</v>
      </c>
      <c r="N1413">
        <v>5.96</v>
      </c>
      <c r="O1413">
        <v>5.99</v>
      </c>
      <c r="P1413">
        <v>21.77</v>
      </c>
      <c r="Q1413">
        <v>23988654</v>
      </c>
      <c r="R1413">
        <v>1.07</v>
      </c>
      <c r="S1413" t="s">
        <v>104</v>
      </c>
      <c r="T1413" t="s">
        <v>297</v>
      </c>
      <c r="U1413">
        <v>2.34</v>
      </c>
      <c r="V1413">
        <v>6.05</v>
      </c>
      <c r="W1413">
        <v>19058</v>
      </c>
      <c r="X1413">
        <v>20568</v>
      </c>
      <c r="Y1413">
        <v>0.93</v>
      </c>
      <c r="Z1413">
        <v>532</v>
      </c>
      <c r="AA1413">
        <v>451</v>
      </c>
      <c r="AB1413" t="s">
        <v>32</v>
      </c>
      <c r="AC1413">
        <v>2.33</v>
      </c>
    </row>
    <row r="1414" spans="1:29">
      <c r="A1414" t="str">
        <f>"300041"</f>
        <v>300041</v>
      </c>
      <c r="B1414" t="s">
        <v>1582</v>
      </c>
      <c r="C1414">
        <v>1.86</v>
      </c>
      <c r="D1414">
        <v>9.33</v>
      </c>
      <c r="E1414">
        <v>0.17</v>
      </c>
      <c r="F1414">
        <v>9.32</v>
      </c>
      <c r="G1414">
        <v>9.33</v>
      </c>
      <c r="H1414">
        <v>33145</v>
      </c>
      <c r="I1414">
        <v>744</v>
      </c>
      <c r="J1414">
        <v>0</v>
      </c>
      <c r="K1414">
        <v>1.28</v>
      </c>
      <c r="L1414">
        <v>9.17</v>
      </c>
      <c r="M1414">
        <v>9.38</v>
      </c>
      <c r="N1414">
        <v>9.14</v>
      </c>
      <c r="O1414">
        <v>9.16</v>
      </c>
      <c r="P1414">
        <v>15.89</v>
      </c>
      <c r="Q1414">
        <v>30802224</v>
      </c>
      <c r="R1414">
        <v>1.33</v>
      </c>
      <c r="S1414" t="s">
        <v>218</v>
      </c>
      <c r="T1414" t="s">
        <v>193</v>
      </c>
      <c r="U1414">
        <v>2.62</v>
      </c>
      <c r="V1414">
        <v>9.29</v>
      </c>
      <c r="W1414">
        <v>14271</v>
      </c>
      <c r="X1414">
        <v>18874</v>
      </c>
      <c r="Y1414">
        <v>0.76</v>
      </c>
      <c r="Z1414">
        <v>262</v>
      </c>
      <c r="AA1414">
        <v>300</v>
      </c>
      <c r="AB1414" t="s">
        <v>32</v>
      </c>
      <c r="AC1414">
        <v>2.59</v>
      </c>
    </row>
    <row r="1415" spans="1:29">
      <c r="A1415" t="str">
        <f>"300042"</f>
        <v>300042</v>
      </c>
      <c r="B1415" t="s">
        <v>1583</v>
      </c>
      <c r="C1415">
        <v>1.29</v>
      </c>
      <c r="D1415">
        <v>25.16</v>
      </c>
      <c r="E1415">
        <v>0.32</v>
      </c>
      <c r="F1415">
        <v>25.15</v>
      </c>
      <c r="G1415">
        <v>25.16</v>
      </c>
      <c r="H1415">
        <v>6626</v>
      </c>
      <c r="I1415">
        <v>106</v>
      </c>
      <c r="J1415">
        <v>-0.07</v>
      </c>
      <c r="K1415">
        <v>0.59</v>
      </c>
      <c r="L1415">
        <v>24.79</v>
      </c>
      <c r="M1415">
        <v>25.3</v>
      </c>
      <c r="N1415">
        <v>24.68</v>
      </c>
      <c r="O1415">
        <v>24.84</v>
      </c>
      <c r="P1415">
        <v>56.44</v>
      </c>
      <c r="Q1415">
        <v>16559072</v>
      </c>
      <c r="R1415">
        <v>0.66</v>
      </c>
      <c r="S1415" t="s">
        <v>65</v>
      </c>
      <c r="T1415" t="s">
        <v>31</v>
      </c>
      <c r="U1415">
        <v>2.5</v>
      </c>
      <c r="V1415">
        <v>24.99</v>
      </c>
      <c r="W1415">
        <v>1779</v>
      </c>
      <c r="X1415">
        <v>4847</v>
      </c>
      <c r="Y1415">
        <v>0.37</v>
      </c>
      <c r="Z1415">
        <v>20</v>
      </c>
      <c r="AA1415">
        <v>99</v>
      </c>
      <c r="AB1415" t="s">
        <v>32</v>
      </c>
      <c r="AC1415">
        <v>1.12</v>
      </c>
    </row>
    <row r="1416" spans="1:29">
      <c r="A1416" t="str">
        <f>"300043"</f>
        <v>300043</v>
      </c>
      <c r="B1416" t="s">
        <v>1584</v>
      </c>
      <c r="C1416">
        <v>3.07</v>
      </c>
      <c r="D1416">
        <v>4.03</v>
      </c>
      <c r="E1416">
        <v>0.12</v>
      </c>
      <c r="F1416">
        <v>4.02</v>
      </c>
      <c r="G1416">
        <v>4.03</v>
      </c>
      <c r="H1416">
        <v>218106</v>
      </c>
      <c r="I1416">
        <v>1813</v>
      </c>
      <c r="J1416">
        <v>0.25</v>
      </c>
      <c r="K1416">
        <v>2.4</v>
      </c>
      <c r="L1416">
        <v>3.9</v>
      </c>
      <c r="M1416">
        <v>4.06</v>
      </c>
      <c r="N1416">
        <v>3.88</v>
      </c>
      <c r="O1416">
        <v>3.91</v>
      </c>
      <c r="P1416">
        <v>43.31</v>
      </c>
      <c r="Q1416">
        <v>86438432</v>
      </c>
      <c r="R1416">
        <v>2.71</v>
      </c>
      <c r="S1416" t="s">
        <v>57</v>
      </c>
      <c r="T1416" t="s">
        <v>136</v>
      </c>
      <c r="U1416">
        <v>4.6</v>
      </c>
      <c r="V1416">
        <v>3.96</v>
      </c>
      <c r="W1416">
        <v>89677</v>
      </c>
      <c r="X1416">
        <v>128428</v>
      </c>
      <c r="Y1416">
        <v>0.7</v>
      </c>
      <c r="Z1416">
        <v>477</v>
      </c>
      <c r="AA1416">
        <v>684</v>
      </c>
      <c r="AB1416" t="s">
        <v>32</v>
      </c>
      <c r="AC1416">
        <v>9.09</v>
      </c>
    </row>
    <row r="1417" spans="1:29">
      <c r="A1417" t="str">
        <f>"300044"</f>
        <v>300044</v>
      </c>
      <c r="B1417" t="s">
        <v>1585</v>
      </c>
      <c r="C1417">
        <v>1.23</v>
      </c>
      <c r="D1417">
        <v>7.4</v>
      </c>
      <c r="E1417">
        <v>0.09</v>
      </c>
      <c r="F1417">
        <v>7.39</v>
      </c>
      <c r="G1417">
        <v>7.4</v>
      </c>
      <c r="H1417">
        <v>165475</v>
      </c>
      <c r="I1417">
        <v>1928</v>
      </c>
      <c r="J1417">
        <v>0.14</v>
      </c>
      <c r="K1417">
        <v>3.54</v>
      </c>
      <c r="L1417">
        <v>7.35</v>
      </c>
      <c r="M1417">
        <v>7.49</v>
      </c>
      <c r="N1417">
        <v>7.23</v>
      </c>
      <c r="O1417">
        <v>7.31</v>
      </c>
      <c r="P1417">
        <v>34.47</v>
      </c>
      <c r="Q1417">
        <v>122063104</v>
      </c>
      <c r="R1417">
        <v>1.5</v>
      </c>
      <c r="S1417" t="s">
        <v>270</v>
      </c>
      <c r="T1417" t="s">
        <v>31</v>
      </c>
      <c r="U1417">
        <v>3.56</v>
      </c>
      <c r="V1417">
        <v>7.38</v>
      </c>
      <c r="W1417">
        <v>77022</v>
      </c>
      <c r="X1417">
        <v>88452</v>
      </c>
      <c r="Y1417">
        <v>0.87</v>
      </c>
      <c r="Z1417">
        <v>444</v>
      </c>
      <c r="AA1417">
        <v>846</v>
      </c>
      <c r="AB1417" t="s">
        <v>32</v>
      </c>
      <c r="AC1417">
        <v>4.68</v>
      </c>
    </row>
    <row r="1418" spans="1:29">
      <c r="A1418" t="str">
        <f>"300045"</f>
        <v>300045</v>
      </c>
      <c r="B1418" t="s">
        <v>1586</v>
      </c>
      <c r="C1418">
        <v>2.12</v>
      </c>
      <c r="D1418">
        <v>8.19</v>
      </c>
      <c r="E1418">
        <v>0.17</v>
      </c>
      <c r="F1418">
        <v>8.19</v>
      </c>
      <c r="G1418">
        <v>8.2</v>
      </c>
      <c r="H1418">
        <v>44506</v>
      </c>
      <c r="I1418">
        <v>426</v>
      </c>
      <c r="J1418">
        <v>0</v>
      </c>
      <c r="K1418">
        <v>1.21</v>
      </c>
      <c r="L1418">
        <v>8.02</v>
      </c>
      <c r="M1418">
        <v>8.2</v>
      </c>
      <c r="N1418">
        <v>7.96</v>
      </c>
      <c r="O1418">
        <v>8.02</v>
      </c>
      <c r="P1418" t="s">
        <v>32</v>
      </c>
      <c r="Q1418">
        <v>36169660</v>
      </c>
      <c r="R1418">
        <v>0.55</v>
      </c>
      <c r="S1418" t="s">
        <v>65</v>
      </c>
      <c r="T1418" t="s">
        <v>45</v>
      </c>
      <c r="U1418">
        <v>2.99</v>
      </c>
      <c r="V1418">
        <v>8.13</v>
      </c>
      <c r="W1418">
        <v>16422</v>
      </c>
      <c r="X1418">
        <v>28084</v>
      </c>
      <c r="Y1418">
        <v>0.58</v>
      </c>
      <c r="Z1418">
        <v>234</v>
      </c>
      <c r="AA1418">
        <v>554</v>
      </c>
      <c r="AB1418" t="s">
        <v>32</v>
      </c>
      <c r="AC1418">
        <v>3.66</v>
      </c>
    </row>
    <row r="1419" spans="1:29">
      <c r="A1419" t="str">
        <f>"300046"</f>
        <v>300046</v>
      </c>
      <c r="B1419" t="s">
        <v>1587</v>
      </c>
      <c r="C1419">
        <v>-1.43</v>
      </c>
      <c r="D1419">
        <v>14.51</v>
      </c>
      <c r="E1419">
        <v>-0.21</v>
      </c>
      <c r="F1419">
        <v>14.51</v>
      </c>
      <c r="G1419">
        <v>14.52</v>
      </c>
      <c r="H1419">
        <v>117262</v>
      </c>
      <c r="I1419">
        <v>1873</v>
      </c>
      <c r="J1419">
        <v>0.07</v>
      </c>
      <c r="K1419">
        <v>5.5</v>
      </c>
      <c r="L1419">
        <v>14.59</v>
      </c>
      <c r="M1419">
        <v>14.69</v>
      </c>
      <c r="N1419">
        <v>14.31</v>
      </c>
      <c r="O1419">
        <v>14.72</v>
      </c>
      <c r="P1419">
        <v>33.34</v>
      </c>
      <c r="Q1419">
        <v>169767216</v>
      </c>
      <c r="R1419">
        <v>0.56</v>
      </c>
      <c r="S1419" t="s">
        <v>699</v>
      </c>
      <c r="T1419" t="s">
        <v>193</v>
      </c>
      <c r="U1419">
        <v>2.58</v>
      </c>
      <c r="V1419">
        <v>14.48</v>
      </c>
      <c r="W1419">
        <v>64900</v>
      </c>
      <c r="X1419">
        <v>52361</v>
      </c>
      <c r="Y1419">
        <v>1.24</v>
      </c>
      <c r="Z1419">
        <v>85</v>
      </c>
      <c r="AA1419">
        <v>1339</v>
      </c>
      <c r="AB1419" t="s">
        <v>32</v>
      </c>
      <c r="AC1419">
        <v>2.13</v>
      </c>
    </row>
    <row r="1420" spans="1:29">
      <c r="A1420" t="str">
        <f>"300047"</f>
        <v>300047</v>
      </c>
      <c r="B1420" t="s">
        <v>1588</v>
      </c>
      <c r="C1420">
        <v>1.09</v>
      </c>
      <c r="D1420">
        <v>16.63</v>
      </c>
      <c r="E1420">
        <v>0.18</v>
      </c>
      <c r="F1420">
        <v>16.63</v>
      </c>
      <c r="G1420">
        <v>16.64</v>
      </c>
      <c r="H1420">
        <v>99191</v>
      </c>
      <c r="I1420">
        <v>3370</v>
      </c>
      <c r="J1420">
        <v>0.24</v>
      </c>
      <c r="K1420">
        <v>3.5</v>
      </c>
      <c r="L1420">
        <v>16.28</v>
      </c>
      <c r="M1420">
        <v>16.66</v>
      </c>
      <c r="N1420">
        <v>15.96</v>
      </c>
      <c r="O1420">
        <v>16.45</v>
      </c>
      <c r="P1420">
        <v>323.93</v>
      </c>
      <c r="Q1420">
        <v>162079408</v>
      </c>
      <c r="R1420">
        <v>1.1</v>
      </c>
      <c r="S1420" t="s">
        <v>270</v>
      </c>
      <c r="T1420" t="s">
        <v>31</v>
      </c>
      <c r="U1420">
        <v>4.26</v>
      </c>
      <c r="V1420">
        <v>16.34</v>
      </c>
      <c r="W1420">
        <v>47082</v>
      </c>
      <c r="X1420">
        <v>52109</v>
      </c>
      <c r="Y1420">
        <v>0.9</v>
      </c>
      <c r="Z1420">
        <v>2734</v>
      </c>
      <c r="AA1420">
        <v>445</v>
      </c>
      <c r="AB1420" t="s">
        <v>32</v>
      </c>
      <c r="AC1420">
        <v>2.83</v>
      </c>
    </row>
    <row r="1421" spans="1:29">
      <c r="A1421" t="str">
        <f>"300048"</f>
        <v>300048</v>
      </c>
      <c r="B1421" t="s">
        <v>1589</v>
      </c>
      <c r="C1421">
        <v>2.04</v>
      </c>
      <c r="D1421">
        <v>3</v>
      </c>
      <c r="E1421">
        <v>0.06</v>
      </c>
      <c r="F1421">
        <v>3</v>
      </c>
      <c r="G1421">
        <v>3.01</v>
      </c>
      <c r="H1421">
        <v>156360</v>
      </c>
      <c r="I1421">
        <v>1814</v>
      </c>
      <c r="J1421">
        <v>0.33</v>
      </c>
      <c r="K1421">
        <v>1.6</v>
      </c>
      <c r="L1421">
        <v>2.94</v>
      </c>
      <c r="M1421">
        <v>3.04</v>
      </c>
      <c r="N1421">
        <v>2.9</v>
      </c>
      <c r="O1421">
        <v>2.94</v>
      </c>
      <c r="P1421">
        <v>125.23</v>
      </c>
      <c r="Q1421">
        <v>46725120</v>
      </c>
      <c r="R1421">
        <v>1.04</v>
      </c>
      <c r="S1421" t="s">
        <v>104</v>
      </c>
      <c r="T1421" t="s">
        <v>45</v>
      </c>
      <c r="U1421">
        <v>4.76</v>
      </c>
      <c r="V1421">
        <v>2.99</v>
      </c>
      <c r="W1421">
        <v>80012</v>
      </c>
      <c r="X1421">
        <v>76348</v>
      </c>
      <c r="Y1421">
        <v>1.05</v>
      </c>
      <c r="Z1421">
        <v>1754</v>
      </c>
      <c r="AA1421">
        <v>2933</v>
      </c>
      <c r="AB1421" t="s">
        <v>32</v>
      </c>
      <c r="AC1421">
        <v>9.75</v>
      </c>
    </row>
    <row r="1422" spans="1:29">
      <c r="A1422" t="str">
        <f>"300049"</f>
        <v>300049</v>
      </c>
      <c r="B1422" t="s">
        <v>1590</v>
      </c>
      <c r="C1422">
        <v>1.3</v>
      </c>
      <c r="D1422">
        <v>11.73</v>
      </c>
      <c r="E1422">
        <v>0.15</v>
      </c>
      <c r="F1422">
        <v>11.7</v>
      </c>
      <c r="G1422">
        <v>11.73</v>
      </c>
      <c r="H1422">
        <v>38453</v>
      </c>
      <c r="I1422">
        <v>399</v>
      </c>
      <c r="J1422">
        <v>0.43</v>
      </c>
      <c r="K1422">
        <v>1.69</v>
      </c>
      <c r="L1422">
        <v>11.49</v>
      </c>
      <c r="M1422">
        <v>11.9</v>
      </c>
      <c r="N1422">
        <v>11.49</v>
      </c>
      <c r="O1422">
        <v>11.58</v>
      </c>
      <c r="P1422">
        <v>76.25</v>
      </c>
      <c r="Q1422">
        <v>44971312</v>
      </c>
      <c r="R1422">
        <v>0.65</v>
      </c>
      <c r="S1422" t="s">
        <v>195</v>
      </c>
      <c r="T1422" t="s">
        <v>198</v>
      </c>
      <c r="U1422">
        <v>3.54</v>
      </c>
      <c r="V1422">
        <v>11.7</v>
      </c>
      <c r="W1422">
        <v>19355</v>
      </c>
      <c r="X1422">
        <v>19097</v>
      </c>
      <c r="Y1422">
        <v>1.01</v>
      </c>
      <c r="Z1422">
        <v>53</v>
      </c>
      <c r="AA1422">
        <v>120</v>
      </c>
      <c r="AB1422" t="s">
        <v>32</v>
      </c>
      <c r="AC1422">
        <v>2.28</v>
      </c>
    </row>
    <row r="1423" spans="1:29">
      <c r="A1423" t="str">
        <f>"300050"</f>
        <v>300050</v>
      </c>
      <c r="B1423" t="s">
        <v>1591</v>
      </c>
      <c r="C1423">
        <v>1.92</v>
      </c>
      <c r="D1423">
        <v>5.85</v>
      </c>
      <c r="E1423">
        <v>0.11</v>
      </c>
      <c r="F1423">
        <v>5.85</v>
      </c>
      <c r="G1423">
        <v>5.86</v>
      </c>
      <c r="H1423">
        <v>60422</v>
      </c>
      <c r="I1423">
        <v>1280</v>
      </c>
      <c r="J1423">
        <v>0.17</v>
      </c>
      <c r="K1423">
        <v>1.65</v>
      </c>
      <c r="L1423">
        <v>5.73</v>
      </c>
      <c r="M1423">
        <v>6.08</v>
      </c>
      <c r="N1423">
        <v>5.71</v>
      </c>
      <c r="O1423">
        <v>5.74</v>
      </c>
      <c r="P1423">
        <v>68.94</v>
      </c>
      <c r="Q1423">
        <v>35253840</v>
      </c>
      <c r="R1423">
        <v>1.09</v>
      </c>
      <c r="S1423" t="s">
        <v>270</v>
      </c>
      <c r="T1423" t="s">
        <v>136</v>
      </c>
      <c r="U1423">
        <v>6.45</v>
      </c>
      <c r="V1423">
        <v>5.83</v>
      </c>
      <c r="W1423">
        <v>33981</v>
      </c>
      <c r="X1423">
        <v>26441</v>
      </c>
      <c r="Y1423">
        <v>1.29</v>
      </c>
      <c r="Z1423">
        <v>355</v>
      </c>
      <c r="AA1423">
        <v>342</v>
      </c>
      <c r="AB1423" t="s">
        <v>32</v>
      </c>
      <c r="AC1423">
        <v>3.65</v>
      </c>
    </row>
    <row r="1424" spans="1:29">
      <c r="A1424" t="str">
        <f>"300051"</f>
        <v>300051</v>
      </c>
      <c r="B1424" t="s">
        <v>1592</v>
      </c>
      <c r="C1424">
        <v>1.5</v>
      </c>
      <c r="D1424">
        <v>8.11</v>
      </c>
      <c r="E1424">
        <v>0.12</v>
      </c>
      <c r="F1424">
        <v>8.1</v>
      </c>
      <c r="G1424">
        <v>8.11</v>
      </c>
      <c r="H1424">
        <v>64813</v>
      </c>
      <c r="I1424">
        <v>972</v>
      </c>
      <c r="J1424">
        <v>0.12</v>
      </c>
      <c r="K1424">
        <v>2.64</v>
      </c>
      <c r="L1424">
        <v>8.03</v>
      </c>
      <c r="M1424">
        <v>8.19</v>
      </c>
      <c r="N1424">
        <v>7.93</v>
      </c>
      <c r="O1424">
        <v>7.99</v>
      </c>
      <c r="P1424">
        <v>65.1</v>
      </c>
      <c r="Q1424">
        <v>52405948</v>
      </c>
      <c r="R1424">
        <v>1.75</v>
      </c>
      <c r="S1424" t="s">
        <v>316</v>
      </c>
      <c r="T1424" t="s">
        <v>236</v>
      </c>
      <c r="U1424">
        <v>3.25</v>
      </c>
      <c r="V1424">
        <v>8.09</v>
      </c>
      <c r="W1424">
        <v>32146</v>
      </c>
      <c r="X1424">
        <v>32667</v>
      </c>
      <c r="Y1424">
        <v>0.98</v>
      </c>
      <c r="Z1424">
        <v>242</v>
      </c>
      <c r="AA1424">
        <v>47</v>
      </c>
      <c r="AB1424" t="s">
        <v>32</v>
      </c>
      <c r="AC1424">
        <v>2.45</v>
      </c>
    </row>
    <row r="1425" spans="1:29">
      <c r="A1425" t="str">
        <f>"300052"</f>
        <v>300052</v>
      </c>
      <c r="B1425" t="s">
        <v>1593</v>
      </c>
      <c r="C1425">
        <v>0.9</v>
      </c>
      <c r="D1425">
        <v>11.25</v>
      </c>
      <c r="E1425">
        <v>0.1</v>
      </c>
      <c r="F1425">
        <v>11.24</v>
      </c>
      <c r="G1425">
        <v>11.25</v>
      </c>
      <c r="H1425">
        <v>55706</v>
      </c>
      <c r="I1425">
        <v>1125</v>
      </c>
      <c r="J1425">
        <v>-0.17</v>
      </c>
      <c r="K1425">
        <v>2.14</v>
      </c>
      <c r="L1425">
        <v>11.11</v>
      </c>
      <c r="M1425">
        <v>11.45</v>
      </c>
      <c r="N1425">
        <v>11.1</v>
      </c>
      <c r="O1425">
        <v>11.15</v>
      </c>
      <c r="P1425">
        <v>51.12</v>
      </c>
      <c r="Q1425">
        <v>62908768</v>
      </c>
      <c r="R1425">
        <v>1.55</v>
      </c>
      <c r="S1425" t="s">
        <v>316</v>
      </c>
      <c r="T1425" t="s">
        <v>31</v>
      </c>
      <c r="U1425">
        <v>3.14</v>
      </c>
      <c r="V1425">
        <v>11.29</v>
      </c>
      <c r="W1425">
        <v>27365</v>
      </c>
      <c r="X1425">
        <v>28341</v>
      </c>
      <c r="Y1425">
        <v>0.97</v>
      </c>
      <c r="Z1425">
        <v>439</v>
      </c>
      <c r="AA1425">
        <v>89</v>
      </c>
      <c r="AB1425" t="s">
        <v>32</v>
      </c>
      <c r="AC1425">
        <v>2.6</v>
      </c>
    </row>
    <row r="1426" spans="1:29">
      <c r="A1426" t="str">
        <f>"300053"</f>
        <v>300053</v>
      </c>
      <c r="B1426" t="s">
        <v>1594</v>
      </c>
      <c r="C1426">
        <v>1</v>
      </c>
      <c r="D1426">
        <v>12.07</v>
      </c>
      <c r="E1426">
        <v>0.12</v>
      </c>
      <c r="F1426">
        <v>12.07</v>
      </c>
      <c r="G1426">
        <v>12.08</v>
      </c>
      <c r="H1426">
        <v>181462</v>
      </c>
      <c r="I1426">
        <v>1476</v>
      </c>
      <c r="J1426">
        <v>0</v>
      </c>
      <c r="K1426">
        <v>3.67</v>
      </c>
      <c r="L1426">
        <v>11.9</v>
      </c>
      <c r="M1426">
        <v>12.21</v>
      </c>
      <c r="N1426">
        <v>11.76</v>
      </c>
      <c r="O1426">
        <v>11.95</v>
      </c>
      <c r="P1426">
        <v>93.53</v>
      </c>
      <c r="Q1426">
        <v>217278016</v>
      </c>
      <c r="R1426">
        <v>1.84</v>
      </c>
      <c r="S1426" t="s">
        <v>699</v>
      </c>
      <c r="T1426" t="s">
        <v>136</v>
      </c>
      <c r="U1426">
        <v>3.77</v>
      </c>
      <c r="V1426">
        <v>11.97</v>
      </c>
      <c r="W1426">
        <v>91863</v>
      </c>
      <c r="X1426">
        <v>89598</v>
      </c>
      <c r="Y1426">
        <v>1.03</v>
      </c>
      <c r="Z1426">
        <v>64</v>
      </c>
      <c r="AA1426">
        <v>390</v>
      </c>
      <c r="AB1426" t="s">
        <v>32</v>
      </c>
      <c r="AC1426">
        <v>4.94</v>
      </c>
    </row>
    <row r="1427" spans="1:29">
      <c r="A1427" t="str">
        <f>"300054"</f>
        <v>300054</v>
      </c>
      <c r="B1427" t="s">
        <v>1595</v>
      </c>
      <c r="C1427">
        <v>0.54</v>
      </c>
      <c r="D1427">
        <v>9.36</v>
      </c>
      <c r="E1427">
        <v>0.05</v>
      </c>
      <c r="F1427">
        <v>9.36</v>
      </c>
      <c r="G1427">
        <v>9.37</v>
      </c>
      <c r="H1427">
        <v>82138</v>
      </c>
      <c r="I1427">
        <v>370</v>
      </c>
      <c r="J1427">
        <v>-0.1</v>
      </c>
      <c r="K1427">
        <v>1.2</v>
      </c>
      <c r="L1427">
        <v>9.32</v>
      </c>
      <c r="M1427">
        <v>9.5</v>
      </c>
      <c r="N1427">
        <v>9.21</v>
      </c>
      <c r="O1427">
        <v>9.31</v>
      </c>
      <c r="P1427">
        <v>46.16</v>
      </c>
      <c r="Q1427">
        <v>76884576</v>
      </c>
      <c r="R1427">
        <v>0.83</v>
      </c>
      <c r="S1427" t="s">
        <v>218</v>
      </c>
      <c r="T1427" t="s">
        <v>193</v>
      </c>
      <c r="U1427">
        <v>3.11</v>
      </c>
      <c r="V1427">
        <v>9.36</v>
      </c>
      <c r="W1427">
        <v>50786</v>
      </c>
      <c r="X1427">
        <v>31351</v>
      </c>
      <c r="Y1427">
        <v>1.62</v>
      </c>
      <c r="Z1427">
        <v>1267</v>
      </c>
      <c r="AA1427">
        <v>58</v>
      </c>
      <c r="AB1427" t="s">
        <v>32</v>
      </c>
      <c r="AC1427">
        <v>6.84</v>
      </c>
    </row>
    <row r="1428" spans="1:29">
      <c r="A1428" t="str">
        <f>"300055"</f>
        <v>300055</v>
      </c>
      <c r="B1428" t="s">
        <v>1596</v>
      </c>
      <c r="C1428">
        <v>3.45</v>
      </c>
      <c r="D1428">
        <v>11.71</v>
      </c>
      <c r="E1428">
        <v>0.39</v>
      </c>
      <c r="F1428">
        <v>11.71</v>
      </c>
      <c r="G1428">
        <v>11.72</v>
      </c>
      <c r="H1428">
        <v>173476</v>
      </c>
      <c r="I1428">
        <v>2211</v>
      </c>
      <c r="J1428">
        <v>0</v>
      </c>
      <c r="K1428">
        <v>2.01</v>
      </c>
      <c r="L1428">
        <v>11.4</v>
      </c>
      <c r="M1428">
        <v>11.82</v>
      </c>
      <c r="N1428">
        <v>11.32</v>
      </c>
      <c r="O1428">
        <v>11.32</v>
      </c>
      <c r="P1428">
        <v>28.56</v>
      </c>
      <c r="Q1428">
        <v>201978640</v>
      </c>
      <c r="R1428">
        <v>2.32</v>
      </c>
      <c r="S1428" t="s">
        <v>86</v>
      </c>
      <c r="T1428" t="s">
        <v>45</v>
      </c>
      <c r="U1428">
        <v>4.42</v>
      </c>
      <c r="V1428">
        <v>11.64</v>
      </c>
      <c r="W1428">
        <v>86259</v>
      </c>
      <c r="X1428">
        <v>87217</v>
      </c>
      <c r="Y1428">
        <v>0.99</v>
      </c>
      <c r="Z1428">
        <v>582</v>
      </c>
      <c r="AA1428">
        <v>463</v>
      </c>
      <c r="AB1428" t="s">
        <v>32</v>
      </c>
      <c r="AC1428">
        <v>8.65</v>
      </c>
    </row>
    <row r="1429" spans="1:29">
      <c r="A1429" t="str">
        <f>"300056"</f>
        <v>300056</v>
      </c>
      <c r="B1429" t="s">
        <v>1597</v>
      </c>
      <c r="C1429">
        <v>0.82</v>
      </c>
      <c r="D1429">
        <v>7.41</v>
      </c>
      <c r="E1429">
        <v>0.06</v>
      </c>
      <c r="F1429">
        <v>7.41</v>
      </c>
      <c r="G1429">
        <v>7.42</v>
      </c>
      <c r="H1429">
        <v>204518</v>
      </c>
      <c r="I1429">
        <v>2583</v>
      </c>
      <c r="J1429">
        <v>0.27</v>
      </c>
      <c r="K1429">
        <v>8.63</v>
      </c>
      <c r="L1429">
        <v>7.33</v>
      </c>
      <c r="M1429">
        <v>7.68</v>
      </c>
      <c r="N1429">
        <v>7.28</v>
      </c>
      <c r="O1429">
        <v>7.35</v>
      </c>
      <c r="P1429" t="s">
        <v>32</v>
      </c>
      <c r="Q1429">
        <v>153106608</v>
      </c>
      <c r="R1429">
        <v>0.64</v>
      </c>
      <c r="S1429" t="s">
        <v>86</v>
      </c>
      <c r="T1429" t="s">
        <v>236</v>
      </c>
      <c r="U1429">
        <v>5.44</v>
      </c>
      <c r="V1429">
        <v>7.49</v>
      </c>
      <c r="W1429">
        <v>106446</v>
      </c>
      <c r="X1429">
        <v>98071</v>
      </c>
      <c r="Y1429">
        <v>1.09</v>
      </c>
      <c r="Z1429">
        <v>665</v>
      </c>
      <c r="AA1429">
        <v>496</v>
      </c>
      <c r="AB1429" t="s">
        <v>32</v>
      </c>
      <c r="AC1429">
        <v>2.37</v>
      </c>
    </row>
    <row r="1430" spans="1:29">
      <c r="A1430" t="str">
        <f>"300057"</f>
        <v>300057</v>
      </c>
      <c r="B1430" t="s">
        <v>1598</v>
      </c>
      <c r="C1430">
        <v>2.3</v>
      </c>
      <c r="D1430">
        <v>6.66</v>
      </c>
      <c r="E1430">
        <v>0.15</v>
      </c>
      <c r="F1430">
        <v>6.65</v>
      </c>
      <c r="G1430">
        <v>6.66</v>
      </c>
      <c r="H1430">
        <v>39985</v>
      </c>
      <c r="I1430">
        <v>3237</v>
      </c>
      <c r="J1430">
        <v>1.22</v>
      </c>
      <c r="K1430">
        <v>1.36</v>
      </c>
      <c r="L1430">
        <v>6.5</v>
      </c>
      <c r="M1430">
        <v>6.72</v>
      </c>
      <c r="N1430">
        <v>6.41</v>
      </c>
      <c r="O1430">
        <v>6.51</v>
      </c>
      <c r="P1430">
        <v>43.08</v>
      </c>
      <c r="Q1430">
        <v>26299102</v>
      </c>
      <c r="R1430">
        <v>1.21</v>
      </c>
      <c r="S1430" t="s">
        <v>91</v>
      </c>
      <c r="T1430" t="s">
        <v>136</v>
      </c>
      <c r="U1430">
        <v>4.76</v>
      </c>
      <c r="V1430">
        <v>6.58</v>
      </c>
      <c r="W1430">
        <v>20470</v>
      </c>
      <c r="X1430">
        <v>19515</v>
      </c>
      <c r="Y1430">
        <v>1.05</v>
      </c>
      <c r="Z1430">
        <v>0</v>
      </c>
      <c r="AA1430">
        <v>452</v>
      </c>
      <c r="AB1430" t="s">
        <v>32</v>
      </c>
      <c r="AC1430">
        <v>2.94</v>
      </c>
    </row>
    <row r="1431" spans="1:29">
      <c r="A1431" t="str">
        <f>"300058"</f>
        <v>300058</v>
      </c>
      <c r="B1431" t="s">
        <v>1599</v>
      </c>
      <c r="C1431">
        <v>1.71</v>
      </c>
      <c r="D1431">
        <v>5.35</v>
      </c>
      <c r="E1431">
        <v>0.09</v>
      </c>
      <c r="F1431">
        <v>5.34</v>
      </c>
      <c r="G1431">
        <v>5.35</v>
      </c>
      <c r="H1431">
        <v>223702</v>
      </c>
      <c r="I1431">
        <v>2974</v>
      </c>
      <c r="J1431">
        <v>0</v>
      </c>
      <c r="K1431">
        <v>1.35</v>
      </c>
      <c r="L1431">
        <v>5.23</v>
      </c>
      <c r="M1431">
        <v>5.36</v>
      </c>
      <c r="N1431">
        <v>5.19</v>
      </c>
      <c r="O1431">
        <v>5.26</v>
      </c>
      <c r="P1431">
        <v>19.05</v>
      </c>
      <c r="Q1431">
        <v>118619368</v>
      </c>
      <c r="R1431">
        <v>1.54</v>
      </c>
      <c r="S1431" t="s">
        <v>91</v>
      </c>
      <c r="T1431" t="s">
        <v>45</v>
      </c>
      <c r="U1431">
        <v>3.23</v>
      </c>
      <c r="V1431">
        <v>5.3</v>
      </c>
      <c r="W1431">
        <v>118361</v>
      </c>
      <c r="X1431">
        <v>105340</v>
      </c>
      <c r="Y1431">
        <v>1.12</v>
      </c>
      <c r="Z1431">
        <v>1207</v>
      </c>
      <c r="AA1431">
        <v>960</v>
      </c>
      <c r="AB1431" t="s">
        <v>32</v>
      </c>
      <c r="AC1431">
        <v>16.62</v>
      </c>
    </row>
    <row r="1432" spans="1:29">
      <c r="A1432" t="str">
        <f>"300059"</f>
        <v>300059</v>
      </c>
      <c r="B1432" t="s">
        <v>1600</v>
      </c>
      <c r="C1432">
        <v>0.65</v>
      </c>
      <c r="D1432">
        <v>13.9</v>
      </c>
      <c r="E1432">
        <v>0.09</v>
      </c>
      <c r="F1432">
        <v>13.9</v>
      </c>
      <c r="G1432">
        <v>13.91</v>
      </c>
      <c r="H1432">
        <v>2112206</v>
      </c>
      <c r="I1432">
        <v>20448</v>
      </c>
      <c r="J1432">
        <v>0.07</v>
      </c>
      <c r="K1432">
        <v>5.09</v>
      </c>
      <c r="L1432">
        <v>14.02</v>
      </c>
      <c r="M1432">
        <v>14.54</v>
      </c>
      <c r="N1432">
        <v>13.86</v>
      </c>
      <c r="O1432">
        <v>13.81</v>
      </c>
      <c r="P1432">
        <v>59.66</v>
      </c>
      <c r="Q1432">
        <v>2986692352</v>
      </c>
      <c r="R1432">
        <v>1.54</v>
      </c>
      <c r="S1432" t="s">
        <v>316</v>
      </c>
      <c r="T1432" t="s">
        <v>366</v>
      </c>
      <c r="U1432">
        <v>4.92</v>
      </c>
      <c r="V1432">
        <v>14.14</v>
      </c>
      <c r="W1432">
        <v>1055454</v>
      </c>
      <c r="X1432">
        <v>1056752</v>
      </c>
      <c r="Y1432">
        <v>1</v>
      </c>
      <c r="Z1432">
        <v>8737</v>
      </c>
      <c r="AA1432">
        <v>2910</v>
      </c>
      <c r="AB1432" t="s">
        <v>32</v>
      </c>
      <c r="AC1432">
        <v>41.53</v>
      </c>
    </row>
    <row r="1433" spans="1:29">
      <c r="A1433" t="str">
        <f>"300061"</f>
        <v>300061</v>
      </c>
      <c r="B1433" t="s">
        <v>1601</v>
      </c>
      <c r="C1433">
        <v>2.95</v>
      </c>
      <c r="D1433">
        <v>8.38</v>
      </c>
      <c r="E1433">
        <v>0.24</v>
      </c>
      <c r="F1433">
        <v>8.38</v>
      </c>
      <c r="G1433">
        <v>8.39</v>
      </c>
      <c r="H1433">
        <v>143946</v>
      </c>
      <c r="I1433">
        <v>2902</v>
      </c>
      <c r="J1433">
        <v>-0.35</v>
      </c>
      <c r="K1433">
        <v>5.53</v>
      </c>
      <c r="L1433">
        <v>8.69</v>
      </c>
      <c r="M1433">
        <v>8.95</v>
      </c>
      <c r="N1433">
        <v>8.33</v>
      </c>
      <c r="O1433">
        <v>8.14</v>
      </c>
      <c r="P1433">
        <v>55.61</v>
      </c>
      <c r="Q1433">
        <v>126359032</v>
      </c>
      <c r="R1433">
        <v>3.84</v>
      </c>
      <c r="S1433" t="s">
        <v>138</v>
      </c>
      <c r="T1433" t="s">
        <v>366</v>
      </c>
      <c r="U1433">
        <v>7.62</v>
      </c>
      <c r="V1433">
        <v>8.78</v>
      </c>
      <c r="W1433">
        <v>100003</v>
      </c>
      <c r="X1433">
        <v>43942</v>
      </c>
      <c r="Y1433">
        <v>2.28</v>
      </c>
      <c r="Z1433">
        <v>721</v>
      </c>
      <c r="AA1433">
        <v>981</v>
      </c>
      <c r="AB1433" t="s">
        <v>32</v>
      </c>
      <c r="AC1433">
        <v>2.6</v>
      </c>
    </row>
    <row r="1434" spans="1:29">
      <c r="A1434" t="str">
        <f>"300062"</f>
        <v>300062</v>
      </c>
      <c r="B1434" t="s">
        <v>1602</v>
      </c>
      <c r="C1434">
        <v>0.65</v>
      </c>
      <c r="D1434">
        <v>6.15</v>
      </c>
      <c r="E1434">
        <v>0.04</v>
      </c>
      <c r="F1434">
        <v>6.15</v>
      </c>
      <c r="G1434">
        <v>6.16</v>
      </c>
      <c r="H1434">
        <v>134412</v>
      </c>
      <c r="I1434">
        <v>3798</v>
      </c>
      <c r="J1434">
        <v>0.33</v>
      </c>
      <c r="K1434">
        <v>7.1</v>
      </c>
      <c r="L1434">
        <v>6.06</v>
      </c>
      <c r="M1434">
        <v>6.24</v>
      </c>
      <c r="N1434">
        <v>5.93</v>
      </c>
      <c r="O1434">
        <v>6.11</v>
      </c>
      <c r="P1434">
        <v>242.44</v>
      </c>
      <c r="Q1434">
        <v>81664608</v>
      </c>
      <c r="R1434">
        <v>0.57</v>
      </c>
      <c r="S1434" t="s">
        <v>104</v>
      </c>
      <c r="T1434" t="s">
        <v>236</v>
      </c>
      <c r="U1434">
        <v>5.07</v>
      </c>
      <c r="V1434">
        <v>6.08</v>
      </c>
      <c r="W1434">
        <v>68212</v>
      </c>
      <c r="X1434">
        <v>66199</v>
      </c>
      <c r="Y1434">
        <v>1.03</v>
      </c>
      <c r="Z1434">
        <v>612</v>
      </c>
      <c r="AA1434">
        <v>467</v>
      </c>
      <c r="AB1434" t="s">
        <v>32</v>
      </c>
      <c r="AC1434">
        <v>1.89</v>
      </c>
    </row>
    <row r="1435" spans="1:29">
      <c r="A1435" t="str">
        <f>"300063"</f>
        <v>300063</v>
      </c>
      <c r="B1435" t="s">
        <v>1603</v>
      </c>
      <c r="C1435">
        <v>2.07</v>
      </c>
      <c r="D1435">
        <v>3.45</v>
      </c>
      <c r="E1435">
        <v>0.07</v>
      </c>
      <c r="F1435">
        <v>3.44</v>
      </c>
      <c r="G1435">
        <v>3.45</v>
      </c>
      <c r="H1435">
        <v>118680</v>
      </c>
      <c r="I1435">
        <v>2176</v>
      </c>
      <c r="J1435">
        <v>0</v>
      </c>
      <c r="K1435">
        <v>2.89</v>
      </c>
      <c r="L1435">
        <v>3.37</v>
      </c>
      <c r="M1435">
        <v>3.56</v>
      </c>
      <c r="N1435">
        <v>3.35</v>
      </c>
      <c r="O1435">
        <v>3.38</v>
      </c>
      <c r="P1435">
        <v>29.37</v>
      </c>
      <c r="Q1435">
        <v>41062096</v>
      </c>
      <c r="R1435">
        <v>1.89</v>
      </c>
      <c r="S1435" t="s">
        <v>281</v>
      </c>
      <c r="T1435" t="s">
        <v>136</v>
      </c>
      <c r="U1435">
        <v>6.21</v>
      </c>
      <c r="V1435">
        <v>3.46</v>
      </c>
      <c r="W1435">
        <v>55003</v>
      </c>
      <c r="X1435">
        <v>63677</v>
      </c>
      <c r="Y1435">
        <v>0.86</v>
      </c>
      <c r="Z1435">
        <v>744</v>
      </c>
      <c r="AA1435">
        <v>313</v>
      </c>
      <c r="AB1435" t="s">
        <v>32</v>
      </c>
      <c r="AC1435">
        <v>4.11</v>
      </c>
    </row>
    <row r="1436" spans="1:29">
      <c r="A1436" t="str">
        <f>"300064"</f>
        <v>300064</v>
      </c>
      <c r="B1436" t="s">
        <v>1604</v>
      </c>
      <c r="C1436">
        <v>-0.52</v>
      </c>
      <c r="D1436">
        <v>5.7</v>
      </c>
      <c r="E1436">
        <v>-0.03</v>
      </c>
      <c r="F1436">
        <v>5.7</v>
      </c>
      <c r="G1436">
        <v>5.71</v>
      </c>
      <c r="H1436">
        <v>344398</v>
      </c>
      <c r="I1436">
        <v>3519</v>
      </c>
      <c r="J1436">
        <v>0.18</v>
      </c>
      <c r="K1436">
        <v>5.1</v>
      </c>
      <c r="L1436">
        <v>5.62</v>
      </c>
      <c r="M1436">
        <v>5.76</v>
      </c>
      <c r="N1436">
        <v>5.54</v>
      </c>
      <c r="O1436">
        <v>5.73</v>
      </c>
      <c r="P1436">
        <v>15.68</v>
      </c>
      <c r="Q1436">
        <v>194774336</v>
      </c>
      <c r="R1436">
        <v>0.99</v>
      </c>
      <c r="S1436" t="s">
        <v>227</v>
      </c>
      <c r="T1436" t="s">
        <v>164</v>
      </c>
      <c r="U1436">
        <v>3.84</v>
      </c>
      <c r="V1436">
        <v>5.66</v>
      </c>
      <c r="W1436">
        <v>186997</v>
      </c>
      <c r="X1436">
        <v>157401</v>
      </c>
      <c r="Y1436">
        <v>1.19</v>
      </c>
      <c r="Z1436">
        <v>1066</v>
      </c>
      <c r="AA1436">
        <v>1445</v>
      </c>
      <c r="AB1436" t="s">
        <v>32</v>
      </c>
      <c r="AC1436">
        <v>6.76</v>
      </c>
    </row>
    <row r="1437" spans="1:29">
      <c r="A1437" t="str">
        <f>"300065"</f>
        <v>300065</v>
      </c>
      <c r="B1437" t="s">
        <v>1605</v>
      </c>
      <c r="C1437">
        <v>-0.65</v>
      </c>
      <c r="D1437">
        <v>15.23</v>
      </c>
      <c r="E1437">
        <v>-0.1</v>
      </c>
      <c r="F1437">
        <v>15.23</v>
      </c>
      <c r="G1437">
        <v>15.24</v>
      </c>
      <c r="H1437">
        <v>77218</v>
      </c>
      <c r="I1437">
        <v>332</v>
      </c>
      <c r="J1437">
        <v>-0.06</v>
      </c>
      <c r="K1437">
        <v>2.82</v>
      </c>
      <c r="L1437">
        <v>15.19</v>
      </c>
      <c r="M1437">
        <v>15.36</v>
      </c>
      <c r="N1437">
        <v>15.02</v>
      </c>
      <c r="O1437">
        <v>15.33</v>
      </c>
      <c r="P1437">
        <v>46.95</v>
      </c>
      <c r="Q1437">
        <v>117315768</v>
      </c>
      <c r="R1437">
        <v>0.86</v>
      </c>
      <c r="S1437" t="s">
        <v>270</v>
      </c>
      <c r="T1437" t="s">
        <v>45</v>
      </c>
      <c r="U1437">
        <v>2.22</v>
      </c>
      <c r="V1437">
        <v>15.19</v>
      </c>
      <c r="W1437">
        <v>42824</v>
      </c>
      <c r="X1437">
        <v>34394</v>
      </c>
      <c r="Y1437">
        <v>1.25</v>
      </c>
      <c r="Z1437">
        <v>417</v>
      </c>
      <c r="AA1437">
        <v>83</v>
      </c>
      <c r="AB1437" t="s">
        <v>32</v>
      </c>
      <c r="AC1437">
        <v>2.74</v>
      </c>
    </row>
    <row r="1438" spans="1:29">
      <c r="A1438" t="str">
        <f>"300066"</f>
        <v>300066</v>
      </c>
      <c r="B1438" t="s">
        <v>1606</v>
      </c>
      <c r="C1438">
        <v>1.64</v>
      </c>
      <c r="D1438">
        <v>3.71</v>
      </c>
      <c r="E1438">
        <v>0.06</v>
      </c>
      <c r="F1438">
        <v>3.7</v>
      </c>
      <c r="G1438">
        <v>3.71</v>
      </c>
      <c r="H1438">
        <v>67022</v>
      </c>
      <c r="I1438">
        <v>1188</v>
      </c>
      <c r="J1438">
        <v>0.27</v>
      </c>
      <c r="K1438">
        <v>0.7</v>
      </c>
      <c r="L1438">
        <v>3.64</v>
      </c>
      <c r="M1438">
        <v>3.72</v>
      </c>
      <c r="N1438">
        <v>3.62</v>
      </c>
      <c r="O1438">
        <v>3.65</v>
      </c>
      <c r="P1438">
        <v>54.2</v>
      </c>
      <c r="Q1438">
        <v>24689620</v>
      </c>
      <c r="R1438">
        <v>0.38</v>
      </c>
      <c r="S1438" t="s">
        <v>606</v>
      </c>
      <c r="T1438" t="s">
        <v>172</v>
      </c>
      <c r="U1438">
        <v>2.74</v>
      </c>
      <c r="V1438">
        <v>3.68</v>
      </c>
      <c r="W1438">
        <v>30951</v>
      </c>
      <c r="X1438">
        <v>36071</v>
      </c>
      <c r="Y1438">
        <v>0.86</v>
      </c>
      <c r="Z1438">
        <v>1769</v>
      </c>
      <c r="AA1438">
        <v>3030</v>
      </c>
      <c r="AB1438" t="s">
        <v>32</v>
      </c>
      <c r="AC1438">
        <v>9.58</v>
      </c>
    </row>
    <row r="1439" spans="1:29">
      <c r="A1439" t="str">
        <f>"300067"</f>
        <v>300067</v>
      </c>
      <c r="B1439" t="s">
        <v>1607</v>
      </c>
      <c r="C1439">
        <v>0.98</v>
      </c>
      <c r="D1439">
        <v>6.19</v>
      </c>
      <c r="E1439">
        <v>0.06</v>
      </c>
      <c r="F1439">
        <v>6.19</v>
      </c>
      <c r="G1439">
        <v>6.2</v>
      </c>
      <c r="H1439">
        <v>57348</v>
      </c>
      <c r="I1439">
        <v>1954</v>
      </c>
      <c r="J1439">
        <v>0.32</v>
      </c>
      <c r="K1439">
        <v>1.33</v>
      </c>
      <c r="L1439">
        <v>6.14</v>
      </c>
      <c r="M1439">
        <v>6.23</v>
      </c>
      <c r="N1439">
        <v>6.09</v>
      </c>
      <c r="O1439">
        <v>6.13</v>
      </c>
      <c r="P1439">
        <v>26.81</v>
      </c>
      <c r="Q1439">
        <v>35375856</v>
      </c>
      <c r="R1439">
        <v>0.8</v>
      </c>
      <c r="S1439" t="s">
        <v>281</v>
      </c>
      <c r="T1439" t="s">
        <v>366</v>
      </c>
      <c r="U1439">
        <v>2.28</v>
      </c>
      <c r="V1439">
        <v>6.17</v>
      </c>
      <c r="W1439">
        <v>28532</v>
      </c>
      <c r="X1439">
        <v>28816</v>
      </c>
      <c r="Y1439">
        <v>0.99</v>
      </c>
      <c r="Z1439">
        <v>681</v>
      </c>
      <c r="AA1439">
        <v>545</v>
      </c>
      <c r="AB1439" t="s">
        <v>32</v>
      </c>
      <c r="AC1439">
        <v>4.32</v>
      </c>
    </row>
    <row r="1440" spans="1:29">
      <c r="A1440" t="str">
        <f>"300068"</f>
        <v>300068</v>
      </c>
      <c r="B1440" t="s">
        <v>1608</v>
      </c>
      <c r="C1440">
        <v>0.32</v>
      </c>
      <c r="D1440">
        <v>12.39</v>
      </c>
      <c r="E1440">
        <v>0.04</v>
      </c>
      <c r="F1440">
        <v>12.38</v>
      </c>
      <c r="G1440">
        <v>12.39</v>
      </c>
      <c r="H1440">
        <v>220409</v>
      </c>
      <c r="I1440">
        <v>4534</v>
      </c>
      <c r="J1440">
        <v>0.16</v>
      </c>
      <c r="K1440">
        <v>3.71</v>
      </c>
      <c r="L1440">
        <v>12.38</v>
      </c>
      <c r="M1440">
        <v>12.4</v>
      </c>
      <c r="N1440">
        <v>12.17</v>
      </c>
      <c r="O1440">
        <v>12.35</v>
      </c>
      <c r="P1440">
        <v>20.08</v>
      </c>
      <c r="Q1440">
        <v>270336800</v>
      </c>
      <c r="R1440">
        <v>1.33</v>
      </c>
      <c r="S1440" t="s">
        <v>104</v>
      </c>
      <c r="T1440" t="s">
        <v>149</v>
      </c>
      <c r="U1440">
        <v>1.86</v>
      </c>
      <c r="V1440">
        <v>12.27</v>
      </c>
      <c r="W1440">
        <v>131556</v>
      </c>
      <c r="X1440">
        <v>88852</v>
      </c>
      <c r="Y1440">
        <v>1.48</v>
      </c>
      <c r="Z1440">
        <v>6086</v>
      </c>
      <c r="AA1440">
        <v>788</v>
      </c>
      <c r="AB1440" t="s">
        <v>32</v>
      </c>
      <c r="AC1440">
        <v>5.94</v>
      </c>
    </row>
    <row r="1441" spans="1:29">
      <c r="A1441" t="str">
        <f>"300069"</f>
        <v>300069</v>
      </c>
      <c r="B1441" t="s">
        <v>1609</v>
      </c>
      <c r="C1441">
        <v>2.23</v>
      </c>
      <c r="D1441">
        <v>11.02</v>
      </c>
      <c r="E1441">
        <v>0.24</v>
      </c>
      <c r="F1441">
        <v>11.01</v>
      </c>
      <c r="G1441">
        <v>11.02</v>
      </c>
      <c r="H1441">
        <v>33568</v>
      </c>
      <c r="I1441">
        <v>622</v>
      </c>
      <c r="J1441">
        <v>0</v>
      </c>
      <c r="K1441">
        <v>3.63</v>
      </c>
      <c r="L1441">
        <v>10.74</v>
      </c>
      <c r="M1441">
        <v>11.07</v>
      </c>
      <c r="N1441">
        <v>10.6</v>
      </c>
      <c r="O1441">
        <v>10.78</v>
      </c>
      <c r="P1441">
        <v>56.98</v>
      </c>
      <c r="Q1441">
        <v>36423408</v>
      </c>
      <c r="R1441">
        <v>0.92</v>
      </c>
      <c r="S1441" t="s">
        <v>104</v>
      </c>
      <c r="T1441" t="s">
        <v>149</v>
      </c>
      <c r="U1441">
        <v>4.36</v>
      </c>
      <c r="V1441">
        <v>10.85</v>
      </c>
      <c r="W1441">
        <v>15572</v>
      </c>
      <c r="X1441">
        <v>17995</v>
      </c>
      <c r="Y1441">
        <v>0.87</v>
      </c>
      <c r="Z1441">
        <v>26</v>
      </c>
      <c r="AA1441">
        <v>386</v>
      </c>
      <c r="AB1441" t="s">
        <v>32</v>
      </c>
      <c r="AC1441">
        <v>0.92</v>
      </c>
    </row>
    <row r="1442" spans="1:29">
      <c r="A1442" t="str">
        <f>"300070"</f>
        <v>300070</v>
      </c>
      <c r="B1442" t="s">
        <v>1610</v>
      </c>
      <c r="C1442">
        <v>5.31</v>
      </c>
      <c r="D1442">
        <v>14.07</v>
      </c>
      <c r="E1442">
        <v>0.71</v>
      </c>
      <c r="F1442">
        <v>14.07</v>
      </c>
      <c r="G1442">
        <v>14.08</v>
      </c>
      <c r="H1442">
        <v>501513</v>
      </c>
      <c r="I1442">
        <v>2733</v>
      </c>
      <c r="J1442">
        <v>0</v>
      </c>
      <c r="K1442">
        <v>2.49</v>
      </c>
      <c r="L1442">
        <v>13.55</v>
      </c>
      <c r="M1442">
        <v>14.56</v>
      </c>
      <c r="N1442">
        <v>13.55</v>
      </c>
      <c r="O1442">
        <v>13.36</v>
      </c>
      <c r="P1442">
        <v>71.66</v>
      </c>
      <c r="Q1442">
        <v>708258176</v>
      </c>
      <c r="R1442">
        <v>1.55</v>
      </c>
      <c r="S1442" t="s">
        <v>86</v>
      </c>
      <c r="T1442" t="s">
        <v>45</v>
      </c>
      <c r="U1442">
        <v>7.56</v>
      </c>
      <c r="V1442">
        <v>14.12</v>
      </c>
      <c r="W1442">
        <v>225655</v>
      </c>
      <c r="X1442">
        <v>275857</v>
      </c>
      <c r="Y1442">
        <v>0.82</v>
      </c>
      <c r="Z1442">
        <v>1419</v>
      </c>
      <c r="AA1442">
        <v>1897</v>
      </c>
      <c r="AB1442" t="s">
        <v>32</v>
      </c>
      <c r="AC1442">
        <v>20.16</v>
      </c>
    </row>
    <row r="1443" spans="1:29">
      <c r="A1443" t="str">
        <f>"300071"</f>
        <v>300071</v>
      </c>
      <c r="B1443" t="s">
        <v>1611</v>
      </c>
      <c r="C1443">
        <v>1.06</v>
      </c>
      <c r="D1443">
        <v>3.83</v>
      </c>
      <c r="E1443">
        <v>0.04</v>
      </c>
      <c r="F1443">
        <v>3.82</v>
      </c>
      <c r="G1443">
        <v>3.83</v>
      </c>
      <c r="H1443">
        <v>119030</v>
      </c>
      <c r="I1443">
        <v>1866</v>
      </c>
      <c r="J1443">
        <v>0.26</v>
      </c>
      <c r="K1443">
        <v>2.47</v>
      </c>
      <c r="L1443">
        <v>3.77</v>
      </c>
      <c r="M1443">
        <v>3.89</v>
      </c>
      <c r="N1443">
        <v>3.7</v>
      </c>
      <c r="O1443">
        <v>3.79</v>
      </c>
      <c r="P1443">
        <v>20.96</v>
      </c>
      <c r="Q1443">
        <v>45095408</v>
      </c>
      <c r="R1443">
        <v>0.63</v>
      </c>
      <c r="S1443" t="s">
        <v>91</v>
      </c>
      <c r="T1443" t="s">
        <v>45</v>
      </c>
      <c r="U1443">
        <v>5.01</v>
      </c>
      <c r="V1443">
        <v>3.79</v>
      </c>
      <c r="W1443">
        <v>55278</v>
      </c>
      <c r="X1443">
        <v>63752</v>
      </c>
      <c r="Y1443">
        <v>0.87</v>
      </c>
      <c r="Z1443">
        <v>588</v>
      </c>
      <c r="AA1443">
        <v>2402</v>
      </c>
      <c r="AB1443" t="s">
        <v>32</v>
      </c>
      <c r="AC1443">
        <v>4.82</v>
      </c>
    </row>
    <row r="1444" spans="1:29">
      <c r="A1444" t="str">
        <f>"300072"</f>
        <v>300072</v>
      </c>
      <c r="B1444" t="s">
        <v>1612</v>
      </c>
      <c r="C1444">
        <v>1.39</v>
      </c>
      <c r="D1444">
        <v>19.76</v>
      </c>
      <c r="E1444">
        <v>0.27</v>
      </c>
      <c r="F1444">
        <v>19.75</v>
      </c>
      <c r="G1444">
        <v>19.76</v>
      </c>
      <c r="H1444">
        <v>174634</v>
      </c>
      <c r="I1444">
        <v>622</v>
      </c>
      <c r="J1444">
        <v>0.2</v>
      </c>
      <c r="K1444">
        <v>0.97</v>
      </c>
      <c r="L1444">
        <v>19.71</v>
      </c>
      <c r="M1444">
        <v>20.1</v>
      </c>
      <c r="N1444">
        <v>19.25</v>
      </c>
      <c r="O1444">
        <v>19.49</v>
      </c>
      <c r="P1444">
        <v>19.56</v>
      </c>
      <c r="Q1444">
        <v>345375040</v>
      </c>
      <c r="R1444">
        <v>1.49</v>
      </c>
      <c r="S1444" t="s">
        <v>86</v>
      </c>
      <c r="T1444" t="s">
        <v>45</v>
      </c>
      <c r="U1444">
        <v>4.36</v>
      </c>
      <c r="V1444">
        <v>19.78</v>
      </c>
      <c r="W1444">
        <v>84654</v>
      </c>
      <c r="X1444">
        <v>89980</v>
      </c>
      <c r="Y1444">
        <v>0.94</v>
      </c>
      <c r="Z1444">
        <v>203</v>
      </c>
      <c r="AA1444">
        <v>285</v>
      </c>
      <c r="AB1444" t="s">
        <v>32</v>
      </c>
      <c r="AC1444">
        <v>18.01</v>
      </c>
    </row>
    <row r="1445" spans="1:29">
      <c r="A1445" t="str">
        <f>"300073"</f>
        <v>300073</v>
      </c>
      <c r="B1445" t="s">
        <v>1613</v>
      </c>
      <c r="C1445">
        <v>-0.62</v>
      </c>
      <c r="D1445">
        <v>33.71</v>
      </c>
      <c r="E1445">
        <v>-0.21</v>
      </c>
      <c r="F1445">
        <v>33.71</v>
      </c>
      <c r="G1445">
        <v>33.72</v>
      </c>
      <c r="H1445">
        <v>140666</v>
      </c>
      <c r="I1445">
        <v>1769</v>
      </c>
      <c r="J1445">
        <v>-0.05</v>
      </c>
      <c r="K1445">
        <v>4.2</v>
      </c>
      <c r="L1445">
        <v>33.85</v>
      </c>
      <c r="M1445">
        <v>34.12</v>
      </c>
      <c r="N1445">
        <v>33</v>
      </c>
      <c r="O1445">
        <v>33.92</v>
      </c>
      <c r="P1445">
        <v>94.19</v>
      </c>
      <c r="Q1445">
        <v>473357600</v>
      </c>
      <c r="R1445">
        <v>0.72</v>
      </c>
      <c r="S1445" t="s">
        <v>227</v>
      </c>
      <c r="T1445" t="s">
        <v>45</v>
      </c>
      <c r="U1445">
        <v>3.3</v>
      </c>
      <c r="V1445">
        <v>33.65</v>
      </c>
      <c r="W1445">
        <v>72110</v>
      </c>
      <c r="X1445">
        <v>68556</v>
      </c>
      <c r="Y1445">
        <v>1.05</v>
      </c>
      <c r="Z1445">
        <v>135</v>
      </c>
      <c r="AA1445">
        <v>45</v>
      </c>
      <c r="AB1445" t="s">
        <v>32</v>
      </c>
      <c r="AC1445">
        <v>3.35</v>
      </c>
    </row>
    <row r="1446" spans="1:29">
      <c r="A1446" t="str">
        <f>"300074"</f>
        <v>300074</v>
      </c>
      <c r="B1446" t="s">
        <v>1614</v>
      </c>
      <c r="C1446">
        <v>2.31</v>
      </c>
      <c r="D1446">
        <v>3.99</v>
      </c>
      <c r="E1446">
        <v>0.09</v>
      </c>
      <c r="F1446">
        <v>3.98</v>
      </c>
      <c r="G1446">
        <v>3.99</v>
      </c>
      <c r="H1446">
        <v>212640</v>
      </c>
      <c r="I1446">
        <v>5313</v>
      </c>
      <c r="J1446">
        <v>0.25</v>
      </c>
      <c r="K1446">
        <v>4.51</v>
      </c>
      <c r="L1446">
        <v>3.89</v>
      </c>
      <c r="M1446">
        <v>4.05</v>
      </c>
      <c r="N1446">
        <v>3.88</v>
      </c>
      <c r="O1446">
        <v>3.9</v>
      </c>
      <c r="P1446" t="s">
        <v>32</v>
      </c>
      <c r="Q1446">
        <v>84528120</v>
      </c>
      <c r="R1446">
        <v>1.41</v>
      </c>
      <c r="S1446" t="s">
        <v>119</v>
      </c>
      <c r="T1446" t="s">
        <v>366</v>
      </c>
      <c r="U1446">
        <v>4.36</v>
      </c>
      <c r="V1446">
        <v>3.98</v>
      </c>
      <c r="W1446">
        <v>101905</v>
      </c>
      <c r="X1446">
        <v>110734</v>
      </c>
      <c r="Y1446">
        <v>0.92</v>
      </c>
      <c r="Z1446">
        <v>1739</v>
      </c>
      <c r="AA1446">
        <v>682</v>
      </c>
      <c r="AB1446" t="s">
        <v>32</v>
      </c>
      <c r="AC1446">
        <v>4.72</v>
      </c>
    </row>
    <row r="1447" spans="1:29">
      <c r="A1447" t="str">
        <f>"300075"</f>
        <v>300075</v>
      </c>
      <c r="B1447" t="s">
        <v>1615</v>
      </c>
      <c r="C1447">
        <v>0.72</v>
      </c>
      <c r="D1447">
        <v>13.93</v>
      </c>
      <c r="E1447">
        <v>0.1</v>
      </c>
      <c r="F1447">
        <v>13.92</v>
      </c>
      <c r="G1447">
        <v>13.93</v>
      </c>
      <c r="H1447">
        <v>53001</v>
      </c>
      <c r="I1447">
        <v>382</v>
      </c>
      <c r="J1447">
        <v>-0.06</v>
      </c>
      <c r="K1447">
        <v>1.92</v>
      </c>
      <c r="L1447">
        <v>13.83</v>
      </c>
      <c r="M1447">
        <v>14.15</v>
      </c>
      <c r="N1447">
        <v>13.71</v>
      </c>
      <c r="O1447">
        <v>13.83</v>
      </c>
      <c r="P1447">
        <v>87.32</v>
      </c>
      <c r="Q1447">
        <v>73939408</v>
      </c>
      <c r="R1447">
        <v>1.03</v>
      </c>
      <c r="S1447" t="s">
        <v>270</v>
      </c>
      <c r="T1447" t="s">
        <v>45</v>
      </c>
      <c r="U1447">
        <v>3.18</v>
      </c>
      <c r="V1447">
        <v>13.95</v>
      </c>
      <c r="W1447">
        <v>28430</v>
      </c>
      <c r="X1447">
        <v>24570</v>
      </c>
      <c r="Y1447">
        <v>1.16</v>
      </c>
      <c r="Z1447">
        <v>927</v>
      </c>
      <c r="AA1447">
        <v>499</v>
      </c>
      <c r="AB1447" t="s">
        <v>32</v>
      </c>
      <c r="AC1447">
        <v>2.76</v>
      </c>
    </row>
    <row r="1448" spans="1:29">
      <c r="A1448" t="str">
        <f>"300076"</f>
        <v>300076</v>
      </c>
      <c r="B1448" t="s">
        <v>1616</v>
      </c>
      <c r="C1448">
        <v>-1.22</v>
      </c>
      <c r="D1448">
        <v>5.68</v>
      </c>
      <c r="E1448">
        <v>-0.07</v>
      </c>
      <c r="F1448">
        <v>5.67</v>
      </c>
      <c r="G1448">
        <v>5.68</v>
      </c>
      <c r="H1448">
        <v>135609</v>
      </c>
      <c r="I1448">
        <v>3598</v>
      </c>
      <c r="J1448">
        <v>0</v>
      </c>
      <c r="K1448">
        <v>3.68</v>
      </c>
      <c r="L1448">
        <v>5.75</v>
      </c>
      <c r="M1448">
        <v>5.76</v>
      </c>
      <c r="N1448">
        <v>5.63</v>
      </c>
      <c r="O1448">
        <v>5.75</v>
      </c>
      <c r="P1448">
        <v>16.26</v>
      </c>
      <c r="Q1448">
        <v>77246616</v>
      </c>
      <c r="R1448">
        <v>1.06</v>
      </c>
      <c r="S1448" t="s">
        <v>65</v>
      </c>
      <c r="T1448" t="s">
        <v>149</v>
      </c>
      <c r="U1448">
        <v>2.26</v>
      </c>
      <c r="V1448">
        <v>5.7</v>
      </c>
      <c r="W1448">
        <v>77751</v>
      </c>
      <c r="X1448">
        <v>57858</v>
      </c>
      <c r="Y1448">
        <v>1.34</v>
      </c>
      <c r="Z1448">
        <v>1449</v>
      </c>
      <c r="AA1448">
        <v>1203</v>
      </c>
      <c r="AB1448" t="s">
        <v>32</v>
      </c>
      <c r="AC1448">
        <v>3.68</v>
      </c>
    </row>
    <row r="1449" spans="1:29">
      <c r="A1449" t="str">
        <f>"300077"</f>
        <v>300077</v>
      </c>
      <c r="B1449" t="s">
        <v>1617</v>
      </c>
      <c r="C1449">
        <v>0.22</v>
      </c>
      <c r="D1449">
        <v>9.09</v>
      </c>
      <c r="E1449">
        <v>0.02</v>
      </c>
      <c r="F1449">
        <v>9.08</v>
      </c>
      <c r="G1449">
        <v>9.09</v>
      </c>
      <c r="H1449">
        <v>247437</v>
      </c>
      <c r="I1449">
        <v>3467</v>
      </c>
      <c r="J1449">
        <v>0.11</v>
      </c>
      <c r="K1449">
        <v>4.56</v>
      </c>
      <c r="L1449">
        <v>9.02</v>
      </c>
      <c r="M1449">
        <v>9.15</v>
      </c>
      <c r="N1449">
        <v>8.92</v>
      </c>
      <c r="O1449">
        <v>9.07</v>
      </c>
      <c r="P1449">
        <v>87.05</v>
      </c>
      <c r="Q1449">
        <v>224026464</v>
      </c>
      <c r="R1449">
        <v>0.89</v>
      </c>
      <c r="S1449" t="s">
        <v>699</v>
      </c>
      <c r="T1449" t="s">
        <v>31</v>
      </c>
      <c r="U1449">
        <v>2.54</v>
      </c>
      <c r="V1449">
        <v>9.05</v>
      </c>
      <c r="W1449">
        <v>126513</v>
      </c>
      <c r="X1449">
        <v>120924</v>
      </c>
      <c r="Y1449">
        <v>1.05</v>
      </c>
      <c r="Z1449">
        <v>5664</v>
      </c>
      <c r="AA1449">
        <v>1867</v>
      </c>
      <c r="AB1449" t="s">
        <v>32</v>
      </c>
      <c r="AC1449">
        <v>5.42</v>
      </c>
    </row>
    <row r="1450" spans="1:29">
      <c r="A1450" t="str">
        <f>"300078"</f>
        <v>300078</v>
      </c>
      <c r="B1450" t="s">
        <v>1618</v>
      </c>
      <c r="C1450">
        <v>0.63</v>
      </c>
      <c r="D1450">
        <v>9.64</v>
      </c>
      <c r="E1450">
        <v>0.06</v>
      </c>
      <c r="F1450">
        <v>9.64</v>
      </c>
      <c r="G1450">
        <v>9.65</v>
      </c>
      <c r="H1450">
        <v>233552</v>
      </c>
      <c r="I1450">
        <v>1852</v>
      </c>
      <c r="J1450">
        <v>0.1</v>
      </c>
      <c r="K1450">
        <v>4.79</v>
      </c>
      <c r="L1450">
        <v>10.03</v>
      </c>
      <c r="M1450">
        <v>10.25</v>
      </c>
      <c r="N1450">
        <v>9.56</v>
      </c>
      <c r="O1450">
        <v>9.58</v>
      </c>
      <c r="P1450">
        <v>86.36</v>
      </c>
      <c r="Q1450">
        <v>228791392</v>
      </c>
      <c r="R1450">
        <v>1.3</v>
      </c>
      <c r="S1450" t="s">
        <v>63</v>
      </c>
      <c r="T1450" t="s">
        <v>149</v>
      </c>
      <c r="U1450">
        <v>7.2</v>
      </c>
      <c r="V1450">
        <v>9.8</v>
      </c>
      <c r="W1450">
        <v>117418</v>
      </c>
      <c r="X1450">
        <v>116134</v>
      </c>
      <c r="Y1450">
        <v>1.01</v>
      </c>
      <c r="Z1450">
        <v>1504</v>
      </c>
      <c r="AA1450">
        <v>1409</v>
      </c>
      <c r="AB1450" t="s">
        <v>32</v>
      </c>
      <c r="AC1450">
        <v>4.87</v>
      </c>
    </row>
    <row r="1451" spans="1:29">
      <c r="A1451" t="str">
        <f>"300079"</f>
        <v>300079</v>
      </c>
      <c r="B1451" t="s">
        <v>1619</v>
      </c>
      <c r="C1451">
        <v>1.37</v>
      </c>
      <c r="D1451">
        <v>3.69</v>
      </c>
      <c r="E1451">
        <v>0.05</v>
      </c>
      <c r="F1451">
        <v>3.69</v>
      </c>
      <c r="G1451">
        <v>3.7</v>
      </c>
      <c r="H1451">
        <v>247797</v>
      </c>
      <c r="I1451">
        <v>2146</v>
      </c>
      <c r="J1451">
        <v>0</v>
      </c>
      <c r="K1451">
        <v>2.05</v>
      </c>
      <c r="L1451">
        <v>3.62</v>
      </c>
      <c r="M1451">
        <v>3.73</v>
      </c>
      <c r="N1451">
        <v>3.61</v>
      </c>
      <c r="O1451">
        <v>3.64</v>
      </c>
      <c r="P1451">
        <v>25.24</v>
      </c>
      <c r="Q1451">
        <v>91118192</v>
      </c>
      <c r="R1451">
        <v>1.79</v>
      </c>
      <c r="S1451" t="s">
        <v>119</v>
      </c>
      <c r="T1451" t="s">
        <v>45</v>
      </c>
      <c r="U1451">
        <v>3.3</v>
      </c>
      <c r="V1451">
        <v>3.68</v>
      </c>
      <c r="W1451">
        <v>102757</v>
      </c>
      <c r="X1451">
        <v>145040</v>
      </c>
      <c r="Y1451">
        <v>0.71</v>
      </c>
      <c r="Z1451">
        <v>2681</v>
      </c>
      <c r="AA1451">
        <v>7689</v>
      </c>
      <c r="AB1451" t="s">
        <v>32</v>
      </c>
      <c r="AC1451">
        <v>12.09</v>
      </c>
    </row>
    <row r="1452" spans="1:29">
      <c r="A1452" t="str">
        <f>"300080"</f>
        <v>300080</v>
      </c>
      <c r="B1452" t="s">
        <v>1620</v>
      </c>
      <c r="C1452">
        <v>2.25</v>
      </c>
      <c r="D1452">
        <v>5</v>
      </c>
      <c r="E1452">
        <v>0.11</v>
      </c>
      <c r="F1452">
        <v>5</v>
      </c>
      <c r="G1452">
        <v>5.01</v>
      </c>
      <c r="H1452">
        <v>84732</v>
      </c>
      <c r="I1452">
        <v>1252</v>
      </c>
      <c r="J1452">
        <v>0</v>
      </c>
      <c r="K1452">
        <v>1.69</v>
      </c>
      <c r="L1452">
        <v>4.89</v>
      </c>
      <c r="M1452">
        <v>5.01</v>
      </c>
      <c r="N1452">
        <v>4.87</v>
      </c>
      <c r="O1452">
        <v>4.89</v>
      </c>
      <c r="P1452">
        <v>84.4</v>
      </c>
      <c r="Q1452">
        <v>41996668</v>
      </c>
      <c r="R1452">
        <v>1.03</v>
      </c>
      <c r="S1452" t="s">
        <v>699</v>
      </c>
      <c r="T1452" t="s">
        <v>164</v>
      </c>
      <c r="U1452">
        <v>2.86</v>
      </c>
      <c r="V1452">
        <v>4.96</v>
      </c>
      <c r="W1452">
        <v>38847</v>
      </c>
      <c r="X1452">
        <v>45885</v>
      </c>
      <c r="Y1452">
        <v>0.85</v>
      </c>
      <c r="Z1452">
        <v>1808</v>
      </c>
      <c r="AA1452">
        <v>2065</v>
      </c>
      <c r="AB1452" t="s">
        <v>32</v>
      </c>
      <c r="AC1452">
        <v>5.02</v>
      </c>
    </row>
    <row r="1453" spans="1:29">
      <c r="A1453" t="str">
        <f>"300081"</f>
        <v>300081</v>
      </c>
      <c r="B1453" t="s">
        <v>1621</v>
      </c>
      <c r="C1453">
        <v>1.58</v>
      </c>
      <c r="D1453">
        <v>11.55</v>
      </c>
      <c r="E1453">
        <v>0.18</v>
      </c>
      <c r="F1453">
        <v>11.54</v>
      </c>
      <c r="G1453">
        <v>11.55</v>
      </c>
      <c r="H1453">
        <v>53445</v>
      </c>
      <c r="I1453">
        <v>705</v>
      </c>
      <c r="J1453">
        <v>0</v>
      </c>
      <c r="K1453">
        <v>1.69</v>
      </c>
      <c r="L1453">
        <v>11.34</v>
      </c>
      <c r="M1453">
        <v>11.7</v>
      </c>
      <c r="N1453">
        <v>11.3</v>
      </c>
      <c r="O1453">
        <v>11.37</v>
      </c>
      <c r="P1453">
        <v>10.22</v>
      </c>
      <c r="Q1453">
        <v>61561772</v>
      </c>
      <c r="R1453">
        <v>1.15</v>
      </c>
      <c r="S1453" t="s">
        <v>119</v>
      </c>
      <c r="T1453" t="s">
        <v>154</v>
      </c>
      <c r="U1453">
        <v>3.52</v>
      </c>
      <c r="V1453">
        <v>11.52</v>
      </c>
      <c r="W1453">
        <v>24044</v>
      </c>
      <c r="X1453">
        <v>29401</v>
      </c>
      <c r="Y1453">
        <v>0.82</v>
      </c>
      <c r="Z1453">
        <v>307</v>
      </c>
      <c r="AA1453">
        <v>509</v>
      </c>
      <c r="AB1453" t="s">
        <v>32</v>
      </c>
      <c r="AC1453">
        <v>3.16</v>
      </c>
    </row>
    <row r="1454" spans="1:29">
      <c r="A1454" t="str">
        <f>"300082"</f>
        <v>300082</v>
      </c>
      <c r="B1454" t="s">
        <v>1622</v>
      </c>
      <c r="C1454">
        <v>0.58</v>
      </c>
      <c r="D1454">
        <v>5.24</v>
      </c>
      <c r="E1454">
        <v>0.03</v>
      </c>
      <c r="F1454">
        <v>5.23</v>
      </c>
      <c r="G1454">
        <v>5.24</v>
      </c>
      <c r="H1454">
        <v>25971</v>
      </c>
      <c r="I1454">
        <v>769</v>
      </c>
      <c r="J1454">
        <v>0</v>
      </c>
      <c r="K1454">
        <v>0.39</v>
      </c>
      <c r="L1454">
        <v>5.2</v>
      </c>
      <c r="M1454">
        <v>5.28</v>
      </c>
      <c r="N1454">
        <v>5.19</v>
      </c>
      <c r="O1454">
        <v>5.21</v>
      </c>
      <c r="P1454">
        <v>29.28</v>
      </c>
      <c r="Q1454">
        <v>13629294</v>
      </c>
      <c r="R1454">
        <v>1.2</v>
      </c>
      <c r="S1454" t="s">
        <v>218</v>
      </c>
      <c r="T1454" t="s">
        <v>111</v>
      </c>
      <c r="U1454">
        <v>1.73</v>
      </c>
      <c r="V1454">
        <v>5.25</v>
      </c>
      <c r="W1454">
        <v>14272</v>
      </c>
      <c r="X1454">
        <v>11699</v>
      </c>
      <c r="Y1454">
        <v>1.22</v>
      </c>
      <c r="Z1454">
        <v>234</v>
      </c>
      <c r="AA1454">
        <v>207</v>
      </c>
      <c r="AB1454" t="s">
        <v>32</v>
      </c>
      <c r="AC1454">
        <v>6.73</v>
      </c>
    </row>
    <row r="1455" spans="1:29">
      <c r="A1455" t="str">
        <f>"300083"</f>
        <v>300083</v>
      </c>
      <c r="B1455" t="s">
        <v>1623</v>
      </c>
      <c r="C1455">
        <v>1.32</v>
      </c>
      <c r="D1455">
        <v>4.6</v>
      </c>
      <c r="E1455">
        <v>0.06</v>
      </c>
      <c r="F1455">
        <v>4.59</v>
      </c>
      <c r="G1455">
        <v>4.6</v>
      </c>
      <c r="H1455">
        <v>118823</v>
      </c>
      <c r="I1455">
        <v>582</v>
      </c>
      <c r="J1455">
        <v>-0.21</v>
      </c>
      <c r="K1455">
        <v>1</v>
      </c>
      <c r="L1455">
        <v>4.54</v>
      </c>
      <c r="M1455">
        <v>4.68</v>
      </c>
      <c r="N1455">
        <v>4.51</v>
      </c>
      <c r="O1455">
        <v>4.54</v>
      </c>
      <c r="P1455">
        <v>230.45</v>
      </c>
      <c r="Q1455">
        <v>54642288</v>
      </c>
      <c r="R1455">
        <v>1.43</v>
      </c>
      <c r="S1455" t="s">
        <v>63</v>
      </c>
      <c r="T1455" t="s">
        <v>136</v>
      </c>
      <c r="U1455">
        <v>3.74</v>
      </c>
      <c r="V1455">
        <v>4.6</v>
      </c>
      <c r="W1455">
        <v>52498</v>
      </c>
      <c r="X1455">
        <v>66325</v>
      </c>
      <c r="Y1455">
        <v>0.79</v>
      </c>
      <c r="Z1455">
        <v>217</v>
      </c>
      <c r="AA1455">
        <v>293</v>
      </c>
      <c r="AB1455" t="s">
        <v>32</v>
      </c>
      <c r="AC1455">
        <v>11.91</v>
      </c>
    </row>
    <row r="1456" spans="1:29">
      <c r="A1456" t="str">
        <f>"300084"</f>
        <v>300084</v>
      </c>
      <c r="B1456" t="s">
        <v>1624</v>
      </c>
      <c r="C1456">
        <v>2.21</v>
      </c>
      <c r="D1456">
        <v>5.08</v>
      </c>
      <c r="E1456">
        <v>0.11</v>
      </c>
      <c r="F1456">
        <v>5.07</v>
      </c>
      <c r="G1456">
        <v>5.08</v>
      </c>
      <c r="H1456">
        <v>63963</v>
      </c>
      <c r="I1456">
        <v>920</v>
      </c>
      <c r="J1456">
        <v>0.2</v>
      </c>
      <c r="K1456">
        <v>2.06</v>
      </c>
      <c r="L1456">
        <v>4.95</v>
      </c>
      <c r="M1456">
        <v>5.17</v>
      </c>
      <c r="N1456">
        <v>4.94</v>
      </c>
      <c r="O1456">
        <v>4.97</v>
      </c>
      <c r="P1456" t="s">
        <v>32</v>
      </c>
      <c r="Q1456">
        <v>32327964</v>
      </c>
      <c r="R1456">
        <v>1.27</v>
      </c>
      <c r="S1456" t="s">
        <v>831</v>
      </c>
      <c r="T1456" t="s">
        <v>266</v>
      </c>
      <c r="U1456">
        <v>4.63</v>
      </c>
      <c r="V1456">
        <v>5.05</v>
      </c>
      <c r="W1456">
        <v>29824</v>
      </c>
      <c r="X1456">
        <v>34139</v>
      </c>
      <c r="Y1456">
        <v>0.87</v>
      </c>
      <c r="Z1456">
        <v>1525</v>
      </c>
      <c r="AA1456">
        <v>756</v>
      </c>
      <c r="AB1456" t="s">
        <v>32</v>
      </c>
      <c r="AC1456">
        <v>3.1</v>
      </c>
    </row>
    <row r="1457" spans="1:29">
      <c r="A1457" t="str">
        <f>"300085"</f>
        <v>300085</v>
      </c>
      <c r="B1457" t="s">
        <v>1625</v>
      </c>
      <c r="C1457">
        <v>2.82</v>
      </c>
      <c r="D1457">
        <v>12.03</v>
      </c>
      <c r="E1457">
        <v>0.33</v>
      </c>
      <c r="F1457">
        <v>12.03</v>
      </c>
      <c r="G1457">
        <v>12.04</v>
      </c>
      <c r="H1457">
        <v>75433</v>
      </c>
      <c r="I1457">
        <v>576</v>
      </c>
      <c r="J1457">
        <v>0</v>
      </c>
      <c r="K1457">
        <v>1.82</v>
      </c>
      <c r="L1457">
        <v>11.66</v>
      </c>
      <c r="M1457">
        <v>12.38</v>
      </c>
      <c r="N1457">
        <v>11.47</v>
      </c>
      <c r="O1457">
        <v>11.7</v>
      </c>
      <c r="P1457" t="s">
        <v>32</v>
      </c>
      <c r="Q1457">
        <v>90560520</v>
      </c>
      <c r="R1457">
        <v>1.98</v>
      </c>
      <c r="S1457" t="s">
        <v>270</v>
      </c>
      <c r="T1457" t="s">
        <v>31</v>
      </c>
      <c r="U1457">
        <v>7.78</v>
      </c>
      <c r="V1457">
        <v>12.01</v>
      </c>
      <c r="W1457">
        <v>35658</v>
      </c>
      <c r="X1457">
        <v>39775</v>
      </c>
      <c r="Y1457">
        <v>0.9</v>
      </c>
      <c r="Z1457">
        <v>380</v>
      </c>
      <c r="AA1457">
        <v>179</v>
      </c>
      <c r="AB1457" t="s">
        <v>32</v>
      </c>
      <c r="AC1457">
        <v>4.14</v>
      </c>
    </row>
    <row r="1458" spans="1:29">
      <c r="A1458" t="str">
        <f>"300086"</f>
        <v>300086</v>
      </c>
      <c r="B1458" t="s">
        <v>1626</v>
      </c>
      <c r="C1458">
        <v>1.34</v>
      </c>
      <c r="D1458">
        <v>6.79</v>
      </c>
      <c r="E1458">
        <v>0.09</v>
      </c>
      <c r="F1458">
        <v>6.78</v>
      </c>
      <c r="G1458">
        <v>6.79</v>
      </c>
      <c r="H1458">
        <v>66593</v>
      </c>
      <c r="I1458">
        <v>881</v>
      </c>
      <c r="J1458">
        <v>0</v>
      </c>
      <c r="K1458">
        <v>1.53</v>
      </c>
      <c r="L1458">
        <v>6.67</v>
      </c>
      <c r="M1458">
        <v>6.8</v>
      </c>
      <c r="N1458">
        <v>6.66</v>
      </c>
      <c r="O1458">
        <v>6.7</v>
      </c>
      <c r="P1458">
        <v>37.85</v>
      </c>
      <c r="Q1458">
        <v>45010440</v>
      </c>
      <c r="R1458">
        <v>0.59</v>
      </c>
      <c r="S1458" t="s">
        <v>142</v>
      </c>
      <c r="T1458" t="s">
        <v>209</v>
      </c>
      <c r="U1458">
        <v>2.09</v>
      </c>
      <c r="V1458">
        <v>6.76</v>
      </c>
      <c r="W1458">
        <v>31992</v>
      </c>
      <c r="X1458">
        <v>34601</v>
      </c>
      <c r="Y1458">
        <v>0.92</v>
      </c>
      <c r="Z1458">
        <v>1242</v>
      </c>
      <c r="AA1458">
        <v>172</v>
      </c>
      <c r="AB1458" t="s">
        <v>32</v>
      </c>
      <c r="AC1458">
        <v>4.36</v>
      </c>
    </row>
    <row r="1459" spans="1:29">
      <c r="A1459" t="str">
        <f>"300087"</f>
        <v>300087</v>
      </c>
      <c r="B1459" t="s">
        <v>1627</v>
      </c>
      <c r="C1459">
        <v>0.1</v>
      </c>
      <c r="D1459">
        <v>10.41</v>
      </c>
      <c r="E1459">
        <v>0.01</v>
      </c>
      <c r="F1459">
        <v>10.4</v>
      </c>
      <c r="G1459">
        <v>10.45</v>
      </c>
      <c r="H1459">
        <v>7329</v>
      </c>
      <c r="I1459">
        <v>1</v>
      </c>
      <c r="J1459">
        <v>0.1</v>
      </c>
      <c r="K1459">
        <v>0.21</v>
      </c>
      <c r="L1459">
        <v>10.42</v>
      </c>
      <c r="M1459">
        <v>10.58</v>
      </c>
      <c r="N1459">
        <v>10.31</v>
      </c>
      <c r="O1459">
        <v>10.4</v>
      </c>
      <c r="P1459">
        <v>185.09</v>
      </c>
      <c r="Q1459">
        <v>7682993</v>
      </c>
      <c r="R1459">
        <v>1.53</v>
      </c>
      <c r="S1459" t="s">
        <v>404</v>
      </c>
      <c r="T1459" t="s">
        <v>143</v>
      </c>
      <c r="U1459">
        <v>2.6</v>
      </c>
      <c r="V1459">
        <v>10.48</v>
      </c>
      <c r="W1459">
        <v>2738</v>
      </c>
      <c r="X1459">
        <v>4591</v>
      </c>
      <c r="Y1459">
        <v>0.6</v>
      </c>
      <c r="Z1459">
        <v>139</v>
      </c>
      <c r="AA1459">
        <v>100</v>
      </c>
      <c r="AB1459" t="s">
        <v>32</v>
      </c>
      <c r="AC1459">
        <v>3.53</v>
      </c>
    </row>
    <row r="1460" spans="1:29">
      <c r="A1460" t="str">
        <f>"300088"</f>
        <v>300088</v>
      </c>
      <c r="B1460" t="s">
        <v>1628</v>
      </c>
      <c r="C1460">
        <v>1.19</v>
      </c>
      <c r="D1460">
        <v>5.94</v>
      </c>
      <c r="E1460">
        <v>0.07</v>
      </c>
      <c r="F1460">
        <v>5.94</v>
      </c>
      <c r="G1460">
        <v>5.95</v>
      </c>
      <c r="H1460">
        <v>262947</v>
      </c>
      <c r="I1460">
        <v>3154</v>
      </c>
      <c r="J1460">
        <v>-0.16</v>
      </c>
      <c r="K1460">
        <v>1.16</v>
      </c>
      <c r="L1460">
        <v>5.88</v>
      </c>
      <c r="M1460">
        <v>5.99</v>
      </c>
      <c r="N1460">
        <v>5.82</v>
      </c>
      <c r="O1460">
        <v>5.87</v>
      </c>
      <c r="P1460">
        <v>24.08</v>
      </c>
      <c r="Q1460">
        <v>155826768</v>
      </c>
      <c r="R1460">
        <v>1.27</v>
      </c>
      <c r="S1460" t="s">
        <v>63</v>
      </c>
      <c r="T1460" t="s">
        <v>143</v>
      </c>
      <c r="U1460">
        <v>2.9</v>
      </c>
      <c r="V1460">
        <v>5.93</v>
      </c>
      <c r="W1460">
        <v>124891</v>
      </c>
      <c r="X1460">
        <v>138055</v>
      </c>
      <c r="Y1460">
        <v>0.9</v>
      </c>
      <c r="Z1460">
        <v>1257</v>
      </c>
      <c r="AA1460">
        <v>548</v>
      </c>
      <c r="AB1460" t="s">
        <v>32</v>
      </c>
      <c r="AC1460">
        <v>22.63</v>
      </c>
    </row>
    <row r="1461" spans="1:29">
      <c r="A1461" t="str">
        <f>"300089"</f>
        <v>300089</v>
      </c>
      <c r="B1461" t="s">
        <v>1629</v>
      </c>
      <c r="C1461">
        <v>1.04</v>
      </c>
      <c r="D1461">
        <v>6.8</v>
      </c>
      <c r="E1461">
        <v>0.07</v>
      </c>
      <c r="F1461">
        <v>6.8</v>
      </c>
      <c r="G1461">
        <v>6.81</v>
      </c>
      <c r="H1461">
        <v>45513</v>
      </c>
      <c r="I1461">
        <v>787</v>
      </c>
      <c r="J1461">
        <v>-0.14</v>
      </c>
      <c r="K1461">
        <v>1.64</v>
      </c>
      <c r="L1461">
        <v>6.73</v>
      </c>
      <c r="M1461">
        <v>6.87</v>
      </c>
      <c r="N1461">
        <v>6.68</v>
      </c>
      <c r="O1461">
        <v>6.73</v>
      </c>
      <c r="P1461">
        <v>106.36</v>
      </c>
      <c r="Q1461">
        <v>30936098</v>
      </c>
      <c r="R1461">
        <v>0.6</v>
      </c>
      <c r="S1461" t="s">
        <v>1630</v>
      </c>
      <c r="T1461" t="s">
        <v>136</v>
      </c>
      <c r="U1461">
        <v>2.82</v>
      </c>
      <c r="V1461">
        <v>6.8</v>
      </c>
      <c r="W1461">
        <v>23551</v>
      </c>
      <c r="X1461">
        <v>21961</v>
      </c>
      <c r="Y1461">
        <v>1.07</v>
      </c>
      <c r="Z1461">
        <v>2169</v>
      </c>
      <c r="AA1461">
        <v>393</v>
      </c>
      <c r="AB1461" t="s">
        <v>32</v>
      </c>
      <c r="AC1461">
        <v>2.77</v>
      </c>
    </row>
    <row r="1462" spans="1:29">
      <c r="A1462" t="str">
        <f>"300090"</f>
        <v>300090</v>
      </c>
      <c r="B1462" t="s">
        <v>1631</v>
      </c>
      <c r="C1462">
        <v>1.97</v>
      </c>
      <c r="D1462">
        <v>3.62</v>
      </c>
      <c r="E1462">
        <v>0.07</v>
      </c>
      <c r="F1462">
        <v>3.62</v>
      </c>
      <c r="G1462">
        <v>3.63</v>
      </c>
      <c r="H1462">
        <v>918964</v>
      </c>
      <c r="I1462">
        <v>9263</v>
      </c>
      <c r="J1462">
        <v>0</v>
      </c>
      <c r="K1462">
        <v>10.48</v>
      </c>
      <c r="L1462">
        <v>3.56</v>
      </c>
      <c r="M1462">
        <v>3.72</v>
      </c>
      <c r="N1462">
        <v>3.48</v>
      </c>
      <c r="O1462">
        <v>3.55</v>
      </c>
      <c r="P1462">
        <v>151.01</v>
      </c>
      <c r="Q1462">
        <v>331198368</v>
      </c>
      <c r="R1462">
        <v>0.61</v>
      </c>
      <c r="S1462" t="s">
        <v>86</v>
      </c>
      <c r="T1462" t="s">
        <v>143</v>
      </c>
      <c r="U1462">
        <v>6.76</v>
      </c>
      <c r="V1462">
        <v>3.6</v>
      </c>
      <c r="W1462">
        <v>417791</v>
      </c>
      <c r="X1462">
        <v>501173</v>
      </c>
      <c r="Y1462">
        <v>0.83</v>
      </c>
      <c r="Z1462">
        <v>4449</v>
      </c>
      <c r="AA1462">
        <v>7024</v>
      </c>
      <c r="AB1462" t="s">
        <v>32</v>
      </c>
      <c r="AC1462">
        <v>8.77</v>
      </c>
    </row>
    <row r="1463" spans="1:29">
      <c r="A1463" t="str">
        <f>"300091"</f>
        <v>300091</v>
      </c>
      <c r="B1463" t="s">
        <v>1632</v>
      </c>
      <c r="C1463">
        <v>7.94</v>
      </c>
      <c r="D1463">
        <v>12.24</v>
      </c>
      <c r="E1463">
        <v>0.9</v>
      </c>
      <c r="F1463">
        <v>12.24</v>
      </c>
      <c r="G1463">
        <v>12.25</v>
      </c>
      <c r="H1463">
        <v>314942</v>
      </c>
      <c r="I1463">
        <v>5839</v>
      </c>
      <c r="J1463">
        <v>-0.32</v>
      </c>
      <c r="K1463">
        <v>8.4</v>
      </c>
      <c r="L1463">
        <v>12.47</v>
      </c>
      <c r="M1463">
        <v>12.47</v>
      </c>
      <c r="N1463">
        <v>12.18</v>
      </c>
      <c r="O1463">
        <v>11.34</v>
      </c>
      <c r="P1463">
        <v>42.64</v>
      </c>
      <c r="Q1463">
        <v>392139840</v>
      </c>
      <c r="R1463">
        <v>7.33</v>
      </c>
      <c r="S1463" t="s">
        <v>241</v>
      </c>
      <c r="T1463" t="s">
        <v>87</v>
      </c>
      <c r="U1463">
        <v>2.56</v>
      </c>
      <c r="V1463">
        <v>12.45</v>
      </c>
      <c r="W1463">
        <v>206904</v>
      </c>
      <c r="X1463">
        <v>108038</v>
      </c>
      <c r="Y1463">
        <v>1.92</v>
      </c>
      <c r="Z1463">
        <v>322</v>
      </c>
      <c r="AA1463">
        <v>429</v>
      </c>
      <c r="AB1463" t="s">
        <v>32</v>
      </c>
      <c r="AC1463">
        <v>3.75</v>
      </c>
    </row>
    <row r="1464" spans="1:29">
      <c r="A1464" t="str">
        <f>"300092"</f>
        <v>300092</v>
      </c>
      <c r="B1464" t="s">
        <v>1633</v>
      </c>
      <c r="C1464">
        <v>1.56</v>
      </c>
      <c r="D1464">
        <v>6.49</v>
      </c>
      <c r="E1464">
        <v>0.1</v>
      </c>
      <c r="F1464">
        <v>6.48</v>
      </c>
      <c r="G1464">
        <v>6.49</v>
      </c>
      <c r="H1464">
        <v>18234</v>
      </c>
      <c r="I1464">
        <v>127</v>
      </c>
      <c r="J1464">
        <v>0.31</v>
      </c>
      <c r="K1464">
        <v>1.09</v>
      </c>
      <c r="L1464">
        <v>6.35</v>
      </c>
      <c r="M1464">
        <v>6.49</v>
      </c>
      <c r="N1464">
        <v>6.3</v>
      </c>
      <c r="O1464">
        <v>6.39</v>
      </c>
      <c r="P1464">
        <v>176.37</v>
      </c>
      <c r="Q1464">
        <v>11733632</v>
      </c>
      <c r="R1464">
        <v>1.52</v>
      </c>
      <c r="S1464" t="s">
        <v>171</v>
      </c>
      <c r="T1464" t="s">
        <v>146</v>
      </c>
      <c r="U1464">
        <v>2.97</v>
      </c>
      <c r="V1464">
        <v>6.44</v>
      </c>
      <c r="W1464">
        <v>9162</v>
      </c>
      <c r="X1464">
        <v>9071</v>
      </c>
      <c r="Y1464">
        <v>1.01</v>
      </c>
      <c r="Z1464">
        <v>56</v>
      </c>
      <c r="AA1464">
        <v>829</v>
      </c>
      <c r="AB1464" t="s">
        <v>32</v>
      </c>
      <c r="AC1464">
        <v>1.67</v>
      </c>
    </row>
    <row r="1465" spans="1:29">
      <c r="A1465" t="str">
        <f>"300093"</f>
        <v>300093</v>
      </c>
      <c r="B1465" t="s">
        <v>1634</v>
      </c>
      <c r="C1465">
        <v>1.54</v>
      </c>
      <c r="D1465">
        <v>7.27</v>
      </c>
      <c r="E1465">
        <v>0.11</v>
      </c>
      <c r="F1465">
        <v>7.27</v>
      </c>
      <c r="G1465">
        <v>7.28</v>
      </c>
      <c r="H1465">
        <v>55634</v>
      </c>
      <c r="I1465">
        <v>1484</v>
      </c>
      <c r="J1465">
        <v>0.28</v>
      </c>
      <c r="K1465">
        <v>2.58</v>
      </c>
      <c r="L1465">
        <v>7.15</v>
      </c>
      <c r="M1465">
        <v>7.35</v>
      </c>
      <c r="N1465">
        <v>7.11</v>
      </c>
      <c r="O1465">
        <v>7.16</v>
      </c>
      <c r="P1465">
        <v>582.9</v>
      </c>
      <c r="Q1465">
        <v>40227044</v>
      </c>
      <c r="R1465">
        <v>1.98</v>
      </c>
      <c r="S1465" t="s">
        <v>52</v>
      </c>
      <c r="T1465" t="s">
        <v>136</v>
      </c>
      <c r="U1465">
        <v>3.35</v>
      </c>
      <c r="V1465">
        <v>7.23</v>
      </c>
      <c r="W1465">
        <v>27067</v>
      </c>
      <c r="X1465">
        <v>28567</v>
      </c>
      <c r="Y1465">
        <v>0.95</v>
      </c>
      <c r="Z1465">
        <v>362</v>
      </c>
      <c r="AA1465">
        <v>455</v>
      </c>
      <c r="AB1465" t="s">
        <v>32</v>
      </c>
      <c r="AC1465">
        <v>2.15</v>
      </c>
    </row>
    <row r="1466" spans="1:29">
      <c r="A1466" t="str">
        <f>"300094"</f>
        <v>300094</v>
      </c>
      <c r="B1466" t="s">
        <v>1635</v>
      </c>
      <c r="C1466">
        <v>1.18</v>
      </c>
      <c r="D1466">
        <v>6.84</v>
      </c>
      <c r="E1466">
        <v>0.08</v>
      </c>
      <c r="F1466">
        <v>6.84</v>
      </c>
      <c r="G1466">
        <v>6.85</v>
      </c>
      <c r="H1466">
        <v>61437</v>
      </c>
      <c r="I1466">
        <v>513</v>
      </c>
      <c r="J1466">
        <v>0</v>
      </c>
      <c r="K1466">
        <v>0.82</v>
      </c>
      <c r="L1466">
        <v>6.77</v>
      </c>
      <c r="M1466">
        <v>6.9</v>
      </c>
      <c r="N1466">
        <v>6.73</v>
      </c>
      <c r="O1466">
        <v>6.76</v>
      </c>
      <c r="P1466">
        <v>13.96</v>
      </c>
      <c r="Q1466">
        <v>41919412</v>
      </c>
      <c r="R1466">
        <v>1.18</v>
      </c>
      <c r="S1466" t="s">
        <v>466</v>
      </c>
      <c r="T1466" t="s">
        <v>136</v>
      </c>
      <c r="U1466">
        <v>2.51</v>
      </c>
      <c r="V1466">
        <v>6.82</v>
      </c>
      <c r="W1466">
        <v>32200</v>
      </c>
      <c r="X1466">
        <v>29236</v>
      </c>
      <c r="Y1466">
        <v>1.1</v>
      </c>
      <c r="Z1466">
        <v>44</v>
      </c>
      <c r="AA1466">
        <v>514</v>
      </c>
      <c r="AB1466" t="s">
        <v>32</v>
      </c>
      <c r="AC1466">
        <v>7.46</v>
      </c>
    </row>
    <row r="1467" spans="1:29">
      <c r="A1467" t="str">
        <f>"300095"</f>
        <v>300095</v>
      </c>
      <c r="B1467" t="s">
        <v>1636</v>
      </c>
      <c r="C1467">
        <v>1.59</v>
      </c>
      <c r="D1467">
        <v>6.37</v>
      </c>
      <c r="E1467">
        <v>0.1</v>
      </c>
      <c r="F1467">
        <v>6.34</v>
      </c>
      <c r="G1467">
        <v>6.38</v>
      </c>
      <c r="H1467">
        <v>11540</v>
      </c>
      <c r="I1467">
        <v>429</v>
      </c>
      <c r="J1467">
        <v>0.31</v>
      </c>
      <c r="K1467">
        <v>0.51</v>
      </c>
      <c r="L1467">
        <v>6.23</v>
      </c>
      <c r="M1467">
        <v>6.38</v>
      </c>
      <c r="N1467">
        <v>6.23</v>
      </c>
      <c r="O1467">
        <v>6.27</v>
      </c>
      <c r="P1467">
        <v>30.81</v>
      </c>
      <c r="Q1467">
        <v>7287148</v>
      </c>
      <c r="R1467">
        <v>1.3</v>
      </c>
      <c r="S1467" t="s">
        <v>241</v>
      </c>
      <c r="T1467" t="s">
        <v>172</v>
      </c>
      <c r="U1467">
        <v>2.39</v>
      </c>
      <c r="V1467">
        <v>6.31</v>
      </c>
      <c r="W1467">
        <v>3781</v>
      </c>
      <c r="X1467">
        <v>7759</v>
      </c>
      <c r="Y1467">
        <v>0.49</v>
      </c>
      <c r="Z1467">
        <v>7</v>
      </c>
      <c r="AA1467">
        <v>760</v>
      </c>
      <c r="AB1467" t="s">
        <v>32</v>
      </c>
      <c r="AC1467">
        <v>2.28</v>
      </c>
    </row>
    <row r="1468" spans="1:29">
      <c r="A1468" t="str">
        <f>"300096"</f>
        <v>300096</v>
      </c>
      <c r="B1468" t="s">
        <v>1637</v>
      </c>
      <c r="C1468">
        <v>10.01</v>
      </c>
      <c r="D1468">
        <v>9.67</v>
      </c>
      <c r="E1468">
        <v>0.88</v>
      </c>
      <c r="F1468">
        <v>9.67</v>
      </c>
      <c r="G1468" t="s">
        <v>32</v>
      </c>
      <c r="H1468">
        <v>44282</v>
      </c>
      <c r="I1468">
        <v>440</v>
      </c>
      <c r="J1468">
        <v>0</v>
      </c>
      <c r="K1468">
        <v>1.18</v>
      </c>
      <c r="L1468">
        <v>9.67</v>
      </c>
      <c r="M1468">
        <v>9.67</v>
      </c>
      <c r="N1468">
        <v>9.67</v>
      </c>
      <c r="O1468">
        <v>8.79</v>
      </c>
      <c r="P1468" t="s">
        <v>32</v>
      </c>
      <c r="Q1468">
        <v>42820212</v>
      </c>
      <c r="R1468">
        <v>1.85</v>
      </c>
      <c r="S1468" t="s">
        <v>270</v>
      </c>
      <c r="T1468" t="s">
        <v>236</v>
      </c>
      <c r="U1468">
        <v>0</v>
      </c>
      <c r="V1468">
        <v>9.67</v>
      </c>
      <c r="W1468">
        <v>42932</v>
      </c>
      <c r="X1468">
        <v>1349</v>
      </c>
      <c r="Y1468">
        <v>31.83</v>
      </c>
      <c r="Z1468">
        <v>97574</v>
      </c>
      <c r="AA1468">
        <v>0</v>
      </c>
      <c r="AB1468" t="s">
        <v>32</v>
      </c>
      <c r="AC1468">
        <v>3.77</v>
      </c>
    </row>
    <row r="1469" spans="1:29">
      <c r="A1469" t="str">
        <f>"300097"</f>
        <v>300097</v>
      </c>
      <c r="B1469" t="s">
        <v>1638</v>
      </c>
      <c r="C1469">
        <v>0.21</v>
      </c>
      <c r="D1469">
        <v>18.88</v>
      </c>
      <c r="E1469">
        <v>0.04</v>
      </c>
      <c r="F1469">
        <v>18.86</v>
      </c>
      <c r="G1469">
        <v>18.88</v>
      </c>
      <c r="H1469">
        <v>35223</v>
      </c>
      <c r="I1469">
        <v>1834</v>
      </c>
      <c r="J1469">
        <v>0.64</v>
      </c>
      <c r="K1469">
        <v>2.27</v>
      </c>
      <c r="L1469">
        <v>18.87</v>
      </c>
      <c r="M1469">
        <v>18.9</v>
      </c>
      <c r="N1469">
        <v>18.61</v>
      </c>
      <c r="O1469">
        <v>18.84</v>
      </c>
      <c r="P1469">
        <v>41.68</v>
      </c>
      <c r="Q1469">
        <v>66152612</v>
      </c>
      <c r="R1469">
        <v>1.14</v>
      </c>
      <c r="S1469" t="s">
        <v>606</v>
      </c>
      <c r="T1469" t="s">
        <v>111</v>
      </c>
      <c r="U1469">
        <v>1.54</v>
      </c>
      <c r="V1469">
        <v>18.78</v>
      </c>
      <c r="W1469">
        <v>17109</v>
      </c>
      <c r="X1469">
        <v>18113</v>
      </c>
      <c r="Y1469">
        <v>0.94</v>
      </c>
      <c r="Z1469">
        <v>5</v>
      </c>
      <c r="AA1469">
        <v>46</v>
      </c>
      <c r="AB1469" t="s">
        <v>32</v>
      </c>
      <c r="AC1469">
        <v>1.55</v>
      </c>
    </row>
    <row r="1470" spans="1:29">
      <c r="A1470" t="str">
        <f>"300098"</f>
        <v>300098</v>
      </c>
      <c r="B1470" t="s">
        <v>1639</v>
      </c>
      <c r="C1470">
        <v>0.24</v>
      </c>
      <c r="D1470">
        <v>8.48</v>
      </c>
      <c r="E1470">
        <v>0.02</v>
      </c>
      <c r="F1470">
        <v>8.48</v>
      </c>
      <c r="G1470">
        <v>8.49</v>
      </c>
      <c r="H1470">
        <v>156915</v>
      </c>
      <c r="I1470">
        <v>2680</v>
      </c>
      <c r="J1470">
        <v>0.12</v>
      </c>
      <c r="K1470">
        <v>1.77</v>
      </c>
      <c r="L1470">
        <v>8.46</v>
      </c>
      <c r="M1470">
        <v>8.62</v>
      </c>
      <c r="N1470">
        <v>8.38</v>
      </c>
      <c r="O1470">
        <v>8.46</v>
      </c>
      <c r="P1470">
        <v>31.02</v>
      </c>
      <c r="Q1470">
        <v>133045496</v>
      </c>
      <c r="R1470">
        <v>1.01</v>
      </c>
      <c r="S1470" t="s">
        <v>119</v>
      </c>
      <c r="T1470" t="s">
        <v>136</v>
      </c>
      <c r="U1470">
        <v>2.84</v>
      </c>
      <c r="V1470">
        <v>8.48</v>
      </c>
      <c r="W1470">
        <v>85373</v>
      </c>
      <c r="X1470">
        <v>71542</v>
      </c>
      <c r="Y1470">
        <v>1.19</v>
      </c>
      <c r="Z1470">
        <v>910</v>
      </c>
      <c r="AA1470">
        <v>974</v>
      </c>
      <c r="AB1470" t="s">
        <v>32</v>
      </c>
      <c r="AC1470">
        <v>8.86</v>
      </c>
    </row>
    <row r="1471" spans="1:29">
      <c r="A1471" t="str">
        <f>"300099"</f>
        <v>300099</v>
      </c>
      <c r="B1471" t="s">
        <v>1640</v>
      </c>
      <c r="C1471">
        <v>0.99</v>
      </c>
      <c r="D1471">
        <v>5.1</v>
      </c>
      <c r="E1471">
        <v>0.05</v>
      </c>
      <c r="F1471">
        <v>5.1</v>
      </c>
      <c r="G1471">
        <v>5.11</v>
      </c>
      <c r="H1471">
        <v>73680</v>
      </c>
      <c r="I1471">
        <v>2858</v>
      </c>
      <c r="J1471">
        <v>0.2</v>
      </c>
      <c r="K1471">
        <v>1.88</v>
      </c>
      <c r="L1471">
        <v>5.04</v>
      </c>
      <c r="M1471">
        <v>5.14</v>
      </c>
      <c r="N1471">
        <v>4.97</v>
      </c>
      <c r="O1471">
        <v>5.05</v>
      </c>
      <c r="P1471">
        <v>293.04</v>
      </c>
      <c r="Q1471">
        <v>37275376</v>
      </c>
      <c r="R1471">
        <v>1.15</v>
      </c>
      <c r="S1471" t="s">
        <v>606</v>
      </c>
      <c r="T1471" t="s">
        <v>162</v>
      </c>
      <c r="U1471">
        <v>3.37</v>
      </c>
      <c r="V1471">
        <v>5.06</v>
      </c>
      <c r="W1471">
        <v>38195</v>
      </c>
      <c r="X1471">
        <v>35484</v>
      </c>
      <c r="Y1471">
        <v>1.08</v>
      </c>
      <c r="Z1471">
        <v>89</v>
      </c>
      <c r="AA1471">
        <v>1385</v>
      </c>
      <c r="AB1471" t="s">
        <v>32</v>
      </c>
      <c r="AC1471">
        <v>3.92</v>
      </c>
    </row>
    <row r="1472" spans="1:29">
      <c r="A1472" t="str">
        <f>"300100"</f>
        <v>300100</v>
      </c>
      <c r="B1472" t="s">
        <v>1641</v>
      </c>
      <c r="C1472">
        <v>2.01</v>
      </c>
      <c r="D1472">
        <v>11.14</v>
      </c>
      <c r="E1472">
        <v>0.22</v>
      </c>
      <c r="F1472">
        <v>11.14</v>
      </c>
      <c r="G1472">
        <v>11.15</v>
      </c>
      <c r="H1472">
        <v>51578</v>
      </c>
      <c r="I1472">
        <v>1257</v>
      </c>
      <c r="J1472">
        <v>0.09</v>
      </c>
      <c r="K1472">
        <v>1.33</v>
      </c>
      <c r="L1472">
        <v>10.99</v>
      </c>
      <c r="M1472">
        <v>11.18</v>
      </c>
      <c r="N1472">
        <v>10.75</v>
      </c>
      <c r="O1472">
        <v>10.92</v>
      </c>
      <c r="P1472">
        <v>24.28</v>
      </c>
      <c r="Q1472">
        <v>56748304</v>
      </c>
      <c r="R1472">
        <v>1.01</v>
      </c>
      <c r="S1472" t="s">
        <v>71</v>
      </c>
      <c r="T1472" t="s">
        <v>149</v>
      </c>
      <c r="U1472">
        <v>3.94</v>
      </c>
      <c r="V1472">
        <v>11</v>
      </c>
      <c r="W1472">
        <v>26913</v>
      </c>
      <c r="X1472">
        <v>24665</v>
      </c>
      <c r="Y1472">
        <v>1.09</v>
      </c>
      <c r="Z1472">
        <v>332</v>
      </c>
      <c r="AA1472">
        <v>350</v>
      </c>
      <c r="AB1472" t="s">
        <v>32</v>
      </c>
      <c r="AC1472">
        <v>3.86</v>
      </c>
    </row>
    <row r="1473" spans="1:29">
      <c r="A1473" t="str">
        <f>"300101"</f>
        <v>300101</v>
      </c>
      <c r="B1473" t="s">
        <v>1642</v>
      </c>
      <c r="C1473">
        <v>1.22</v>
      </c>
      <c r="D1473">
        <v>14.11</v>
      </c>
      <c r="E1473">
        <v>0.17</v>
      </c>
      <c r="F1473">
        <v>14.11</v>
      </c>
      <c r="G1473">
        <v>14.12</v>
      </c>
      <c r="H1473">
        <v>165508</v>
      </c>
      <c r="I1473">
        <v>1940</v>
      </c>
      <c r="J1473">
        <v>-0.06</v>
      </c>
      <c r="K1473">
        <v>3.01</v>
      </c>
      <c r="L1473">
        <v>13.86</v>
      </c>
      <c r="M1473">
        <v>14.18</v>
      </c>
      <c r="N1473">
        <v>13.8</v>
      </c>
      <c r="O1473">
        <v>13.94</v>
      </c>
      <c r="P1473">
        <v>76.57</v>
      </c>
      <c r="Q1473">
        <v>232881456</v>
      </c>
      <c r="R1473">
        <v>1.25</v>
      </c>
      <c r="S1473" t="s">
        <v>119</v>
      </c>
      <c r="T1473" t="s">
        <v>146</v>
      </c>
      <c r="U1473">
        <v>2.73</v>
      </c>
      <c r="V1473">
        <v>14.07</v>
      </c>
      <c r="W1473">
        <v>81851</v>
      </c>
      <c r="X1473">
        <v>83657</v>
      </c>
      <c r="Y1473">
        <v>0.98</v>
      </c>
      <c r="Z1473">
        <v>246</v>
      </c>
      <c r="AA1473">
        <v>1297</v>
      </c>
      <c r="AB1473" t="s">
        <v>32</v>
      </c>
      <c r="AC1473">
        <v>5.49</v>
      </c>
    </row>
    <row r="1474" spans="1:29">
      <c r="A1474" t="str">
        <f>"300102"</f>
        <v>300102</v>
      </c>
      <c r="B1474" t="s">
        <v>1643</v>
      </c>
      <c r="C1474">
        <v>1.41</v>
      </c>
      <c r="D1474">
        <v>6.49</v>
      </c>
      <c r="E1474">
        <v>0.09</v>
      </c>
      <c r="F1474">
        <v>6.48</v>
      </c>
      <c r="G1474">
        <v>6.49</v>
      </c>
      <c r="H1474">
        <v>75046</v>
      </c>
      <c r="I1474">
        <v>625</v>
      </c>
      <c r="J1474">
        <v>0.15</v>
      </c>
      <c r="K1474">
        <v>1.1</v>
      </c>
      <c r="L1474">
        <v>6.38</v>
      </c>
      <c r="M1474">
        <v>6.51</v>
      </c>
      <c r="N1474">
        <v>6.34</v>
      </c>
      <c r="O1474">
        <v>6.4</v>
      </c>
      <c r="P1474">
        <v>24.57</v>
      </c>
      <c r="Q1474">
        <v>48419472</v>
      </c>
      <c r="R1474">
        <v>1.3</v>
      </c>
      <c r="S1474" t="s">
        <v>699</v>
      </c>
      <c r="T1474" t="s">
        <v>236</v>
      </c>
      <c r="U1474">
        <v>2.66</v>
      </c>
      <c r="V1474">
        <v>6.45</v>
      </c>
      <c r="W1474">
        <v>31163</v>
      </c>
      <c r="X1474">
        <v>43883</v>
      </c>
      <c r="Y1474">
        <v>0.71</v>
      </c>
      <c r="Z1474">
        <v>462</v>
      </c>
      <c r="AA1474">
        <v>361</v>
      </c>
      <c r="AB1474" t="s">
        <v>32</v>
      </c>
      <c r="AC1474">
        <v>6.82</v>
      </c>
    </row>
    <row r="1475" spans="1:29">
      <c r="A1475" t="str">
        <f>"300103"</f>
        <v>300103</v>
      </c>
      <c r="B1475" t="s">
        <v>1644</v>
      </c>
      <c r="C1475">
        <v>10.03</v>
      </c>
      <c r="D1475">
        <v>9.54</v>
      </c>
      <c r="E1475">
        <v>0.87</v>
      </c>
      <c r="F1475">
        <v>9.54</v>
      </c>
      <c r="G1475" t="s">
        <v>32</v>
      </c>
      <c r="H1475">
        <v>22433</v>
      </c>
      <c r="I1475">
        <v>13165</v>
      </c>
      <c r="J1475">
        <v>0</v>
      </c>
      <c r="K1475">
        <v>0.89</v>
      </c>
      <c r="L1475">
        <v>9.54</v>
      </c>
      <c r="M1475">
        <v>9.54</v>
      </c>
      <c r="N1475">
        <v>9.54</v>
      </c>
      <c r="O1475">
        <v>8.67</v>
      </c>
      <c r="P1475">
        <v>79.07</v>
      </c>
      <c r="Q1475">
        <v>21400662</v>
      </c>
      <c r="R1475">
        <v>1.67</v>
      </c>
      <c r="S1475" t="s">
        <v>151</v>
      </c>
      <c r="T1475" t="s">
        <v>223</v>
      </c>
      <c r="U1475">
        <v>0</v>
      </c>
      <c r="V1475">
        <v>9.54</v>
      </c>
      <c r="W1475">
        <v>13878</v>
      </c>
      <c r="X1475">
        <v>8554</v>
      </c>
      <c r="Y1475">
        <v>1.62</v>
      </c>
      <c r="Z1475">
        <v>15021</v>
      </c>
      <c r="AA1475">
        <v>0</v>
      </c>
      <c r="AB1475" t="s">
        <v>32</v>
      </c>
      <c r="AC1475">
        <v>2.51</v>
      </c>
    </row>
    <row r="1476" spans="1:29">
      <c r="A1476" t="str">
        <f>"300104"</f>
        <v>300104</v>
      </c>
      <c r="B1476" t="s">
        <v>1645</v>
      </c>
      <c r="C1476">
        <v>0.33</v>
      </c>
      <c r="D1476">
        <v>3.05</v>
      </c>
      <c r="E1476">
        <v>0.01</v>
      </c>
      <c r="F1476">
        <v>3.04</v>
      </c>
      <c r="G1476">
        <v>3.05</v>
      </c>
      <c r="H1476">
        <v>1113472</v>
      </c>
      <c r="I1476">
        <v>15699</v>
      </c>
      <c r="J1476">
        <v>0.66</v>
      </c>
      <c r="K1476">
        <v>3.63</v>
      </c>
      <c r="L1476">
        <v>3.02</v>
      </c>
      <c r="M1476">
        <v>3.06</v>
      </c>
      <c r="N1476">
        <v>2.97</v>
      </c>
      <c r="O1476">
        <v>3.04</v>
      </c>
      <c r="P1476" t="s">
        <v>32</v>
      </c>
      <c r="Q1476">
        <v>336105728</v>
      </c>
      <c r="R1476">
        <v>1.39</v>
      </c>
      <c r="S1476" t="s">
        <v>316</v>
      </c>
      <c r="T1476" t="s">
        <v>45</v>
      </c>
      <c r="U1476">
        <v>2.96</v>
      </c>
      <c r="V1476">
        <v>3.02</v>
      </c>
      <c r="W1476">
        <v>539737</v>
      </c>
      <c r="X1476">
        <v>573734</v>
      </c>
      <c r="Y1476">
        <v>0.94</v>
      </c>
      <c r="Z1476">
        <v>5246</v>
      </c>
      <c r="AA1476">
        <v>30474</v>
      </c>
      <c r="AB1476" t="s">
        <v>32</v>
      </c>
      <c r="AC1476">
        <v>30.65</v>
      </c>
    </row>
    <row r="1477" spans="1:29">
      <c r="A1477" t="str">
        <f>"300105"</f>
        <v>300105</v>
      </c>
      <c r="B1477" t="s">
        <v>1646</v>
      </c>
      <c r="C1477">
        <v>0.94</v>
      </c>
      <c r="D1477">
        <v>4.28</v>
      </c>
      <c r="E1477">
        <v>0.04</v>
      </c>
      <c r="F1477">
        <v>4.28</v>
      </c>
      <c r="G1477">
        <v>4.29</v>
      </c>
      <c r="H1477">
        <v>48537</v>
      </c>
      <c r="I1477">
        <v>405</v>
      </c>
      <c r="J1477">
        <v>0</v>
      </c>
      <c r="K1477">
        <v>0.95</v>
      </c>
      <c r="L1477">
        <v>4.26</v>
      </c>
      <c r="M1477">
        <v>4.33</v>
      </c>
      <c r="N1477">
        <v>4.21</v>
      </c>
      <c r="O1477">
        <v>4.24</v>
      </c>
      <c r="P1477" t="s">
        <v>32</v>
      </c>
      <c r="Q1477">
        <v>20834250</v>
      </c>
      <c r="R1477">
        <v>1.4</v>
      </c>
      <c r="S1477" t="s">
        <v>606</v>
      </c>
      <c r="T1477" t="s">
        <v>162</v>
      </c>
      <c r="U1477">
        <v>2.83</v>
      </c>
      <c r="V1477">
        <v>4.29</v>
      </c>
      <c r="W1477">
        <v>26468</v>
      </c>
      <c r="X1477">
        <v>22069</v>
      </c>
      <c r="Y1477">
        <v>1.2</v>
      </c>
      <c r="Z1477">
        <v>150</v>
      </c>
      <c r="AA1477">
        <v>446</v>
      </c>
      <c r="AB1477" t="s">
        <v>32</v>
      </c>
      <c r="AC1477">
        <v>5.13</v>
      </c>
    </row>
    <row r="1478" spans="1:29">
      <c r="A1478" t="str">
        <f>"300106"</f>
        <v>300106</v>
      </c>
      <c r="B1478" t="s">
        <v>1647</v>
      </c>
      <c r="C1478">
        <v>2.03</v>
      </c>
      <c r="D1478">
        <v>5.52</v>
      </c>
      <c r="E1478">
        <v>0.11</v>
      </c>
      <c r="F1478">
        <v>5.52</v>
      </c>
      <c r="G1478">
        <v>5.53</v>
      </c>
      <c r="H1478">
        <v>26695</v>
      </c>
      <c r="I1478">
        <v>577</v>
      </c>
      <c r="J1478">
        <v>0</v>
      </c>
      <c r="K1478">
        <v>1.27</v>
      </c>
      <c r="L1478">
        <v>5.39</v>
      </c>
      <c r="M1478">
        <v>5.53</v>
      </c>
      <c r="N1478">
        <v>5.37</v>
      </c>
      <c r="O1478">
        <v>5.41</v>
      </c>
      <c r="P1478" t="s">
        <v>32</v>
      </c>
      <c r="Q1478">
        <v>14635885</v>
      </c>
      <c r="R1478">
        <v>1.13</v>
      </c>
      <c r="S1478" t="s">
        <v>115</v>
      </c>
      <c r="T1478" t="s">
        <v>156</v>
      </c>
      <c r="U1478">
        <v>2.96</v>
      </c>
      <c r="V1478">
        <v>5.48</v>
      </c>
      <c r="W1478">
        <v>11562</v>
      </c>
      <c r="X1478">
        <v>15132</v>
      </c>
      <c r="Y1478">
        <v>0.76</v>
      </c>
      <c r="Z1478">
        <v>73</v>
      </c>
      <c r="AA1478">
        <v>453</v>
      </c>
      <c r="AB1478" t="s">
        <v>32</v>
      </c>
      <c r="AC1478">
        <v>2.1</v>
      </c>
    </row>
    <row r="1479" spans="1:29">
      <c r="A1479" t="str">
        <f>"300107"</f>
        <v>300107</v>
      </c>
      <c r="B1479" t="s">
        <v>1648</v>
      </c>
      <c r="C1479">
        <v>1.12</v>
      </c>
      <c r="D1479">
        <v>13.53</v>
      </c>
      <c r="E1479">
        <v>0.15</v>
      </c>
      <c r="F1479">
        <v>13.53</v>
      </c>
      <c r="G1479">
        <v>13.54</v>
      </c>
      <c r="H1479">
        <v>239464</v>
      </c>
      <c r="I1479">
        <v>3678</v>
      </c>
      <c r="J1479">
        <v>0</v>
      </c>
      <c r="K1479">
        <v>7.31</v>
      </c>
      <c r="L1479">
        <v>13.3</v>
      </c>
      <c r="M1479">
        <v>13.89</v>
      </c>
      <c r="N1479">
        <v>13.24</v>
      </c>
      <c r="O1479">
        <v>13.38</v>
      </c>
      <c r="P1479">
        <v>16.24</v>
      </c>
      <c r="Q1479">
        <v>326055424</v>
      </c>
      <c r="R1479">
        <v>0.95</v>
      </c>
      <c r="S1479" t="s">
        <v>218</v>
      </c>
      <c r="T1479" t="s">
        <v>154</v>
      </c>
      <c r="U1479">
        <v>4.86</v>
      </c>
      <c r="V1479">
        <v>13.62</v>
      </c>
      <c r="W1479">
        <v>120938</v>
      </c>
      <c r="X1479">
        <v>118525</v>
      </c>
      <c r="Y1479">
        <v>1.02</v>
      </c>
      <c r="Z1479">
        <v>501</v>
      </c>
      <c r="AA1479">
        <v>929</v>
      </c>
      <c r="AB1479" t="s">
        <v>32</v>
      </c>
      <c r="AC1479">
        <v>3.28</v>
      </c>
    </row>
    <row r="1480" spans="1:29">
      <c r="A1480" t="str">
        <f>"300108"</f>
        <v>300108</v>
      </c>
      <c r="B1480" t="s">
        <v>1649</v>
      </c>
      <c r="C1480" t="s">
        <v>32</v>
      </c>
      <c r="D1480">
        <v>7.79</v>
      </c>
      <c r="E1480" t="s">
        <v>32</v>
      </c>
      <c r="F1480" t="s">
        <v>32</v>
      </c>
      <c r="G1480" t="s">
        <v>32</v>
      </c>
      <c r="H1480">
        <v>0</v>
      </c>
      <c r="I1480">
        <v>0</v>
      </c>
      <c r="J1480" t="s">
        <v>32</v>
      </c>
      <c r="K1480">
        <v>0</v>
      </c>
      <c r="L1480" t="s">
        <v>32</v>
      </c>
      <c r="M1480" t="s">
        <v>32</v>
      </c>
      <c r="N1480" t="s">
        <v>32</v>
      </c>
      <c r="O1480">
        <v>7.79</v>
      </c>
      <c r="P1480">
        <v>36.5</v>
      </c>
      <c r="Q1480">
        <v>0</v>
      </c>
      <c r="R1480">
        <v>0</v>
      </c>
      <c r="S1480" t="s">
        <v>195</v>
      </c>
      <c r="T1480" t="s">
        <v>81</v>
      </c>
      <c r="U1480">
        <v>0</v>
      </c>
      <c r="V1480">
        <v>7.79</v>
      </c>
      <c r="W1480">
        <v>0</v>
      </c>
      <c r="X1480">
        <v>0</v>
      </c>
      <c r="Y1480" t="s">
        <v>32</v>
      </c>
      <c r="Z1480">
        <v>0</v>
      </c>
      <c r="AA1480">
        <v>0</v>
      </c>
      <c r="AB1480" t="s">
        <v>32</v>
      </c>
      <c r="AC1480">
        <v>4.23</v>
      </c>
    </row>
    <row r="1481" spans="1:29">
      <c r="A1481" t="str">
        <f>"300109"</f>
        <v>300109</v>
      </c>
      <c r="B1481" t="s">
        <v>1650</v>
      </c>
      <c r="C1481">
        <v>10.01</v>
      </c>
      <c r="D1481">
        <v>23.08</v>
      </c>
      <c r="E1481">
        <v>2.1</v>
      </c>
      <c r="F1481">
        <v>23.08</v>
      </c>
      <c r="G1481" t="s">
        <v>32</v>
      </c>
      <c r="H1481">
        <v>21695</v>
      </c>
      <c r="I1481">
        <v>16</v>
      </c>
      <c r="J1481">
        <v>0</v>
      </c>
      <c r="K1481">
        <v>1.95</v>
      </c>
      <c r="L1481">
        <v>20.93</v>
      </c>
      <c r="M1481">
        <v>23.08</v>
      </c>
      <c r="N1481">
        <v>20.9</v>
      </c>
      <c r="O1481">
        <v>20.98</v>
      </c>
      <c r="P1481">
        <v>52.34</v>
      </c>
      <c r="Q1481">
        <v>48004492</v>
      </c>
      <c r="R1481">
        <v>1.71</v>
      </c>
      <c r="S1481" t="s">
        <v>218</v>
      </c>
      <c r="T1481" t="s">
        <v>164</v>
      </c>
      <c r="U1481">
        <v>10.39</v>
      </c>
      <c r="V1481">
        <v>22.13</v>
      </c>
      <c r="W1481">
        <v>10539</v>
      </c>
      <c r="X1481">
        <v>11155</v>
      </c>
      <c r="Y1481">
        <v>0.94</v>
      </c>
      <c r="Z1481">
        <v>7468</v>
      </c>
      <c r="AA1481">
        <v>0</v>
      </c>
      <c r="AB1481" t="s">
        <v>32</v>
      </c>
      <c r="AC1481">
        <v>1.11</v>
      </c>
    </row>
    <row r="1482" spans="1:29">
      <c r="A1482" t="str">
        <f>"300110"</f>
        <v>300110</v>
      </c>
      <c r="B1482" t="s">
        <v>1651</v>
      </c>
      <c r="C1482">
        <v>1.93</v>
      </c>
      <c r="D1482">
        <v>4.76</v>
      </c>
      <c r="E1482">
        <v>0.09</v>
      </c>
      <c r="F1482">
        <v>4.75</v>
      </c>
      <c r="G1482">
        <v>4.76</v>
      </c>
      <c r="H1482">
        <v>119848</v>
      </c>
      <c r="I1482">
        <v>1652</v>
      </c>
      <c r="J1482">
        <v>-0.41</v>
      </c>
      <c r="K1482">
        <v>1.01</v>
      </c>
      <c r="L1482">
        <v>4.66</v>
      </c>
      <c r="M1482">
        <v>4.78</v>
      </c>
      <c r="N1482">
        <v>4.61</v>
      </c>
      <c r="O1482">
        <v>4.67</v>
      </c>
      <c r="P1482">
        <v>620.9</v>
      </c>
      <c r="Q1482">
        <v>56449704</v>
      </c>
      <c r="R1482">
        <v>1.43</v>
      </c>
      <c r="S1482" t="s">
        <v>142</v>
      </c>
      <c r="T1482" t="s">
        <v>162</v>
      </c>
      <c r="U1482">
        <v>3.64</v>
      </c>
      <c r="V1482">
        <v>4.71</v>
      </c>
      <c r="W1482">
        <v>45662</v>
      </c>
      <c r="X1482">
        <v>74185</v>
      </c>
      <c r="Y1482">
        <v>0.62</v>
      </c>
      <c r="Z1482">
        <v>490</v>
      </c>
      <c r="AA1482">
        <v>697</v>
      </c>
      <c r="AB1482" t="s">
        <v>32</v>
      </c>
      <c r="AC1482">
        <v>11.82</v>
      </c>
    </row>
    <row r="1483" spans="1:29">
      <c r="A1483" t="str">
        <f>"300111"</f>
        <v>300111</v>
      </c>
      <c r="B1483" t="s">
        <v>1652</v>
      </c>
      <c r="C1483" t="s">
        <v>32</v>
      </c>
      <c r="D1483">
        <v>2.74</v>
      </c>
      <c r="E1483" t="s">
        <v>32</v>
      </c>
      <c r="F1483" t="s">
        <v>32</v>
      </c>
      <c r="G1483" t="s">
        <v>32</v>
      </c>
      <c r="H1483">
        <v>0</v>
      </c>
      <c r="I1483">
        <v>0</v>
      </c>
      <c r="J1483" t="s">
        <v>32</v>
      </c>
      <c r="K1483">
        <v>0</v>
      </c>
      <c r="L1483" t="s">
        <v>32</v>
      </c>
      <c r="M1483" t="s">
        <v>32</v>
      </c>
      <c r="N1483" t="s">
        <v>32</v>
      </c>
      <c r="O1483">
        <v>2.74</v>
      </c>
      <c r="P1483" t="s">
        <v>32</v>
      </c>
      <c r="Q1483">
        <v>0</v>
      </c>
      <c r="R1483">
        <v>0</v>
      </c>
      <c r="S1483" t="s">
        <v>699</v>
      </c>
      <c r="T1483" t="s">
        <v>149</v>
      </c>
      <c r="U1483">
        <v>0</v>
      </c>
      <c r="V1483">
        <v>2.74</v>
      </c>
      <c r="W1483">
        <v>0</v>
      </c>
      <c r="X1483">
        <v>0</v>
      </c>
      <c r="Y1483" t="s">
        <v>32</v>
      </c>
      <c r="Z1483">
        <v>0</v>
      </c>
      <c r="AA1483">
        <v>0</v>
      </c>
      <c r="AB1483" t="s">
        <v>32</v>
      </c>
      <c r="AC1483">
        <v>11.17</v>
      </c>
    </row>
    <row r="1484" spans="1:29">
      <c r="A1484" t="str">
        <f>"300112"</f>
        <v>300112</v>
      </c>
      <c r="B1484" t="s">
        <v>1653</v>
      </c>
      <c r="C1484">
        <v>1.53</v>
      </c>
      <c r="D1484">
        <v>8.63</v>
      </c>
      <c r="E1484">
        <v>0.13</v>
      </c>
      <c r="F1484">
        <v>8.62</v>
      </c>
      <c r="G1484">
        <v>8.63</v>
      </c>
      <c r="H1484">
        <v>24005</v>
      </c>
      <c r="I1484">
        <v>403</v>
      </c>
      <c r="J1484">
        <v>0.23</v>
      </c>
      <c r="K1484">
        <v>1.46</v>
      </c>
      <c r="L1484">
        <v>8.48</v>
      </c>
      <c r="M1484">
        <v>8.65</v>
      </c>
      <c r="N1484">
        <v>8.42</v>
      </c>
      <c r="O1484">
        <v>8.5</v>
      </c>
      <c r="P1484">
        <v>136.04</v>
      </c>
      <c r="Q1484">
        <v>20621878</v>
      </c>
      <c r="R1484">
        <v>1.47</v>
      </c>
      <c r="S1484" t="s">
        <v>606</v>
      </c>
      <c r="T1484" t="s">
        <v>31</v>
      </c>
      <c r="U1484">
        <v>2.71</v>
      </c>
      <c r="V1484">
        <v>8.59</v>
      </c>
      <c r="W1484">
        <v>11824</v>
      </c>
      <c r="X1484">
        <v>12181</v>
      </c>
      <c r="Y1484">
        <v>0.97</v>
      </c>
      <c r="Z1484">
        <v>404</v>
      </c>
      <c r="AA1484">
        <v>722</v>
      </c>
      <c r="AB1484" t="s">
        <v>32</v>
      </c>
      <c r="AC1484">
        <v>1.65</v>
      </c>
    </row>
    <row r="1485" spans="1:29">
      <c r="A1485" t="str">
        <f>"300113"</f>
        <v>300113</v>
      </c>
      <c r="B1485" t="s">
        <v>1654</v>
      </c>
      <c r="C1485">
        <v>0.06</v>
      </c>
      <c r="D1485">
        <v>18.18</v>
      </c>
      <c r="E1485">
        <v>0.01</v>
      </c>
      <c r="F1485">
        <v>18.17</v>
      </c>
      <c r="G1485">
        <v>18.18</v>
      </c>
      <c r="H1485">
        <v>209589</v>
      </c>
      <c r="I1485">
        <v>3841</v>
      </c>
      <c r="J1485">
        <v>0.11</v>
      </c>
      <c r="K1485">
        <v>4.39</v>
      </c>
      <c r="L1485">
        <v>18.21</v>
      </c>
      <c r="M1485">
        <v>18.45</v>
      </c>
      <c r="N1485">
        <v>17.9</v>
      </c>
      <c r="O1485">
        <v>18.17</v>
      </c>
      <c r="P1485">
        <v>19.73</v>
      </c>
      <c r="Q1485">
        <v>381096416</v>
      </c>
      <c r="R1485">
        <v>1.33</v>
      </c>
      <c r="S1485" t="s">
        <v>316</v>
      </c>
      <c r="T1485" t="s">
        <v>149</v>
      </c>
      <c r="U1485">
        <v>3.03</v>
      </c>
      <c r="V1485">
        <v>18.18</v>
      </c>
      <c r="W1485">
        <v>112470</v>
      </c>
      <c r="X1485">
        <v>97118</v>
      </c>
      <c r="Y1485">
        <v>1.16</v>
      </c>
      <c r="Z1485">
        <v>1738</v>
      </c>
      <c r="AA1485">
        <v>25</v>
      </c>
      <c r="AB1485" t="s">
        <v>32</v>
      </c>
      <c r="AC1485">
        <v>4.77</v>
      </c>
    </row>
    <row r="1486" spans="1:29">
      <c r="A1486" t="str">
        <f>"300114"</f>
        <v>300114</v>
      </c>
      <c r="B1486" t="s">
        <v>1655</v>
      </c>
      <c r="C1486">
        <v>1.08</v>
      </c>
      <c r="D1486">
        <v>10.31</v>
      </c>
      <c r="E1486">
        <v>0.11</v>
      </c>
      <c r="F1486">
        <v>10.3</v>
      </c>
      <c r="G1486">
        <v>10.31</v>
      </c>
      <c r="H1486">
        <v>58405</v>
      </c>
      <c r="I1486">
        <v>468</v>
      </c>
      <c r="J1486">
        <v>-0.28</v>
      </c>
      <c r="K1486">
        <v>0.99</v>
      </c>
      <c r="L1486">
        <v>10.1</v>
      </c>
      <c r="M1486">
        <v>10.38</v>
      </c>
      <c r="N1486">
        <v>9.91</v>
      </c>
      <c r="O1486">
        <v>10.2</v>
      </c>
      <c r="P1486">
        <v>65.69</v>
      </c>
      <c r="Q1486">
        <v>59481060</v>
      </c>
      <c r="R1486">
        <v>1.29</v>
      </c>
      <c r="S1486" t="s">
        <v>63</v>
      </c>
      <c r="T1486" t="s">
        <v>223</v>
      </c>
      <c r="U1486">
        <v>4.61</v>
      </c>
      <c r="V1486">
        <v>10.18</v>
      </c>
      <c r="W1486">
        <v>24469</v>
      </c>
      <c r="X1486">
        <v>33936</v>
      </c>
      <c r="Y1486">
        <v>0.72</v>
      </c>
      <c r="Z1486">
        <v>1026</v>
      </c>
      <c r="AA1486">
        <v>300</v>
      </c>
      <c r="AB1486" t="s">
        <v>32</v>
      </c>
      <c r="AC1486">
        <v>5.91</v>
      </c>
    </row>
    <row r="1487" spans="1:29">
      <c r="A1487" t="str">
        <f>"300115"</f>
        <v>300115</v>
      </c>
      <c r="B1487" t="s">
        <v>1656</v>
      </c>
      <c r="C1487">
        <v>3.06</v>
      </c>
      <c r="D1487">
        <v>11.8</v>
      </c>
      <c r="E1487">
        <v>0.35</v>
      </c>
      <c r="F1487">
        <v>11.79</v>
      </c>
      <c r="G1487">
        <v>11.8</v>
      </c>
      <c r="H1487">
        <v>156431</v>
      </c>
      <c r="I1487">
        <v>1363</v>
      </c>
      <c r="J1487">
        <v>0.08</v>
      </c>
      <c r="K1487">
        <v>1.73</v>
      </c>
      <c r="L1487">
        <v>11.44</v>
      </c>
      <c r="M1487">
        <v>11.85</v>
      </c>
      <c r="N1487">
        <v>11.38</v>
      </c>
      <c r="O1487">
        <v>11.45</v>
      </c>
      <c r="P1487">
        <v>88.69</v>
      </c>
      <c r="Q1487">
        <v>182302816</v>
      </c>
      <c r="R1487">
        <v>1.02</v>
      </c>
      <c r="S1487" t="s">
        <v>63</v>
      </c>
      <c r="T1487" t="s">
        <v>31</v>
      </c>
      <c r="U1487">
        <v>4.1</v>
      </c>
      <c r="V1487">
        <v>11.65</v>
      </c>
      <c r="W1487">
        <v>62437</v>
      </c>
      <c r="X1487">
        <v>93993</v>
      </c>
      <c r="Y1487">
        <v>0.66</v>
      </c>
      <c r="Z1487">
        <v>267</v>
      </c>
      <c r="AA1487">
        <v>6</v>
      </c>
      <c r="AB1487" t="s">
        <v>32</v>
      </c>
      <c r="AC1487">
        <v>9.05</v>
      </c>
    </row>
    <row r="1488" spans="1:29">
      <c r="A1488" t="str">
        <f>"300116"</f>
        <v>300116</v>
      </c>
      <c r="B1488" t="s">
        <v>1657</v>
      </c>
      <c r="C1488">
        <v>2.74</v>
      </c>
      <c r="D1488">
        <v>2.25</v>
      </c>
      <c r="E1488">
        <v>0.06</v>
      </c>
      <c r="F1488">
        <v>2.24</v>
      </c>
      <c r="G1488">
        <v>2.25</v>
      </c>
      <c r="H1488">
        <v>377906</v>
      </c>
      <c r="I1488">
        <v>6546</v>
      </c>
      <c r="J1488">
        <v>0</v>
      </c>
      <c r="K1488">
        <v>2.92</v>
      </c>
      <c r="L1488">
        <v>2.2</v>
      </c>
      <c r="M1488">
        <v>2.32</v>
      </c>
      <c r="N1488">
        <v>2.18</v>
      </c>
      <c r="O1488">
        <v>2.19</v>
      </c>
      <c r="P1488" t="s">
        <v>32</v>
      </c>
      <c r="Q1488">
        <v>84785384</v>
      </c>
      <c r="R1488">
        <v>0.98</v>
      </c>
      <c r="S1488" t="s">
        <v>104</v>
      </c>
      <c r="T1488" t="s">
        <v>223</v>
      </c>
      <c r="U1488">
        <v>6.39</v>
      </c>
      <c r="V1488">
        <v>2.24</v>
      </c>
      <c r="W1488">
        <v>160445</v>
      </c>
      <c r="X1488">
        <v>217461</v>
      </c>
      <c r="Y1488">
        <v>0.74</v>
      </c>
      <c r="Z1488">
        <v>9955</v>
      </c>
      <c r="AA1488">
        <v>748</v>
      </c>
      <c r="AB1488" t="s">
        <v>32</v>
      </c>
      <c r="AC1488">
        <v>12.94</v>
      </c>
    </row>
    <row r="1489" spans="1:29">
      <c r="A1489" t="str">
        <f>"300117"</f>
        <v>300117</v>
      </c>
      <c r="B1489" t="s">
        <v>1658</v>
      </c>
      <c r="C1489">
        <v>2.46</v>
      </c>
      <c r="D1489">
        <v>4.16</v>
      </c>
      <c r="E1489">
        <v>0.1</v>
      </c>
      <c r="F1489">
        <v>4.16</v>
      </c>
      <c r="G1489">
        <v>4.17</v>
      </c>
      <c r="H1489">
        <v>159197</v>
      </c>
      <c r="I1489">
        <v>1892</v>
      </c>
      <c r="J1489">
        <v>0</v>
      </c>
      <c r="K1489">
        <v>2.23</v>
      </c>
      <c r="L1489">
        <v>4.1</v>
      </c>
      <c r="M1489">
        <v>4.24</v>
      </c>
      <c r="N1489">
        <v>4.04</v>
      </c>
      <c r="O1489">
        <v>4.06</v>
      </c>
      <c r="P1489">
        <v>55.37</v>
      </c>
      <c r="Q1489">
        <v>65920588</v>
      </c>
      <c r="R1489">
        <v>2.62</v>
      </c>
      <c r="S1489" t="s">
        <v>59</v>
      </c>
      <c r="T1489" t="s">
        <v>45</v>
      </c>
      <c r="U1489">
        <v>4.93</v>
      </c>
      <c r="V1489">
        <v>4.14</v>
      </c>
      <c r="W1489">
        <v>72847</v>
      </c>
      <c r="X1489">
        <v>86349</v>
      </c>
      <c r="Y1489">
        <v>0.84</v>
      </c>
      <c r="Z1489">
        <v>1270</v>
      </c>
      <c r="AA1489">
        <v>517</v>
      </c>
      <c r="AB1489" t="s">
        <v>32</v>
      </c>
      <c r="AC1489">
        <v>7.14</v>
      </c>
    </row>
    <row r="1490" spans="1:29">
      <c r="A1490" t="str">
        <f>"300118"</f>
        <v>300118</v>
      </c>
      <c r="B1490" t="s">
        <v>1659</v>
      </c>
      <c r="C1490" t="s">
        <v>32</v>
      </c>
      <c r="D1490">
        <v>10.7</v>
      </c>
      <c r="E1490" t="s">
        <v>32</v>
      </c>
      <c r="F1490" t="s">
        <v>32</v>
      </c>
      <c r="G1490" t="s">
        <v>32</v>
      </c>
      <c r="H1490">
        <v>0</v>
      </c>
      <c r="I1490">
        <v>0</v>
      </c>
      <c r="J1490" t="s">
        <v>32</v>
      </c>
      <c r="K1490">
        <v>0</v>
      </c>
      <c r="L1490" t="s">
        <v>32</v>
      </c>
      <c r="M1490" t="s">
        <v>32</v>
      </c>
      <c r="N1490" t="s">
        <v>32</v>
      </c>
      <c r="O1490">
        <v>10.7</v>
      </c>
      <c r="P1490">
        <v>30.17</v>
      </c>
      <c r="Q1490">
        <v>0</v>
      </c>
      <c r="R1490">
        <v>0</v>
      </c>
      <c r="S1490" t="s">
        <v>699</v>
      </c>
      <c r="T1490" t="s">
        <v>149</v>
      </c>
      <c r="U1490">
        <v>0</v>
      </c>
      <c r="V1490">
        <v>10.7</v>
      </c>
      <c r="W1490">
        <v>0</v>
      </c>
      <c r="X1490">
        <v>0</v>
      </c>
      <c r="Y1490" t="s">
        <v>32</v>
      </c>
      <c r="Z1490">
        <v>0</v>
      </c>
      <c r="AA1490">
        <v>0</v>
      </c>
      <c r="AB1490" t="s">
        <v>32</v>
      </c>
      <c r="AC1490">
        <v>6.92</v>
      </c>
    </row>
    <row r="1491" spans="1:29">
      <c r="A1491" t="str">
        <f>"300119"</f>
        <v>300119</v>
      </c>
      <c r="B1491" t="s">
        <v>1660</v>
      </c>
      <c r="C1491">
        <v>1.83</v>
      </c>
      <c r="D1491">
        <v>8.88</v>
      </c>
      <c r="E1491">
        <v>0.16</v>
      </c>
      <c r="F1491">
        <v>8.88</v>
      </c>
      <c r="G1491">
        <v>8.89</v>
      </c>
      <c r="H1491">
        <v>26092</v>
      </c>
      <c r="I1491">
        <v>385</v>
      </c>
      <c r="J1491">
        <v>-0.1</v>
      </c>
      <c r="K1491">
        <v>1.27</v>
      </c>
      <c r="L1491">
        <v>8.65</v>
      </c>
      <c r="M1491">
        <v>8.91</v>
      </c>
      <c r="N1491">
        <v>8.5</v>
      </c>
      <c r="O1491">
        <v>8.72</v>
      </c>
      <c r="P1491">
        <v>23.33</v>
      </c>
      <c r="Q1491">
        <v>22958336</v>
      </c>
      <c r="R1491">
        <v>0.95</v>
      </c>
      <c r="S1491" t="s">
        <v>36</v>
      </c>
      <c r="T1491" t="s">
        <v>248</v>
      </c>
      <c r="U1491">
        <v>4.7</v>
      </c>
      <c r="V1491">
        <v>8.8</v>
      </c>
      <c r="W1491">
        <v>14113</v>
      </c>
      <c r="X1491">
        <v>11978</v>
      </c>
      <c r="Y1491">
        <v>1.18</v>
      </c>
      <c r="Z1491">
        <v>18</v>
      </c>
      <c r="AA1491">
        <v>195</v>
      </c>
      <c r="AB1491" t="s">
        <v>32</v>
      </c>
      <c r="AC1491">
        <v>2.05</v>
      </c>
    </row>
    <row r="1492" spans="1:29">
      <c r="A1492" t="str">
        <f>"300120"</f>
        <v>300120</v>
      </c>
      <c r="B1492" t="s">
        <v>1661</v>
      </c>
      <c r="C1492">
        <v>-0.14</v>
      </c>
      <c r="D1492">
        <v>7</v>
      </c>
      <c r="E1492">
        <v>-0.01</v>
      </c>
      <c r="F1492">
        <v>7</v>
      </c>
      <c r="G1492">
        <v>7.01</v>
      </c>
      <c r="H1492">
        <v>22953</v>
      </c>
      <c r="I1492">
        <v>893</v>
      </c>
      <c r="J1492">
        <v>0.14</v>
      </c>
      <c r="K1492">
        <v>1.08</v>
      </c>
      <c r="L1492">
        <v>6.9</v>
      </c>
      <c r="M1492">
        <v>7.06</v>
      </c>
      <c r="N1492">
        <v>6.88</v>
      </c>
      <c r="O1492">
        <v>7.01</v>
      </c>
      <c r="P1492">
        <v>29.73</v>
      </c>
      <c r="Q1492">
        <v>16005287</v>
      </c>
      <c r="R1492">
        <v>1.74</v>
      </c>
      <c r="S1492" t="s">
        <v>104</v>
      </c>
      <c r="T1492" t="s">
        <v>248</v>
      </c>
      <c r="U1492">
        <v>2.57</v>
      </c>
      <c r="V1492">
        <v>6.97</v>
      </c>
      <c r="W1492">
        <v>14638</v>
      </c>
      <c r="X1492">
        <v>8315</v>
      </c>
      <c r="Y1492">
        <v>1.76</v>
      </c>
      <c r="Z1492">
        <v>1210</v>
      </c>
      <c r="AA1492">
        <v>62</v>
      </c>
      <c r="AB1492" t="s">
        <v>32</v>
      </c>
      <c r="AC1492">
        <v>2.13</v>
      </c>
    </row>
    <row r="1493" spans="1:29">
      <c r="A1493" t="str">
        <f>"300121"</f>
        <v>300121</v>
      </c>
      <c r="B1493" t="s">
        <v>1662</v>
      </c>
      <c r="C1493">
        <v>0.21</v>
      </c>
      <c r="D1493">
        <v>14.33</v>
      </c>
      <c r="E1493">
        <v>0.03</v>
      </c>
      <c r="F1493">
        <v>14.33</v>
      </c>
      <c r="G1493">
        <v>14.34</v>
      </c>
      <c r="H1493">
        <v>106696</v>
      </c>
      <c r="I1493">
        <v>1029</v>
      </c>
      <c r="J1493">
        <v>0</v>
      </c>
      <c r="K1493">
        <v>2.87</v>
      </c>
      <c r="L1493">
        <v>14.33</v>
      </c>
      <c r="M1493">
        <v>14.46</v>
      </c>
      <c r="N1493">
        <v>14.17</v>
      </c>
      <c r="O1493">
        <v>14.3</v>
      </c>
      <c r="P1493">
        <v>13.24</v>
      </c>
      <c r="Q1493">
        <v>152612336</v>
      </c>
      <c r="R1493">
        <v>1.15</v>
      </c>
      <c r="S1493" t="s">
        <v>218</v>
      </c>
      <c r="T1493" t="s">
        <v>162</v>
      </c>
      <c r="U1493">
        <v>2.03</v>
      </c>
      <c r="V1493">
        <v>14.3</v>
      </c>
      <c r="W1493">
        <v>59524</v>
      </c>
      <c r="X1493">
        <v>47171</v>
      </c>
      <c r="Y1493">
        <v>1.26</v>
      </c>
      <c r="Z1493">
        <v>520</v>
      </c>
      <c r="AA1493">
        <v>354</v>
      </c>
      <c r="AB1493" t="s">
        <v>32</v>
      </c>
      <c r="AC1493">
        <v>3.72</v>
      </c>
    </row>
    <row r="1494" spans="1:29">
      <c r="A1494" t="str">
        <f>"300122"</f>
        <v>300122</v>
      </c>
      <c r="B1494" t="s">
        <v>1663</v>
      </c>
      <c r="C1494">
        <v>-3.95</v>
      </c>
      <c r="D1494">
        <v>42.36</v>
      </c>
      <c r="E1494">
        <v>-1.74</v>
      </c>
      <c r="F1494">
        <v>42.35</v>
      </c>
      <c r="G1494">
        <v>42.36</v>
      </c>
      <c r="H1494">
        <v>731077</v>
      </c>
      <c r="I1494">
        <v>3907</v>
      </c>
      <c r="J1494">
        <v>1.29</v>
      </c>
      <c r="K1494">
        <v>8.41</v>
      </c>
      <c r="L1494">
        <v>39.69</v>
      </c>
      <c r="M1494">
        <v>46</v>
      </c>
      <c r="N1494">
        <v>39.69</v>
      </c>
      <c r="O1494">
        <v>44.1</v>
      </c>
      <c r="P1494">
        <v>65.26</v>
      </c>
      <c r="Q1494">
        <v>3014186752</v>
      </c>
      <c r="R1494">
        <v>5.7</v>
      </c>
      <c r="S1494" t="s">
        <v>36</v>
      </c>
      <c r="T1494" t="s">
        <v>221</v>
      </c>
      <c r="U1494">
        <v>14.31</v>
      </c>
      <c r="V1494">
        <v>41.23</v>
      </c>
      <c r="W1494">
        <v>242086</v>
      </c>
      <c r="X1494">
        <v>488990</v>
      </c>
      <c r="Y1494">
        <v>0.5</v>
      </c>
      <c r="Z1494">
        <v>648</v>
      </c>
      <c r="AA1494">
        <v>2277</v>
      </c>
      <c r="AB1494" t="s">
        <v>32</v>
      </c>
      <c r="AC1494">
        <v>8.69</v>
      </c>
    </row>
    <row r="1495" spans="1:29">
      <c r="A1495" t="str">
        <f>"300123"</f>
        <v>300123</v>
      </c>
      <c r="B1495" t="s">
        <v>1664</v>
      </c>
      <c r="C1495">
        <v>-0.16</v>
      </c>
      <c r="D1495">
        <v>12.75</v>
      </c>
      <c r="E1495">
        <v>-0.02</v>
      </c>
      <c r="F1495">
        <v>12.74</v>
      </c>
      <c r="G1495">
        <v>12.75</v>
      </c>
      <c r="H1495">
        <v>40004</v>
      </c>
      <c r="I1495">
        <v>380</v>
      </c>
      <c r="J1495">
        <v>0.08</v>
      </c>
      <c r="K1495">
        <v>1.45</v>
      </c>
      <c r="L1495">
        <v>12.86</v>
      </c>
      <c r="M1495">
        <v>13.03</v>
      </c>
      <c r="N1495">
        <v>12.72</v>
      </c>
      <c r="O1495">
        <v>12.77</v>
      </c>
      <c r="P1495">
        <v>95.37</v>
      </c>
      <c r="Q1495">
        <v>51415496</v>
      </c>
      <c r="R1495">
        <v>1.23</v>
      </c>
      <c r="S1495" t="s">
        <v>1549</v>
      </c>
      <c r="T1495" t="s">
        <v>152</v>
      </c>
      <c r="U1495">
        <v>2.43</v>
      </c>
      <c r="V1495">
        <v>12.85</v>
      </c>
      <c r="W1495">
        <v>22468</v>
      </c>
      <c r="X1495">
        <v>17536</v>
      </c>
      <c r="Y1495">
        <v>1.28</v>
      </c>
      <c r="Z1495">
        <v>99</v>
      </c>
      <c r="AA1495">
        <v>40</v>
      </c>
      <c r="AB1495" t="s">
        <v>32</v>
      </c>
      <c r="AC1495">
        <v>2.77</v>
      </c>
    </row>
    <row r="1496" spans="1:29">
      <c r="A1496" t="str">
        <f>"300124"</f>
        <v>300124</v>
      </c>
      <c r="B1496" t="s">
        <v>1665</v>
      </c>
      <c r="C1496">
        <v>1.4</v>
      </c>
      <c r="D1496">
        <v>29</v>
      </c>
      <c r="E1496">
        <v>0.4</v>
      </c>
      <c r="F1496">
        <v>28.99</v>
      </c>
      <c r="G1496">
        <v>29</v>
      </c>
      <c r="H1496">
        <v>117596</v>
      </c>
      <c r="I1496">
        <v>428</v>
      </c>
      <c r="J1496">
        <v>0.03</v>
      </c>
      <c r="K1496">
        <v>0.96</v>
      </c>
      <c r="L1496">
        <v>28.64</v>
      </c>
      <c r="M1496">
        <v>29.6</v>
      </c>
      <c r="N1496">
        <v>28.64</v>
      </c>
      <c r="O1496">
        <v>28.6</v>
      </c>
      <c r="P1496">
        <v>61.4</v>
      </c>
      <c r="Q1496">
        <v>343307872</v>
      </c>
      <c r="R1496">
        <v>1.1</v>
      </c>
      <c r="S1496" t="s">
        <v>606</v>
      </c>
      <c r="T1496" t="s">
        <v>31</v>
      </c>
      <c r="U1496">
        <v>3.36</v>
      </c>
      <c r="V1496">
        <v>29.19</v>
      </c>
      <c r="W1496">
        <v>56883</v>
      </c>
      <c r="X1496">
        <v>60712</v>
      </c>
      <c r="Y1496">
        <v>0.94</v>
      </c>
      <c r="Z1496">
        <v>129</v>
      </c>
      <c r="AA1496">
        <v>735</v>
      </c>
      <c r="AB1496" t="s">
        <v>32</v>
      </c>
      <c r="AC1496">
        <v>12.28</v>
      </c>
    </row>
    <row r="1497" spans="1:29">
      <c r="A1497" t="str">
        <f>"300125"</f>
        <v>300125</v>
      </c>
      <c r="B1497" t="s">
        <v>1666</v>
      </c>
      <c r="C1497">
        <v>1.24</v>
      </c>
      <c r="D1497">
        <v>17.13</v>
      </c>
      <c r="E1497">
        <v>0.21</v>
      </c>
      <c r="F1497">
        <v>17.1</v>
      </c>
      <c r="G1497">
        <v>17.13</v>
      </c>
      <c r="H1497">
        <v>1786</v>
      </c>
      <c r="I1497">
        <v>31</v>
      </c>
      <c r="J1497">
        <v>-0.11</v>
      </c>
      <c r="K1497">
        <v>0.1</v>
      </c>
      <c r="L1497">
        <v>16.92</v>
      </c>
      <c r="M1497">
        <v>17.3</v>
      </c>
      <c r="N1497">
        <v>16.92</v>
      </c>
      <c r="O1497">
        <v>16.92</v>
      </c>
      <c r="P1497">
        <v>80.7</v>
      </c>
      <c r="Q1497">
        <v>3054871</v>
      </c>
      <c r="R1497">
        <v>1.49</v>
      </c>
      <c r="S1497" t="s">
        <v>104</v>
      </c>
      <c r="T1497" t="s">
        <v>111</v>
      </c>
      <c r="U1497">
        <v>2.25</v>
      </c>
      <c r="V1497">
        <v>17.11</v>
      </c>
      <c r="W1497">
        <v>1071</v>
      </c>
      <c r="X1497">
        <v>714</v>
      </c>
      <c r="Y1497">
        <v>1.5</v>
      </c>
      <c r="Z1497">
        <v>31</v>
      </c>
      <c r="AA1497">
        <v>3</v>
      </c>
      <c r="AB1497" t="s">
        <v>32</v>
      </c>
      <c r="AC1497">
        <v>1.73</v>
      </c>
    </row>
    <row r="1498" spans="1:29">
      <c r="A1498" t="str">
        <f>"300126"</f>
        <v>300126</v>
      </c>
      <c r="B1498" t="s">
        <v>1667</v>
      </c>
      <c r="C1498">
        <v>2.87</v>
      </c>
      <c r="D1498">
        <v>5.02</v>
      </c>
      <c r="E1498">
        <v>0.14</v>
      </c>
      <c r="F1498">
        <v>5.01</v>
      </c>
      <c r="G1498">
        <v>5.02</v>
      </c>
      <c r="H1498">
        <v>20810</v>
      </c>
      <c r="I1498">
        <v>355</v>
      </c>
      <c r="J1498">
        <v>0.8</v>
      </c>
      <c r="K1498">
        <v>0.99</v>
      </c>
      <c r="L1498">
        <v>4.87</v>
      </c>
      <c r="M1498">
        <v>5.03</v>
      </c>
      <c r="N1498">
        <v>4.86</v>
      </c>
      <c r="O1498">
        <v>4.88</v>
      </c>
      <c r="P1498" t="s">
        <v>32</v>
      </c>
      <c r="Q1498">
        <v>10294305</v>
      </c>
      <c r="R1498">
        <v>0.94</v>
      </c>
      <c r="S1498" t="s">
        <v>93</v>
      </c>
      <c r="T1498" t="s">
        <v>366</v>
      </c>
      <c r="U1498">
        <v>3.48</v>
      </c>
      <c r="V1498">
        <v>4.95</v>
      </c>
      <c r="W1498">
        <v>8020</v>
      </c>
      <c r="X1498">
        <v>12790</v>
      </c>
      <c r="Y1498">
        <v>0.63</v>
      </c>
      <c r="Z1498">
        <v>10</v>
      </c>
      <c r="AA1498">
        <v>444</v>
      </c>
      <c r="AB1498" t="s">
        <v>32</v>
      </c>
      <c r="AC1498">
        <v>2.11</v>
      </c>
    </row>
    <row r="1499" spans="1:29">
      <c r="A1499" t="str">
        <f>"300127"</f>
        <v>300127</v>
      </c>
      <c r="B1499" t="s">
        <v>1668</v>
      </c>
      <c r="C1499">
        <v>3.81</v>
      </c>
      <c r="D1499">
        <v>13.63</v>
      </c>
      <c r="E1499">
        <v>0.5</v>
      </c>
      <c r="F1499">
        <v>13.62</v>
      </c>
      <c r="G1499">
        <v>13.63</v>
      </c>
      <c r="H1499">
        <v>87298</v>
      </c>
      <c r="I1499">
        <v>928</v>
      </c>
      <c r="J1499">
        <v>0</v>
      </c>
      <c r="K1499">
        <v>3.84</v>
      </c>
      <c r="L1499">
        <v>12.99</v>
      </c>
      <c r="M1499">
        <v>14.3</v>
      </c>
      <c r="N1499">
        <v>12.88</v>
      </c>
      <c r="O1499">
        <v>13.13</v>
      </c>
      <c r="P1499">
        <v>30.88</v>
      </c>
      <c r="Q1499">
        <v>117578144</v>
      </c>
      <c r="R1499">
        <v>1.72</v>
      </c>
      <c r="S1499" t="s">
        <v>63</v>
      </c>
      <c r="T1499" t="s">
        <v>146</v>
      </c>
      <c r="U1499">
        <v>10.81</v>
      </c>
      <c r="V1499">
        <v>13.47</v>
      </c>
      <c r="W1499">
        <v>43512</v>
      </c>
      <c r="X1499">
        <v>43785</v>
      </c>
      <c r="Y1499">
        <v>0.99</v>
      </c>
      <c r="Z1499">
        <v>258</v>
      </c>
      <c r="AA1499">
        <v>38</v>
      </c>
      <c r="AB1499" t="s">
        <v>32</v>
      </c>
      <c r="AC1499">
        <v>2.27</v>
      </c>
    </row>
    <row r="1500" spans="1:29">
      <c r="A1500" t="str">
        <f>"300128"</f>
        <v>300128</v>
      </c>
      <c r="B1500" t="s">
        <v>1669</v>
      </c>
      <c r="C1500">
        <v>0</v>
      </c>
      <c r="D1500">
        <v>4.36</v>
      </c>
      <c r="E1500">
        <v>0</v>
      </c>
      <c r="F1500">
        <v>4.36</v>
      </c>
      <c r="G1500">
        <v>4.37</v>
      </c>
      <c r="H1500">
        <v>277162</v>
      </c>
      <c r="I1500">
        <v>6293</v>
      </c>
      <c r="J1500">
        <v>-0.22</v>
      </c>
      <c r="K1500">
        <v>2.6</v>
      </c>
      <c r="L1500">
        <v>4.48</v>
      </c>
      <c r="M1500">
        <v>4.55</v>
      </c>
      <c r="N1500">
        <v>4.36</v>
      </c>
      <c r="O1500">
        <v>4.36</v>
      </c>
      <c r="P1500">
        <v>296.79</v>
      </c>
      <c r="Q1500">
        <v>122177288</v>
      </c>
      <c r="R1500">
        <v>0.54</v>
      </c>
      <c r="S1500" t="s">
        <v>63</v>
      </c>
      <c r="T1500" t="s">
        <v>87</v>
      </c>
      <c r="U1500">
        <v>4.36</v>
      </c>
      <c r="V1500">
        <v>4.41</v>
      </c>
      <c r="W1500">
        <v>155735</v>
      </c>
      <c r="X1500">
        <v>121427</v>
      </c>
      <c r="Y1500">
        <v>1.28</v>
      </c>
      <c r="Z1500">
        <v>1449</v>
      </c>
      <c r="AA1500">
        <v>3038</v>
      </c>
      <c r="AB1500" t="s">
        <v>32</v>
      </c>
      <c r="AC1500">
        <v>10.66</v>
      </c>
    </row>
    <row r="1501" spans="1:29">
      <c r="A1501" t="str">
        <f>"300129"</f>
        <v>300129</v>
      </c>
      <c r="B1501" t="s">
        <v>1670</v>
      </c>
      <c r="C1501">
        <v>1.76</v>
      </c>
      <c r="D1501">
        <v>3.47</v>
      </c>
      <c r="E1501">
        <v>0.06</v>
      </c>
      <c r="F1501">
        <v>3.46</v>
      </c>
      <c r="G1501">
        <v>3.47</v>
      </c>
      <c r="H1501">
        <v>72351</v>
      </c>
      <c r="I1501">
        <v>721</v>
      </c>
      <c r="J1501">
        <v>0</v>
      </c>
      <c r="K1501">
        <v>1.47</v>
      </c>
      <c r="L1501">
        <v>3.41</v>
      </c>
      <c r="M1501">
        <v>3.49</v>
      </c>
      <c r="N1501">
        <v>3.38</v>
      </c>
      <c r="O1501">
        <v>3.41</v>
      </c>
      <c r="P1501">
        <v>44.22</v>
      </c>
      <c r="Q1501">
        <v>24963784</v>
      </c>
      <c r="R1501">
        <v>1.77</v>
      </c>
      <c r="S1501" t="s">
        <v>104</v>
      </c>
      <c r="T1501" t="s">
        <v>366</v>
      </c>
      <c r="U1501">
        <v>3.23</v>
      </c>
      <c r="V1501">
        <v>3.45</v>
      </c>
      <c r="W1501">
        <v>31677</v>
      </c>
      <c r="X1501">
        <v>40674</v>
      </c>
      <c r="Y1501">
        <v>0.78</v>
      </c>
      <c r="Z1501">
        <v>1414</v>
      </c>
      <c r="AA1501">
        <v>351</v>
      </c>
      <c r="AB1501" t="s">
        <v>32</v>
      </c>
      <c r="AC1501">
        <v>4.91</v>
      </c>
    </row>
    <row r="1502" spans="1:29">
      <c r="A1502" t="str">
        <f>"300130"</f>
        <v>300130</v>
      </c>
      <c r="B1502" t="s">
        <v>1671</v>
      </c>
      <c r="C1502">
        <v>0.43</v>
      </c>
      <c r="D1502">
        <v>11.58</v>
      </c>
      <c r="E1502">
        <v>0.05</v>
      </c>
      <c r="F1502">
        <v>11.58</v>
      </c>
      <c r="G1502">
        <v>11.59</v>
      </c>
      <c r="H1502">
        <v>46900</v>
      </c>
      <c r="I1502">
        <v>106</v>
      </c>
      <c r="J1502">
        <v>-0.16</v>
      </c>
      <c r="K1502">
        <v>1.62</v>
      </c>
      <c r="L1502">
        <v>11.48</v>
      </c>
      <c r="M1502">
        <v>11.66</v>
      </c>
      <c r="N1502">
        <v>11.32</v>
      </c>
      <c r="O1502">
        <v>11.53</v>
      </c>
      <c r="P1502">
        <v>152.43</v>
      </c>
      <c r="Q1502">
        <v>53775472</v>
      </c>
      <c r="R1502">
        <v>1.59</v>
      </c>
      <c r="S1502" t="s">
        <v>65</v>
      </c>
      <c r="T1502" t="s">
        <v>31</v>
      </c>
      <c r="U1502">
        <v>2.95</v>
      </c>
      <c r="V1502">
        <v>11.47</v>
      </c>
      <c r="W1502">
        <v>21824</v>
      </c>
      <c r="X1502">
        <v>25076</v>
      </c>
      <c r="Y1502">
        <v>0.87</v>
      </c>
      <c r="Z1502">
        <v>264</v>
      </c>
      <c r="AA1502">
        <v>227</v>
      </c>
      <c r="AB1502" t="s">
        <v>32</v>
      </c>
      <c r="AC1502">
        <v>2.9</v>
      </c>
    </row>
    <row r="1503" spans="1:29">
      <c r="A1503" t="str">
        <f>"300131"</f>
        <v>300131</v>
      </c>
      <c r="B1503" t="s">
        <v>1672</v>
      </c>
      <c r="C1503" t="s">
        <v>32</v>
      </c>
      <c r="D1503">
        <v>5.67</v>
      </c>
      <c r="E1503" t="s">
        <v>32</v>
      </c>
      <c r="F1503" t="s">
        <v>32</v>
      </c>
      <c r="G1503" t="s">
        <v>32</v>
      </c>
      <c r="H1503">
        <v>0</v>
      </c>
      <c r="I1503">
        <v>0</v>
      </c>
      <c r="J1503" t="s">
        <v>32</v>
      </c>
      <c r="K1503">
        <v>0</v>
      </c>
      <c r="L1503" t="s">
        <v>32</v>
      </c>
      <c r="M1503" t="s">
        <v>32</v>
      </c>
      <c r="N1503" t="s">
        <v>32</v>
      </c>
      <c r="O1503">
        <v>5.67</v>
      </c>
      <c r="P1503">
        <v>41.05</v>
      </c>
      <c r="Q1503">
        <v>0</v>
      </c>
      <c r="R1503">
        <v>0</v>
      </c>
      <c r="S1503" t="s">
        <v>63</v>
      </c>
      <c r="T1503" t="s">
        <v>31</v>
      </c>
      <c r="U1503">
        <v>0</v>
      </c>
      <c r="V1503">
        <v>5.67</v>
      </c>
      <c r="W1503">
        <v>0</v>
      </c>
      <c r="X1503">
        <v>0</v>
      </c>
      <c r="Y1503" t="s">
        <v>32</v>
      </c>
      <c r="Z1503">
        <v>0</v>
      </c>
      <c r="AA1503">
        <v>0</v>
      </c>
      <c r="AB1503" t="s">
        <v>32</v>
      </c>
      <c r="AC1503">
        <v>6.28</v>
      </c>
    </row>
    <row r="1504" spans="1:29">
      <c r="A1504" t="str">
        <f>"300132"</f>
        <v>300132</v>
      </c>
      <c r="B1504" t="s">
        <v>1673</v>
      </c>
      <c r="C1504">
        <v>-0.78</v>
      </c>
      <c r="D1504">
        <v>12.71</v>
      </c>
      <c r="E1504">
        <v>-0.1</v>
      </c>
      <c r="F1504">
        <v>12.71</v>
      </c>
      <c r="G1504">
        <v>12.72</v>
      </c>
      <c r="H1504">
        <v>144907</v>
      </c>
      <c r="I1504">
        <v>3096</v>
      </c>
      <c r="J1504">
        <v>0</v>
      </c>
      <c r="K1504">
        <v>4.66</v>
      </c>
      <c r="L1504">
        <v>12.7</v>
      </c>
      <c r="M1504">
        <v>13.07</v>
      </c>
      <c r="N1504">
        <v>12.63</v>
      </c>
      <c r="O1504">
        <v>12.81</v>
      </c>
      <c r="P1504">
        <v>20.17</v>
      </c>
      <c r="Q1504">
        <v>186711072</v>
      </c>
      <c r="R1504">
        <v>0.96</v>
      </c>
      <c r="S1504" t="s">
        <v>218</v>
      </c>
      <c r="T1504" t="s">
        <v>236</v>
      </c>
      <c r="U1504">
        <v>3.43</v>
      </c>
      <c r="V1504">
        <v>12.88</v>
      </c>
      <c r="W1504">
        <v>79694</v>
      </c>
      <c r="X1504">
        <v>65212</v>
      </c>
      <c r="Y1504">
        <v>1.22</v>
      </c>
      <c r="Z1504">
        <v>15</v>
      </c>
      <c r="AA1504">
        <v>109</v>
      </c>
      <c r="AB1504" t="s">
        <v>32</v>
      </c>
      <c r="AC1504">
        <v>3.11</v>
      </c>
    </row>
    <row r="1505" spans="1:29">
      <c r="A1505" t="str">
        <f>"300133"</f>
        <v>300133</v>
      </c>
      <c r="B1505" t="s">
        <v>1674</v>
      </c>
      <c r="C1505">
        <v>0.61</v>
      </c>
      <c r="D1505">
        <v>9.96</v>
      </c>
      <c r="E1505">
        <v>0.06</v>
      </c>
      <c r="F1505">
        <v>9.96</v>
      </c>
      <c r="G1505">
        <v>9.97</v>
      </c>
      <c r="H1505">
        <v>48694</v>
      </c>
      <c r="I1505">
        <v>558</v>
      </c>
      <c r="J1505">
        <v>-0.29</v>
      </c>
      <c r="K1505">
        <v>0.4</v>
      </c>
      <c r="L1505">
        <v>9.93</v>
      </c>
      <c r="M1505">
        <v>10.06</v>
      </c>
      <c r="N1505">
        <v>9.83</v>
      </c>
      <c r="O1505">
        <v>9.9</v>
      </c>
      <c r="P1505">
        <v>122.1</v>
      </c>
      <c r="Q1505">
        <v>48605140</v>
      </c>
      <c r="R1505">
        <v>1.21</v>
      </c>
      <c r="S1505" t="s">
        <v>148</v>
      </c>
      <c r="T1505" t="s">
        <v>149</v>
      </c>
      <c r="U1505">
        <v>2.32</v>
      </c>
      <c r="V1505">
        <v>9.98</v>
      </c>
      <c r="W1505">
        <v>17646</v>
      </c>
      <c r="X1505">
        <v>31048</v>
      </c>
      <c r="Y1505">
        <v>0.57</v>
      </c>
      <c r="Z1505">
        <v>1054</v>
      </c>
      <c r="AA1505">
        <v>259</v>
      </c>
      <c r="AB1505" t="s">
        <v>32</v>
      </c>
      <c r="AC1505">
        <v>12.2</v>
      </c>
    </row>
    <row r="1506" spans="1:29">
      <c r="A1506" t="str">
        <f>"300134"</f>
        <v>300134</v>
      </c>
      <c r="B1506" t="s">
        <v>1675</v>
      </c>
      <c r="C1506">
        <v>0.09</v>
      </c>
      <c r="D1506">
        <v>11.28</v>
      </c>
      <c r="E1506">
        <v>0.01</v>
      </c>
      <c r="F1506">
        <v>11.27</v>
      </c>
      <c r="G1506">
        <v>11.28</v>
      </c>
      <c r="H1506">
        <v>349410</v>
      </c>
      <c r="I1506">
        <v>8402</v>
      </c>
      <c r="J1506">
        <v>0</v>
      </c>
      <c r="K1506">
        <v>4.9</v>
      </c>
      <c r="L1506">
        <v>11.22</v>
      </c>
      <c r="M1506">
        <v>11.84</v>
      </c>
      <c r="N1506">
        <v>11.12</v>
      </c>
      <c r="O1506">
        <v>11.27</v>
      </c>
      <c r="P1506">
        <v>68.18</v>
      </c>
      <c r="Q1506">
        <v>402510336</v>
      </c>
      <c r="R1506">
        <v>0.75</v>
      </c>
      <c r="S1506" t="s">
        <v>119</v>
      </c>
      <c r="T1506" t="s">
        <v>31</v>
      </c>
      <c r="U1506">
        <v>6.39</v>
      </c>
      <c r="V1506">
        <v>11.52</v>
      </c>
      <c r="W1506">
        <v>178844</v>
      </c>
      <c r="X1506">
        <v>170565</v>
      </c>
      <c r="Y1506">
        <v>1.05</v>
      </c>
      <c r="Z1506">
        <v>768</v>
      </c>
      <c r="AA1506">
        <v>81</v>
      </c>
      <c r="AB1506" t="s">
        <v>32</v>
      </c>
      <c r="AC1506">
        <v>7.12</v>
      </c>
    </row>
    <row r="1507" spans="1:29">
      <c r="A1507" t="str">
        <f>"300135"</f>
        <v>300135</v>
      </c>
      <c r="B1507" t="s">
        <v>1676</v>
      </c>
      <c r="C1507">
        <v>5.68</v>
      </c>
      <c r="D1507">
        <v>2.79</v>
      </c>
      <c r="E1507">
        <v>0.15</v>
      </c>
      <c r="F1507">
        <v>2.78</v>
      </c>
      <c r="G1507">
        <v>2.79</v>
      </c>
      <c r="H1507">
        <v>285981</v>
      </c>
      <c r="I1507">
        <v>4266</v>
      </c>
      <c r="J1507">
        <v>0</v>
      </c>
      <c r="K1507">
        <v>3.1</v>
      </c>
      <c r="L1507">
        <v>2.63</v>
      </c>
      <c r="M1507">
        <v>2.82</v>
      </c>
      <c r="N1507">
        <v>2.62</v>
      </c>
      <c r="O1507">
        <v>2.64</v>
      </c>
      <c r="P1507">
        <v>287.64</v>
      </c>
      <c r="Q1507">
        <v>78486088</v>
      </c>
      <c r="R1507">
        <v>3.19</v>
      </c>
      <c r="S1507" t="s">
        <v>218</v>
      </c>
      <c r="T1507" t="s">
        <v>87</v>
      </c>
      <c r="U1507">
        <v>7.58</v>
      </c>
      <c r="V1507">
        <v>2.74</v>
      </c>
      <c r="W1507">
        <v>115660</v>
      </c>
      <c r="X1507">
        <v>170320</v>
      </c>
      <c r="Y1507">
        <v>0.68</v>
      </c>
      <c r="Z1507">
        <v>2957</v>
      </c>
      <c r="AA1507">
        <v>1896</v>
      </c>
      <c r="AB1507" t="s">
        <v>32</v>
      </c>
      <c r="AC1507">
        <v>9.22</v>
      </c>
    </row>
    <row r="1508" spans="1:29">
      <c r="A1508" t="str">
        <f>"300136"</f>
        <v>300136</v>
      </c>
      <c r="B1508" t="s">
        <v>1677</v>
      </c>
      <c r="C1508">
        <v>3.15</v>
      </c>
      <c r="D1508">
        <v>36.31</v>
      </c>
      <c r="E1508">
        <v>1.11</v>
      </c>
      <c r="F1508">
        <v>36.31</v>
      </c>
      <c r="G1508">
        <v>36.37</v>
      </c>
      <c r="H1508">
        <v>124733</v>
      </c>
      <c r="I1508">
        <v>1211</v>
      </c>
      <c r="J1508">
        <v>-0.18</v>
      </c>
      <c r="K1508">
        <v>1.67</v>
      </c>
      <c r="L1508">
        <v>35.34</v>
      </c>
      <c r="M1508">
        <v>36.56</v>
      </c>
      <c r="N1508">
        <v>35</v>
      </c>
      <c r="O1508">
        <v>35.2</v>
      </c>
      <c r="P1508">
        <v>42.48</v>
      </c>
      <c r="Q1508">
        <v>445970624</v>
      </c>
      <c r="R1508">
        <v>1.54</v>
      </c>
      <c r="S1508" t="s">
        <v>119</v>
      </c>
      <c r="T1508" t="s">
        <v>31</v>
      </c>
      <c r="U1508">
        <v>4.43</v>
      </c>
      <c r="V1508">
        <v>35.75</v>
      </c>
      <c r="W1508">
        <v>48353</v>
      </c>
      <c r="X1508">
        <v>76380</v>
      </c>
      <c r="Y1508">
        <v>0.63</v>
      </c>
      <c r="Z1508">
        <v>43</v>
      </c>
      <c r="AA1508">
        <v>30</v>
      </c>
      <c r="AB1508" t="s">
        <v>32</v>
      </c>
      <c r="AC1508">
        <v>7.45</v>
      </c>
    </row>
    <row r="1509" spans="1:29">
      <c r="A1509" t="str">
        <f>"300137"</f>
        <v>300137</v>
      </c>
      <c r="B1509" t="s">
        <v>1678</v>
      </c>
      <c r="C1509">
        <v>2.41</v>
      </c>
      <c r="D1509">
        <v>10.63</v>
      </c>
      <c r="E1509">
        <v>0.25</v>
      </c>
      <c r="F1509">
        <v>10.63</v>
      </c>
      <c r="G1509">
        <v>10.64</v>
      </c>
      <c r="H1509">
        <v>203422</v>
      </c>
      <c r="I1509">
        <v>2627</v>
      </c>
      <c r="J1509">
        <v>0.09</v>
      </c>
      <c r="K1509">
        <v>4.29</v>
      </c>
      <c r="L1509">
        <v>10.39</v>
      </c>
      <c r="M1509">
        <v>10.74</v>
      </c>
      <c r="N1509">
        <v>10.36</v>
      </c>
      <c r="O1509">
        <v>10.38</v>
      </c>
      <c r="P1509">
        <v>75.48</v>
      </c>
      <c r="Q1509">
        <v>215688240</v>
      </c>
      <c r="R1509">
        <v>1.65</v>
      </c>
      <c r="S1509" t="s">
        <v>86</v>
      </c>
      <c r="T1509" t="s">
        <v>154</v>
      </c>
      <c r="U1509">
        <v>3.66</v>
      </c>
      <c r="V1509">
        <v>10.6</v>
      </c>
      <c r="W1509">
        <v>95679</v>
      </c>
      <c r="X1509">
        <v>107743</v>
      </c>
      <c r="Y1509">
        <v>0.89</v>
      </c>
      <c r="Z1509">
        <v>542</v>
      </c>
      <c r="AA1509">
        <v>319</v>
      </c>
      <c r="AB1509" t="s">
        <v>32</v>
      </c>
      <c r="AC1509">
        <v>4.74</v>
      </c>
    </row>
    <row r="1510" spans="1:29">
      <c r="A1510" t="str">
        <f>"300138"</f>
        <v>300138</v>
      </c>
      <c r="B1510" t="s">
        <v>1679</v>
      </c>
      <c r="C1510">
        <v>2.22</v>
      </c>
      <c r="D1510">
        <v>6.91</v>
      </c>
      <c r="E1510">
        <v>0.15</v>
      </c>
      <c r="F1510">
        <v>6.91</v>
      </c>
      <c r="G1510">
        <v>6.92</v>
      </c>
      <c r="H1510">
        <v>45940</v>
      </c>
      <c r="I1510">
        <v>302</v>
      </c>
      <c r="J1510">
        <v>-0.28</v>
      </c>
      <c r="K1510">
        <v>1.23</v>
      </c>
      <c r="L1510">
        <v>6.74</v>
      </c>
      <c r="M1510">
        <v>6.96</v>
      </c>
      <c r="N1510">
        <v>6.65</v>
      </c>
      <c r="O1510">
        <v>6.76</v>
      </c>
      <c r="P1510">
        <v>18.86</v>
      </c>
      <c r="Q1510">
        <v>31463356</v>
      </c>
      <c r="R1510">
        <v>1.15</v>
      </c>
      <c r="S1510" t="s">
        <v>213</v>
      </c>
      <c r="T1510" t="s">
        <v>154</v>
      </c>
      <c r="U1510">
        <v>4.59</v>
      </c>
      <c r="V1510">
        <v>6.85</v>
      </c>
      <c r="W1510">
        <v>17716</v>
      </c>
      <c r="X1510">
        <v>28224</v>
      </c>
      <c r="Y1510">
        <v>0.63</v>
      </c>
      <c r="Z1510">
        <v>115</v>
      </c>
      <c r="AA1510">
        <v>318</v>
      </c>
      <c r="AB1510" t="s">
        <v>32</v>
      </c>
      <c r="AC1510">
        <v>3.75</v>
      </c>
    </row>
    <row r="1511" spans="1:29">
      <c r="A1511" t="str">
        <f>"300139"</f>
        <v>300139</v>
      </c>
      <c r="B1511" t="s">
        <v>1680</v>
      </c>
      <c r="C1511">
        <v>5.05</v>
      </c>
      <c r="D1511">
        <v>11.24</v>
      </c>
      <c r="E1511">
        <v>0.54</v>
      </c>
      <c r="F1511">
        <v>11.24</v>
      </c>
      <c r="G1511">
        <v>11.25</v>
      </c>
      <c r="H1511">
        <v>465187</v>
      </c>
      <c r="I1511">
        <v>6546</v>
      </c>
      <c r="J1511">
        <v>0.36</v>
      </c>
      <c r="K1511">
        <v>21.92</v>
      </c>
      <c r="L1511">
        <v>10.66</v>
      </c>
      <c r="M1511">
        <v>11.45</v>
      </c>
      <c r="N1511">
        <v>10.62</v>
      </c>
      <c r="O1511">
        <v>10.7</v>
      </c>
      <c r="P1511" t="s">
        <v>32</v>
      </c>
      <c r="Q1511">
        <v>516932512</v>
      </c>
      <c r="R1511">
        <v>1.55</v>
      </c>
      <c r="S1511" t="s">
        <v>63</v>
      </c>
      <c r="T1511" t="s">
        <v>45</v>
      </c>
      <c r="U1511">
        <v>7.76</v>
      </c>
      <c r="V1511">
        <v>11.11</v>
      </c>
      <c r="W1511">
        <v>219408</v>
      </c>
      <c r="X1511">
        <v>245779</v>
      </c>
      <c r="Y1511">
        <v>0.89</v>
      </c>
      <c r="Z1511">
        <v>23</v>
      </c>
      <c r="AA1511">
        <v>2060</v>
      </c>
      <c r="AB1511" t="s">
        <v>32</v>
      </c>
      <c r="AC1511">
        <v>2.12</v>
      </c>
    </row>
    <row r="1512" spans="1:29">
      <c r="A1512" t="str">
        <f>"300140"</f>
        <v>300140</v>
      </c>
      <c r="B1512" t="s">
        <v>1681</v>
      </c>
      <c r="C1512">
        <v>2.56</v>
      </c>
      <c r="D1512">
        <v>8.4</v>
      </c>
      <c r="E1512">
        <v>0.21</v>
      </c>
      <c r="F1512">
        <v>8.39</v>
      </c>
      <c r="G1512">
        <v>8.4</v>
      </c>
      <c r="H1512">
        <v>47680</v>
      </c>
      <c r="I1512">
        <v>836</v>
      </c>
      <c r="J1512">
        <v>0.12</v>
      </c>
      <c r="K1512">
        <v>1.94</v>
      </c>
      <c r="L1512">
        <v>8.29</v>
      </c>
      <c r="M1512">
        <v>8.43</v>
      </c>
      <c r="N1512">
        <v>8.18</v>
      </c>
      <c r="O1512">
        <v>8.19</v>
      </c>
      <c r="P1512" t="s">
        <v>32</v>
      </c>
      <c r="Q1512">
        <v>39739688</v>
      </c>
      <c r="R1512">
        <v>1.53</v>
      </c>
      <c r="S1512" t="s">
        <v>104</v>
      </c>
      <c r="T1512" t="s">
        <v>223</v>
      </c>
      <c r="U1512">
        <v>3.05</v>
      </c>
      <c r="V1512">
        <v>8.33</v>
      </c>
      <c r="W1512">
        <v>22419</v>
      </c>
      <c r="X1512">
        <v>25260</v>
      </c>
      <c r="Y1512">
        <v>0.89</v>
      </c>
      <c r="Z1512">
        <v>589</v>
      </c>
      <c r="AA1512">
        <v>795</v>
      </c>
      <c r="AB1512" t="s">
        <v>32</v>
      </c>
      <c r="AC1512">
        <v>2.45</v>
      </c>
    </row>
    <row r="1513" spans="1:29">
      <c r="A1513" t="str">
        <f>"300141"</f>
        <v>300141</v>
      </c>
      <c r="B1513" t="s">
        <v>1682</v>
      </c>
      <c r="C1513">
        <v>0.84</v>
      </c>
      <c r="D1513">
        <v>8.4</v>
      </c>
      <c r="E1513">
        <v>0.07</v>
      </c>
      <c r="F1513">
        <v>8.39</v>
      </c>
      <c r="G1513">
        <v>8.4</v>
      </c>
      <c r="H1513">
        <v>25574</v>
      </c>
      <c r="I1513">
        <v>107</v>
      </c>
      <c r="J1513">
        <v>0</v>
      </c>
      <c r="K1513">
        <v>1.57</v>
      </c>
      <c r="L1513">
        <v>8.26</v>
      </c>
      <c r="M1513">
        <v>8.55</v>
      </c>
      <c r="N1513">
        <v>8.23</v>
      </c>
      <c r="O1513">
        <v>8.33</v>
      </c>
      <c r="P1513">
        <v>125.61</v>
      </c>
      <c r="Q1513">
        <v>21494090</v>
      </c>
      <c r="R1513">
        <v>0.79</v>
      </c>
      <c r="S1513" t="s">
        <v>104</v>
      </c>
      <c r="T1513" t="s">
        <v>87</v>
      </c>
      <c r="U1513">
        <v>3.84</v>
      </c>
      <c r="V1513">
        <v>8.4</v>
      </c>
      <c r="W1513">
        <v>12860</v>
      </c>
      <c r="X1513">
        <v>12713</v>
      </c>
      <c r="Y1513">
        <v>1.01</v>
      </c>
      <c r="Z1513">
        <v>211</v>
      </c>
      <c r="AA1513">
        <v>5</v>
      </c>
      <c r="AB1513" t="s">
        <v>32</v>
      </c>
      <c r="AC1513">
        <v>1.63</v>
      </c>
    </row>
    <row r="1514" spans="1:29">
      <c r="A1514" t="str">
        <f>"300142"</f>
        <v>300142</v>
      </c>
      <c r="B1514" t="s">
        <v>1683</v>
      </c>
      <c r="C1514">
        <v>2.43</v>
      </c>
      <c r="D1514">
        <v>19.38</v>
      </c>
      <c r="E1514">
        <v>0.46</v>
      </c>
      <c r="F1514">
        <v>19.37</v>
      </c>
      <c r="G1514">
        <v>19.38</v>
      </c>
      <c r="H1514">
        <v>388353</v>
      </c>
      <c r="I1514">
        <v>3097</v>
      </c>
      <c r="J1514">
        <v>-0.09</v>
      </c>
      <c r="K1514">
        <v>2.88</v>
      </c>
      <c r="L1514">
        <v>17.51</v>
      </c>
      <c r="M1514">
        <v>19.95</v>
      </c>
      <c r="N1514">
        <v>17.51</v>
      </c>
      <c r="O1514">
        <v>18.92</v>
      </c>
      <c r="P1514">
        <v>313.53</v>
      </c>
      <c r="Q1514">
        <v>726149696</v>
      </c>
      <c r="R1514">
        <v>3.68</v>
      </c>
      <c r="S1514" t="s">
        <v>36</v>
      </c>
      <c r="T1514" t="s">
        <v>250</v>
      </c>
      <c r="U1514">
        <v>12.9</v>
      </c>
      <c r="V1514">
        <v>18.7</v>
      </c>
      <c r="W1514">
        <v>183948</v>
      </c>
      <c r="X1514">
        <v>204405</v>
      </c>
      <c r="Y1514">
        <v>0.9</v>
      </c>
      <c r="Z1514">
        <v>109</v>
      </c>
      <c r="AA1514">
        <v>156</v>
      </c>
      <c r="AB1514" t="s">
        <v>32</v>
      </c>
      <c r="AC1514">
        <v>13.5</v>
      </c>
    </row>
    <row r="1515" spans="1:29">
      <c r="A1515" t="str">
        <f>"300143"</f>
        <v>300143</v>
      </c>
      <c r="B1515" t="s">
        <v>1684</v>
      </c>
      <c r="C1515">
        <v>-0.3</v>
      </c>
      <c r="D1515">
        <v>9.9</v>
      </c>
      <c r="E1515">
        <v>-0.03</v>
      </c>
      <c r="F1515">
        <v>9.9</v>
      </c>
      <c r="G1515">
        <v>9.91</v>
      </c>
      <c r="H1515">
        <v>65606</v>
      </c>
      <c r="I1515">
        <v>369</v>
      </c>
      <c r="J1515">
        <v>0</v>
      </c>
      <c r="K1515">
        <v>2.49</v>
      </c>
      <c r="L1515">
        <v>9.93</v>
      </c>
      <c r="M1515">
        <v>10.01</v>
      </c>
      <c r="N1515">
        <v>9.7</v>
      </c>
      <c r="O1515">
        <v>9.93</v>
      </c>
      <c r="P1515">
        <v>37.92</v>
      </c>
      <c r="Q1515">
        <v>64332068</v>
      </c>
      <c r="R1515">
        <v>1.61</v>
      </c>
      <c r="S1515" t="s">
        <v>138</v>
      </c>
      <c r="T1515" t="s">
        <v>136</v>
      </c>
      <c r="U1515">
        <v>3.12</v>
      </c>
      <c r="V1515">
        <v>9.81</v>
      </c>
      <c r="W1515">
        <v>43782</v>
      </c>
      <c r="X1515">
        <v>21823</v>
      </c>
      <c r="Y1515">
        <v>2.01</v>
      </c>
      <c r="Z1515">
        <v>217</v>
      </c>
      <c r="AA1515">
        <v>254</v>
      </c>
      <c r="AB1515" t="s">
        <v>32</v>
      </c>
      <c r="AC1515">
        <v>2.63</v>
      </c>
    </row>
    <row r="1516" spans="1:29">
      <c r="A1516" t="str">
        <f>"300144"</f>
        <v>300144</v>
      </c>
      <c r="B1516" t="s">
        <v>1685</v>
      </c>
      <c r="C1516">
        <v>-0.61</v>
      </c>
      <c r="D1516">
        <v>26.16</v>
      </c>
      <c r="E1516">
        <v>-0.16</v>
      </c>
      <c r="F1516">
        <v>26.15</v>
      </c>
      <c r="G1516">
        <v>26.16</v>
      </c>
      <c r="H1516">
        <v>195369</v>
      </c>
      <c r="I1516">
        <v>1405</v>
      </c>
      <c r="J1516">
        <v>0</v>
      </c>
      <c r="K1516">
        <v>1.7</v>
      </c>
      <c r="L1516">
        <v>26.51</v>
      </c>
      <c r="M1516">
        <v>26.75</v>
      </c>
      <c r="N1516">
        <v>25.8</v>
      </c>
      <c r="O1516">
        <v>26.32</v>
      </c>
      <c r="P1516">
        <v>29.49</v>
      </c>
      <c r="Q1516">
        <v>512062016</v>
      </c>
      <c r="R1516">
        <v>1.18</v>
      </c>
      <c r="S1516" t="s">
        <v>124</v>
      </c>
      <c r="T1516" t="s">
        <v>149</v>
      </c>
      <c r="U1516">
        <v>3.61</v>
      </c>
      <c r="V1516">
        <v>26.21</v>
      </c>
      <c r="W1516">
        <v>101884</v>
      </c>
      <c r="X1516">
        <v>93484</v>
      </c>
      <c r="Y1516">
        <v>1.09</v>
      </c>
      <c r="Z1516">
        <v>52</v>
      </c>
      <c r="AA1516">
        <v>1075</v>
      </c>
      <c r="AB1516" t="s">
        <v>32</v>
      </c>
      <c r="AC1516">
        <v>11.53</v>
      </c>
    </row>
    <row r="1517" spans="1:29">
      <c r="A1517" t="str">
        <f>"300145"</f>
        <v>300145</v>
      </c>
      <c r="B1517" t="s">
        <v>1686</v>
      </c>
      <c r="C1517">
        <v>3.59</v>
      </c>
      <c r="D1517">
        <v>5.19</v>
      </c>
      <c r="E1517">
        <v>0.18</v>
      </c>
      <c r="F1517">
        <v>5.19</v>
      </c>
      <c r="G1517">
        <v>5.2</v>
      </c>
      <c r="H1517">
        <v>270035</v>
      </c>
      <c r="I1517">
        <v>1083</v>
      </c>
      <c r="J1517">
        <v>-0.18</v>
      </c>
      <c r="K1517">
        <v>2.28</v>
      </c>
      <c r="L1517">
        <v>5.06</v>
      </c>
      <c r="M1517">
        <v>5.25</v>
      </c>
      <c r="N1517">
        <v>5.05</v>
      </c>
      <c r="O1517">
        <v>5.01</v>
      </c>
      <c r="P1517">
        <v>20.43</v>
      </c>
      <c r="Q1517">
        <v>139286480</v>
      </c>
      <c r="R1517">
        <v>1.7</v>
      </c>
      <c r="S1517" t="s">
        <v>171</v>
      </c>
      <c r="T1517" t="s">
        <v>149</v>
      </c>
      <c r="U1517">
        <v>3.99</v>
      </c>
      <c r="V1517">
        <v>5.16</v>
      </c>
      <c r="W1517">
        <v>126879</v>
      </c>
      <c r="X1517">
        <v>143156</v>
      </c>
      <c r="Y1517">
        <v>0.89</v>
      </c>
      <c r="Z1517">
        <v>2328</v>
      </c>
      <c r="AA1517">
        <v>1201</v>
      </c>
      <c r="AB1517" t="s">
        <v>32</v>
      </c>
      <c r="AC1517">
        <v>11.86</v>
      </c>
    </row>
    <row r="1518" spans="1:29">
      <c r="A1518" t="str">
        <f>"300146"</f>
        <v>300146</v>
      </c>
      <c r="B1518" t="s">
        <v>1687</v>
      </c>
      <c r="C1518" t="s">
        <v>32</v>
      </c>
      <c r="D1518">
        <v>16.6</v>
      </c>
      <c r="E1518" t="s">
        <v>32</v>
      </c>
      <c r="F1518" t="s">
        <v>32</v>
      </c>
      <c r="G1518" t="s">
        <v>32</v>
      </c>
      <c r="H1518">
        <v>0</v>
      </c>
      <c r="I1518">
        <v>0</v>
      </c>
      <c r="J1518" t="s">
        <v>32</v>
      </c>
      <c r="K1518">
        <v>0</v>
      </c>
      <c r="L1518" t="s">
        <v>32</v>
      </c>
      <c r="M1518" t="s">
        <v>32</v>
      </c>
      <c r="N1518" t="s">
        <v>32</v>
      </c>
      <c r="O1518">
        <v>16.6</v>
      </c>
      <c r="P1518">
        <v>16.38</v>
      </c>
      <c r="Q1518">
        <v>0</v>
      </c>
      <c r="R1518">
        <v>0</v>
      </c>
      <c r="S1518" t="s">
        <v>213</v>
      </c>
      <c r="T1518" t="s">
        <v>136</v>
      </c>
      <c r="U1518">
        <v>0</v>
      </c>
      <c r="V1518">
        <v>16.6</v>
      </c>
      <c r="W1518">
        <v>0</v>
      </c>
      <c r="X1518">
        <v>0</v>
      </c>
      <c r="Y1518" t="s">
        <v>32</v>
      </c>
      <c r="Z1518">
        <v>0</v>
      </c>
      <c r="AA1518">
        <v>0</v>
      </c>
      <c r="AB1518" t="s">
        <v>32</v>
      </c>
      <c r="AC1518">
        <v>8.76</v>
      </c>
    </row>
    <row r="1519" spans="1:29">
      <c r="A1519" t="str">
        <f>"300147"</f>
        <v>300147</v>
      </c>
      <c r="B1519" t="s">
        <v>1688</v>
      </c>
      <c r="C1519">
        <v>3.17</v>
      </c>
      <c r="D1519">
        <v>7.8</v>
      </c>
      <c r="E1519">
        <v>0.24</v>
      </c>
      <c r="F1519">
        <v>7.8</v>
      </c>
      <c r="G1519">
        <v>7.81</v>
      </c>
      <c r="H1519">
        <v>78656</v>
      </c>
      <c r="I1519">
        <v>581</v>
      </c>
      <c r="J1519">
        <v>0</v>
      </c>
      <c r="K1519">
        <v>1.19</v>
      </c>
      <c r="L1519">
        <v>7.53</v>
      </c>
      <c r="M1519">
        <v>7.88</v>
      </c>
      <c r="N1519">
        <v>7.5</v>
      </c>
      <c r="O1519">
        <v>7.56</v>
      </c>
      <c r="P1519">
        <v>49.57</v>
      </c>
      <c r="Q1519">
        <v>60711796</v>
      </c>
      <c r="R1519">
        <v>1.81</v>
      </c>
      <c r="S1519" t="s">
        <v>195</v>
      </c>
      <c r="T1519" t="s">
        <v>136</v>
      </c>
      <c r="U1519">
        <v>5.03</v>
      </c>
      <c r="V1519">
        <v>7.72</v>
      </c>
      <c r="W1519">
        <v>30256</v>
      </c>
      <c r="X1519">
        <v>48400</v>
      </c>
      <c r="Y1519">
        <v>0.63</v>
      </c>
      <c r="Z1519">
        <v>245</v>
      </c>
      <c r="AA1519">
        <v>840</v>
      </c>
      <c r="AB1519" t="s">
        <v>32</v>
      </c>
      <c r="AC1519">
        <v>6.6</v>
      </c>
    </row>
    <row r="1520" spans="1:29">
      <c r="A1520" t="str">
        <f>"300148"</f>
        <v>300148</v>
      </c>
      <c r="B1520" t="s">
        <v>1689</v>
      </c>
      <c r="C1520">
        <v>2.79</v>
      </c>
      <c r="D1520">
        <v>4.79</v>
      </c>
      <c r="E1520">
        <v>0.13</v>
      </c>
      <c r="F1520">
        <v>4.78</v>
      </c>
      <c r="G1520">
        <v>4.79</v>
      </c>
      <c r="H1520">
        <v>220721</v>
      </c>
      <c r="I1520">
        <v>2006</v>
      </c>
      <c r="J1520">
        <v>0.42</v>
      </c>
      <c r="K1520">
        <v>2.89</v>
      </c>
      <c r="L1520">
        <v>4.66</v>
      </c>
      <c r="M1520">
        <v>4.88</v>
      </c>
      <c r="N1520">
        <v>4.63</v>
      </c>
      <c r="O1520">
        <v>4.66</v>
      </c>
      <c r="P1520">
        <v>17.22</v>
      </c>
      <c r="Q1520">
        <v>104850312</v>
      </c>
      <c r="R1520">
        <v>1.59</v>
      </c>
      <c r="S1520" t="s">
        <v>211</v>
      </c>
      <c r="T1520" t="s">
        <v>152</v>
      </c>
      <c r="U1520">
        <v>5.36</v>
      </c>
      <c r="V1520">
        <v>4.75</v>
      </c>
      <c r="W1520">
        <v>92304</v>
      </c>
      <c r="X1520">
        <v>128416</v>
      </c>
      <c r="Y1520">
        <v>0.72</v>
      </c>
      <c r="Z1520">
        <v>1085</v>
      </c>
      <c r="AA1520">
        <v>1599</v>
      </c>
      <c r="AB1520" t="s">
        <v>32</v>
      </c>
      <c r="AC1520">
        <v>7.64</v>
      </c>
    </row>
    <row r="1521" spans="1:29">
      <c r="A1521" t="str">
        <f>"300149"</f>
        <v>300149</v>
      </c>
      <c r="B1521" t="s">
        <v>1690</v>
      </c>
      <c r="C1521">
        <v>4.23</v>
      </c>
      <c r="D1521">
        <v>14.79</v>
      </c>
      <c r="E1521">
        <v>0.6</v>
      </c>
      <c r="F1521">
        <v>14.78</v>
      </c>
      <c r="G1521">
        <v>14.79</v>
      </c>
      <c r="H1521">
        <v>73517</v>
      </c>
      <c r="I1521">
        <v>1153</v>
      </c>
      <c r="J1521">
        <v>0.27</v>
      </c>
      <c r="K1521">
        <v>1.81</v>
      </c>
      <c r="L1521">
        <v>14.19</v>
      </c>
      <c r="M1521">
        <v>14.9</v>
      </c>
      <c r="N1521">
        <v>14.14</v>
      </c>
      <c r="O1521">
        <v>14.19</v>
      </c>
      <c r="P1521">
        <v>169.85</v>
      </c>
      <c r="Q1521">
        <v>106657056</v>
      </c>
      <c r="R1521">
        <v>1.16</v>
      </c>
      <c r="S1521" t="s">
        <v>213</v>
      </c>
      <c r="T1521" t="s">
        <v>136</v>
      </c>
      <c r="U1521">
        <v>5.36</v>
      </c>
      <c r="V1521">
        <v>14.51</v>
      </c>
      <c r="W1521">
        <v>34188</v>
      </c>
      <c r="X1521">
        <v>39329</v>
      </c>
      <c r="Y1521">
        <v>0.87</v>
      </c>
      <c r="Z1521">
        <v>2</v>
      </c>
      <c r="AA1521">
        <v>1003</v>
      </c>
      <c r="AB1521" t="s">
        <v>32</v>
      </c>
      <c r="AC1521">
        <v>4.05</v>
      </c>
    </row>
    <row r="1522" spans="1:29">
      <c r="A1522" t="str">
        <f>"300150"</f>
        <v>300150</v>
      </c>
      <c r="B1522" t="s">
        <v>1691</v>
      </c>
      <c r="C1522">
        <v>0</v>
      </c>
      <c r="D1522">
        <v>5.18</v>
      </c>
      <c r="E1522">
        <v>0</v>
      </c>
      <c r="F1522">
        <v>5.18</v>
      </c>
      <c r="G1522">
        <v>5.19</v>
      </c>
      <c r="H1522">
        <v>44983</v>
      </c>
      <c r="I1522">
        <v>290</v>
      </c>
      <c r="J1522">
        <v>-0.18</v>
      </c>
      <c r="K1522">
        <v>1</v>
      </c>
      <c r="L1522">
        <v>5.16</v>
      </c>
      <c r="M1522">
        <v>5.22</v>
      </c>
      <c r="N1522">
        <v>5.12</v>
      </c>
      <c r="O1522">
        <v>5.18</v>
      </c>
      <c r="P1522">
        <v>25.69</v>
      </c>
      <c r="Q1522">
        <v>23314550</v>
      </c>
      <c r="R1522">
        <v>1.16</v>
      </c>
      <c r="S1522" t="s">
        <v>270</v>
      </c>
      <c r="T1522" t="s">
        <v>45</v>
      </c>
      <c r="U1522">
        <v>1.93</v>
      </c>
      <c r="V1522">
        <v>5.18</v>
      </c>
      <c r="W1522">
        <v>25098</v>
      </c>
      <c r="X1522">
        <v>19885</v>
      </c>
      <c r="Y1522">
        <v>1.26</v>
      </c>
      <c r="Z1522">
        <v>105</v>
      </c>
      <c r="AA1522">
        <v>121</v>
      </c>
      <c r="AB1522" t="s">
        <v>32</v>
      </c>
      <c r="AC1522">
        <v>4.5</v>
      </c>
    </row>
    <row r="1523" spans="1:29">
      <c r="A1523" t="str">
        <f>"300151"</f>
        <v>300151</v>
      </c>
      <c r="B1523" t="s">
        <v>1692</v>
      </c>
      <c r="C1523">
        <v>0.49</v>
      </c>
      <c r="D1523">
        <v>6.18</v>
      </c>
      <c r="E1523">
        <v>0.03</v>
      </c>
      <c r="F1523">
        <v>6.17</v>
      </c>
      <c r="G1523">
        <v>6.18</v>
      </c>
      <c r="H1523">
        <v>18604</v>
      </c>
      <c r="I1523">
        <v>342</v>
      </c>
      <c r="J1523">
        <v>0.16</v>
      </c>
      <c r="K1523">
        <v>0.65</v>
      </c>
      <c r="L1523">
        <v>6.24</v>
      </c>
      <c r="M1523">
        <v>6.26</v>
      </c>
      <c r="N1523">
        <v>6.12</v>
      </c>
      <c r="O1523">
        <v>6.15</v>
      </c>
      <c r="P1523">
        <v>80.49</v>
      </c>
      <c r="Q1523">
        <v>11481513</v>
      </c>
      <c r="R1523">
        <v>1.09</v>
      </c>
      <c r="S1523" t="s">
        <v>241</v>
      </c>
      <c r="T1523" t="s">
        <v>31</v>
      </c>
      <c r="U1523">
        <v>2.28</v>
      </c>
      <c r="V1523">
        <v>6.17</v>
      </c>
      <c r="W1523">
        <v>10830</v>
      </c>
      <c r="X1523">
        <v>7774</v>
      </c>
      <c r="Y1523">
        <v>1.39</v>
      </c>
      <c r="Z1523">
        <v>225</v>
      </c>
      <c r="AA1523">
        <v>673</v>
      </c>
      <c r="AB1523" t="s">
        <v>32</v>
      </c>
      <c r="AC1523">
        <v>2.87</v>
      </c>
    </row>
    <row r="1524" spans="1:29">
      <c r="A1524" t="str">
        <f>"300152"</f>
        <v>300152</v>
      </c>
      <c r="B1524" t="s">
        <v>1693</v>
      </c>
      <c r="C1524">
        <v>3.33</v>
      </c>
      <c r="D1524">
        <v>3.1</v>
      </c>
      <c r="E1524">
        <v>0.1</v>
      </c>
      <c r="F1524">
        <v>3.09</v>
      </c>
      <c r="G1524">
        <v>3.1</v>
      </c>
      <c r="H1524">
        <v>166144</v>
      </c>
      <c r="I1524">
        <v>834</v>
      </c>
      <c r="J1524">
        <v>0.32</v>
      </c>
      <c r="K1524">
        <v>2.33</v>
      </c>
      <c r="L1524">
        <v>3</v>
      </c>
      <c r="M1524">
        <v>3.13</v>
      </c>
      <c r="N1524">
        <v>2.98</v>
      </c>
      <c r="O1524">
        <v>3</v>
      </c>
      <c r="P1524" t="s">
        <v>32</v>
      </c>
      <c r="Q1524">
        <v>51064300</v>
      </c>
      <c r="R1524">
        <v>1.11</v>
      </c>
      <c r="S1524" t="s">
        <v>86</v>
      </c>
      <c r="T1524" t="s">
        <v>87</v>
      </c>
      <c r="U1524">
        <v>5</v>
      </c>
      <c r="V1524">
        <v>3.07</v>
      </c>
      <c r="W1524">
        <v>69697</v>
      </c>
      <c r="X1524">
        <v>96446</v>
      </c>
      <c r="Y1524">
        <v>0.72</v>
      </c>
      <c r="Z1524">
        <v>1107</v>
      </c>
      <c r="AA1524">
        <v>1244</v>
      </c>
      <c r="AB1524" t="s">
        <v>32</v>
      </c>
      <c r="AC1524">
        <v>7.13</v>
      </c>
    </row>
    <row r="1525" spans="1:29">
      <c r="A1525" t="str">
        <f>"300153"</f>
        <v>300153</v>
      </c>
      <c r="B1525" t="s">
        <v>1694</v>
      </c>
      <c r="C1525">
        <v>1.38</v>
      </c>
      <c r="D1525">
        <v>8.06</v>
      </c>
      <c r="E1525">
        <v>0.11</v>
      </c>
      <c r="F1525">
        <v>8.05</v>
      </c>
      <c r="G1525">
        <v>8.06</v>
      </c>
      <c r="H1525">
        <v>21849</v>
      </c>
      <c r="I1525">
        <v>399</v>
      </c>
      <c r="J1525">
        <v>0.12</v>
      </c>
      <c r="K1525">
        <v>0.68</v>
      </c>
      <c r="L1525">
        <v>7.95</v>
      </c>
      <c r="M1525">
        <v>8.08</v>
      </c>
      <c r="N1525">
        <v>7.89</v>
      </c>
      <c r="O1525">
        <v>7.95</v>
      </c>
      <c r="P1525">
        <v>323.22</v>
      </c>
      <c r="Q1525">
        <v>17500114</v>
      </c>
      <c r="R1525">
        <v>1.05</v>
      </c>
      <c r="S1525" t="s">
        <v>104</v>
      </c>
      <c r="T1525" t="s">
        <v>366</v>
      </c>
      <c r="U1525">
        <v>2.39</v>
      </c>
      <c r="V1525">
        <v>8.01</v>
      </c>
      <c r="W1525">
        <v>11008</v>
      </c>
      <c r="X1525">
        <v>10840</v>
      </c>
      <c r="Y1525">
        <v>1.02</v>
      </c>
      <c r="Z1525">
        <v>130</v>
      </c>
      <c r="AA1525">
        <v>443</v>
      </c>
      <c r="AB1525" t="s">
        <v>32</v>
      </c>
      <c r="AC1525">
        <v>3.2</v>
      </c>
    </row>
    <row r="1526" spans="1:29">
      <c r="A1526" t="str">
        <f>"300154"</f>
        <v>300154</v>
      </c>
      <c r="B1526" t="s">
        <v>1695</v>
      </c>
      <c r="C1526">
        <v>1.17</v>
      </c>
      <c r="D1526">
        <v>5.2</v>
      </c>
      <c r="E1526">
        <v>0.06</v>
      </c>
      <c r="F1526">
        <v>5.19</v>
      </c>
      <c r="G1526">
        <v>5.2</v>
      </c>
      <c r="H1526">
        <v>13432</v>
      </c>
      <c r="I1526">
        <v>505</v>
      </c>
      <c r="J1526">
        <v>0.19</v>
      </c>
      <c r="K1526">
        <v>0.43</v>
      </c>
      <c r="L1526">
        <v>5.15</v>
      </c>
      <c r="M1526">
        <v>5.21</v>
      </c>
      <c r="N1526">
        <v>5.14</v>
      </c>
      <c r="O1526">
        <v>5.14</v>
      </c>
      <c r="P1526">
        <v>55.76</v>
      </c>
      <c r="Q1526">
        <v>6964055</v>
      </c>
      <c r="R1526">
        <v>1.43</v>
      </c>
      <c r="S1526" t="s">
        <v>63</v>
      </c>
      <c r="T1526" t="s">
        <v>31</v>
      </c>
      <c r="U1526">
        <v>1.36</v>
      </c>
      <c r="V1526">
        <v>5.18</v>
      </c>
      <c r="W1526">
        <v>7535</v>
      </c>
      <c r="X1526">
        <v>5896</v>
      </c>
      <c r="Y1526">
        <v>1.28</v>
      </c>
      <c r="Z1526">
        <v>20</v>
      </c>
      <c r="AA1526">
        <v>52</v>
      </c>
      <c r="AB1526" t="s">
        <v>32</v>
      </c>
      <c r="AC1526">
        <v>3.14</v>
      </c>
    </row>
    <row r="1527" spans="1:29">
      <c r="A1527" t="str">
        <f>"300155"</f>
        <v>300155</v>
      </c>
      <c r="B1527" t="s">
        <v>1696</v>
      </c>
      <c r="C1527">
        <v>1.04</v>
      </c>
      <c r="D1527">
        <v>4.87</v>
      </c>
      <c r="E1527">
        <v>0.05</v>
      </c>
      <c r="F1527">
        <v>4.86</v>
      </c>
      <c r="G1527">
        <v>4.87</v>
      </c>
      <c r="H1527">
        <v>51402</v>
      </c>
      <c r="I1527">
        <v>389</v>
      </c>
      <c r="J1527">
        <v>0.21</v>
      </c>
      <c r="K1527">
        <v>1.85</v>
      </c>
      <c r="L1527">
        <v>4.82</v>
      </c>
      <c r="M1527">
        <v>4.89</v>
      </c>
      <c r="N1527">
        <v>4.74</v>
      </c>
      <c r="O1527">
        <v>4.82</v>
      </c>
      <c r="P1527" t="s">
        <v>32</v>
      </c>
      <c r="Q1527">
        <v>24874888</v>
      </c>
      <c r="R1527">
        <v>1.4</v>
      </c>
      <c r="S1527" t="s">
        <v>63</v>
      </c>
      <c r="T1527" t="s">
        <v>136</v>
      </c>
      <c r="U1527">
        <v>3.11</v>
      </c>
      <c r="V1527">
        <v>4.84</v>
      </c>
      <c r="W1527">
        <v>28128</v>
      </c>
      <c r="X1527">
        <v>23274</v>
      </c>
      <c r="Y1527">
        <v>1.21</v>
      </c>
      <c r="Z1527">
        <v>1186</v>
      </c>
      <c r="AA1527">
        <v>1868</v>
      </c>
      <c r="AB1527" t="s">
        <v>32</v>
      </c>
      <c r="AC1527">
        <v>2.78</v>
      </c>
    </row>
    <row r="1528" spans="1:29">
      <c r="A1528" t="str">
        <f>"300156"</f>
        <v>300156</v>
      </c>
      <c r="B1528" t="s">
        <v>1697</v>
      </c>
      <c r="C1528">
        <v>9.97</v>
      </c>
      <c r="D1528">
        <v>6.73</v>
      </c>
      <c r="E1528">
        <v>0.61</v>
      </c>
      <c r="F1528">
        <v>6.73</v>
      </c>
      <c r="G1528" t="s">
        <v>32</v>
      </c>
      <c r="H1528">
        <v>661173</v>
      </c>
      <c r="I1528">
        <v>1382</v>
      </c>
      <c r="J1528">
        <v>0</v>
      </c>
      <c r="K1528">
        <v>9.16</v>
      </c>
      <c r="L1528">
        <v>6.07</v>
      </c>
      <c r="M1528">
        <v>6.73</v>
      </c>
      <c r="N1528">
        <v>6.02</v>
      </c>
      <c r="O1528">
        <v>6.12</v>
      </c>
      <c r="P1528" t="s">
        <v>32</v>
      </c>
      <c r="Q1528">
        <v>430793568</v>
      </c>
      <c r="R1528">
        <v>1.93</v>
      </c>
      <c r="S1528" t="s">
        <v>86</v>
      </c>
      <c r="T1528" t="s">
        <v>45</v>
      </c>
      <c r="U1528">
        <v>11.6</v>
      </c>
      <c r="V1528">
        <v>6.52</v>
      </c>
      <c r="W1528">
        <v>310167</v>
      </c>
      <c r="X1528">
        <v>351006</v>
      </c>
      <c r="Y1528">
        <v>0.88</v>
      </c>
      <c r="Z1528">
        <v>10035</v>
      </c>
      <c r="AA1528">
        <v>0</v>
      </c>
      <c r="AB1528" t="s">
        <v>32</v>
      </c>
      <c r="AC1528">
        <v>7.22</v>
      </c>
    </row>
    <row r="1529" spans="1:29">
      <c r="A1529" t="str">
        <f>"300157"</f>
        <v>300157</v>
      </c>
      <c r="B1529" t="s">
        <v>1698</v>
      </c>
      <c r="C1529">
        <v>1.35</v>
      </c>
      <c r="D1529">
        <v>6.01</v>
      </c>
      <c r="E1529">
        <v>0.08</v>
      </c>
      <c r="F1529">
        <v>6.01</v>
      </c>
      <c r="G1529">
        <v>6.02</v>
      </c>
      <c r="H1529">
        <v>109897</v>
      </c>
      <c r="I1529">
        <v>2008</v>
      </c>
      <c r="J1529">
        <v>0.17</v>
      </c>
      <c r="K1529">
        <v>1.79</v>
      </c>
      <c r="L1529">
        <v>5.93</v>
      </c>
      <c r="M1529">
        <v>6.03</v>
      </c>
      <c r="N1529">
        <v>5.87</v>
      </c>
      <c r="O1529">
        <v>5.93</v>
      </c>
      <c r="P1529">
        <v>168.66</v>
      </c>
      <c r="Q1529">
        <v>65765884</v>
      </c>
      <c r="R1529">
        <v>1.18</v>
      </c>
      <c r="S1529" t="s">
        <v>831</v>
      </c>
      <c r="T1529" t="s">
        <v>45</v>
      </c>
      <c r="U1529">
        <v>2.7</v>
      </c>
      <c r="V1529">
        <v>5.98</v>
      </c>
      <c r="W1529">
        <v>54490</v>
      </c>
      <c r="X1529">
        <v>55407</v>
      </c>
      <c r="Y1529">
        <v>0.98</v>
      </c>
      <c r="Z1529">
        <v>323</v>
      </c>
      <c r="AA1529">
        <v>1038</v>
      </c>
      <c r="AB1529" t="s">
        <v>32</v>
      </c>
      <c r="AC1529">
        <v>6.15</v>
      </c>
    </row>
    <row r="1530" spans="1:29">
      <c r="A1530" t="str">
        <f>"300158"</f>
        <v>300158</v>
      </c>
      <c r="B1530" t="s">
        <v>1699</v>
      </c>
      <c r="C1530">
        <v>1.75</v>
      </c>
      <c r="D1530">
        <v>4.65</v>
      </c>
      <c r="E1530">
        <v>0.08</v>
      </c>
      <c r="F1530">
        <v>4.64</v>
      </c>
      <c r="G1530">
        <v>4.65</v>
      </c>
      <c r="H1530">
        <v>74955</v>
      </c>
      <c r="I1530">
        <v>649</v>
      </c>
      <c r="J1530">
        <v>0</v>
      </c>
      <c r="K1530">
        <v>0.88</v>
      </c>
      <c r="L1530">
        <v>4.55</v>
      </c>
      <c r="M1530">
        <v>4.67</v>
      </c>
      <c r="N1530">
        <v>4.53</v>
      </c>
      <c r="O1530">
        <v>4.57</v>
      </c>
      <c r="P1530">
        <v>23.85</v>
      </c>
      <c r="Q1530">
        <v>34707280</v>
      </c>
      <c r="R1530">
        <v>1.5</v>
      </c>
      <c r="S1530" t="s">
        <v>195</v>
      </c>
      <c r="T1530" t="s">
        <v>169</v>
      </c>
      <c r="U1530">
        <v>3.06</v>
      </c>
      <c r="V1530">
        <v>4.63</v>
      </c>
      <c r="W1530">
        <v>33751</v>
      </c>
      <c r="X1530">
        <v>41204</v>
      </c>
      <c r="Y1530">
        <v>0.82</v>
      </c>
      <c r="Z1530">
        <v>680</v>
      </c>
      <c r="AA1530">
        <v>165</v>
      </c>
      <c r="AB1530" t="s">
        <v>32</v>
      </c>
      <c r="AC1530">
        <v>8.51</v>
      </c>
    </row>
    <row r="1531" spans="1:29">
      <c r="A1531" t="str">
        <f>"300159"</f>
        <v>300159</v>
      </c>
      <c r="B1531" t="s">
        <v>1700</v>
      </c>
      <c r="C1531">
        <v>3.33</v>
      </c>
      <c r="D1531">
        <v>8.37</v>
      </c>
      <c r="E1531">
        <v>0.27</v>
      </c>
      <c r="F1531">
        <v>8.37</v>
      </c>
      <c r="G1531">
        <v>8.38</v>
      </c>
      <c r="H1531">
        <v>175011</v>
      </c>
      <c r="I1531">
        <v>2193</v>
      </c>
      <c r="J1531">
        <v>0</v>
      </c>
      <c r="K1531">
        <v>1.84</v>
      </c>
      <c r="L1531">
        <v>8.08</v>
      </c>
      <c r="M1531">
        <v>8.55</v>
      </c>
      <c r="N1531">
        <v>8.05</v>
      </c>
      <c r="O1531">
        <v>8.1</v>
      </c>
      <c r="P1531">
        <v>61.94</v>
      </c>
      <c r="Q1531">
        <v>145872928</v>
      </c>
      <c r="R1531">
        <v>0.89</v>
      </c>
      <c r="S1531" t="s">
        <v>481</v>
      </c>
      <c r="T1531" t="s">
        <v>156</v>
      </c>
      <c r="U1531">
        <v>6.17</v>
      </c>
      <c r="V1531">
        <v>8.34</v>
      </c>
      <c r="W1531">
        <v>81133</v>
      </c>
      <c r="X1531">
        <v>93878</v>
      </c>
      <c r="Y1531">
        <v>0.86</v>
      </c>
      <c r="Z1531">
        <v>2776</v>
      </c>
      <c r="AA1531">
        <v>510</v>
      </c>
      <c r="AB1531" t="s">
        <v>32</v>
      </c>
      <c r="AC1531">
        <v>9.51</v>
      </c>
    </row>
    <row r="1532" spans="1:29">
      <c r="A1532" t="str">
        <f>"300160"</f>
        <v>300160</v>
      </c>
      <c r="B1532" t="s">
        <v>1701</v>
      </c>
      <c r="C1532">
        <v>2.12</v>
      </c>
      <c r="D1532">
        <v>4.34</v>
      </c>
      <c r="E1532">
        <v>0.09</v>
      </c>
      <c r="F1532">
        <v>4.34</v>
      </c>
      <c r="G1532">
        <v>4.35</v>
      </c>
      <c r="H1532">
        <v>40365</v>
      </c>
      <c r="I1532">
        <v>884</v>
      </c>
      <c r="J1532">
        <v>-0.22</v>
      </c>
      <c r="K1532">
        <v>0.68</v>
      </c>
      <c r="L1532">
        <v>4.23</v>
      </c>
      <c r="M1532">
        <v>4.37</v>
      </c>
      <c r="N1532">
        <v>4.22</v>
      </c>
      <c r="O1532">
        <v>4.25</v>
      </c>
      <c r="P1532">
        <v>21.8</v>
      </c>
      <c r="Q1532">
        <v>17436834</v>
      </c>
      <c r="R1532">
        <v>1.56</v>
      </c>
      <c r="S1532" t="s">
        <v>52</v>
      </c>
      <c r="T1532" t="s">
        <v>87</v>
      </c>
      <c r="U1532">
        <v>3.53</v>
      </c>
      <c r="V1532">
        <v>4.32</v>
      </c>
      <c r="W1532">
        <v>15399</v>
      </c>
      <c r="X1532">
        <v>24966</v>
      </c>
      <c r="Y1532">
        <v>0.62</v>
      </c>
      <c r="Z1532">
        <v>473</v>
      </c>
      <c r="AA1532">
        <v>733</v>
      </c>
      <c r="AB1532" t="s">
        <v>32</v>
      </c>
      <c r="AC1532">
        <v>5.92</v>
      </c>
    </row>
    <row r="1533" spans="1:29">
      <c r="A1533" t="str">
        <f>"300161"</f>
        <v>300161</v>
      </c>
      <c r="B1533" t="s">
        <v>1702</v>
      </c>
      <c r="C1533">
        <v>2.32</v>
      </c>
      <c r="D1533">
        <v>12.8</v>
      </c>
      <c r="E1533">
        <v>0.29</v>
      </c>
      <c r="F1533">
        <v>12.79</v>
      </c>
      <c r="G1533">
        <v>12.8</v>
      </c>
      <c r="H1533">
        <v>43951</v>
      </c>
      <c r="I1533">
        <v>455</v>
      </c>
      <c r="J1533">
        <v>0.08</v>
      </c>
      <c r="K1533">
        <v>2.66</v>
      </c>
      <c r="L1533">
        <v>12.48</v>
      </c>
      <c r="M1533">
        <v>13</v>
      </c>
      <c r="N1533">
        <v>12.34</v>
      </c>
      <c r="O1533">
        <v>12.51</v>
      </c>
      <c r="P1533" t="s">
        <v>32</v>
      </c>
      <c r="Q1533">
        <v>55735752</v>
      </c>
      <c r="R1533">
        <v>1.74</v>
      </c>
      <c r="S1533" t="s">
        <v>179</v>
      </c>
      <c r="T1533" t="s">
        <v>193</v>
      </c>
      <c r="U1533">
        <v>5.28</v>
      </c>
      <c r="V1533">
        <v>12.68</v>
      </c>
      <c r="W1533">
        <v>21728</v>
      </c>
      <c r="X1533">
        <v>22223</v>
      </c>
      <c r="Y1533">
        <v>0.98</v>
      </c>
      <c r="Z1533">
        <v>68</v>
      </c>
      <c r="AA1533">
        <v>242</v>
      </c>
      <c r="AB1533" t="s">
        <v>32</v>
      </c>
      <c r="AC1533">
        <v>1.65</v>
      </c>
    </row>
    <row r="1534" spans="1:29">
      <c r="A1534" t="str">
        <f>"300162"</f>
        <v>300162</v>
      </c>
      <c r="B1534" t="s">
        <v>1703</v>
      </c>
      <c r="C1534">
        <v>0.97</v>
      </c>
      <c r="D1534">
        <v>6.26</v>
      </c>
      <c r="E1534">
        <v>0.06</v>
      </c>
      <c r="F1534">
        <v>6.25</v>
      </c>
      <c r="G1534">
        <v>6.26</v>
      </c>
      <c r="H1534">
        <v>70385</v>
      </c>
      <c r="I1534">
        <v>2272</v>
      </c>
      <c r="J1534">
        <v>0.16</v>
      </c>
      <c r="K1534">
        <v>3.21</v>
      </c>
      <c r="L1534">
        <v>6.19</v>
      </c>
      <c r="M1534">
        <v>6.29</v>
      </c>
      <c r="N1534">
        <v>6.11</v>
      </c>
      <c r="O1534">
        <v>6.2</v>
      </c>
      <c r="P1534">
        <v>784.43</v>
      </c>
      <c r="Q1534">
        <v>43877568</v>
      </c>
      <c r="R1534">
        <v>0.9</v>
      </c>
      <c r="S1534" t="s">
        <v>63</v>
      </c>
      <c r="T1534" t="s">
        <v>31</v>
      </c>
      <c r="U1534">
        <v>2.9</v>
      </c>
      <c r="V1534">
        <v>6.23</v>
      </c>
      <c r="W1534">
        <v>38774</v>
      </c>
      <c r="X1534">
        <v>31611</v>
      </c>
      <c r="Y1534">
        <v>1.23</v>
      </c>
      <c r="Z1534">
        <v>1255</v>
      </c>
      <c r="AA1534">
        <v>520</v>
      </c>
      <c r="AB1534" t="s">
        <v>32</v>
      </c>
      <c r="AC1534">
        <v>2.19</v>
      </c>
    </row>
    <row r="1535" spans="1:29">
      <c r="A1535" t="str">
        <f>"300163"</f>
        <v>300163</v>
      </c>
      <c r="B1535" t="s">
        <v>1704</v>
      </c>
      <c r="C1535">
        <v>2.58</v>
      </c>
      <c r="D1535">
        <v>3.58</v>
      </c>
      <c r="E1535">
        <v>0.09</v>
      </c>
      <c r="F1535">
        <v>3.57</v>
      </c>
      <c r="G1535">
        <v>3.58</v>
      </c>
      <c r="H1535">
        <v>72394</v>
      </c>
      <c r="I1535">
        <v>601</v>
      </c>
      <c r="J1535">
        <v>-0.55</v>
      </c>
      <c r="K1535">
        <v>2.2</v>
      </c>
      <c r="L1535">
        <v>3.48</v>
      </c>
      <c r="M1535">
        <v>3.6</v>
      </c>
      <c r="N1535">
        <v>3.45</v>
      </c>
      <c r="O1535">
        <v>3.49</v>
      </c>
      <c r="P1535" t="s">
        <v>32</v>
      </c>
      <c r="Q1535">
        <v>25671634</v>
      </c>
      <c r="R1535">
        <v>1.04</v>
      </c>
      <c r="S1535" t="s">
        <v>69</v>
      </c>
      <c r="T1535" t="s">
        <v>149</v>
      </c>
      <c r="U1535">
        <v>4.3</v>
      </c>
      <c r="V1535">
        <v>3.55</v>
      </c>
      <c r="W1535">
        <v>35878</v>
      </c>
      <c r="X1535">
        <v>36516</v>
      </c>
      <c r="Y1535">
        <v>0.98</v>
      </c>
      <c r="Z1535">
        <v>1138</v>
      </c>
      <c r="AA1535">
        <v>401</v>
      </c>
      <c r="AB1535" t="s">
        <v>32</v>
      </c>
      <c r="AC1535">
        <v>3.3</v>
      </c>
    </row>
    <row r="1536" spans="1:29">
      <c r="A1536" t="str">
        <f>"300164"</f>
        <v>300164</v>
      </c>
      <c r="B1536" t="s">
        <v>1705</v>
      </c>
      <c r="C1536">
        <v>1.63</v>
      </c>
      <c r="D1536">
        <v>6.84</v>
      </c>
      <c r="E1536">
        <v>0.11</v>
      </c>
      <c r="F1536">
        <v>6.84</v>
      </c>
      <c r="G1536">
        <v>6.85</v>
      </c>
      <c r="H1536">
        <v>69050</v>
      </c>
      <c r="I1536">
        <v>753</v>
      </c>
      <c r="J1536">
        <v>-0.14</v>
      </c>
      <c r="K1536">
        <v>2.18</v>
      </c>
      <c r="L1536">
        <v>6.71</v>
      </c>
      <c r="M1536">
        <v>6.9</v>
      </c>
      <c r="N1536">
        <v>6.7</v>
      </c>
      <c r="O1536">
        <v>6.73</v>
      </c>
      <c r="P1536">
        <v>214.66</v>
      </c>
      <c r="Q1536">
        <v>47157136</v>
      </c>
      <c r="R1536">
        <v>1.02</v>
      </c>
      <c r="S1536" t="s">
        <v>831</v>
      </c>
      <c r="T1536" t="s">
        <v>223</v>
      </c>
      <c r="U1536">
        <v>2.97</v>
      </c>
      <c r="V1536">
        <v>6.83</v>
      </c>
      <c r="W1536">
        <v>32294</v>
      </c>
      <c r="X1536">
        <v>36755</v>
      </c>
      <c r="Y1536">
        <v>0.88</v>
      </c>
      <c r="Z1536">
        <v>388</v>
      </c>
      <c r="AA1536">
        <v>698</v>
      </c>
      <c r="AB1536" t="s">
        <v>32</v>
      </c>
      <c r="AC1536">
        <v>3.17</v>
      </c>
    </row>
    <row r="1537" spans="1:29">
      <c r="A1537" t="str">
        <f>"300165"</f>
        <v>300165</v>
      </c>
      <c r="B1537" t="s">
        <v>1706</v>
      </c>
      <c r="C1537">
        <v>10.02</v>
      </c>
      <c r="D1537">
        <v>6.48</v>
      </c>
      <c r="E1537">
        <v>0.59</v>
      </c>
      <c r="F1537">
        <v>6.48</v>
      </c>
      <c r="G1537" t="s">
        <v>32</v>
      </c>
      <c r="H1537">
        <v>58371</v>
      </c>
      <c r="I1537">
        <v>20</v>
      </c>
      <c r="J1537">
        <v>0</v>
      </c>
      <c r="K1537">
        <v>1.92</v>
      </c>
      <c r="L1537">
        <v>6.48</v>
      </c>
      <c r="M1537">
        <v>6.48</v>
      </c>
      <c r="N1537">
        <v>6.48</v>
      </c>
      <c r="O1537">
        <v>5.89</v>
      </c>
      <c r="P1537">
        <v>31.53</v>
      </c>
      <c r="Q1537">
        <v>37824396</v>
      </c>
      <c r="R1537">
        <v>1.06</v>
      </c>
      <c r="S1537" t="s">
        <v>606</v>
      </c>
      <c r="T1537" t="s">
        <v>87</v>
      </c>
      <c r="U1537">
        <v>0</v>
      </c>
      <c r="V1537">
        <v>6.48</v>
      </c>
      <c r="W1537">
        <v>54852</v>
      </c>
      <c r="X1537">
        <v>3518</v>
      </c>
      <c r="Y1537">
        <v>15.59</v>
      </c>
      <c r="Z1537">
        <v>52999</v>
      </c>
      <c r="AA1537">
        <v>0</v>
      </c>
      <c r="AB1537" t="s">
        <v>32</v>
      </c>
      <c r="AC1537">
        <v>3.04</v>
      </c>
    </row>
    <row r="1538" spans="1:29">
      <c r="A1538" t="str">
        <f>"300166"</f>
        <v>300166</v>
      </c>
      <c r="B1538" t="s">
        <v>1707</v>
      </c>
      <c r="C1538">
        <v>-1.81</v>
      </c>
      <c r="D1538">
        <v>15.77</v>
      </c>
      <c r="E1538">
        <v>-0.29</v>
      </c>
      <c r="F1538">
        <v>15.76</v>
      </c>
      <c r="G1538">
        <v>15.77</v>
      </c>
      <c r="H1538">
        <v>308729</v>
      </c>
      <c r="I1538">
        <v>2919</v>
      </c>
      <c r="J1538">
        <v>0.06</v>
      </c>
      <c r="K1538">
        <v>3.81</v>
      </c>
      <c r="L1538">
        <v>15.9</v>
      </c>
      <c r="M1538">
        <v>16.1</v>
      </c>
      <c r="N1538">
        <v>15.62</v>
      </c>
      <c r="O1538">
        <v>16.06</v>
      </c>
      <c r="P1538">
        <v>114.75</v>
      </c>
      <c r="Q1538">
        <v>488511488</v>
      </c>
      <c r="R1538">
        <v>0.92</v>
      </c>
      <c r="S1538" t="s">
        <v>270</v>
      </c>
      <c r="T1538" t="s">
        <v>45</v>
      </c>
      <c r="U1538">
        <v>2.99</v>
      </c>
      <c r="V1538">
        <v>15.82</v>
      </c>
      <c r="W1538">
        <v>177573</v>
      </c>
      <c r="X1538">
        <v>131155</v>
      </c>
      <c r="Y1538">
        <v>1.35</v>
      </c>
      <c r="Z1538">
        <v>736</v>
      </c>
      <c r="AA1538">
        <v>134</v>
      </c>
      <c r="AB1538" t="s">
        <v>32</v>
      </c>
      <c r="AC1538">
        <v>8.11</v>
      </c>
    </row>
    <row r="1539" spans="1:29">
      <c r="A1539" t="str">
        <f>"300167"</f>
        <v>300167</v>
      </c>
      <c r="B1539" t="s">
        <v>1708</v>
      </c>
      <c r="C1539">
        <v>1.36</v>
      </c>
      <c r="D1539">
        <v>5.2</v>
      </c>
      <c r="E1539">
        <v>0.07</v>
      </c>
      <c r="F1539">
        <v>5.19</v>
      </c>
      <c r="G1539">
        <v>5.2</v>
      </c>
      <c r="H1539">
        <v>84164</v>
      </c>
      <c r="I1539">
        <v>1182</v>
      </c>
      <c r="J1539">
        <v>0.19</v>
      </c>
      <c r="K1539">
        <v>2.8</v>
      </c>
      <c r="L1539">
        <v>5.12</v>
      </c>
      <c r="M1539">
        <v>5.24</v>
      </c>
      <c r="N1539">
        <v>5.08</v>
      </c>
      <c r="O1539">
        <v>5.13</v>
      </c>
      <c r="P1539" t="s">
        <v>32</v>
      </c>
      <c r="Q1539">
        <v>43469108</v>
      </c>
      <c r="R1539">
        <v>1</v>
      </c>
      <c r="S1539" t="s">
        <v>119</v>
      </c>
      <c r="T1539" t="s">
        <v>31</v>
      </c>
      <c r="U1539">
        <v>3.12</v>
      </c>
      <c r="V1539">
        <v>5.16</v>
      </c>
      <c r="W1539">
        <v>47950</v>
      </c>
      <c r="X1539">
        <v>36213</v>
      </c>
      <c r="Y1539">
        <v>1.32</v>
      </c>
      <c r="Z1539">
        <v>789</v>
      </c>
      <c r="AA1539">
        <v>477</v>
      </c>
      <c r="AB1539" t="s">
        <v>32</v>
      </c>
      <c r="AC1539">
        <v>3</v>
      </c>
    </row>
    <row r="1540" spans="1:29">
      <c r="A1540" t="str">
        <f>"300168"</f>
        <v>300168</v>
      </c>
      <c r="B1540" t="s">
        <v>1709</v>
      </c>
      <c r="C1540">
        <v>2.41</v>
      </c>
      <c r="D1540">
        <v>21.23</v>
      </c>
      <c r="E1540">
        <v>0.5</v>
      </c>
      <c r="F1540">
        <v>21.22</v>
      </c>
      <c r="G1540">
        <v>21.23</v>
      </c>
      <c r="H1540">
        <v>150885</v>
      </c>
      <c r="I1540">
        <v>1331</v>
      </c>
      <c r="J1540">
        <v>0.09</v>
      </c>
      <c r="K1540">
        <v>1.42</v>
      </c>
      <c r="L1540">
        <v>20.9</v>
      </c>
      <c r="M1540">
        <v>21.76</v>
      </c>
      <c r="N1540">
        <v>20.89</v>
      </c>
      <c r="O1540">
        <v>20.73</v>
      </c>
      <c r="P1540">
        <v>1154.64</v>
      </c>
      <c r="Q1540">
        <v>323223616</v>
      </c>
      <c r="R1540">
        <v>1.44</v>
      </c>
      <c r="S1540" t="s">
        <v>270</v>
      </c>
      <c r="T1540" t="s">
        <v>366</v>
      </c>
      <c r="U1540">
        <v>4.2</v>
      </c>
      <c r="V1540">
        <v>21.42</v>
      </c>
      <c r="W1540">
        <v>79020</v>
      </c>
      <c r="X1540">
        <v>71865</v>
      </c>
      <c r="Y1540">
        <v>1.1</v>
      </c>
      <c r="Z1540">
        <v>212</v>
      </c>
      <c r="AA1540">
        <v>71</v>
      </c>
      <c r="AB1540" t="s">
        <v>32</v>
      </c>
      <c r="AC1540">
        <v>10.59</v>
      </c>
    </row>
    <row r="1541" spans="1:29">
      <c r="A1541" t="str">
        <f>"300169"</f>
        <v>300169</v>
      </c>
      <c r="B1541" t="s">
        <v>1710</v>
      </c>
      <c r="C1541">
        <v>2.26</v>
      </c>
      <c r="D1541">
        <v>4.52</v>
      </c>
      <c r="E1541">
        <v>0.1</v>
      </c>
      <c r="F1541">
        <v>4.51</v>
      </c>
      <c r="G1541">
        <v>4.52</v>
      </c>
      <c r="H1541">
        <v>48275</v>
      </c>
      <c r="I1541">
        <v>1011</v>
      </c>
      <c r="J1541">
        <v>0.22</v>
      </c>
      <c r="K1541">
        <v>1.87</v>
      </c>
      <c r="L1541">
        <v>4.39</v>
      </c>
      <c r="M1541">
        <v>4.53</v>
      </c>
      <c r="N1541">
        <v>4.38</v>
      </c>
      <c r="O1541">
        <v>4.42</v>
      </c>
      <c r="P1541" t="s">
        <v>32</v>
      </c>
      <c r="Q1541">
        <v>21627892</v>
      </c>
      <c r="R1541">
        <v>1.35</v>
      </c>
      <c r="S1541" t="s">
        <v>508</v>
      </c>
      <c r="T1541" t="s">
        <v>87</v>
      </c>
      <c r="U1541">
        <v>3.39</v>
      </c>
      <c r="V1541">
        <v>4.48</v>
      </c>
      <c r="W1541">
        <v>24141</v>
      </c>
      <c r="X1541">
        <v>24134</v>
      </c>
      <c r="Y1541">
        <v>1</v>
      </c>
      <c r="Z1541">
        <v>220</v>
      </c>
      <c r="AA1541">
        <v>820</v>
      </c>
      <c r="AB1541" t="s">
        <v>32</v>
      </c>
      <c r="AC1541">
        <v>2.58</v>
      </c>
    </row>
    <row r="1542" spans="1:29">
      <c r="A1542" t="str">
        <f>"300170"</f>
        <v>300170</v>
      </c>
      <c r="B1542" t="s">
        <v>1711</v>
      </c>
      <c r="C1542">
        <v>0.07</v>
      </c>
      <c r="D1542">
        <v>15.11</v>
      </c>
      <c r="E1542">
        <v>0.01</v>
      </c>
      <c r="F1542">
        <v>15.11</v>
      </c>
      <c r="G1542">
        <v>15.12</v>
      </c>
      <c r="H1542">
        <v>216769</v>
      </c>
      <c r="I1542">
        <v>1250</v>
      </c>
      <c r="J1542">
        <v>0.07</v>
      </c>
      <c r="K1542">
        <v>3.26</v>
      </c>
      <c r="L1542">
        <v>15.13</v>
      </c>
      <c r="M1542">
        <v>15.33</v>
      </c>
      <c r="N1542">
        <v>14.86</v>
      </c>
      <c r="O1542">
        <v>15.1</v>
      </c>
      <c r="P1542">
        <v>55.24</v>
      </c>
      <c r="Q1542">
        <v>327164576</v>
      </c>
      <c r="R1542">
        <v>0.55</v>
      </c>
      <c r="S1542" t="s">
        <v>270</v>
      </c>
      <c r="T1542" t="s">
        <v>366</v>
      </c>
      <c r="U1542">
        <v>3.11</v>
      </c>
      <c r="V1542">
        <v>15.09</v>
      </c>
      <c r="W1542">
        <v>106238</v>
      </c>
      <c r="X1542">
        <v>110531</v>
      </c>
      <c r="Y1542">
        <v>0.96</v>
      </c>
      <c r="Z1542">
        <v>177</v>
      </c>
      <c r="AA1542">
        <v>886</v>
      </c>
      <c r="AB1542" t="s">
        <v>32</v>
      </c>
      <c r="AC1542">
        <v>6.64</v>
      </c>
    </row>
    <row r="1543" spans="1:29">
      <c r="A1543" t="str">
        <f>"300171"</f>
        <v>300171</v>
      </c>
      <c r="B1543" t="s">
        <v>1712</v>
      </c>
      <c r="C1543">
        <v>1.08</v>
      </c>
      <c r="D1543">
        <v>7.46</v>
      </c>
      <c r="E1543">
        <v>0.08</v>
      </c>
      <c r="F1543">
        <v>7.45</v>
      </c>
      <c r="G1543">
        <v>7.46</v>
      </c>
      <c r="H1543">
        <v>157556</v>
      </c>
      <c r="I1543">
        <v>1622</v>
      </c>
      <c r="J1543">
        <v>-0.52</v>
      </c>
      <c r="K1543">
        <v>4.72</v>
      </c>
      <c r="L1543">
        <v>7.71</v>
      </c>
      <c r="M1543">
        <v>8.1</v>
      </c>
      <c r="N1543">
        <v>7.38</v>
      </c>
      <c r="O1543">
        <v>7.38</v>
      </c>
      <c r="P1543">
        <v>53.95</v>
      </c>
      <c r="Q1543">
        <v>120288768</v>
      </c>
      <c r="R1543">
        <v>5.91</v>
      </c>
      <c r="S1543" t="s">
        <v>138</v>
      </c>
      <c r="T1543" t="s">
        <v>366</v>
      </c>
      <c r="U1543">
        <v>9.76</v>
      </c>
      <c r="V1543">
        <v>7.63</v>
      </c>
      <c r="W1543">
        <v>86213</v>
      </c>
      <c r="X1543">
        <v>71343</v>
      </c>
      <c r="Y1543">
        <v>1.21</v>
      </c>
      <c r="Z1543">
        <v>76</v>
      </c>
      <c r="AA1543">
        <v>626</v>
      </c>
      <c r="AB1543" t="s">
        <v>32</v>
      </c>
      <c r="AC1543">
        <v>3.34</v>
      </c>
    </row>
    <row r="1544" spans="1:29">
      <c r="A1544" t="str">
        <f>"300172"</f>
        <v>300172</v>
      </c>
      <c r="B1544" t="s">
        <v>1713</v>
      </c>
      <c r="C1544">
        <v>0.16</v>
      </c>
      <c r="D1544">
        <v>6.16</v>
      </c>
      <c r="E1544">
        <v>0.01</v>
      </c>
      <c r="F1544">
        <v>6.16</v>
      </c>
      <c r="G1544">
        <v>6.17</v>
      </c>
      <c r="H1544">
        <v>43046</v>
      </c>
      <c r="I1544">
        <v>518</v>
      </c>
      <c r="J1544">
        <v>-0.15</v>
      </c>
      <c r="K1544">
        <v>1.24</v>
      </c>
      <c r="L1544">
        <v>6.17</v>
      </c>
      <c r="M1544">
        <v>6.23</v>
      </c>
      <c r="N1544">
        <v>6.12</v>
      </c>
      <c r="O1544">
        <v>6.15</v>
      </c>
      <c r="P1544">
        <v>54.46</v>
      </c>
      <c r="Q1544">
        <v>26597796</v>
      </c>
      <c r="R1544">
        <v>1.08</v>
      </c>
      <c r="S1544" t="s">
        <v>86</v>
      </c>
      <c r="T1544" t="s">
        <v>87</v>
      </c>
      <c r="U1544">
        <v>1.79</v>
      </c>
      <c r="V1544">
        <v>6.18</v>
      </c>
      <c r="W1544">
        <v>24132</v>
      </c>
      <c r="X1544">
        <v>18913</v>
      </c>
      <c r="Y1544">
        <v>1.28</v>
      </c>
      <c r="Z1544">
        <v>1757</v>
      </c>
      <c r="AA1544">
        <v>323</v>
      </c>
      <c r="AB1544" t="s">
        <v>32</v>
      </c>
      <c r="AC1544">
        <v>3.46</v>
      </c>
    </row>
    <row r="1545" spans="1:29">
      <c r="A1545" t="str">
        <f>"300173"</f>
        <v>300173</v>
      </c>
      <c r="B1545" t="s">
        <v>1714</v>
      </c>
      <c r="C1545">
        <v>2.84</v>
      </c>
      <c r="D1545">
        <v>5.79</v>
      </c>
      <c r="E1545">
        <v>0.16</v>
      </c>
      <c r="F1545">
        <v>5.78</v>
      </c>
      <c r="G1545">
        <v>5.79</v>
      </c>
      <c r="H1545">
        <v>103611</v>
      </c>
      <c r="I1545">
        <v>2048</v>
      </c>
      <c r="J1545">
        <v>0</v>
      </c>
      <c r="K1545">
        <v>2.03</v>
      </c>
      <c r="L1545">
        <v>5.65</v>
      </c>
      <c r="M1545">
        <v>5.91</v>
      </c>
      <c r="N1545">
        <v>5.6</v>
      </c>
      <c r="O1545">
        <v>5.63</v>
      </c>
      <c r="P1545">
        <v>82.31</v>
      </c>
      <c r="Q1545">
        <v>59725616</v>
      </c>
      <c r="R1545">
        <v>1.23</v>
      </c>
      <c r="S1545" t="s">
        <v>93</v>
      </c>
      <c r="T1545" t="s">
        <v>136</v>
      </c>
      <c r="U1545">
        <v>5.51</v>
      </c>
      <c r="V1545">
        <v>5.76</v>
      </c>
      <c r="W1545">
        <v>40586</v>
      </c>
      <c r="X1545">
        <v>63025</v>
      </c>
      <c r="Y1545">
        <v>0.64</v>
      </c>
      <c r="Z1545">
        <v>1226</v>
      </c>
      <c r="AA1545">
        <v>80</v>
      </c>
      <c r="AB1545" t="s">
        <v>32</v>
      </c>
      <c r="AC1545">
        <v>5.09</v>
      </c>
    </row>
    <row r="1546" spans="1:29">
      <c r="A1546" t="str">
        <f>"300174"</f>
        <v>300174</v>
      </c>
      <c r="B1546" t="s">
        <v>1715</v>
      </c>
      <c r="C1546">
        <v>0.66</v>
      </c>
      <c r="D1546">
        <v>21.37</v>
      </c>
      <c r="E1546">
        <v>0.14</v>
      </c>
      <c r="F1546">
        <v>21.36</v>
      </c>
      <c r="G1546">
        <v>21.37</v>
      </c>
      <c r="H1546">
        <v>4601</v>
      </c>
      <c r="I1546">
        <v>66</v>
      </c>
      <c r="J1546">
        <v>0.19</v>
      </c>
      <c r="K1546">
        <v>0.21</v>
      </c>
      <c r="L1546">
        <v>21.39</v>
      </c>
      <c r="M1546">
        <v>21.48</v>
      </c>
      <c r="N1546">
        <v>21.15</v>
      </c>
      <c r="O1546">
        <v>21.23</v>
      </c>
      <c r="P1546">
        <v>25.23</v>
      </c>
      <c r="Q1546">
        <v>9804030</v>
      </c>
      <c r="R1546">
        <v>0.62</v>
      </c>
      <c r="S1546" t="s">
        <v>218</v>
      </c>
      <c r="T1546" t="s">
        <v>236</v>
      </c>
      <c r="U1546">
        <v>1.55</v>
      </c>
      <c r="V1546">
        <v>21.31</v>
      </c>
      <c r="W1546">
        <v>2091</v>
      </c>
      <c r="X1546">
        <v>2510</v>
      </c>
      <c r="Y1546">
        <v>0.83</v>
      </c>
      <c r="Z1546">
        <v>6</v>
      </c>
      <c r="AA1546">
        <v>47</v>
      </c>
      <c r="AB1546" t="s">
        <v>32</v>
      </c>
      <c r="AC1546">
        <v>2.2</v>
      </c>
    </row>
    <row r="1547" spans="1:29">
      <c r="A1547" t="str">
        <f>"300175"</f>
        <v>300175</v>
      </c>
      <c r="B1547" t="s">
        <v>1716</v>
      </c>
      <c r="C1547">
        <v>3.21</v>
      </c>
      <c r="D1547">
        <v>4.18</v>
      </c>
      <c r="E1547">
        <v>0.13</v>
      </c>
      <c r="F1547">
        <v>4.17</v>
      </c>
      <c r="G1547">
        <v>4.18</v>
      </c>
      <c r="H1547">
        <v>54368</v>
      </c>
      <c r="I1547">
        <v>507</v>
      </c>
      <c r="J1547">
        <v>0.24</v>
      </c>
      <c r="K1547">
        <v>1.18</v>
      </c>
      <c r="L1547">
        <v>4.07</v>
      </c>
      <c r="M1547">
        <v>4.2</v>
      </c>
      <c r="N1547">
        <v>4.03</v>
      </c>
      <c r="O1547">
        <v>4.05</v>
      </c>
      <c r="P1547" t="s">
        <v>32</v>
      </c>
      <c r="Q1547">
        <v>22490678</v>
      </c>
      <c r="R1547">
        <v>2.46</v>
      </c>
      <c r="S1547" t="s">
        <v>213</v>
      </c>
      <c r="T1547" t="s">
        <v>162</v>
      </c>
      <c r="U1547">
        <v>4.2</v>
      </c>
      <c r="V1547">
        <v>4.14</v>
      </c>
      <c r="W1547">
        <v>22216</v>
      </c>
      <c r="X1547">
        <v>32152</v>
      </c>
      <c r="Y1547">
        <v>0.69</v>
      </c>
      <c r="Z1547">
        <v>268</v>
      </c>
      <c r="AA1547">
        <v>745</v>
      </c>
      <c r="AB1547" t="s">
        <v>32</v>
      </c>
      <c r="AC1547">
        <v>4.62</v>
      </c>
    </row>
    <row r="1548" spans="1:29">
      <c r="A1548" t="str">
        <f>"300176"</f>
        <v>300176</v>
      </c>
      <c r="B1548" t="s">
        <v>1717</v>
      </c>
      <c r="C1548">
        <v>-1.95</v>
      </c>
      <c r="D1548">
        <v>69.89</v>
      </c>
      <c r="E1548">
        <v>-1.39</v>
      </c>
      <c r="F1548">
        <v>69.89</v>
      </c>
      <c r="G1548">
        <v>69.9</v>
      </c>
      <c r="H1548">
        <v>20939</v>
      </c>
      <c r="I1548">
        <v>297</v>
      </c>
      <c r="J1548">
        <v>-0.09</v>
      </c>
      <c r="K1548">
        <v>1.05</v>
      </c>
      <c r="L1548">
        <v>71.03</v>
      </c>
      <c r="M1548">
        <v>71.95</v>
      </c>
      <c r="N1548">
        <v>69.5</v>
      </c>
      <c r="O1548">
        <v>71.28</v>
      </c>
      <c r="P1548">
        <v>16.04</v>
      </c>
      <c r="Q1548">
        <v>147641712</v>
      </c>
      <c r="R1548">
        <v>0.69</v>
      </c>
      <c r="S1548" t="s">
        <v>80</v>
      </c>
      <c r="T1548" t="s">
        <v>136</v>
      </c>
      <c r="U1548">
        <v>3.44</v>
      </c>
      <c r="V1548">
        <v>70.51</v>
      </c>
      <c r="W1548">
        <v>12305</v>
      </c>
      <c r="X1548">
        <v>8634</v>
      </c>
      <c r="Y1548">
        <v>1.43</v>
      </c>
      <c r="Z1548">
        <v>12</v>
      </c>
      <c r="AA1548">
        <v>106</v>
      </c>
      <c r="AB1548" t="s">
        <v>32</v>
      </c>
      <c r="AC1548">
        <v>2</v>
      </c>
    </row>
    <row r="1549" spans="1:29">
      <c r="A1549" t="str">
        <f>"300177"</f>
        <v>300177</v>
      </c>
      <c r="B1549" t="s">
        <v>1718</v>
      </c>
      <c r="C1549">
        <v>-0.33</v>
      </c>
      <c r="D1549">
        <v>14.99</v>
      </c>
      <c r="E1549">
        <v>-0.05</v>
      </c>
      <c r="F1549">
        <v>14.99</v>
      </c>
      <c r="G1549">
        <v>15</v>
      </c>
      <c r="H1549">
        <v>176325</v>
      </c>
      <c r="I1549">
        <v>2381</v>
      </c>
      <c r="J1549">
        <v>0</v>
      </c>
      <c r="K1549">
        <v>5.57</v>
      </c>
      <c r="L1549">
        <v>15.22</v>
      </c>
      <c r="M1549">
        <v>15.28</v>
      </c>
      <c r="N1549">
        <v>14.87</v>
      </c>
      <c r="O1549">
        <v>15.04</v>
      </c>
      <c r="P1549">
        <v>78.56</v>
      </c>
      <c r="Q1549">
        <v>264551376</v>
      </c>
      <c r="R1549">
        <v>0.81</v>
      </c>
      <c r="S1549" t="s">
        <v>119</v>
      </c>
      <c r="T1549" t="s">
        <v>136</v>
      </c>
      <c r="U1549">
        <v>2.73</v>
      </c>
      <c r="V1549">
        <v>15</v>
      </c>
      <c r="W1549">
        <v>101151</v>
      </c>
      <c r="X1549">
        <v>75174</v>
      </c>
      <c r="Y1549">
        <v>1.35</v>
      </c>
      <c r="Z1549">
        <v>630</v>
      </c>
      <c r="AA1549">
        <v>985</v>
      </c>
      <c r="AB1549" t="s">
        <v>32</v>
      </c>
      <c r="AC1549">
        <v>3.17</v>
      </c>
    </row>
    <row r="1550" spans="1:29">
      <c r="A1550" t="str">
        <f>"300178"</f>
        <v>300178</v>
      </c>
      <c r="B1550" t="s">
        <v>1719</v>
      </c>
      <c r="C1550">
        <v>1.62</v>
      </c>
      <c r="D1550">
        <v>13.15</v>
      </c>
      <c r="E1550">
        <v>0.21</v>
      </c>
      <c r="F1550">
        <v>13.14</v>
      </c>
      <c r="G1550">
        <v>13.15</v>
      </c>
      <c r="H1550">
        <v>87785</v>
      </c>
      <c r="I1550">
        <v>622</v>
      </c>
      <c r="J1550">
        <v>0.08</v>
      </c>
      <c r="K1550">
        <v>1.65</v>
      </c>
      <c r="L1550">
        <v>12.89</v>
      </c>
      <c r="M1550">
        <v>13.15</v>
      </c>
      <c r="N1550">
        <v>12.75</v>
      </c>
      <c r="O1550">
        <v>12.94</v>
      </c>
      <c r="P1550">
        <v>33.68</v>
      </c>
      <c r="Q1550">
        <v>114335272</v>
      </c>
      <c r="R1550">
        <v>1.48</v>
      </c>
      <c r="S1550" t="s">
        <v>321</v>
      </c>
      <c r="T1550" t="s">
        <v>31</v>
      </c>
      <c r="U1550">
        <v>3.09</v>
      </c>
      <c r="V1550">
        <v>13.02</v>
      </c>
      <c r="W1550">
        <v>43541</v>
      </c>
      <c r="X1550">
        <v>44244</v>
      </c>
      <c r="Y1550">
        <v>0.98</v>
      </c>
      <c r="Z1550">
        <v>586</v>
      </c>
      <c r="AA1550">
        <v>371</v>
      </c>
      <c r="AB1550" t="s">
        <v>32</v>
      </c>
      <c r="AC1550">
        <v>5.32</v>
      </c>
    </row>
    <row r="1551" spans="1:29">
      <c r="A1551" t="str">
        <f>"300179"</f>
        <v>300179</v>
      </c>
      <c r="B1551" t="s">
        <v>1720</v>
      </c>
      <c r="C1551">
        <v>1.28</v>
      </c>
      <c r="D1551">
        <v>4.75</v>
      </c>
      <c r="E1551">
        <v>0.06</v>
      </c>
      <c r="F1551">
        <v>4.75</v>
      </c>
      <c r="G1551">
        <v>4.76</v>
      </c>
      <c r="H1551">
        <v>46742</v>
      </c>
      <c r="I1551">
        <v>464</v>
      </c>
      <c r="J1551">
        <v>-0.2</v>
      </c>
      <c r="K1551">
        <v>1.43</v>
      </c>
      <c r="L1551">
        <v>4.69</v>
      </c>
      <c r="M1551">
        <v>4.8</v>
      </c>
      <c r="N1551">
        <v>4.58</v>
      </c>
      <c r="O1551">
        <v>4.69</v>
      </c>
      <c r="P1551">
        <v>55.3</v>
      </c>
      <c r="Q1551">
        <v>22107368</v>
      </c>
      <c r="R1551">
        <v>0.71</v>
      </c>
      <c r="S1551" t="s">
        <v>227</v>
      </c>
      <c r="T1551" t="s">
        <v>164</v>
      </c>
      <c r="U1551">
        <v>4.69</v>
      </c>
      <c r="V1551">
        <v>4.73</v>
      </c>
      <c r="W1551">
        <v>20073</v>
      </c>
      <c r="X1551">
        <v>26669</v>
      </c>
      <c r="Y1551">
        <v>0.75</v>
      </c>
      <c r="Z1551">
        <v>964</v>
      </c>
      <c r="AA1551">
        <v>465</v>
      </c>
      <c r="AB1551" t="s">
        <v>32</v>
      </c>
      <c r="AC1551">
        <v>3.26</v>
      </c>
    </row>
    <row r="1552" spans="1:29">
      <c r="A1552" t="str">
        <f>"300180"</f>
        <v>300180</v>
      </c>
      <c r="B1552" t="s">
        <v>1721</v>
      </c>
      <c r="C1552">
        <v>3.57</v>
      </c>
      <c r="D1552">
        <v>12.77</v>
      </c>
      <c r="E1552">
        <v>0.44</v>
      </c>
      <c r="F1552">
        <v>12.76</v>
      </c>
      <c r="G1552">
        <v>12.77</v>
      </c>
      <c r="H1552">
        <v>73549</v>
      </c>
      <c r="I1552">
        <v>1076</v>
      </c>
      <c r="J1552">
        <v>0.39</v>
      </c>
      <c r="K1552">
        <v>1.08</v>
      </c>
      <c r="L1552">
        <v>12.31</v>
      </c>
      <c r="M1552">
        <v>12.95</v>
      </c>
      <c r="N1552">
        <v>12.21</v>
      </c>
      <c r="O1552">
        <v>12.33</v>
      </c>
      <c r="P1552">
        <v>36.03</v>
      </c>
      <c r="Q1552">
        <v>92552088</v>
      </c>
      <c r="R1552">
        <v>3.88</v>
      </c>
      <c r="S1552" t="s">
        <v>190</v>
      </c>
      <c r="T1552" t="s">
        <v>366</v>
      </c>
      <c r="U1552">
        <v>6</v>
      </c>
      <c r="V1552">
        <v>12.58</v>
      </c>
      <c r="W1552">
        <v>38172</v>
      </c>
      <c r="X1552">
        <v>35376</v>
      </c>
      <c r="Y1552">
        <v>1.08</v>
      </c>
      <c r="Z1552">
        <v>4</v>
      </c>
      <c r="AA1552">
        <v>74</v>
      </c>
      <c r="AB1552" t="s">
        <v>32</v>
      </c>
      <c r="AC1552">
        <v>6.84</v>
      </c>
    </row>
    <row r="1553" spans="1:29">
      <c r="A1553" t="str">
        <f>"300181"</f>
        <v>300181</v>
      </c>
      <c r="B1553" t="s">
        <v>1722</v>
      </c>
      <c r="C1553">
        <v>2.41</v>
      </c>
      <c r="D1553">
        <v>5.1</v>
      </c>
      <c r="E1553">
        <v>0.12</v>
      </c>
      <c r="F1553">
        <v>5.1</v>
      </c>
      <c r="G1553">
        <v>5.11</v>
      </c>
      <c r="H1553">
        <v>50537</v>
      </c>
      <c r="I1553">
        <v>577</v>
      </c>
      <c r="J1553">
        <v>0</v>
      </c>
      <c r="K1553">
        <v>1.08</v>
      </c>
      <c r="L1553">
        <v>5</v>
      </c>
      <c r="M1553">
        <v>5.14</v>
      </c>
      <c r="N1553">
        <v>4.95</v>
      </c>
      <c r="O1553">
        <v>4.98</v>
      </c>
      <c r="P1553">
        <v>86.62</v>
      </c>
      <c r="Q1553">
        <v>25564252</v>
      </c>
      <c r="R1553">
        <v>1.3</v>
      </c>
      <c r="S1553" t="s">
        <v>195</v>
      </c>
      <c r="T1553" t="s">
        <v>149</v>
      </c>
      <c r="U1553">
        <v>3.82</v>
      </c>
      <c r="V1553">
        <v>5.06</v>
      </c>
      <c r="W1553">
        <v>21335</v>
      </c>
      <c r="X1553">
        <v>29202</v>
      </c>
      <c r="Y1553">
        <v>0.73</v>
      </c>
      <c r="Z1553">
        <v>649</v>
      </c>
      <c r="AA1553">
        <v>352</v>
      </c>
      <c r="AB1553" t="s">
        <v>32</v>
      </c>
      <c r="AC1553">
        <v>4.67</v>
      </c>
    </row>
    <row r="1554" spans="1:29">
      <c r="A1554" t="str">
        <f>"300182"</f>
        <v>300182</v>
      </c>
      <c r="B1554" t="s">
        <v>1723</v>
      </c>
      <c r="C1554">
        <v>2.02</v>
      </c>
      <c r="D1554">
        <v>7.07</v>
      </c>
      <c r="E1554">
        <v>0.14</v>
      </c>
      <c r="F1554">
        <v>7.06</v>
      </c>
      <c r="G1554">
        <v>7.07</v>
      </c>
      <c r="H1554">
        <v>210476</v>
      </c>
      <c r="I1554">
        <v>1171</v>
      </c>
      <c r="J1554">
        <v>0.14</v>
      </c>
      <c r="K1554">
        <v>1.51</v>
      </c>
      <c r="L1554">
        <v>6.93</v>
      </c>
      <c r="M1554">
        <v>7.13</v>
      </c>
      <c r="N1554">
        <v>6.87</v>
      </c>
      <c r="O1554">
        <v>6.93</v>
      </c>
      <c r="P1554">
        <v>22.54</v>
      </c>
      <c r="Q1554">
        <v>148472352</v>
      </c>
      <c r="R1554">
        <v>1.44</v>
      </c>
      <c r="S1554" t="s">
        <v>270</v>
      </c>
      <c r="T1554" t="s">
        <v>45</v>
      </c>
      <c r="U1554">
        <v>3.75</v>
      </c>
      <c r="V1554">
        <v>7.05</v>
      </c>
      <c r="W1554">
        <v>88062</v>
      </c>
      <c r="X1554">
        <v>122413</v>
      </c>
      <c r="Y1554">
        <v>0.72</v>
      </c>
      <c r="Z1554">
        <v>1132</v>
      </c>
      <c r="AA1554">
        <v>504</v>
      </c>
      <c r="AB1554" t="s">
        <v>32</v>
      </c>
      <c r="AC1554">
        <v>13.91</v>
      </c>
    </row>
    <row r="1555" spans="1:29">
      <c r="A1555" t="str">
        <f>"300183"</f>
        <v>300183</v>
      </c>
      <c r="B1555" t="s">
        <v>1724</v>
      </c>
      <c r="C1555">
        <v>0.63</v>
      </c>
      <c r="D1555">
        <v>15.89</v>
      </c>
      <c r="E1555">
        <v>0.1</v>
      </c>
      <c r="F1555">
        <v>15.89</v>
      </c>
      <c r="G1555">
        <v>15.9</v>
      </c>
      <c r="H1555">
        <v>62083</v>
      </c>
      <c r="I1555">
        <v>848</v>
      </c>
      <c r="J1555">
        <v>0.06</v>
      </c>
      <c r="K1555">
        <v>2.36</v>
      </c>
      <c r="L1555">
        <v>15.7</v>
      </c>
      <c r="M1555">
        <v>15.97</v>
      </c>
      <c r="N1555">
        <v>15.51</v>
      </c>
      <c r="O1555">
        <v>15.79</v>
      </c>
      <c r="P1555">
        <v>43.29</v>
      </c>
      <c r="Q1555">
        <v>97988976</v>
      </c>
      <c r="R1555">
        <v>0.73</v>
      </c>
      <c r="S1555" t="s">
        <v>270</v>
      </c>
      <c r="T1555" t="s">
        <v>162</v>
      </c>
      <c r="U1555">
        <v>2.91</v>
      </c>
      <c r="V1555">
        <v>15.78</v>
      </c>
      <c r="W1555">
        <v>32382</v>
      </c>
      <c r="X1555">
        <v>29701</v>
      </c>
      <c r="Y1555">
        <v>1.09</v>
      </c>
      <c r="Z1555">
        <v>401</v>
      </c>
      <c r="AA1555">
        <v>457</v>
      </c>
      <c r="AB1555" t="s">
        <v>32</v>
      </c>
      <c r="AC1555">
        <v>2.64</v>
      </c>
    </row>
    <row r="1556" spans="1:29">
      <c r="A1556" t="str">
        <f>"300184"</f>
        <v>300184</v>
      </c>
      <c r="B1556" t="s">
        <v>1725</v>
      </c>
      <c r="C1556">
        <v>0.93</v>
      </c>
      <c r="D1556">
        <v>10.87</v>
      </c>
      <c r="E1556">
        <v>0.1</v>
      </c>
      <c r="F1556">
        <v>10.86</v>
      </c>
      <c r="G1556">
        <v>10.87</v>
      </c>
      <c r="H1556">
        <v>89909</v>
      </c>
      <c r="I1556">
        <v>1041</v>
      </c>
      <c r="J1556">
        <v>0.18</v>
      </c>
      <c r="K1556">
        <v>2.9</v>
      </c>
      <c r="L1556">
        <v>10.8</v>
      </c>
      <c r="M1556">
        <v>10.95</v>
      </c>
      <c r="N1556">
        <v>10.66</v>
      </c>
      <c r="O1556">
        <v>10.77</v>
      </c>
      <c r="P1556">
        <v>16.54</v>
      </c>
      <c r="Q1556">
        <v>97198288</v>
      </c>
      <c r="R1556">
        <v>1</v>
      </c>
      <c r="S1556" t="s">
        <v>63</v>
      </c>
      <c r="T1556" t="s">
        <v>193</v>
      </c>
      <c r="U1556">
        <v>2.69</v>
      </c>
      <c r="V1556">
        <v>10.81</v>
      </c>
      <c r="W1556">
        <v>44717</v>
      </c>
      <c r="X1556">
        <v>45192</v>
      </c>
      <c r="Y1556">
        <v>0.99</v>
      </c>
      <c r="Z1556">
        <v>30</v>
      </c>
      <c r="AA1556">
        <v>33</v>
      </c>
      <c r="AB1556" t="s">
        <v>32</v>
      </c>
      <c r="AC1556">
        <v>3.1</v>
      </c>
    </row>
    <row r="1557" spans="1:29">
      <c r="A1557" t="str">
        <f>"300185"</f>
        <v>300185</v>
      </c>
      <c r="B1557" t="s">
        <v>1726</v>
      </c>
      <c r="C1557">
        <v>2.25</v>
      </c>
      <c r="D1557">
        <v>1.82</v>
      </c>
      <c r="E1557">
        <v>0.04</v>
      </c>
      <c r="F1557">
        <v>1.82</v>
      </c>
      <c r="G1557">
        <v>1.83</v>
      </c>
      <c r="H1557">
        <v>265462</v>
      </c>
      <c r="I1557">
        <v>4625</v>
      </c>
      <c r="J1557">
        <v>-0.54</v>
      </c>
      <c r="K1557">
        <v>0.97</v>
      </c>
      <c r="L1557">
        <v>1.78</v>
      </c>
      <c r="M1557">
        <v>1.83</v>
      </c>
      <c r="N1557">
        <v>1.77</v>
      </c>
      <c r="O1557">
        <v>1.78</v>
      </c>
      <c r="P1557">
        <v>69.45</v>
      </c>
      <c r="Q1557">
        <v>48141384</v>
      </c>
      <c r="R1557">
        <v>2.77</v>
      </c>
      <c r="S1557" t="s">
        <v>151</v>
      </c>
      <c r="T1557" t="s">
        <v>162</v>
      </c>
      <c r="U1557">
        <v>3.37</v>
      </c>
      <c r="V1557">
        <v>1.81</v>
      </c>
      <c r="W1557">
        <v>78987</v>
      </c>
      <c r="X1557">
        <v>186474</v>
      </c>
      <c r="Y1557">
        <v>0.42</v>
      </c>
      <c r="Z1557">
        <v>13437</v>
      </c>
      <c r="AA1557">
        <v>27013</v>
      </c>
      <c r="AB1557" t="s">
        <v>32</v>
      </c>
      <c r="AC1557">
        <v>27.41</v>
      </c>
    </row>
    <row r="1558" spans="1:29">
      <c r="A1558" t="str">
        <f>"300187"</f>
        <v>300187</v>
      </c>
      <c r="B1558" t="s">
        <v>1727</v>
      </c>
      <c r="C1558" t="s">
        <v>32</v>
      </c>
      <c r="D1558">
        <v>9.29</v>
      </c>
      <c r="E1558" t="s">
        <v>32</v>
      </c>
      <c r="F1558" t="s">
        <v>32</v>
      </c>
      <c r="G1558" t="s">
        <v>32</v>
      </c>
      <c r="H1558">
        <v>0</v>
      </c>
      <c r="I1558">
        <v>0</v>
      </c>
      <c r="J1558" t="s">
        <v>32</v>
      </c>
      <c r="K1558">
        <v>0</v>
      </c>
      <c r="L1558" t="s">
        <v>32</v>
      </c>
      <c r="M1558" t="s">
        <v>32</v>
      </c>
      <c r="N1558" t="s">
        <v>32</v>
      </c>
      <c r="O1558">
        <v>9.29</v>
      </c>
      <c r="P1558">
        <v>86.82</v>
      </c>
      <c r="Q1558">
        <v>0</v>
      </c>
      <c r="R1558">
        <v>0</v>
      </c>
      <c r="S1558" t="s">
        <v>86</v>
      </c>
      <c r="T1558" t="s">
        <v>152</v>
      </c>
      <c r="U1558">
        <v>0</v>
      </c>
      <c r="V1558">
        <v>9.29</v>
      </c>
      <c r="W1558">
        <v>0</v>
      </c>
      <c r="X1558">
        <v>0</v>
      </c>
      <c r="Y1558" t="s">
        <v>32</v>
      </c>
      <c r="Z1558">
        <v>0</v>
      </c>
      <c r="AA1558">
        <v>0</v>
      </c>
      <c r="AB1558" t="s">
        <v>32</v>
      </c>
      <c r="AC1558">
        <v>5.96</v>
      </c>
    </row>
    <row r="1559" spans="1:29">
      <c r="A1559" t="str">
        <f>"300188"</f>
        <v>300188</v>
      </c>
      <c r="B1559" t="s">
        <v>1728</v>
      </c>
      <c r="C1559">
        <v>-0.11</v>
      </c>
      <c r="D1559">
        <v>18.53</v>
      </c>
      <c r="E1559">
        <v>-0.02</v>
      </c>
      <c r="F1559">
        <v>18.52</v>
      </c>
      <c r="G1559">
        <v>18.53</v>
      </c>
      <c r="H1559">
        <v>174222</v>
      </c>
      <c r="I1559">
        <v>1853</v>
      </c>
      <c r="J1559">
        <v>0.16</v>
      </c>
      <c r="K1559">
        <v>3.55</v>
      </c>
      <c r="L1559">
        <v>18.58</v>
      </c>
      <c r="M1559">
        <v>18.74</v>
      </c>
      <c r="N1559">
        <v>18.1</v>
      </c>
      <c r="O1559">
        <v>18.55</v>
      </c>
      <c r="P1559">
        <v>711.61</v>
      </c>
      <c r="Q1559">
        <v>321526880</v>
      </c>
      <c r="R1559">
        <v>1.09</v>
      </c>
      <c r="S1559" t="s">
        <v>270</v>
      </c>
      <c r="T1559" t="s">
        <v>236</v>
      </c>
      <c r="U1559">
        <v>3.45</v>
      </c>
      <c r="V1559">
        <v>18.46</v>
      </c>
      <c r="W1559">
        <v>85540</v>
      </c>
      <c r="X1559">
        <v>88682</v>
      </c>
      <c r="Y1559">
        <v>0.96</v>
      </c>
      <c r="Z1559">
        <v>6137</v>
      </c>
      <c r="AA1559">
        <v>535</v>
      </c>
      <c r="AB1559" t="s">
        <v>32</v>
      </c>
      <c r="AC1559">
        <v>4.91</v>
      </c>
    </row>
    <row r="1560" spans="1:29">
      <c r="A1560" t="str">
        <f>"300189"</f>
        <v>300189</v>
      </c>
      <c r="B1560" t="s">
        <v>1729</v>
      </c>
      <c r="C1560">
        <v>0.96</v>
      </c>
      <c r="D1560">
        <v>3.14</v>
      </c>
      <c r="E1560">
        <v>0.03</v>
      </c>
      <c r="F1560">
        <v>3.14</v>
      </c>
      <c r="G1560">
        <v>3.15</v>
      </c>
      <c r="H1560">
        <v>68400</v>
      </c>
      <c r="I1560">
        <v>770</v>
      </c>
      <c r="J1560">
        <v>0</v>
      </c>
      <c r="K1560">
        <v>0.77</v>
      </c>
      <c r="L1560">
        <v>3.1</v>
      </c>
      <c r="M1560">
        <v>3.16</v>
      </c>
      <c r="N1560">
        <v>3.09</v>
      </c>
      <c r="O1560">
        <v>3.11</v>
      </c>
      <c r="P1560">
        <v>62.27</v>
      </c>
      <c r="Q1560">
        <v>21384986</v>
      </c>
      <c r="R1560">
        <v>1.17</v>
      </c>
      <c r="S1560" t="s">
        <v>404</v>
      </c>
      <c r="T1560" t="s">
        <v>209</v>
      </c>
      <c r="U1560">
        <v>2.25</v>
      </c>
      <c r="V1560">
        <v>3.13</v>
      </c>
      <c r="W1560">
        <v>31857</v>
      </c>
      <c r="X1560">
        <v>36542</v>
      </c>
      <c r="Y1560">
        <v>0.87</v>
      </c>
      <c r="Z1560">
        <v>1053</v>
      </c>
      <c r="AA1560">
        <v>2445</v>
      </c>
      <c r="AB1560" t="s">
        <v>32</v>
      </c>
      <c r="AC1560">
        <v>8.83</v>
      </c>
    </row>
    <row r="1561" spans="1:29">
      <c r="A1561" t="str">
        <f>"300190"</f>
        <v>300190</v>
      </c>
      <c r="B1561" t="s">
        <v>1730</v>
      </c>
      <c r="C1561">
        <v>3.2</v>
      </c>
      <c r="D1561">
        <v>5.81</v>
      </c>
      <c r="E1561">
        <v>0.18</v>
      </c>
      <c r="F1561">
        <v>5.8</v>
      </c>
      <c r="G1561">
        <v>5.81</v>
      </c>
      <c r="H1561">
        <v>92714</v>
      </c>
      <c r="I1561">
        <v>1226</v>
      </c>
      <c r="J1561">
        <v>0.17</v>
      </c>
      <c r="K1561">
        <v>1.26</v>
      </c>
      <c r="L1561">
        <v>5.62</v>
      </c>
      <c r="M1561">
        <v>5.82</v>
      </c>
      <c r="N1561">
        <v>5.6</v>
      </c>
      <c r="O1561">
        <v>5.63</v>
      </c>
      <c r="P1561">
        <v>24.89</v>
      </c>
      <c r="Q1561">
        <v>53246440</v>
      </c>
      <c r="R1561">
        <v>1.81</v>
      </c>
      <c r="S1561" t="s">
        <v>86</v>
      </c>
      <c r="T1561" t="s">
        <v>87</v>
      </c>
      <c r="U1561">
        <v>3.91</v>
      </c>
      <c r="V1561">
        <v>5.74</v>
      </c>
      <c r="W1561">
        <v>37916</v>
      </c>
      <c r="X1561">
        <v>54798</v>
      </c>
      <c r="Y1561">
        <v>0.69</v>
      </c>
      <c r="Z1561">
        <v>144</v>
      </c>
      <c r="AA1561">
        <v>872</v>
      </c>
      <c r="AB1561" t="s">
        <v>32</v>
      </c>
      <c r="AC1561">
        <v>7.35</v>
      </c>
    </row>
    <row r="1562" spans="1:29">
      <c r="A1562" t="str">
        <f>"300191"</f>
        <v>300191</v>
      </c>
      <c r="B1562" t="s">
        <v>1731</v>
      </c>
      <c r="C1562">
        <v>1.11</v>
      </c>
      <c r="D1562">
        <v>19.16</v>
      </c>
      <c r="E1562">
        <v>0.21</v>
      </c>
      <c r="F1562">
        <v>19.16</v>
      </c>
      <c r="G1562">
        <v>19.17</v>
      </c>
      <c r="H1562">
        <v>39442</v>
      </c>
      <c r="I1562">
        <v>652</v>
      </c>
      <c r="J1562">
        <v>0.21</v>
      </c>
      <c r="K1562">
        <v>1.91</v>
      </c>
      <c r="L1562">
        <v>18.95</v>
      </c>
      <c r="M1562">
        <v>19.36</v>
      </c>
      <c r="N1562">
        <v>18.73</v>
      </c>
      <c r="O1562">
        <v>18.95</v>
      </c>
      <c r="P1562">
        <v>368.62</v>
      </c>
      <c r="Q1562">
        <v>75418024</v>
      </c>
      <c r="R1562">
        <v>1.39</v>
      </c>
      <c r="S1562" t="s">
        <v>831</v>
      </c>
      <c r="T1562" t="s">
        <v>45</v>
      </c>
      <c r="U1562">
        <v>3.32</v>
      </c>
      <c r="V1562">
        <v>19.12</v>
      </c>
      <c r="W1562">
        <v>18820</v>
      </c>
      <c r="X1562">
        <v>20622</v>
      </c>
      <c r="Y1562">
        <v>0.91</v>
      </c>
      <c r="Z1562">
        <v>50</v>
      </c>
      <c r="AA1562">
        <v>1446</v>
      </c>
      <c r="AB1562" t="s">
        <v>32</v>
      </c>
      <c r="AC1562">
        <v>2.07</v>
      </c>
    </row>
    <row r="1563" spans="1:29">
      <c r="A1563" t="str">
        <f>"300192"</f>
        <v>300192</v>
      </c>
      <c r="B1563" t="s">
        <v>1732</v>
      </c>
      <c r="C1563">
        <v>-0.45</v>
      </c>
      <c r="D1563">
        <v>10.97</v>
      </c>
      <c r="E1563">
        <v>-0.05</v>
      </c>
      <c r="F1563">
        <v>10.96</v>
      </c>
      <c r="G1563">
        <v>10.97</v>
      </c>
      <c r="H1563">
        <v>44012</v>
      </c>
      <c r="I1563">
        <v>1498</v>
      </c>
      <c r="J1563">
        <v>-0.44</v>
      </c>
      <c r="K1563">
        <v>2.52</v>
      </c>
      <c r="L1563">
        <v>10.9</v>
      </c>
      <c r="M1563">
        <v>11.1</v>
      </c>
      <c r="N1563">
        <v>10.81</v>
      </c>
      <c r="O1563">
        <v>11.02</v>
      </c>
      <c r="P1563">
        <v>57.31</v>
      </c>
      <c r="Q1563">
        <v>48276068</v>
      </c>
      <c r="R1563">
        <v>0.61</v>
      </c>
      <c r="S1563" t="s">
        <v>281</v>
      </c>
      <c r="T1563" t="s">
        <v>87</v>
      </c>
      <c r="U1563">
        <v>2.63</v>
      </c>
      <c r="V1563">
        <v>10.97</v>
      </c>
      <c r="W1563">
        <v>24229</v>
      </c>
      <c r="X1563">
        <v>19783</v>
      </c>
      <c r="Y1563">
        <v>1.22</v>
      </c>
      <c r="Z1563">
        <v>162</v>
      </c>
      <c r="AA1563">
        <v>742</v>
      </c>
      <c r="AB1563" t="s">
        <v>32</v>
      </c>
      <c r="AC1563">
        <v>1.74</v>
      </c>
    </row>
    <row r="1564" spans="1:29">
      <c r="A1564" t="str">
        <f>"300193"</f>
        <v>300193</v>
      </c>
      <c r="B1564" t="s">
        <v>1733</v>
      </c>
      <c r="C1564">
        <v>0.84</v>
      </c>
      <c r="D1564">
        <v>5.99</v>
      </c>
      <c r="E1564">
        <v>0.05</v>
      </c>
      <c r="F1564">
        <v>5.98</v>
      </c>
      <c r="G1564">
        <v>5.99</v>
      </c>
      <c r="H1564">
        <v>40012</v>
      </c>
      <c r="I1564">
        <v>608</v>
      </c>
      <c r="J1564">
        <v>0</v>
      </c>
      <c r="K1564">
        <v>0.87</v>
      </c>
      <c r="L1564">
        <v>5.99</v>
      </c>
      <c r="M1564">
        <v>6.01</v>
      </c>
      <c r="N1564">
        <v>5.91</v>
      </c>
      <c r="O1564">
        <v>5.94</v>
      </c>
      <c r="P1564">
        <v>32.99</v>
      </c>
      <c r="Q1564">
        <v>23825722</v>
      </c>
      <c r="R1564">
        <v>2.14</v>
      </c>
      <c r="S1564" t="s">
        <v>171</v>
      </c>
      <c r="T1564" t="s">
        <v>31</v>
      </c>
      <c r="U1564">
        <v>1.68</v>
      </c>
      <c r="V1564">
        <v>5.95</v>
      </c>
      <c r="W1564">
        <v>21693</v>
      </c>
      <c r="X1564">
        <v>18318</v>
      </c>
      <c r="Y1564">
        <v>1.18</v>
      </c>
      <c r="Z1564">
        <v>176</v>
      </c>
      <c r="AA1564">
        <v>108</v>
      </c>
      <c r="AB1564" t="s">
        <v>32</v>
      </c>
      <c r="AC1564">
        <v>4.59</v>
      </c>
    </row>
    <row r="1565" spans="1:29">
      <c r="A1565" t="str">
        <f>"300194"</f>
        <v>300194</v>
      </c>
      <c r="B1565" t="s">
        <v>1734</v>
      </c>
      <c r="C1565">
        <v>1.74</v>
      </c>
      <c r="D1565">
        <v>4.69</v>
      </c>
      <c r="E1565">
        <v>0.08</v>
      </c>
      <c r="F1565">
        <v>4.69</v>
      </c>
      <c r="G1565">
        <v>4.7</v>
      </c>
      <c r="H1565">
        <v>37448</v>
      </c>
      <c r="I1565">
        <v>180</v>
      </c>
      <c r="J1565">
        <v>-0.2</v>
      </c>
      <c r="K1565">
        <v>0.64</v>
      </c>
      <c r="L1565">
        <v>4.57</v>
      </c>
      <c r="M1565">
        <v>4.7</v>
      </c>
      <c r="N1565">
        <v>4.57</v>
      </c>
      <c r="O1565">
        <v>4.61</v>
      </c>
      <c r="P1565">
        <v>15.72</v>
      </c>
      <c r="Q1565">
        <v>17456822</v>
      </c>
      <c r="R1565">
        <v>1.53</v>
      </c>
      <c r="S1565" t="s">
        <v>142</v>
      </c>
      <c r="T1565" t="s">
        <v>221</v>
      </c>
      <c r="U1565">
        <v>2.82</v>
      </c>
      <c r="V1565">
        <v>4.66</v>
      </c>
      <c r="W1565">
        <v>16908</v>
      </c>
      <c r="X1565">
        <v>20539</v>
      </c>
      <c r="Y1565">
        <v>0.82</v>
      </c>
      <c r="Z1565">
        <v>413</v>
      </c>
      <c r="AA1565">
        <v>1472</v>
      </c>
      <c r="AB1565" t="s">
        <v>32</v>
      </c>
      <c r="AC1565">
        <v>5.87</v>
      </c>
    </row>
    <row r="1566" spans="1:29">
      <c r="A1566" t="str">
        <f>"300195"</f>
        <v>300195</v>
      </c>
      <c r="B1566" t="s">
        <v>1735</v>
      </c>
      <c r="C1566">
        <v>1.02</v>
      </c>
      <c r="D1566">
        <v>10.86</v>
      </c>
      <c r="E1566">
        <v>0.11</v>
      </c>
      <c r="F1566">
        <v>10.85</v>
      </c>
      <c r="G1566">
        <v>10.86</v>
      </c>
      <c r="H1566">
        <v>17800</v>
      </c>
      <c r="I1566">
        <v>187</v>
      </c>
      <c r="J1566">
        <v>0.09</v>
      </c>
      <c r="K1566">
        <v>0.59</v>
      </c>
      <c r="L1566">
        <v>10.78</v>
      </c>
      <c r="M1566">
        <v>10.89</v>
      </c>
      <c r="N1566">
        <v>10.7</v>
      </c>
      <c r="O1566">
        <v>10.75</v>
      </c>
      <c r="P1566">
        <v>24.84</v>
      </c>
      <c r="Q1566">
        <v>19295288</v>
      </c>
      <c r="R1566">
        <v>2.12</v>
      </c>
      <c r="S1566" t="s">
        <v>93</v>
      </c>
      <c r="T1566" t="s">
        <v>248</v>
      </c>
      <c r="U1566">
        <v>1.77</v>
      </c>
      <c r="V1566">
        <v>10.84</v>
      </c>
      <c r="W1566">
        <v>7941</v>
      </c>
      <c r="X1566">
        <v>9859</v>
      </c>
      <c r="Y1566">
        <v>0.81</v>
      </c>
      <c r="Z1566">
        <v>109</v>
      </c>
      <c r="AA1566">
        <v>339</v>
      </c>
      <c r="AB1566" t="s">
        <v>32</v>
      </c>
      <c r="AC1566">
        <v>3.04</v>
      </c>
    </row>
    <row r="1567" spans="1:29">
      <c r="A1567" t="str">
        <f>"300196"</f>
        <v>300196</v>
      </c>
      <c r="B1567" t="s">
        <v>1736</v>
      </c>
      <c r="C1567">
        <v>0.89</v>
      </c>
      <c r="D1567">
        <v>11.28</v>
      </c>
      <c r="E1567">
        <v>0.1</v>
      </c>
      <c r="F1567">
        <v>11.27</v>
      </c>
      <c r="G1567">
        <v>11.28</v>
      </c>
      <c r="H1567">
        <v>43149</v>
      </c>
      <c r="I1567">
        <v>227</v>
      </c>
      <c r="J1567">
        <v>-0.17</v>
      </c>
      <c r="K1567">
        <v>1.69</v>
      </c>
      <c r="L1567">
        <v>11.35</v>
      </c>
      <c r="M1567">
        <v>11.44</v>
      </c>
      <c r="N1567">
        <v>11.03</v>
      </c>
      <c r="O1567">
        <v>11.18</v>
      </c>
      <c r="P1567">
        <v>29.78</v>
      </c>
      <c r="Q1567">
        <v>48572164</v>
      </c>
      <c r="R1567">
        <v>1.23</v>
      </c>
      <c r="S1567" t="s">
        <v>52</v>
      </c>
      <c r="T1567" t="s">
        <v>87</v>
      </c>
      <c r="U1567">
        <v>3.67</v>
      </c>
      <c r="V1567">
        <v>11.26</v>
      </c>
      <c r="W1567">
        <v>22265</v>
      </c>
      <c r="X1567">
        <v>20883</v>
      </c>
      <c r="Y1567">
        <v>1.07</v>
      </c>
      <c r="Z1567">
        <v>3</v>
      </c>
      <c r="AA1567">
        <v>128</v>
      </c>
      <c r="AB1567" t="s">
        <v>32</v>
      </c>
      <c r="AC1567">
        <v>2.55</v>
      </c>
    </row>
    <row r="1568" spans="1:29">
      <c r="A1568" t="str">
        <f>"300197"</f>
        <v>300197</v>
      </c>
      <c r="B1568" t="s">
        <v>1737</v>
      </c>
      <c r="C1568" t="s">
        <v>32</v>
      </c>
      <c r="D1568">
        <v>5.37</v>
      </c>
      <c r="E1568" t="s">
        <v>32</v>
      </c>
      <c r="F1568" t="s">
        <v>32</v>
      </c>
      <c r="G1568" t="s">
        <v>32</v>
      </c>
      <c r="H1568">
        <v>0</v>
      </c>
      <c r="I1568">
        <v>0</v>
      </c>
      <c r="J1568" t="s">
        <v>32</v>
      </c>
      <c r="K1568">
        <v>0</v>
      </c>
      <c r="L1568" t="s">
        <v>32</v>
      </c>
      <c r="M1568" t="s">
        <v>32</v>
      </c>
      <c r="N1568" t="s">
        <v>32</v>
      </c>
      <c r="O1568">
        <v>5.37</v>
      </c>
      <c r="P1568" t="s">
        <v>32</v>
      </c>
      <c r="Q1568">
        <v>0</v>
      </c>
      <c r="R1568">
        <v>0</v>
      </c>
      <c r="S1568" t="s">
        <v>86</v>
      </c>
      <c r="T1568" t="s">
        <v>31</v>
      </c>
      <c r="U1568">
        <v>0</v>
      </c>
      <c r="V1568">
        <v>5.37</v>
      </c>
      <c r="W1568">
        <v>0</v>
      </c>
      <c r="X1568">
        <v>0</v>
      </c>
      <c r="Y1568" t="s">
        <v>32</v>
      </c>
      <c r="Z1568">
        <v>0</v>
      </c>
      <c r="AA1568">
        <v>0</v>
      </c>
      <c r="AB1568" t="s">
        <v>32</v>
      </c>
      <c r="AC1568">
        <v>14.47</v>
      </c>
    </row>
    <row r="1569" spans="1:29">
      <c r="A1569" t="str">
        <f>"300198"</f>
        <v>300198</v>
      </c>
      <c r="B1569" t="s">
        <v>1738</v>
      </c>
      <c r="C1569" t="s">
        <v>32</v>
      </c>
      <c r="D1569">
        <v>5.98</v>
      </c>
      <c r="E1569" t="s">
        <v>32</v>
      </c>
      <c r="F1569" t="s">
        <v>32</v>
      </c>
      <c r="G1569" t="s">
        <v>32</v>
      </c>
      <c r="H1569">
        <v>0</v>
      </c>
      <c r="I1569">
        <v>0</v>
      </c>
      <c r="J1569" t="s">
        <v>32</v>
      </c>
      <c r="K1569">
        <v>0</v>
      </c>
      <c r="L1569" t="s">
        <v>32</v>
      </c>
      <c r="M1569" t="s">
        <v>32</v>
      </c>
      <c r="N1569" t="s">
        <v>32</v>
      </c>
      <c r="O1569">
        <v>5.98</v>
      </c>
      <c r="P1569">
        <v>232.1</v>
      </c>
      <c r="Q1569">
        <v>0</v>
      </c>
      <c r="R1569">
        <v>0</v>
      </c>
      <c r="S1569" t="s">
        <v>508</v>
      </c>
      <c r="T1569" t="s">
        <v>236</v>
      </c>
      <c r="U1569">
        <v>0</v>
      </c>
      <c r="V1569">
        <v>5.98</v>
      </c>
      <c r="W1569">
        <v>0</v>
      </c>
      <c r="X1569">
        <v>0</v>
      </c>
      <c r="Y1569" t="s">
        <v>32</v>
      </c>
      <c r="Z1569">
        <v>0</v>
      </c>
      <c r="AA1569">
        <v>0</v>
      </c>
      <c r="AB1569" t="s">
        <v>32</v>
      </c>
      <c r="AC1569">
        <v>7.82</v>
      </c>
    </row>
    <row r="1570" spans="1:29">
      <c r="A1570" t="str">
        <f>"300199"</f>
        <v>300199</v>
      </c>
      <c r="B1570" t="s">
        <v>1739</v>
      </c>
      <c r="C1570">
        <v>1.58</v>
      </c>
      <c r="D1570">
        <v>14.18</v>
      </c>
      <c r="E1570">
        <v>0.22</v>
      </c>
      <c r="F1570">
        <v>14.16</v>
      </c>
      <c r="G1570">
        <v>14.18</v>
      </c>
      <c r="H1570">
        <v>79039</v>
      </c>
      <c r="I1570">
        <v>1601</v>
      </c>
      <c r="J1570">
        <v>0.35</v>
      </c>
      <c r="K1570">
        <v>1.4</v>
      </c>
      <c r="L1570">
        <v>13.97</v>
      </c>
      <c r="M1570">
        <v>14.21</v>
      </c>
      <c r="N1570">
        <v>13.76</v>
      </c>
      <c r="O1570">
        <v>13.96</v>
      </c>
      <c r="P1570">
        <v>33.73</v>
      </c>
      <c r="Q1570">
        <v>110879760</v>
      </c>
      <c r="R1570">
        <v>1.15</v>
      </c>
      <c r="S1570" t="s">
        <v>142</v>
      </c>
      <c r="T1570" t="s">
        <v>31</v>
      </c>
      <c r="U1570">
        <v>3.22</v>
      </c>
      <c r="V1570">
        <v>14.03</v>
      </c>
      <c r="W1570">
        <v>40003</v>
      </c>
      <c r="X1570">
        <v>39035</v>
      </c>
      <c r="Y1570">
        <v>1.02</v>
      </c>
      <c r="Z1570">
        <v>20</v>
      </c>
      <c r="AA1570">
        <v>550</v>
      </c>
      <c r="AB1570" t="s">
        <v>32</v>
      </c>
      <c r="AC1570">
        <v>5.64</v>
      </c>
    </row>
    <row r="1571" spans="1:29">
      <c r="A1571" t="str">
        <f>"300200"</f>
        <v>300200</v>
      </c>
      <c r="B1571" t="s">
        <v>1740</v>
      </c>
      <c r="C1571">
        <v>-0.23</v>
      </c>
      <c r="D1571">
        <v>8.71</v>
      </c>
      <c r="E1571">
        <v>-0.02</v>
      </c>
      <c r="F1571">
        <v>8.7</v>
      </c>
      <c r="G1571">
        <v>8.71</v>
      </c>
      <c r="H1571">
        <v>25808</v>
      </c>
      <c r="I1571">
        <v>216</v>
      </c>
      <c r="J1571">
        <v>0.11</v>
      </c>
      <c r="K1571">
        <v>1.27</v>
      </c>
      <c r="L1571">
        <v>8.65</v>
      </c>
      <c r="M1571">
        <v>8.86</v>
      </c>
      <c r="N1571">
        <v>8.59</v>
      </c>
      <c r="O1571">
        <v>8.73</v>
      </c>
      <c r="P1571">
        <v>26.07</v>
      </c>
      <c r="Q1571">
        <v>22548004</v>
      </c>
      <c r="R1571">
        <v>1.05</v>
      </c>
      <c r="S1571" t="s">
        <v>218</v>
      </c>
      <c r="T1571" t="s">
        <v>45</v>
      </c>
      <c r="U1571">
        <v>3.09</v>
      </c>
      <c r="V1571">
        <v>8.74</v>
      </c>
      <c r="W1571">
        <v>15000</v>
      </c>
      <c r="X1571">
        <v>10808</v>
      </c>
      <c r="Y1571">
        <v>1.39</v>
      </c>
      <c r="Z1571">
        <v>445</v>
      </c>
      <c r="AA1571">
        <v>33</v>
      </c>
      <c r="AB1571" t="s">
        <v>32</v>
      </c>
      <c r="AC1571">
        <v>2.03</v>
      </c>
    </row>
    <row r="1572" spans="1:29">
      <c r="A1572" t="str">
        <f>"300201"</f>
        <v>300201</v>
      </c>
      <c r="B1572" t="s">
        <v>1741</v>
      </c>
      <c r="C1572">
        <v>1.39</v>
      </c>
      <c r="D1572">
        <v>4.37</v>
      </c>
      <c r="E1572">
        <v>0.06</v>
      </c>
      <c r="F1572">
        <v>4.36</v>
      </c>
      <c r="G1572">
        <v>4.37</v>
      </c>
      <c r="H1572">
        <v>50458</v>
      </c>
      <c r="I1572">
        <v>1881</v>
      </c>
      <c r="J1572">
        <v>0.46</v>
      </c>
      <c r="K1572">
        <v>0.57</v>
      </c>
      <c r="L1572">
        <v>4.34</v>
      </c>
      <c r="M1572">
        <v>4.37</v>
      </c>
      <c r="N1572">
        <v>4.26</v>
      </c>
      <c r="O1572">
        <v>4.31</v>
      </c>
      <c r="P1572" t="s">
        <v>32</v>
      </c>
      <c r="Q1572">
        <v>21821684</v>
      </c>
      <c r="R1572">
        <v>1.45</v>
      </c>
      <c r="S1572" t="s">
        <v>171</v>
      </c>
      <c r="T1572" t="s">
        <v>87</v>
      </c>
      <c r="U1572">
        <v>2.55</v>
      </c>
      <c r="V1572">
        <v>4.32</v>
      </c>
      <c r="W1572">
        <v>21218</v>
      </c>
      <c r="X1572">
        <v>29240</v>
      </c>
      <c r="Y1572">
        <v>0.73</v>
      </c>
      <c r="Z1572">
        <v>1094</v>
      </c>
      <c r="AA1572">
        <v>228</v>
      </c>
      <c r="AB1572" t="s">
        <v>32</v>
      </c>
      <c r="AC1572">
        <v>8.9</v>
      </c>
    </row>
    <row r="1573" spans="1:29">
      <c r="A1573" t="str">
        <f>"300202"</f>
        <v>300202</v>
      </c>
      <c r="B1573" t="s">
        <v>1742</v>
      </c>
      <c r="C1573">
        <v>2.25</v>
      </c>
      <c r="D1573">
        <v>10.45</v>
      </c>
      <c r="E1573">
        <v>0.23</v>
      </c>
      <c r="F1573">
        <v>10.45</v>
      </c>
      <c r="G1573">
        <v>10.46</v>
      </c>
      <c r="H1573">
        <v>84150</v>
      </c>
      <c r="I1573">
        <v>1151</v>
      </c>
      <c r="J1573">
        <v>0.58</v>
      </c>
      <c r="K1573">
        <v>2.04</v>
      </c>
      <c r="L1573">
        <v>10.2</v>
      </c>
      <c r="M1573">
        <v>10.52</v>
      </c>
      <c r="N1573">
        <v>10.17</v>
      </c>
      <c r="O1573">
        <v>10.22</v>
      </c>
      <c r="P1573">
        <v>246.86</v>
      </c>
      <c r="Q1573">
        <v>87449736</v>
      </c>
      <c r="R1573">
        <v>1.01</v>
      </c>
      <c r="S1573" t="s">
        <v>171</v>
      </c>
      <c r="T1573" t="s">
        <v>111</v>
      </c>
      <c r="U1573">
        <v>3.42</v>
      </c>
      <c r="V1573">
        <v>10.39</v>
      </c>
      <c r="W1573">
        <v>43813</v>
      </c>
      <c r="X1573">
        <v>40336</v>
      </c>
      <c r="Y1573">
        <v>1.09</v>
      </c>
      <c r="Z1573">
        <v>278</v>
      </c>
      <c r="AA1573">
        <v>91</v>
      </c>
      <c r="AB1573" t="s">
        <v>32</v>
      </c>
      <c r="AC1573">
        <v>4.12</v>
      </c>
    </row>
    <row r="1574" spans="1:29">
      <c r="A1574" t="str">
        <f>"300203"</f>
        <v>300203</v>
      </c>
      <c r="B1574" t="s">
        <v>1743</v>
      </c>
      <c r="C1574">
        <v>1.56</v>
      </c>
      <c r="D1574">
        <v>27.95</v>
      </c>
      <c r="E1574">
        <v>0.43</v>
      </c>
      <c r="F1574">
        <v>27.95</v>
      </c>
      <c r="G1574">
        <v>27.96</v>
      </c>
      <c r="H1574">
        <v>48862</v>
      </c>
      <c r="I1574">
        <v>679</v>
      </c>
      <c r="J1574">
        <v>-0.13</v>
      </c>
      <c r="K1574">
        <v>1.08</v>
      </c>
      <c r="L1574">
        <v>27.78</v>
      </c>
      <c r="M1574">
        <v>28.18</v>
      </c>
      <c r="N1574">
        <v>27.37</v>
      </c>
      <c r="O1574">
        <v>27.52</v>
      </c>
      <c r="P1574">
        <v>88.18</v>
      </c>
      <c r="Q1574">
        <v>136424544</v>
      </c>
      <c r="R1574">
        <v>0.75</v>
      </c>
      <c r="S1574" t="s">
        <v>86</v>
      </c>
      <c r="T1574" t="s">
        <v>149</v>
      </c>
      <c r="U1574">
        <v>2.94</v>
      </c>
      <c r="V1574">
        <v>27.92</v>
      </c>
      <c r="W1574">
        <v>17215</v>
      </c>
      <c r="X1574">
        <v>31646</v>
      </c>
      <c r="Y1574">
        <v>0.54</v>
      </c>
      <c r="Z1574">
        <v>34</v>
      </c>
      <c r="AA1574">
        <v>124</v>
      </c>
      <c r="AB1574" t="s">
        <v>32</v>
      </c>
      <c r="AC1574">
        <v>4.52</v>
      </c>
    </row>
    <row r="1575" spans="1:29">
      <c r="A1575" t="str">
        <f>"300204"</f>
        <v>300204</v>
      </c>
      <c r="B1575" t="s">
        <v>1744</v>
      </c>
      <c r="C1575">
        <v>2.01</v>
      </c>
      <c r="D1575">
        <v>11.18</v>
      </c>
      <c r="E1575">
        <v>0.22</v>
      </c>
      <c r="F1575">
        <v>11.18</v>
      </c>
      <c r="G1575">
        <v>11.2</v>
      </c>
      <c r="H1575">
        <v>16975</v>
      </c>
      <c r="I1575">
        <v>241</v>
      </c>
      <c r="J1575">
        <v>-0.08</v>
      </c>
      <c r="K1575">
        <v>0.36</v>
      </c>
      <c r="L1575">
        <v>10.84</v>
      </c>
      <c r="M1575">
        <v>11.25</v>
      </c>
      <c r="N1575">
        <v>10.84</v>
      </c>
      <c r="O1575">
        <v>10.96</v>
      </c>
      <c r="P1575">
        <v>23.98</v>
      </c>
      <c r="Q1575">
        <v>18825852</v>
      </c>
      <c r="R1575">
        <v>1.18</v>
      </c>
      <c r="S1575" t="s">
        <v>36</v>
      </c>
      <c r="T1575" t="s">
        <v>45</v>
      </c>
      <c r="U1575">
        <v>3.74</v>
      </c>
      <c r="V1575">
        <v>11.09</v>
      </c>
      <c r="W1575">
        <v>8788</v>
      </c>
      <c r="X1575">
        <v>8187</v>
      </c>
      <c r="Y1575">
        <v>1.07</v>
      </c>
      <c r="Z1575">
        <v>6</v>
      </c>
      <c r="AA1575">
        <v>120</v>
      </c>
      <c r="AB1575" t="s">
        <v>32</v>
      </c>
      <c r="AC1575">
        <v>4.67</v>
      </c>
    </row>
    <row r="1576" spans="1:29">
      <c r="A1576" t="str">
        <f>"300205"</f>
        <v>300205</v>
      </c>
      <c r="B1576" t="s">
        <v>1745</v>
      </c>
      <c r="C1576">
        <v>0.99</v>
      </c>
      <c r="D1576">
        <v>8.14</v>
      </c>
      <c r="E1576">
        <v>0.08</v>
      </c>
      <c r="F1576">
        <v>8.14</v>
      </c>
      <c r="G1576">
        <v>8.15</v>
      </c>
      <c r="H1576">
        <v>47065</v>
      </c>
      <c r="I1576">
        <v>802</v>
      </c>
      <c r="J1576">
        <v>0.25</v>
      </c>
      <c r="K1576">
        <v>1.11</v>
      </c>
      <c r="L1576">
        <v>8.06</v>
      </c>
      <c r="M1576">
        <v>8.18</v>
      </c>
      <c r="N1576">
        <v>7.96</v>
      </c>
      <c r="O1576">
        <v>8.06</v>
      </c>
      <c r="P1576">
        <v>83.75</v>
      </c>
      <c r="Q1576">
        <v>38174012</v>
      </c>
      <c r="R1576">
        <v>0.87</v>
      </c>
      <c r="S1576" t="s">
        <v>63</v>
      </c>
      <c r="T1576" t="s">
        <v>193</v>
      </c>
      <c r="U1576">
        <v>2.73</v>
      </c>
      <c r="V1576">
        <v>8.11</v>
      </c>
      <c r="W1576">
        <v>21719</v>
      </c>
      <c r="X1576">
        <v>25346</v>
      </c>
      <c r="Y1576">
        <v>0.86</v>
      </c>
      <c r="Z1576">
        <v>524</v>
      </c>
      <c r="AA1576">
        <v>450</v>
      </c>
      <c r="AB1576" t="s">
        <v>32</v>
      </c>
      <c r="AC1576">
        <v>4.25</v>
      </c>
    </row>
    <row r="1577" spans="1:29">
      <c r="A1577" t="str">
        <f>"300206"</f>
        <v>300206</v>
      </c>
      <c r="B1577" t="s">
        <v>1746</v>
      </c>
      <c r="C1577">
        <v>1.83</v>
      </c>
      <c r="D1577">
        <v>6.13</v>
      </c>
      <c r="E1577">
        <v>0.11</v>
      </c>
      <c r="F1577">
        <v>6.12</v>
      </c>
      <c r="G1577">
        <v>6.13</v>
      </c>
      <c r="H1577">
        <v>35958</v>
      </c>
      <c r="I1577">
        <v>211</v>
      </c>
      <c r="J1577">
        <v>0.16</v>
      </c>
      <c r="K1577">
        <v>1.05</v>
      </c>
      <c r="L1577">
        <v>6.01</v>
      </c>
      <c r="M1577">
        <v>6.16</v>
      </c>
      <c r="N1577">
        <v>5.95</v>
      </c>
      <c r="O1577">
        <v>6.02</v>
      </c>
      <c r="P1577">
        <v>35.05</v>
      </c>
      <c r="Q1577">
        <v>21846042</v>
      </c>
      <c r="R1577">
        <v>1.7</v>
      </c>
      <c r="S1577" t="s">
        <v>138</v>
      </c>
      <c r="T1577" t="s">
        <v>31</v>
      </c>
      <c r="U1577">
        <v>3.49</v>
      </c>
      <c r="V1577">
        <v>6.08</v>
      </c>
      <c r="W1577">
        <v>18458</v>
      </c>
      <c r="X1577">
        <v>17500</v>
      </c>
      <c r="Y1577">
        <v>1.05</v>
      </c>
      <c r="Z1577">
        <v>161</v>
      </c>
      <c r="AA1577">
        <v>195</v>
      </c>
      <c r="AB1577" t="s">
        <v>32</v>
      </c>
      <c r="AC1577">
        <v>3.44</v>
      </c>
    </row>
    <row r="1578" spans="1:29">
      <c r="A1578" t="str">
        <f>"300207"</f>
        <v>300207</v>
      </c>
      <c r="B1578" t="s">
        <v>1747</v>
      </c>
      <c r="C1578">
        <v>0.55</v>
      </c>
      <c r="D1578">
        <v>9.22</v>
      </c>
      <c r="E1578">
        <v>0.05</v>
      </c>
      <c r="F1578">
        <v>9.22</v>
      </c>
      <c r="G1578">
        <v>9.23</v>
      </c>
      <c r="H1578">
        <v>104845</v>
      </c>
      <c r="I1578">
        <v>560</v>
      </c>
      <c r="J1578">
        <v>0</v>
      </c>
      <c r="K1578">
        <v>0.93</v>
      </c>
      <c r="L1578">
        <v>9.11</v>
      </c>
      <c r="M1578">
        <v>9.33</v>
      </c>
      <c r="N1578">
        <v>9.06</v>
      </c>
      <c r="O1578">
        <v>9.17</v>
      </c>
      <c r="P1578">
        <v>30.97</v>
      </c>
      <c r="Q1578">
        <v>96698784</v>
      </c>
      <c r="R1578">
        <v>0.92</v>
      </c>
      <c r="S1578" t="s">
        <v>63</v>
      </c>
      <c r="T1578" t="s">
        <v>31</v>
      </c>
      <c r="U1578">
        <v>2.94</v>
      </c>
      <c r="V1578">
        <v>9.22</v>
      </c>
      <c r="W1578">
        <v>55078</v>
      </c>
      <c r="X1578">
        <v>49767</v>
      </c>
      <c r="Y1578">
        <v>1.11</v>
      </c>
      <c r="Z1578">
        <v>376</v>
      </c>
      <c r="AA1578">
        <v>1155</v>
      </c>
      <c r="AB1578" t="s">
        <v>32</v>
      </c>
      <c r="AC1578">
        <v>11.32</v>
      </c>
    </row>
    <row r="1579" spans="1:29">
      <c r="A1579" t="str">
        <f>"300208"</f>
        <v>300208</v>
      </c>
      <c r="B1579" t="s">
        <v>1748</v>
      </c>
      <c r="C1579">
        <v>1.14</v>
      </c>
      <c r="D1579">
        <v>8.86</v>
      </c>
      <c r="E1579">
        <v>0.1</v>
      </c>
      <c r="F1579">
        <v>8.86</v>
      </c>
      <c r="G1579">
        <v>8.87</v>
      </c>
      <c r="H1579">
        <v>81737</v>
      </c>
      <c r="I1579">
        <v>578</v>
      </c>
      <c r="J1579">
        <v>0.11</v>
      </c>
      <c r="K1579">
        <v>1.41</v>
      </c>
      <c r="L1579">
        <v>8.75</v>
      </c>
      <c r="M1579">
        <v>9.05</v>
      </c>
      <c r="N1579">
        <v>8.74</v>
      </c>
      <c r="O1579">
        <v>8.76</v>
      </c>
      <c r="P1579">
        <v>17.76</v>
      </c>
      <c r="Q1579">
        <v>72738808</v>
      </c>
      <c r="R1579">
        <v>2.3</v>
      </c>
      <c r="S1579" t="s">
        <v>104</v>
      </c>
      <c r="T1579" t="s">
        <v>162</v>
      </c>
      <c r="U1579">
        <v>3.54</v>
      </c>
      <c r="V1579">
        <v>8.9</v>
      </c>
      <c r="W1579">
        <v>45123</v>
      </c>
      <c r="X1579">
        <v>36613</v>
      </c>
      <c r="Y1579">
        <v>1.23</v>
      </c>
      <c r="Z1579">
        <v>1869</v>
      </c>
      <c r="AA1579">
        <v>344</v>
      </c>
      <c r="AB1579" t="s">
        <v>32</v>
      </c>
      <c r="AC1579">
        <v>5.79</v>
      </c>
    </row>
    <row r="1580" spans="1:29">
      <c r="A1580" t="str">
        <f>"300209"</f>
        <v>300209</v>
      </c>
      <c r="B1580" t="s">
        <v>1749</v>
      </c>
      <c r="C1580">
        <v>0.7</v>
      </c>
      <c r="D1580">
        <v>14.37</v>
      </c>
      <c r="E1580">
        <v>0.1</v>
      </c>
      <c r="F1580">
        <v>14.37</v>
      </c>
      <c r="G1580">
        <v>14.38</v>
      </c>
      <c r="H1580">
        <v>16917</v>
      </c>
      <c r="I1580">
        <v>376</v>
      </c>
      <c r="J1580">
        <v>-0.13</v>
      </c>
      <c r="K1580">
        <v>0.68</v>
      </c>
      <c r="L1580">
        <v>14.37</v>
      </c>
      <c r="M1580">
        <v>14.54</v>
      </c>
      <c r="N1580">
        <v>14.22</v>
      </c>
      <c r="O1580">
        <v>14.27</v>
      </c>
      <c r="P1580">
        <v>144.57</v>
      </c>
      <c r="Q1580">
        <v>24341552</v>
      </c>
      <c r="R1580">
        <v>0.73</v>
      </c>
      <c r="S1580" t="s">
        <v>270</v>
      </c>
      <c r="T1580" t="s">
        <v>87</v>
      </c>
      <c r="U1580">
        <v>2.24</v>
      </c>
      <c r="V1580">
        <v>14.39</v>
      </c>
      <c r="W1580">
        <v>9173</v>
      </c>
      <c r="X1580">
        <v>7743</v>
      </c>
      <c r="Y1580">
        <v>1.18</v>
      </c>
      <c r="Z1580">
        <v>244</v>
      </c>
      <c r="AA1580">
        <v>38</v>
      </c>
      <c r="AB1580" t="s">
        <v>32</v>
      </c>
      <c r="AC1580">
        <v>2.5</v>
      </c>
    </row>
    <row r="1581" spans="1:29">
      <c r="A1581" t="str">
        <f>"300210"</f>
        <v>300210</v>
      </c>
      <c r="B1581" t="s">
        <v>1750</v>
      </c>
      <c r="C1581">
        <v>7.89</v>
      </c>
      <c r="D1581">
        <v>4.65</v>
      </c>
      <c r="E1581">
        <v>0.34</v>
      </c>
      <c r="F1581">
        <v>4.65</v>
      </c>
      <c r="G1581">
        <v>4.66</v>
      </c>
      <c r="H1581">
        <v>110695</v>
      </c>
      <c r="I1581">
        <v>1621</v>
      </c>
      <c r="J1581">
        <v>0.22</v>
      </c>
      <c r="K1581">
        <v>3.14</v>
      </c>
      <c r="L1581">
        <v>4.35</v>
      </c>
      <c r="M1581">
        <v>4.74</v>
      </c>
      <c r="N1581">
        <v>4.32</v>
      </c>
      <c r="O1581">
        <v>4.31</v>
      </c>
      <c r="P1581">
        <v>31.09</v>
      </c>
      <c r="Q1581">
        <v>51143808</v>
      </c>
      <c r="R1581">
        <v>5.43</v>
      </c>
      <c r="S1581" t="s">
        <v>171</v>
      </c>
      <c r="T1581" t="s">
        <v>111</v>
      </c>
      <c r="U1581">
        <v>9.74</v>
      </c>
      <c r="V1581">
        <v>4.62</v>
      </c>
      <c r="W1581">
        <v>61828</v>
      </c>
      <c r="X1581">
        <v>48867</v>
      </c>
      <c r="Y1581">
        <v>1.27</v>
      </c>
      <c r="Z1581">
        <v>306</v>
      </c>
      <c r="AA1581">
        <v>279</v>
      </c>
      <c r="AB1581" t="s">
        <v>32</v>
      </c>
      <c r="AC1581">
        <v>3.52</v>
      </c>
    </row>
    <row r="1582" spans="1:29">
      <c r="A1582" t="str">
        <f>"300211"</f>
        <v>300211</v>
      </c>
      <c r="B1582" t="s">
        <v>1751</v>
      </c>
      <c r="C1582">
        <v>1.29</v>
      </c>
      <c r="D1582">
        <v>5.5</v>
      </c>
      <c r="E1582">
        <v>0.07</v>
      </c>
      <c r="F1582">
        <v>5.49</v>
      </c>
      <c r="G1582">
        <v>5.5</v>
      </c>
      <c r="H1582">
        <v>17779</v>
      </c>
      <c r="I1582">
        <v>98</v>
      </c>
      <c r="J1582">
        <v>0</v>
      </c>
      <c r="K1582">
        <v>0.96</v>
      </c>
      <c r="L1582">
        <v>5.45</v>
      </c>
      <c r="M1582">
        <v>5.53</v>
      </c>
      <c r="N1582">
        <v>5.39</v>
      </c>
      <c r="O1582">
        <v>5.43</v>
      </c>
      <c r="P1582">
        <v>224.71</v>
      </c>
      <c r="Q1582">
        <v>9743892</v>
      </c>
      <c r="R1582">
        <v>0.93</v>
      </c>
      <c r="S1582" t="s">
        <v>119</v>
      </c>
      <c r="T1582" t="s">
        <v>87</v>
      </c>
      <c r="U1582">
        <v>2.58</v>
      </c>
      <c r="V1582">
        <v>5.48</v>
      </c>
      <c r="W1582">
        <v>8420</v>
      </c>
      <c r="X1582">
        <v>9358</v>
      </c>
      <c r="Y1582">
        <v>0.9</v>
      </c>
      <c r="Z1582">
        <v>73</v>
      </c>
      <c r="AA1582">
        <v>307</v>
      </c>
      <c r="AB1582" t="s">
        <v>32</v>
      </c>
      <c r="AC1582">
        <v>1.86</v>
      </c>
    </row>
    <row r="1583" spans="1:29">
      <c r="A1583" t="str">
        <f>"300212"</f>
        <v>300212</v>
      </c>
      <c r="B1583" t="s">
        <v>1752</v>
      </c>
      <c r="C1583">
        <v>1.8</v>
      </c>
      <c r="D1583">
        <v>25.43</v>
      </c>
      <c r="E1583">
        <v>0.45</v>
      </c>
      <c r="F1583">
        <v>25.43</v>
      </c>
      <c r="G1583">
        <v>25.44</v>
      </c>
      <c r="H1583">
        <v>58253</v>
      </c>
      <c r="I1583">
        <v>1861</v>
      </c>
      <c r="J1583">
        <v>0.16</v>
      </c>
      <c r="K1583">
        <v>1.59</v>
      </c>
      <c r="L1583">
        <v>24.97</v>
      </c>
      <c r="M1583">
        <v>25.51</v>
      </c>
      <c r="N1583">
        <v>24.75</v>
      </c>
      <c r="O1583">
        <v>24.98</v>
      </c>
      <c r="P1583">
        <v>71.83</v>
      </c>
      <c r="Q1583">
        <v>146986656</v>
      </c>
      <c r="R1583">
        <v>1.13</v>
      </c>
      <c r="S1583" t="s">
        <v>270</v>
      </c>
      <c r="T1583" t="s">
        <v>45</v>
      </c>
      <c r="U1583">
        <v>3.04</v>
      </c>
      <c r="V1583">
        <v>25.23</v>
      </c>
      <c r="W1583">
        <v>29085</v>
      </c>
      <c r="X1583">
        <v>29167</v>
      </c>
      <c r="Y1583">
        <v>1</v>
      </c>
      <c r="Z1583">
        <v>126</v>
      </c>
      <c r="AA1583">
        <v>61</v>
      </c>
      <c r="AB1583" t="s">
        <v>32</v>
      </c>
      <c r="AC1583">
        <v>3.66</v>
      </c>
    </row>
    <row r="1584" spans="1:29">
      <c r="A1584" t="str">
        <f>"300213"</f>
        <v>300213</v>
      </c>
      <c r="B1584" t="s">
        <v>1753</v>
      </c>
      <c r="C1584">
        <v>-0.3</v>
      </c>
      <c r="D1584">
        <v>6.67</v>
      </c>
      <c r="E1584">
        <v>-0.02</v>
      </c>
      <c r="F1584">
        <v>6.66</v>
      </c>
      <c r="G1584">
        <v>6.67</v>
      </c>
      <c r="H1584">
        <v>215308</v>
      </c>
      <c r="I1584">
        <v>5167</v>
      </c>
      <c r="J1584">
        <v>0</v>
      </c>
      <c r="K1584">
        <v>5.73</v>
      </c>
      <c r="L1584">
        <v>6.58</v>
      </c>
      <c r="M1584">
        <v>6.75</v>
      </c>
      <c r="N1584">
        <v>6.52</v>
      </c>
      <c r="O1584">
        <v>6.69</v>
      </c>
      <c r="P1584">
        <v>78.91</v>
      </c>
      <c r="Q1584">
        <v>142910768</v>
      </c>
      <c r="R1584">
        <v>1.63</v>
      </c>
      <c r="S1584" t="s">
        <v>119</v>
      </c>
      <c r="T1584" t="s">
        <v>45</v>
      </c>
      <c r="U1584">
        <v>3.44</v>
      </c>
      <c r="V1584">
        <v>6.64</v>
      </c>
      <c r="W1584">
        <v>118967</v>
      </c>
      <c r="X1584">
        <v>96340</v>
      </c>
      <c r="Y1584">
        <v>1.23</v>
      </c>
      <c r="Z1584">
        <v>929</v>
      </c>
      <c r="AA1584">
        <v>7</v>
      </c>
      <c r="AB1584" t="s">
        <v>32</v>
      </c>
      <c r="AC1584">
        <v>3.76</v>
      </c>
    </row>
    <row r="1585" spans="1:29">
      <c r="A1585" t="str">
        <f>"300214"</f>
        <v>300214</v>
      </c>
      <c r="B1585" t="s">
        <v>1754</v>
      </c>
      <c r="C1585">
        <v>1.23</v>
      </c>
      <c r="D1585">
        <v>4.95</v>
      </c>
      <c r="E1585">
        <v>0.06</v>
      </c>
      <c r="F1585">
        <v>4.95</v>
      </c>
      <c r="G1585">
        <v>4.96</v>
      </c>
      <c r="H1585">
        <v>46544</v>
      </c>
      <c r="I1585">
        <v>148</v>
      </c>
      <c r="J1585">
        <v>0.2</v>
      </c>
      <c r="K1585">
        <v>1.53</v>
      </c>
      <c r="L1585">
        <v>4.88</v>
      </c>
      <c r="M1585">
        <v>4.98</v>
      </c>
      <c r="N1585">
        <v>4.86</v>
      </c>
      <c r="O1585">
        <v>4.89</v>
      </c>
      <c r="P1585">
        <v>15.07</v>
      </c>
      <c r="Q1585">
        <v>23004154</v>
      </c>
      <c r="R1585">
        <v>1.11</v>
      </c>
      <c r="S1585" t="s">
        <v>218</v>
      </c>
      <c r="T1585" t="s">
        <v>162</v>
      </c>
      <c r="U1585">
        <v>2.45</v>
      </c>
      <c r="V1585">
        <v>4.94</v>
      </c>
      <c r="W1585">
        <v>22212</v>
      </c>
      <c r="X1585">
        <v>24332</v>
      </c>
      <c r="Y1585">
        <v>0.91</v>
      </c>
      <c r="Z1585">
        <v>425</v>
      </c>
      <c r="AA1585">
        <v>783</v>
      </c>
      <c r="AB1585" t="s">
        <v>32</v>
      </c>
      <c r="AC1585">
        <v>3.05</v>
      </c>
    </row>
    <row r="1586" spans="1:29">
      <c r="A1586" t="str">
        <f>"300215"</f>
        <v>300215</v>
      </c>
      <c r="B1586" t="s">
        <v>1755</v>
      </c>
      <c r="C1586">
        <v>1.86</v>
      </c>
      <c r="D1586">
        <v>6.03</v>
      </c>
      <c r="E1586">
        <v>0.11</v>
      </c>
      <c r="F1586">
        <v>6.02</v>
      </c>
      <c r="G1586">
        <v>6.03</v>
      </c>
      <c r="H1586">
        <v>46301</v>
      </c>
      <c r="I1586">
        <v>486</v>
      </c>
      <c r="J1586">
        <v>0.17</v>
      </c>
      <c r="K1586">
        <v>0.78</v>
      </c>
      <c r="L1586">
        <v>5.92</v>
      </c>
      <c r="M1586">
        <v>6.07</v>
      </c>
      <c r="N1586">
        <v>5.88</v>
      </c>
      <c r="O1586">
        <v>5.92</v>
      </c>
      <c r="P1586">
        <v>110.35</v>
      </c>
      <c r="Q1586">
        <v>27828028</v>
      </c>
      <c r="R1586">
        <v>1.69</v>
      </c>
      <c r="S1586" t="s">
        <v>104</v>
      </c>
      <c r="T1586" t="s">
        <v>87</v>
      </c>
      <c r="U1586">
        <v>3.21</v>
      </c>
      <c r="V1586">
        <v>6.01</v>
      </c>
      <c r="W1586">
        <v>22882</v>
      </c>
      <c r="X1586">
        <v>23419</v>
      </c>
      <c r="Y1586">
        <v>0.98</v>
      </c>
      <c r="Z1586">
        <v>66</v>
      </c>
      <c r="AA1586">
        <v>131</v>
      </c>
      <c r="AB1586" t="s">
        <v>32</v>
      </c>
      <c r="AC1586">
        <v>5.97</v>
      </c>
    </row>
    <row r="1587" spans="1:29">
      <c r="A1587" t="str">
        <f>"300216"</f>
        <v>300216</v>
      </c>
      <c r="B1587" t="s">
        <v>1756</v>
      </c>
      <c r="C1587">
        <v>9.93</v>
      </c>
      <c r="D1587">
        <v>4.87</v>
      </c>
      <c r="E1587">
        <v>0.44</v>
      </c>
      <c r="F1587">
        <v>4.87</v>
      </c>
      <c r="G1587" t="s">
        <v>32</v>
      </c>
      <c r="H1587">
        <v>274860</v>
      </c>
      <c r="I1587">
        <v>890</v>
      </c>
      <c r="J1587">
        <v>0</v>
      </c>
      <c r="K1587">
        <v>9.76</v>
      </c>
      <c r="L1587">
        <v>4.42</v>
      </c>
      <c r="M1587">
        <v>4.87</v>
      </c>
      <c r="N1587">
        <v>4.42</v>
      </c>
      <c r="O1587">
        <v>4.43</v>
      </c>
      <c r="P1587" t="s">
        <v>32</v>
      </c>
      <c r="Q1587">
        <v>129129024</v>
      </c>
      <c r="R1587">
        <v>1.46</v>
      </c>
      <c r="S1587" t="s">
        <v>138</v>
      </c>
      <c r="T1587" t="s">
        <v>152</v>
      </c>
      <c r="U1587">
        <v>10.16</v>
      </c>
      <c r="V1587">
        <v>4.7</v>
      </c>
      <c r="W1587">
        <v>148849</v>
      </c>
      <c r="X1587">
        <v>126011</v>
      </c>
      <c r="Y1587">
        <v>1.18</v>
      </c>
      <c r="Z1587">
        <v>18441</v>
      </c>
      <c r="AA1587">
        <v>0</v>
      </c>
      <c r="AB1587" t="s">
        <v>32</v>
      </c>
      <c r="AC1587">
        <v>2.82</v>
      </c>
    </row>
    <row r="1588" spans="1:29">
      <c r="A1588" t="str">
        <f>"300217"</f>
        <v>300217</v>
      </c>
      <c r="B1588" t="s">
        <v>1757</v>
      </c>
      <c r="C1588">
        <v>1.59</v>
      </c>
      <c r="D1588">
        <v>2.56</v>
      </c>
      <c r="E1588">
        <v>0.04</v>
      </c>
      <c r="F1588">
        <v>2.56</v>
      </c>
      <c r="G1588">
        <v>2.57</v>
      </c>
      <c r="H1588">
        <v>169946</v>
      </c>
      <c r="I1588">
        <v>1252</v>
      </c>
      <c r="J1588">
        <v>0</v>
      </c>
      <c r="K1588">
        <v>1.91</v>
      </c>
      <c r="L1588">
        <v>2.49</v>
      </c>
      <c r="M1588">
        <v>2.57</v>
      </c>
      <c r="N1588">
        <v>2.49</v>
      </c>
      <c r="O1588">
        <v>2.52</v>
      </c>
      <c r="P1588">
        <v>37.29</v>
      </c>
      <c r="Q1588">
        <v>43274880</v>
      </c>
      <c r="R1588">
        <v>1.29</v>
      </c>
      <c r="S1588" t="s">
        <v>606</v>
      </c>
      <c r="T1588" t="s">
        <v>87</v>
      </c>
      <c r="U1588">
        <v>3.17</v>
      </c>
      <c r="V1588">
        <v>2.55</v>
      </c>
      <c r="W1588">
        <v>74029</v>
      </c>
      <c r="X1588">
        <v>95916</v>
      </c>
      <c r="Y1588">
        <v>0.77</v>
      </c>
      <c r="Z1588">
        <v>4113</v>
      </c>
      <c r="AA1588">
        <v>8391</v>
      </c>
      <c r="AB1588" t="s">
        <v>32</v>
      </c>
      <c r="AC1588">
        <v>8.92</v>
      </c>
    </row>
    <row r="1589" spans="1:29">
      <c r="A1589" t="str">
        <f>"300218"</f>
        <v>300218</v>
      </c>
      <c r="B1589" t="s">
        <v>1758</v>
      </c>
      <c r="C1589">
        <v>3.66</v>
      </c>
      <c r="D1589">
        <v>7.08</v>
      </c>
      <c r="E1589">
        <v>0.25</v>
      </c>
      <c r="F1589">
        <v>7.08</v>
      </c>
      <c r="G1589">
        <v>7.09</v>
      </c>
      <c r="H1589">
        <v>12263</v>
      </c>
      <c r="I1589">
        <v>141</v>
      </c>
      <c r="J1589">
        <v>0</v>
      </c>
      <c r="K1589">
        <v>0.57</v>
      </c>
      <c r="L1589">
        <v>6.82</v>
      </c>
      <c r="M1589">
        <v>7.12</v>
      </c>
      <c r="N1589">
        <v>6.77</v>
      </c>
      <c r="O1589">
        <v>6.83</v>
      </c>
      <c r="P1589" t="s">
        <v>32</v>
      </c>
      <c r="Q1589">
        <v>8533202</v>
      </c>
      <c r="R1589">
        <v>2.84</v>
      </c>
      <c r="S1589" t="s">
        <v>508</v>
      </c>
      <c r="T1589" t="s">
        <v>143</v>
      </c>
      <c r="U1589">
        <v>5.12</v>
      </c>
      <c r="V1589">
        <v>6.96</v>
      </c>
      <c r="W1589">
        <v>3724</v>
      </c>
      <c r="X1589">
        <v>8539</v>
      </c>
      <c r="Y1589">
        <v>0.44</v>
      </c>
      <c r="Z1589">
        <v>27</v>
      </c>
      <c r="AA1589">
        <v>161</v>
      </c>
      <c r="AB1589" t="s">
        <v>32</v>
      </c>
      <c r="AC1589">
        <v>2.16</v>
      </c>
    </row>
    <row r="1590" spans="1:29">
      <c r="A1590" t="str">
        <f>"300219"</f>
        <v>300219</v>
      </c>
      <c r="B1590" t="s">
        <v>1759</v>
      </c>
      <c r="C1590">
        <v>-0.46</v>
      </c>
      <c r="D1590">
        <v>10.85</v>
      </c>
      <c r="E1590">
        <v>-0.05</v>
      </c>
      <c r="F1590">
        <v>10.84</v>
      </c>
      <c r="G1590">
        <v>10.85</v>
      </c>
      <c r="H1590">
        <v>19490</v>
      </c>
      <c r="I1590">
        <v>120</v>
      </c>
      <c r="J1590">
        <v>0.18</v>
      </c>
      <c r="K1590">
        <v>0.36</v>
      </c>
      <c r="L1590">
        <v>10.93</v>
      </c>
      <c r="M1590">
        <v>10.99</v>
      </c>
      <c r="N1590">
        <v>10.75</v>
      </c>
      <c r="O1590">
        <v>10.9</v>
      </c>
      <c r="P1590">
        <v>20.89</v>
      </c>
      <c r="Q1590">
        <v>21197276</v>
      </c>
      <c r="R1590">
        <v>0.87</v>
      </c>
      <c r="S1590" t="s">
        <v>63</v>
      </c>
      <c r="T1590" t="s">
        <v>136</v>
      </c>
      <c r="U1590">
        <v>2.2</v>
      </c>
      <c r="V1590">
        <v>10.88</v>
      </c>
      <c r="W1590">
        <v>9415</v>
      </c>
      <c r="X1590">
        <v>10074</v>
      </c>
      <c r="Y1590">
        <v>0.93</v>
      </c>
      <c r="Z1590">
        <v>83</v>
      </c>
      <c r="AA1590">
        <v>92</v>
      </c>
      <c r="AB1590" t="s">
        <v>32</v>
      </c>
      <c r="AC1590">
        <v>5.44</v>
      </c>
    </row>
    <row r="1591" spans="1:29">
      <c r="A1591" t="str">
        <f>"300220"</f>
        <v>300220</v>
      </c>
      <c r="B1591" t="s">
        <v>1760</v>
      </c>
      <c r="C1591">
        <v>0.69</v>
      </c>
      <c r="D1591">
        <v>13.13</v>
      </c>
      <c r="E1591">
        <v>0.09</v>
      </c>
      <c r="F1591">
        <v>13.12</v>
      </c>
      <c r="G1591">
        <v>13.13</v>
      </c>
      <c r="H1591">
        <v>18115</v>
      </c>
      <c r="I1591">
        <v>352</v>
      </c>
      <c r="J1591">
        <v>0</v>
      </c>
      <c r="K1591">
        <v>1.45</v>
      </c>
      <c r="L1591">
        <v>12.95</v>
      </c>
      <c r="M1591">
        <v>13.25</v>
      </c>
      <c r="N1591">
        <v>12.93</v>
      </c>
      <c r="O1591">
        <v>13.04</v>
      </c>
      <c r="P1591">
        <v>96.82</v>
      </c>
      <c r="Q1591">
        <v>23703586</v>
      </c>
      <c r="R1591">
        <v>0.51</v>
      </c>
      <c r="S1591" t="s">
        <v>63</v>
      </c>
      <c r="T1591" t="s">
        <v>193</v>
      </c>
      <c r="U1591">
        <v>2.45</v>
      </c>
      <c r="V1591">
        <v>13.09</v>
      </c>
      <c r="W1591">
        <v>9194</v>
      </c>
      <c r="X1591">
        <v>8921</v>
      </c>
      <c r="Y1591">
        <v>1.03</v>
      </c>
      <c r="Z1591">
        <v>84</v>
      </c>
      <c r="AA1591">
        <v>91</v>
      </c>
      <c r="AB1591" t="s">
        <v>32</v>
      </c>
      <c r="AC1591">
        <v>1.25</v>
      </c>
    </row>
    <row r="1592" spans="1:29">
      <c r="A1592" t="str">
        <f>"300221"</f>
        <v>300221</v>
      </c>
      <c r="B1592" t="s">
        <v>1761</v>
      </c>
      <c r="C1592">
        <v>1.15</v>
      </c>
      <c r="D1592">
        <v>9.66</v>
      </c>
      <c r="E1592">
        <v>0.11</v>
      </c>
      <c r="F1592">
        <v>9.65</v>
      </c>
      <c r="G1592">
        <v>9.66</v>
      </c>
      <c r="H1592">
        <v>48615</v>
      </c>
      <c r="I1592">
        <v>296</v>
      </c>
      <c r="J1592">
        <v>0.1</v>
      </c>
      <c r="K1592">
        <v>1.15</v>
      </c>
      <c r="L1592">
        <v>9.52</v>
      </c>
      <c r="M1592">
        <v>9.85</v>
      </c>
      <c r="N1592">
        <v>9.52</v>
      </c>
      <c r="O1592">
        <v>9.55</v>
      </c>
      <c r="P1592">
        <v>24.3</v>
      </c>
      <c r="Q1592">
        <v>46989108</v>
      </c>
      <c r="R1592">
        <v>0.76</v>
      </c>
      <c r="S1592" t="s">
        <v>508</v>
      </c>
      <c r="T1592" t="s">
        <v>136</v>
      </c>
      <c r="U1592">
        <v>3.46</v>
      </c>
      <c r="V1592">
        <v>9.67</v>
      </c>
      <c r="W1592">
        <v>26806</v>
      </c>
      <c r="X1592">
        <v>21809</v>
      </c>
      <c r="Y1592">
        <v>1.23</v>
      </c>
      <c r="Z1592">
        <v>177</v>
      </c>
      <c r="AA1592">
        <v>637</v>
      </c>
      <c r="AB1592" t="s">
        <v>32</v>
      </c>
      <c r="AC1592">
        <v>4.23</v>
      </c>
    </row>
    <row r="1593" spans="1:29">
      <c r="A1593" t="str">
        <f>"300222"</f>
        <v>300222</v>
      </c>
      <c r="B1593" t="s">
        <v>1762</v>
      </c>
      <c r="C1593">
        <v>0.8</v>
      </c>
      <c r="D1593">
        <v>18.99</v>
      </c>
      <c r="E1593">
        <v>0.15</v>
      </c>
      <c r="F1593">
        <v>18.99</v>
      </c>
      <c r="G1593">
        <v>19</v>
      </c>
      <c r="H1593">
        <v>45148</v>
      </c>
      <c r="I1593">
        <v>442</v>
      </c>
      <c r="J1593">
        <v>0</v>
      </c>
      <c r="K1593">
        <v>1.37</v>
      </c>
      <c r="L1593">
        <v>18.84</v>
      </c>
      <c r="M1593">
        <v>19.09</v>
      </c>
      <c r="N1593">
        <v>18.84</v>
      </c>
      <c r="O1593">
        <v>18.84</v>
      </c>
      <c r="P1593">
        <v>65.92</v>
      </c>
      <c r="Q1593">
        <v>85750624</v>
      </c>
      <c r="R1593">
        <v>1.61</v>
      </c>
      <c r="S1593" t="s">
        <v>104</v>
      </c>
      <c r="T1593" t="s">
        <v>366</v>
      </c>
      <c r="U1593">
        <v>1.33</v>
      </c>
      <c r="V1593">
        <v>18.99</v>
      </c>
      <c r="W1593">
        <v>22408</v>
      </c>
      <c r="X1593">
        <v>22739</v>
      </c>
      <c r="Y1593">
        <v>0.99</v>
      </c>
      <c r="Z1593">
        <v>150</v>
      </c>
      <c r="AA1593">
        <v>1469</v>
      </c>
      <c r="AB1593" t="s">
        <v>32</v>
      </c>
      <c r="AC1593">
        <v>3.29</v>
      </c>
    </row>
    <row r="1594" spans="1:29">
      <c r="A1594" t="str">
        <f>"300223"</f>
        <v>300223</v>
      </c>
      <c r="B1594" t="s">
        <v>1763</v>
      </c>
      <c r="C1594">
        <v>0.16</v>
      </c>
      <c r="D1594">
        <v>24.96</v>
      </c>
      <c r="E1594">
        <v>0.04</v>
      </c>
      <c r="F1594">
        <v>24.96</v>
      </c>
      <c r="G1594">
        <v>24.97</v>
      </c>
      <c r="H1594">
        <v>88587</v>
      </c>
      <c r="I1594">
        <v>1016</v>
      </c>
      <c r="J1594">
        <v>-0.03</v>
      </c>
      <c r="K1594">
        <v>7.39</v>
      </c>
      <c r="L1594">
        <v>25.2</v>
      </c>
      <c r="M1594">
        <v>25.45</v>
      </c>
      <c r="N1594">
        <v>24.62</v>
      </c>
      <c r="O1594">
        <v>24.92</v>
      </c>
      <c r="P1594">
        <v>421.84</v>
      </c>
      <c r="Q1594">
        <v>221678112</v>
      </c>
      <c r="R1594">
        <v>1.26</v>
      </c>
      <c r="S1594" t="s">
        <v>699</v>
      </c>
      <c r="T1594" t="s">
        <v>45</v>
      </c>
      <c r="U1594">
        <v>3.33</v>
      </c>
      <c r="V1594">
        <v>25.02</v>
      </c>
      <c r="W1594">
        <v>42845</v>
      </c>
      <c r="X1594">
        <v>45741</v>
      </c>
      <c r="Y1594">
        <v>0.94</v>
      </c>
      <c r="Z1594">
        <v>273</v>
      </c>
      <c r="AA1594">
        <v>123</v>
      </c>
      <c r="AB1594" t="s">
        <v>32</v>
      </c>
      <c r="AC1594">
        <v>1.2</v>
      </c>
    </row>
    <row r="1595" spans="1:29">
      <c r="A1595" t="str">
        <f>"300224"</f>
        <v>300224</v>
      </c>
      <c r="B1595" t="s">
        <v>1764</v>
      </c>
      <c r="C1595">
        <v>3.95</v>
      </c>
      <c r="D1595">
        <v>8.16</v>
      </c>
      <c r="E1595">
        <v>0.31</v>
      </c>
      <c r="F1595">
        <v>8.16</v>
      </c>
      <c r="G1595">
        <v>8.17</v>
      </c>
      <c r="H1595">
        <v>164297</v>
      </c>
      <c r="I1595">
        <v>2989</v>
      </c>
      <c r="J1595">
        <v>-0.84</v>
      </c>
      <c r="K1595">
        <v>2.23</v>
      </c>
      <c r="L1595">
        <v>7.82</v>
      </c>
      <c r="M1595">
        <v>8.3</v>
      </c>
      <c r="N1595">
        <v>7.79</v>
      </c>
      <c r="O1595">
        <v>7.85</v>
      </c>
      <c r="P1595">
        <v>66.74</v>
      </c>
      <c r="Q1595">
        <v>132507680</v>
      </c>
      <c r="R1595">
        <v>2.12</v>
      </c>
      <c r="S1595" t="s">
        <v>63</v>
      </c>
      <c r="T1595" t="s">
        <v>162</v>
      </c>
      <c r="U1595">
        <v>6.5</v>
      </c>
      <c r="V1595">
        <v>8.07</v>
      </c>
      <c r="W1595">
        <v>78342</v>
      </c>
      <c r="X1595">
        <v>85955</v>
      </c>
      <c r="Y1595">
        <v>0.91</v>
      </c>
      <c r="Z1595">
        <v>159</v>
      </c>
      <c r="AA1595">
        <v>479</v>
      </c>
      <c r="AB1595" t="s">
        <v>32</v>
      </c>
      <c r="AC1595">
        <v>7.36</v>
      </c>
    </row>
    <row r="1596" spans="1:29">
      <c r="A1596" t="str">
        <f>"300225"</f>
        <v>300225</v>
      </c>
      <c r="B1596" t="s">
        <v>1765</v>
      </c>
      <c r="C1596">
        <v>-1.76</v>
      </c>
      <c r="D1596">
        <v>5.59</v>
      </c>
      <c r="E1596">
        <v>-0.1</v>
      </c>
      <c r="F1596">
        <v>5.58</v>
      </c>
      <c r="G1596">
        <v>5.59</v>
      </c>
      <c r="H1596">
        <v>345365</v>
      </c>
      <c r="I1596">
        <v>10528</v>
      </c>
      <c r="J1596">
        <v>0.18</v>
      </c>
      <c r="K1596">
        <v>7.38</v>
      </c>
      <c r="L1596">
        <v>5.42</v>
      </c>
      <c r="M1596">
        <v>5.67</v>
      </c>
      <c r="N1596">
        <v>5.41</v>
      </c>
      <c r="O1596">
        <v>5.69</v>
      </c>
      <c r="P1596">
        <v>86.03</v>
      </c>
      <c r="Q1596">
        <v>191360112</v>
      </c>
      <c r="R1596">
        <v>0.91</v>
      </c>
      <c r="S1596" t="s">
        <v>281</v>
      </c>
      <c r="T1596" t="s">
        <v>366</v>
      </c>
      <c r="U1596">
        <v>4.57</v>
      </c>
      <c r="V1596">
        <v>5.54</v>
      </c>
      <c r="W1596">
        <v>176419</v>
      </c>
      <c r="X1596">
        <v>168946</v>
      </c>
      <c r="Y1596">
        <v>1.04</v>
      </c>
      <c r="Z1596">
        <v>2741</v>
      </c>
      <c r="AA1596">
        <v>55</v>
      </c>
      <c r="AB1596" t="s">
        <v>32</v>
      </c>
      <c r="AC1596">
        <v>4.68</v>
      </c>
    </row>
    <row r="1597" spans="1:29">
      <c r="A1597" t="str">
        <f>"300226"</f>
        <v>300226</v>
      </c>
      <c r="B1597" t="s">
        <v>1766</v>
      </c>
      <c r="C1597">
        <v>-0.81</v>
      </c>
      <c r="D1597">
        <v>62.79</v>
      </c>
      <c r="E1597">
        <v>-0.51</v>
      </c>
      <c r="F1597">
        <v>62.78</v>
      </c>
      <c r="G1597">
        <v>62.79</v>
      </c>
      <c r="H1597">
        <v>42748</v>
      </c>
      <c r="I1597">
        <v>521</v>
      </c>
      <c r="J1597">
        <v>0.21</v>
      </c>
      <c r="K1597">
        <v>2.82</v>
      </c>
      <c r="L1597">
        <v>63.3</v>
      </c>
      <c r="M1597">
        <v>65.26</v>
      </c>
      <c r="N1597">
        <v>62.52</v>
      </c>
      <c r="O1597">
        <v>63.3</v>
      </c>
      <c r="P1597">
        <v>122.77</v>
      </c>
      <c r="Q1597">
        <v>272176032</v>
      </c>
      <c r="R1597">
        <v>0.85</v>
      </c>
      <c r="S1597" t="s">
        <v>316</v>
      </c>
      <c r="T1597" t="s">
        <v>366</v>
      </c>
      <c r="U1597">
        <v>4.33</v>
      </c>
      <c r="V1597">
        <v>63.67</v>
      </c>
      <c r="W1597">
        <v>25492</v>
      </c>
      <c r="X1597">
        <v>17256</v>
      </c>
      <c r="Y1597">
        <v>1.48</v>
      </c>
      <c r="Z1597">
        <v>100</v>
      </c>
      <c r="AA1597">
        <v>159</v>
      </c>
      <c r="AB1597" t="s">
        <v>32</v>
      </c>
      <c r="AC1597">
        <v>1.52</v>
      </c>
    </row>
    <row r="1598" spans="1:29">
      <c r="A1598" t="str">
        <f>"300227"</f>
        <v>300227</v>
      </c>
      <c r="B1598" t="s">
        <v>1767</v>
      </c>
      <c r="C1598">
        <v>0.78</v>
      </c>
      <c r="D1598">
        <v>11.62</v>
      </c>
      <c r="E1598">
        <v>0.09</v>
      </c>
      <c r="F1598">
        <v>11.57</v>
      </c>
      <c r="G1598">
        <v>11.62</v>
      </c>
      <c r="H1598">
        <v>60092</v>
      </c>
      <c r="I1598">
        <v>772</v>
      </c>
      <c r="J1598">
        <v>0.35</v>
      </c>
      <c r="K1598">
        <v>3.96</v>
      </c>
      <c r="L1598">
        <v>11.43</v>
      </c>
      <c r="M1598">
        <v>11.75</v>
      </c>
      <c r="N1598">
        <v>11.35</v>
      </c>
      <c r="O1598">
        <v>11.53</v>
      </c>
      <c r="P1598">
        <v>64.11</v>
      </c>
      <c r="Q1598">
        <v>69392536</v>
      </c>
      <c r="R1598">
        <v>0.88</v>
      </c>
      <c r="S1598" t="s">
        <v>63</v>
      </c>
      <c r="T1598" t="s">
        <v>31</v>
      </c>
      <c r="U1598">
        <v>3.47</v>
      </c>
      <c r="V1598">
        <v>11.55</v>
      </c>
      <c r="W1598">
        <v>33794</v>
      </c>
      <c r="X1598">
        <v>26297</v>
      </c>
      <c r="Y1598">
        <v>1.29</v>
      </c>
      <c r="Z1598">
        <v>24</v>
      </c>
      <c r="AA1598">
        <v>4</v>
      </c>
      <c r="AB1598" t="s">
        <v>32</v>
      </c>
      <c r="AC1598">
        <v>1.52</v>
      </c>
    </row>
    <row r="1599" spans="1:29">
      <c r="A1599" t="str">
        <f>"300228"</f>
        <v>300228</v>
      </c>
      <c r="B1599" t="s">
        <v>1768</v>
      </c>
      <c r="C1599">
        <v>3.48</v>
      </c>
      <c r="D1599">
        <v>5.65</v>
      </c>
      <c r="E1599">
        <v>0.19</v>
      </c>
      <c r="F1599">
        <v>5.64</v>
      </c>
      <c r="G1599">
        <v>5.65</v>
      </c>
      <c r="H1599">
        <v>110432</v>
      </c>
      <c r="I1599">
        <v>914</v>
      </c>
      <c r="J1599">
        <v>0</v>
      </c>
      <c r="K1599">
        <v>2.72</v>
      </c>
      <c r="L1599">
        <v>5.51</v>
      </c>
      <c r="M1599">
        <v>5.73</v>
      </c>
      <c r="N1599">
        <v>5.47</v>
      </c>
      <c r="O1599">
        <v>5.46</v>
      </c>
      <c r="P1599">
        <v>286.65</v>
      </c>
      <c r="Q1599">
        <v>62108476</v>
      </c>
      <c r="R1599">
        <v>1.19</v>
      </c>
      <c r="S1599" t="s">
        <v>504</v>
      </c>
      <c r="T1599" t="s">
        <v>87</v>
      </c>
      <c r="U1599">
        <v>4.76</v>
      </c>
      <c r="V1599">
        <v>5.62</v>
      </c>
      <c r="W1599">
        <v>50217</v>
      </c>
      <c r="X1599">
        <v>60214</v>
      </c>
      <c r="Y1599">
        <v>0.83</v>
      </c>
      <c r="Z1599">
        <v>637</v>
      </c>
      <c r="AA1599">
        <v>208</v>
      </c>
      <c r="AB1599" t="s">
        <v>32</v>
      </c>
      <c r="AC1599">
        <v>4.06</v>
      </c>
    </row>
    <row r="1600" spans="1:29">
      <c r="A1600" t="str">
        <f>"300229"</f>
        <v>300229</v>
      </c>
      <c r="B1600" t="s">
        <v>1769</v>
      </c>
      <c r="C1600">
        <v>0.34</v>
      </c>
      <c r="D1600">
        <v>11.82</v>
      </c>
      <c r="E1600">
        <v>0.04</v>
      </c>
      <c r="F1600">
        <v>11.81</v>
      </c>
      <c r="G1600">
        <v>11.82</v>
      </c>
      <c r="H1600">
        <v>94312</v>
      </c>
      <c r="I1600">
        <v>2199</v>
      </c>
      <c r="J1600">
        <v>0.17</v>
      </c>
      <c r="K1600">
        <v>2.11</v>
      </c>
      <c r="L1600">
        <v>11.78</v>
      </c>
      <c r="M1600">
        <v>11.88</v>
      </c>
      <c r="N1600">
        <v>11.53</v>
      </c>
      <c r="O1600">
        <v>11.78</v>
      </c>
      <c r="P1600">
        <v>846.78</v>
      </c>
      <c r="Q1600">
        <v>110496496</v>
      </c>
      <c r="R1600">
        <v>0.95</v>
      </c>
      <c r="S1600" t="s">
        <v>270</v>
      </c>
      <c r="T1600" t="s">
        <v>45</v>
      </c>
      <c r="U1600">
        <v>2.97</v>
      </c>
      <c r="V1600">
        <v>11.72</v>
      </c>
      <c r="W1600">
        <v>49588</v>
      </c>
      <c r="X1600">
        <v>44724</v>
      </c>
      <c r="Y1600">
        <v>1.11</v>
      </c>
      <c r="Z1600">
        <v>182</v>
      </c>
      <c r="AA1600">
        <v>357</v>
      </c>
      <c r="AB1600" t="s">
        <v>32</v>
      </c>
      <c r="AC1600">
        <v>4.47</v>
      </c>
    </row>
    <row r="1601" spans="1:29">
      <c r="A1601" t="str">
        <f>"300230"</f>
        <v>300230</v>
      </c>
      <c r="B1601" t="s">
        <v>1770</v>
      </c>
      <c r="C1601">
        <v>2.24</v>
      </c>
      <c r="D1601">
        <v>5.03</v>
      </c>
      <c r="E1601">
        <v>0.11</v>
      </c>
      <c r="F1601">
        <v>5.03</v>
      </c>
      <c r="G1601">
        <v>5.04</v>
      </c>
      <c r="H1601">
        <v>88953</v>
      </c>
      <c r="I1601">
        <v>823</v>
      </c>
      <c r="J1601">
        <v>0</v>
      </c>
      <c r="K1601">
        <v>1.65</v>
      </c>
      <c r="L1601">
        <v>4.9</v>
      </c>
      <c r="M1601">
        <v>5.04</v>
      </c>
      <c r="N1601">
        <v>4.9</v>
      </c>
      <c r="O1601">
        <v>4.92</v>
      </c>
      <c r="P1601">
        <v>20</v>
      </c>
      <c r="Q1601">
        <v>44364628</v>
      </c>
      <c r="R1601">
        <v>1.35</v>
      </c>
      <c r="S1601" t="s">
        <v>508</v>
      </c>
      <c r="T1601" t="s">
        <v>366</v>
      </c>
      <c r="U1601">
        <v>2.85</v>
      </c>
      <c r="V1601">
        <v>4.99</v>
      </c>
      <c r="W1601">
        <v>33411</v>
      </c>
      <c r="X1601">
        <v>55541</v>
      </c>
      <c r="Y1601">
        <v>0.6</v>
      </c>
      <c r="Z1601">
        <v>653</v>
      </c>
      <c r="AA1601">
        <v>1163</v>
      </c>
      <c r="AB1601" t="s">
        <v>32</v>
      </c>
      <c r="AC1601">
        <v>5.4</v>
      </c>
    </row>
    <row r="1602" spans="1:29">
      <c r="A1602" t="str">
        <f>"300231"</f>
        <v>300231</v>
      </c>
      <c r="B1602" t="s">
        <v>1771</v>
      </c>
      <c r="C1602">
        <v>1.02</v>
      </c>
      <c r="D1602">
        <v>7.91</v>
      </c>
      <c r="E1602">
        <v>0.08</v>
      </c>
      <c r="F1602">
        <v>7.9</v>
      </c>
      <c r="G1602">
        <v>7.91</v>
      </c>
      <c r="H1602">
        <v>87871</v>
      </c>
      <c r="I1602">
        <v>1808</v>
      </c>
      <c r="J1602">
        <v>0.38</v>
      </c>
      <c r="K1602">
        <v>2.6</v>
      </c>
      <c r="L1602">
        <v>7.82</v>
      </c>
      <c r="M1602">
        <v>7.96</v>
      </c>
      <c r="N1602">
        <v>7.76</v>
      </c>
      <c r="O1602">
        <v>7.83</v>
      </c>
      <c r="P1602">
        <v>45.58</v>
      </c>
      <c r="Q1602">
        <v>69296224</v>
      </c>
      <c r="R1602">
        <v>1.1</v>
      </c>
      <c r="S1602" t="s">
        <v>270</v>
      </c>
      <c r="T1602" t="s">
        <v>45</v>
      </c>
      <c r="U1602">
        <v>2.55</v>
      </c>
      <c r="V1602">
        <v>7.89</v>
      </c>
      <c r="W1602">
        <v>43738</v>
      </c>
      <c r="X1602">
        <v>44132</v>
      </c>
      <c r="Y1602">
        <v>0.99</v>
      </c>
      <c r="Z1602">
        <v>1771</v>
      </c>
      <c r="AA1602">
        <v>296</v>
      </c>
      <c r="AB1602" t="s">
        <v>32</v>
      </c>
      <c r="AC1602">
        <v>3.38</v>
      </c>
    </row>
    <row r="1603" spans="1:29">
      <c r="A1603" t="str">
        <f>"300232"</f>
        <v>300232</v>
      </c>
      <c r="B1603" t="s">
        <v>1772</v>
      </c>
      <c r="C1603">
        <v>-1.62</v>
      </c>
      <c r="D1603">
        <v>10.95</v>
      </c>
      <c r="E1603">
        <v>-0.18</v>
      </c>
      <c r="F1603">
        <v>10.95</v>
      </c>
      <c r="G1603">
        <v>10.96</v>
      </c>
      <c r="H1603">
        <v>140405</v>
      </c>
      <c r="I1603">
        <v>627</v>
      </c>
      <c r="J1603">
        <v>0.09</v>
      </c>
      <c r="K1603">
        <v>3.11</v>
      </c>
      <c r="L1603">
        <v>11.01</v>
      </c>
      <c r="M1603">
        <v>11.3</v>
      </c>
      <c r="N1603">
        <v>10.86</v>
      </c>
      <c r="O1603">
        <v>11.13</v>
      </c>
      <c r="P1603">
        <v>39.61</v>
      </c>
      <c r="Q1603">
        <v>155178224</v>
      </c>
      <c r="R1603">
        <v>1.49</v>
      </c>
      <c r="S1603" t="s">
        <v>699</v>
      </c>
      <c r="T1603" t="s">
        <v>31</v>
      </c>
      <c r="U1603">
        <v>3.95</v>
      </c>
      <c r="V1603">
        <v>11.05</v>
      </c>
      <c r="W1603">
        <v>71863</v>
      </c>
      <c r="X1603">
        <v>68541</v>
      </c>
      <c r="Y1603">
        <v>1.05</v>
      </c>
      <c r="Z1603">
        <v>656</v>
      </c>
      <c r="AA1603">
        <v>631</v>
      </c>
      <c r="AB1603" t="s">
        <v>32</v>
      </c>
      <c r="AC1603">
        <v>4.52</v>
      </c>
    </row>
    <row r="1604" spans="1:29">
      <c r="A1604" t="str">
        <f>"300233"</f>
        <v>300233</v>
      </c>
      <c r="B1604" t="s">
        <v>1773</v>
      </c>
      <c r="C1604">
        <v>1.22</v>
      </c>
      <c r="D1604">
        <v>14.98</v>
      </c>
      <c r="E1604">
        <v>0.18</v>
      </c>
      <c r="F1604">
        <v>14.97</v>
      </c>
      <c r="G1604">
        <v>14.98</v>
      </c>
      <c r="H1604">
        <v>11612</v>
      </c>
      <c r="I1604">
        <v>138</v>
      </c>
      <c r="J1604">
        <v>0</v>
      </c>
      <c r="K1604">
        <v>0.33</v>
      </c>
      <c r="L1604">
        <v>14.79</v>
      </c>
      <c r="M1604">
        <v>15.13</v>
      </c>
      <c r="N1604">
        <v>14.69</v>
      </c>
      <c r="O1604">
        <v>14.8</v>
      </c>
      <c r="P1604">
        <v>20.33</v>
      </c>
      <c r="Q1604">
        <v>17348752</v>
      </c>
      <c r="R1604">
        <v>0.64</v>
      </c>
      <c r="S1604" t="s">
        <v>142</v>
      </c>
      <c r="T1604" t="s">
        <v>162</v>
      </c>
      <c r="U1604">
        <v>2.97</v>
      </c>
      <c r="V1604">
        <v>14.94</v>
      </c>
      <c r="W1604">
        <v>5003</v>
      </c>
      <c r="X1604">
        <v>6609</v>
      </c>
      <c r="Y1604">
        <v>0.76</v>
      </c>
      <c r="Z1604">
        <v>70</v>
      </c>
      <c r="AA1604">
        <v>48</v>
      </c>
      <c r="AB1604" t="s">
        <v>32</v>
      </c>
      <c r="AC1604">
        <v>3.55</v>
      </c>
    </row>
    <row r="1605" spans="1:29">
      <c r="A1605" t="str">
        <f>"300234"</f>
        <v>300234</v>
      </c>
      <c r="B1605" t="s">
        <v>1774</v>
      </c>
      <c r="C1605">
        <v>2.12</v>
      </c>
      <c r="D1605">
        <v>6.25</v>
      </c>
      <c r="E1605">
        <v>0.13</v>
      </c>
      <c r="F1605">
        <v>6.25</v>
      </c>
      <c r="G1605">
        <v>6.26</v>
      </c>
      <c r="H1605">
        <v>25112</v>
      </c>
      <c r="I1605">
        <v>231</v>
      </c>
      <c r="J1605">
        <v>0</v>
      </c>
      <c r="K1605">
        <v>1.65</v>
      </c>
      <c r="L1605">
        <v>6.15</v>
      </c>
      <c r="M1605">
        <v>6.3</v>
      </c>
      <c r="N1605">
        <v>6.07</v>
      </c>
      <c r="O1605">
        <v>6.12</v>
      </c>
      <c r="P1605" t="s">
        <v>32</v>
      </c>
      <c r="Q1605">
        <v>15516262</v>
      </c>
      <c r="R1605">
        <v>2.62</v>
      </c>
      <c r="S1605" t="s">
        <v>1630</v>
      </c>
      <c r="T1605" t="s">
        <v>149</v>
      </c>
      <c r="U1605">
        <v>3.76</v>
      </c>
      <c r="V1605">
        <v>6.18</v>
      </c>
      <c r="W1605">
        <v>8670</v>
      </c>
      <c r="X1605">
        <v>16442</v>
      </c>
      <c r="Y1605">
        <v>0.53</v>
      </c>
      <c r="Z1605">
        <v>340</v>
      </c>
      <c r="AA1605">
        <v>153</v>
      </c>
      <c r="AB1605" t="s">
        <v>32</v>
      </c>
      <c r="AC1605">
        <v>1.52</v>
      </c>
    </row>
    <row r="1606" spans="1:29">
      <c r="A1606" t="str">
        <f>"300235"</f>
        <v>300235</v>
      </c>
      <c r="B1606" t="s">
        <v>1775</v>
      </c>
      <c r="C1606">
        <v>1.03</v>
      </c>
      <c r="D1606">
        <v>10.79</v>
      </c>
      <c r="E1606">
        <v>0.11</v>
      </c>
      <c r="F1606">
        <v>10.79</v>
      </c>
      <c r="G1606">
        <v>10.8</v>
      </c>
      <c r="H1606">
        <v>37066</v>
      </c>
      <c r="I1606">
        <v>855</v>
      </c>
      <c r="J1606">
        <v>0.19</v>
      </c>
      <c r="K1606">
        <v>3.51</v>
      </c>
      <c r="L1606">
        <v>10.68</v>
      </c>
      <c r="M1606">
        <v>10.88</v>
      </c>
      <c r="N1606">
        <v>10.56</v>
      </c>
      <c r="O1606">
        <v>10.68</v>
      </c>
      <c r="P1606">
        <v>50.61</v>
      </c>
      <c r="Q1606">
        <v>39858988</v>
      </c>
      <c r="R1606">
        <v>1.13</v>
      </c>
      <c r="S1606" t="s">
        <v>270</v>
      </c>
      <c r="T1606" t="s">
        <v>31</v>
      </c>
      <c r="U1606">
        <v>3</v>
      </c>
      <c r="V1606">
        <v>10.75</v>
      </c>
      <c r="W1606">
        <v>17497</v>
      </c>
      <c r="X1606">
        <v>19569</v>
      </c>
      <c r="Y1606">
        <v>0.89</v>
      </c>
      <c r="Z1606">
        <v>130</v>
      </c>
      <c r="AA1606">
        <v>322</v>
      </c>
      <c r="AB1606" t="s">
        <v>32</v>
      </c>
      <c r="AC1606">
        <v>1.06</v>
      </c>
    </row>
    <row r="1607" spans="1:29">
      <c r="A1607" t="str">
        <f>"300236"</f>
        <v>300236</v>
      </c>
      <c r="B1607" t="s">
        <v>1776</v>
      </c>
      <c r="C1607">
        <v>1.13</v>
      </c>
      <c r="D1607">
        <v>30.44</v>
      </c>
      <c r="E1607">
        <v>0.34</v>
      </c>
      <c r="F1607">
        <v>30.43</v>
      </c>
      <c r="G1607">
        <v>30.44</v>
      </c>
      <c r="H1607">
        <v>65187</v>
      </c>
      <c r="I1607">
        <v>1369</v>
      </c>
      <c r="J1607">
        <v>0.16</v>
      </c>
      <c r="K1607">
        <v>3.43</v>
      </c>
      <c r="L1607">
        <v>30.19</v>
      </c>
      <c r="M1607">
        <v>30.47</v>
      </c>
      <c r="N1607">
        <v>29.67</v>
      </c>
      <c r="O1607">
        <v>30.1</v>
      </c>
      <c r="P1607">
        <v>92.51</v>
      </c>
      <c r="Q1607">
        <v>196590416</v>
      </c>
      <c r="R1607">
        <v>1.17</v>
      </c>
      <c r="S1607" t="s">
        <v>699</v>
      </c>
      <c r="T1607" t="s">
        <v>366</v>
      </c>
      <c r="U1607">
        <v>2.66</v>
      </c>
      <c r="V1607">
        <v>30.16</v>
      </c>
      <c r="W1607">
        <v>31811</v>
      </c>
      <c r="X1607">
        <v>33376</v>
      </c>
      <c r="Y1607">
        <v>0.95</v>
      </c>
      <c r="Z1607">
        <v>486</v>
      </c>
      <c r="AA1607">
        <v>252</v>
      </c>
      <c r="AB1607" t="s">
        <v>32</v>
      </c>
      <c r="AC1607">
        <v>1.9</v>
      </c>
    </row>
    <row r="1608" spans="1:29">
      <c r="A1608" t="str">
        <f>"300237"</f>
        <v>300237</v>
      </c>
      <c r="B1608" t="s">
        <v>1777</v>
      </c>
      <c r="C1608">
        <v>1.67</v>
      </c>
      <c r="D1608">
        <v>7.92</v>
      </c>
      <c r="E1608">
        <v>0.13</v>
      </c>
      <c r="F1608">
        <v>7.91</v>
      </c>
      <c r="G1608">
        <v>7.92</v>
      </c>
      <c r="H1608">
        <v>68219</v>
      </c>
      <c r="I1608">
        <v>274</v>
      </c>
      <c r="J1608">
        <v>-0.12</v>
      </c>
      <c r="K1608">
        <v>0.58</v>
      </c>
      <c r="L1608">
        <v>7.76</v>
      </c>
      <c r="M1608">
        <v>8</v>
      </c>
      <c r="N1608">
        <v>7.74</v>
      </c>
      <c r="O1608">
        <v>7.79</v>
      </c>
      <c r="P1608">
        <v>22.35</v>
      </c>
      <c r="Q1608">
        <v>54035400</v>
      </c>
      <c r="R1608">
        <v>1.74</v>
      </c>
      <c r="S1608" t="s">
        <v>49</v>
      </c>
      <c r="T1608" t="s">
        <v>162</v>
      </c>
      <c r="U1608">
        <v>3.34</v>
      </c>
      <c r="V1608">
        <v>7.92</v>
      </c>
      <c r="W1608">
        <v>20392</v>
      </c>
      <c r="X1608">
        <v>47827</v>
      </c>
      <c r="Y1608">
        <v>0.43</v>
      </c>
      <c r="Z1608">
        <v>276</v>
      </c>
      <c r="AA1608">
        <v>664</v>
      </c>
      <c r="AB1608" t="s">
        <v>32</v>
      </c>
      <c r="AC1608">
        <v>11.67</v>
      </c>
    </row>
    <row r="1609" spans="1:29">
      <c r="A1609" t="str">
        <f>"300238"</f>
        <v>300238</v>
      </c>
      <c r="B1609" t="s">
        <v>1778</v>
      </c>
      <c r="C1609">
        <v>7.92</v>
      </c>
      <c r="D1609">
        <v>13.36</v>
      </c>
      <c r="E1609">
        <v>0.98</v>
      </c>
      <c r="F1609">
        <v>13.35</v>
      </c>
      <c r="G1609">
        <v>13.36</v>
      </c>
      <c r="H1609">
        <v>181004</v>
      </c>
      <c r="I1609">
        <v>1574</v>
      </c>
      <c r="J1609">
        <v>-0.06</v>
      </c>
      <c r="K1609">
        <v>7.36</v>
      </c>
      <c r="L1609">
        <v>12.98</v>
      </c>
      <c r="M1609">
        <v>13.62</v>
      </c>
      <c r="N1609">
        <v>12.73</v>
      </c>
      <c r="O1609">
        <v>12.38</v>
      </c>
      <c r="P1609">
        <v>118.23</v>
      </c>
      <c r="Q1609">
        <v>239660896</v>
      </c>
      <c r="R1609">
        <v>2.87</v>
      </c>
      <c r="S1609" t="s">
        <v>138</v>
      </c>
      <c r="T1609" t="s">
        <v>136</v>
      </c>
      <c r="U1609">
        <v>7.19</v>
      </c>
      <c r="V1609">
        <v>13.24</v>
      </c>
      <c r="W1609">
        <v>93492</v>
      </c>
      <c r="X1609">
        <v>87511</v>
      </c>
      <c r="Y1609">
        <v>1.07</v>
      </c>
      <c r="Z1609">
        <v>636</v>
      </c>
      <c r="AA1609">
        <v>135</v>
      </c>
      <c r="AB1609" t="s">
        <v>32</v>
      </c>
      <c r="AC1609">
        <v>2.46</v>
      </c>
    </row>
    <row r="1610" spans="1:29">
      <c r="A1610" t="str">
        <f>"300239"</f>
        <v>300239</v>
      </c>
      <c r="B1610" t="s">
        <v>1779</v>
      </c>
      <c r="C1610">
        <v>3.26</v>
      </c>
      <c r="D1610">
        <v>4.43</v>
      </c>
      <c r="E1610">
        <v>0.14</v>
      </c>
      <c r="F1610">
        <v>4.42</v>
      </c>
      <c r="G1610">
        <v>4.43</v>
      </c>
      <c r="H1610">
        <v>43808</v>
      </c>
      <c r="I1610">
        <v>516</v>
      </c>
      <c r="J1610">
        <v>0</v>
      </c>
      <c r="K1610">
        <v>0.98</v>
      </c>
      <c r="L1610">
        <v>4.29</v>
      </c>
      <c r="M1610">
        <v>4.47</v>
      </c>
      <c r="N1610">
        <v>4.26</v>
      </c>
      <c r="O1610">
        <v>4.29</v>
      </c>
      <c r="P1610">
        <v>74.6</v>
      </c>
      <c r="Q1610">
        <v>19185078</v>
      </c>
      <c r="R1610">
        <v>0.94</v>
      </c>
      <c r="S1610" t="s">
        <v>36</v>
      </c>
      <c r="T1610" t="s">
        <v>198</v>
      </c>
      <c r="U1610">
        <v>4.9</v>
      </c>
      <c r="V1610">
        <v>4.38</v>
      </c>
      <c r="W1610">
        <v>19849</v>
      </c>
      <c r="X1610">
        <v>23958</v>
      </c>
      <c r="Y1610">
        <v>0.83</v>
      </c>
      <c r="Z1610">
        <v>269</v>
      </c>
      <c r="AA1610">
        <v>133</v>
      </c>
      <c r="AB1610" t="s">
        <v>32</v>
      </c>
      <c r="AC1610">
        <v>4.45</v>
      </c>
    </row>
    <row r="1611" spans="1:29">
      <c r="A1611" t="str">
        <f>"300240"</f>
        <v>300240</v>
      </c>
      <c r="B1611" t="s">
        <v>1780</v>
      </c>
      <c r="C1611">
        <v>0.93</v>
      </c>
      <c r="D1611">
        <v>6.54</v>
      </c>
      <c r="E1611">
        <v>0.06</v>
      </c>
      <c r="F1611">
        <v>6.54</v>
      </c>
      <c r="G1611">
        <v>6.55</v>
      </c>
      <c r="H1611">
        <v>16872</v>
      </c>
      <c r="I1611">
        <v>174</v>
      </c>
      <c r="J1611">
        <v>0</v>
      </c>
      <c r="K1611">
        <v>0.46</v>
      </c>
      <c r="L1611">
        <v>6.49</v>
      </c>
      <c r="M1611">
        <v>6.6</v>
      </c>
      <c r="N1611">
        <v>6.46</v>
      </c>
      <c r="O1611">
        <v>6.48</v>
      </c>
      <c r="P1611">
        <v>41.93</v>
      </c>
      <c r="Q1611">
        <v>11030100</v>
      </c>
      <c r="R1611">
        <v>0.61</v>
      </c>
      <c r="S1611" t="s">
        <v>742</v>
      </c>
      <c r="T1611" t="s">
        <v>87</v>
      </c>
      <c r="U1611">
        <v>2.16</v>
      </c>
      <c r="V1611">
        <v>6.54</v>
      </c>
      <c r="W1611">
        <v>7840</v>
      </c>
      <c r="X1611">
        <v>9031</v>
      </c>
      <c r="Y1611">
        <v>0.87</v>
      </c>
      <c r="Z1611">
        <v>70</v>
      </c>
      <c r="AA1611">
        <v>142</v>
      </c>
      <c r="AB1611" t="s">
        <v>32</v>
      </c>
      <c r="AC1611">
        <v>3.65</v>
      </c>
    </row>
    <row r="1612" spans="1:29">
      <c r="A1612" t="str">
        <f>"300241"</f>
        <v>300241</v>
      </c>
      <c r="B1612" t="s">
        <v>1781</v>
      </c>
      <c r="C1612">
        <v>1.18</v>
      </c>
      <c r="D1612">
        <v>6.02</v>
      </c>
      <c r="E1612">
        <v>0.07</v>
      </c>
      <c r="F1612">
        <v>6.02</v>
      </c>
      <c r="G1612">
        <v>6.03</v>
      </c>
      <c r="H1612">
        <v>89037</v>
      </c>
      <c r="I1612">
        <v>521</v>
      </c>
      <c r="J1612">
        <v>0</v>
      </c>
      <c r="K1612">
        <v>2.43</v>
      </c>
      <c r="L1612">
        <v>5.95</v>
      </c>
      <c r="M1612">
        <v>6.07</v>
      </c>
      <c r="N1612">
        <v>5.9</v>
      </c>
      <c r="O1612">
        <v>5.95</v>
      </c>
      <c r="P1612">
        <v>29.09</v>
      </c>
      <c r="Q1612">
        <v>53271424</v>
      </c>
      <c r="R1612">
        <v>1.51</v>
      </c>
      <c r="S1612" t="s">
        <v>699</v>
      </c>
      <c r="T1612" t="s">
        <v>31</v>
      </c>
      <c r="U1612">
        <v>2.86</v>
      </c>
      <c r="V1612">
        <v>5.98</v>
      </c>
      <c r="W1612">
        <v>44378</v>
      </c>
      <c r="X1612">
        <v>44658</v>
      </c>
      <c r="Y1612">
        <v>0.99</v>
      </c>
      <c r="Z1612">
        <v>155</v>
      </c>
      <c r="AA1612">
        <v>77</v>
      </c>
      <c r="AB1612" t="s">
        <v>32</v>
      </c>
      <c r="AC1612">
        <v>3.66</v>
      </c>
    </row>
    <row r="1613" spans="1:29">
      <c r="A1613" t="str">
        <f>"300242"</f>
        <v>300242</v>
      </c>
      <c r="B1613" t="s">
        <v>1782</v>
      </c>
      <c r="C1613">
        <v>0.49</v>
      </c>
      <c r="D1613">
        <v>6.2</v>
      </c>
      <c r="E1613">
        <v>0.03</v>
      </c>
      <c r="F1613">
        <v>6.19</v>
      </c>
      <c r="G1613">
        <v>6.2</v>
      </c>
      <c r="H1613">
        <v>115568</v>
      </c>
      <c r="I1613">
        <v>2035</v>
      </c>
      <c r="J1613">
        <v>0.16</v>
      </c>
      <c r="K1613">
        <v>2.28</v>
      </c>
      <c r="L1613">
        <v>6.07</v>
      </c>
      <c r="M1613">
        <v>6.2</v>
      </c>
      <c r="N1613">
        <v>6.03</v>
      </c>
      <c r="O1613">
        <v>6.17</v>
      </c>
      <c r="P1613">
        <v>39.28</v>
      </c>
      <c r="Q1613">
        <v>71212416</v>
      </c>
      <c r="R1613">
        <v>1.12</v>
      </c>
      <c r="S1613" t="s">
        <v>316</v>
      </c>
      <c r="T1613" t="s">
        <v>136</v>
      </c>
      <c r="U1613">
        <v>2.76</v>
      </c>
      <c r="V1613">
        <v>6.16</v>
      </c>
      <c r="W1613">
        <v>57435</v>
      </c>
      <c r="X1613">
        <v>58133</v>
      </c>
      <c r="Y1613">
        <v>0.99</v>
      </c>
      <c r="Z1613">
        <v>1042</v>
      </c>
      <c r="AA1613">
        <v>536</v>
      </c>
      <c r="AB1613" t="s">
        <v>32</v>
      </c>
      <c r="AC1613">
        <v>5.08</v>
      </c>
    </row>
    <row r="1614" spans="1:29">
      <c r="A1614" t="str">
        <f>"300243"</f>
        <v>300243</v>
      </c>
      <c r="B1614" t="s">
        <v>1783</v>
      </c>
      <c r="C1614">
        <v>0.38</v>
      </c>
      <c r="D1614">
        <v>10.52</v>
      </c>
      <c r="E1614">
        <v>0.04</v>
      </c>
      <c r="F1614">
        <v>10.52</v>
      </c>
      <c r="G1614">
        <v>10.53</v>
      </c>
      <c r="H1614">
        <v>8810</v>
      </c>
      <c r="I1614">
        <v>246</v>
      </c>
      <c r="J1614">
        <v>0.19</v>
      </c>
      <c r="K1614">
        <v>0.52</v>
      </c>
      <c r="L1614">
        <v>10.41</v>
      </c>
      <c r="M1614">
        <v>10.56</v>
      </c>
      <c r="N1614">
        <v>10.38</v>
      </c>
      <c r="O1614">
        <v>10.48</v>
      </c>
      <c r="P1614">
        <v>31.5</v>
      </c>
      <c r="Q1614">
        <v>9239840</v>
      </c>
      <c r="R1614">
        <v>1.27</v>
      </c>
      <c r="S1614" t="s">
        <v>218</v>
      </c>
      <c r="T1614" t="s">
        <v>162</v>
      </c>
      <c r="U1614">
        <v>1.72</v>
      </c>
      <c r="V1614">
        <v>10.49</v>
      </c>
      <c r="W1614">
        <v>4895</v>
      </c>
      <c r="X1614">
        <v>3915</v>
      </c>
      <c r="Y1614">
        <v>1.25</v>
      </c>
      <c r="Z1614">
        <v>74</v>
      </c>
      <c r="AA1614">
        <v>226</v>
      </c>
      <c r="AB1614" t="s">
        <v>32</v>
      </c>
      <c r="AC1614">
        <v>1.68</v>
      </c>
    </row>
    <row r="1615" spans="1:29">
      <c r="A1615" t="str">
        <f>"300244"</f>
        <v>300244</v>
      </c>
      <c r="B1615" t="s">
        <v>1784</v>
      </c>
      <c r="C1615">
        <v>7.57</v>
      </c>
      <c r="D1615">
        <v>20.47</v>
      </c>
      <c r="E1615">
        <v>1.44</v>
      </c>
      <c r="F1615">
        <v>20.47</v>
      </c>
      <c r="G1615">
        <v>20.48</v>
      </c>
      <c r="H1615">
        <v>99982</v>
      </c>
      <c r="I1615">
        <v>733</v>
      </c>
      <c r="J1615">
        <v>0.1</v>
      </c>
      <c r="K1615">
        <v>2.92</v>
      </c>
      <c r="L1615">
        <v>19.33</v>
      </c>
      <c r="M1615">
        <v>20.93</v>
      </c>
      <c r="N1615">
        <v>19.12</v>
      </c>
      <c r="O1615">
        <v>19.03</v>
      </c>
      <c r="P1615">
        <v>44.9</v>
      </c>
      <c r="Q1615">
        <v>201128400</v>
      </c>
      <c r="R1615">
        <v>2.33</v>
      </c>
      <c r="S1615" t="s">
        <v>138</v>
      </c>
      <c r="T1615" t="s">
        <v>149</v>
      </c>
      <c r="U1615">
        <v>9.51</v>
      </c>
      <c r="V1615">
        <v>20.12</v>
      </c>
      <c r="W1615">
        <v>42999</v>
      </c>
      <c r="X1615">
        <v>56983</v>
      </c>
      <c r="Y1615">
        <v>0.75</v>
      </c>
      <c r="Z1615">
        <v>226</v>
      </c>
      <c r="AA1615">
        <v>282</v>
      </c>
      <c r="AB1615" t="s">
        <v>32</v>
      </c>
      <c r="AC1615">
        <v>3.42</v>
      </c>
    </row>
    <row r="1616" spans="1:29">
      <c r="A1616" t="str">
        <f>"300245"</f>
        <v>300245</v>
      </c>
      <c r="B1616" t="s">
        <v>1785</v>
      </c>
      <c r="C1616">
        <v>0.48</v>
      </c>
      <c r="D1616">
        <v>10.36</v>
      </c>
      <c r="E1616">
        <v>0.05</v>
      </c>
      <c r="F1616">
        <v>10.36</v>
      </c>
      <c r="G1616">
        <v>10.37</v>
      </c>
      <c r="H1616">
        <v>42331</v>
      </c>
      <c r="I1616">
        <v>663</v>
      </c>
      <c r="J1616">
        <v>0.29</v>
      </c>
      <c r="K1616">
        <v>1.95</v>
      </c>
      <c r="L1616">
        <v>10.23</v>
      </c>
      <c r="M1616">
        <v>10.42</v>
      </c>
      <c r="N1616">
        <v>10.23</v>
      </c>
      <c r="O1616">
        <v>10.31</v>
      </c>
      <c r="P1616">
        <v>128.24</v>
      </c>
      <c r="Q1616">
        <v>43759208</v>
      </c>
      <c r="R1616">
        <v>1.51</v>
      </c>
      <c r="S1616" t="s">
        <v>270</v>
      </c>
      <c r="T1616" t="s">
        <v>366</v>
      </c>
      <c r="U1616">
        <v>1.84</v>
      </c>
      <c r="V1616">
        <v>10.34</v>
      </c>
      <c r="W1616">
        <v>20669</v>
      </c>
      <c r="X1616">
        <v>21662</v>
      </c>
      <c r="Y1616">
        <v>0.95</v>
      </c>
      <c r="Z1616">
        <v>117</v>
      </c>
      <c r="AA1616">
        <v>306</v>
      </c>
      <c r="AB1616" t="s">
        <v>32</v>
      </c>
      <c r="AC1616">
        <v>2.17</v>
      </c>
    </row>
    <row r="1617" spans="1:29">
      <c r="A1617" t="str">
        <f>"300246"</f>
        <v>300246</v>
      </c>
      <c r="B1617" t="s">
        <v>1786</v>
      </c>
      <c r="C1617">
        <v>1.78</v>
      </c>
      <c r="D1617">
        <v>15.45</v>
      </c>
      <c r="E1617">
        <v>0.27</v>
      </c>
      <c r="F1617">
        <v>15.45</v>
      </c>
      <c r="G1617">
        <v>15.46</v>
      </c>
      <c r="H1617">
        <v>18788</v>
      </c>
      <c r="I1617">
        <v>211</v>
      </c>
      <c r="J1617">
        <v>0.06</v>
      </c>
      <c r="K1617">
        <v>1.74</v>
      </c>
      <c r="L1617">
        <v>15.16</v>
      </c>
      <c r="M1617">
        <v>15.55</v>
      </c>
      <c r="N1617">
        <v>15.11</v>
      </c>
      <c r="O1617">
        <v>15.18</v>
      </c>
      <c r="P1617">
        <v>29.97</v>
      </c>
      <c r="Q1617">
        <v>28916216</v>
      </c>
      <c r="R1617">
        <v>0.94</v>
      </c>
      <c r="S1617" t="s">
        <v>138</v>
      </c>
      <c r="T1617" t="s">
        <v>136</v>
      </c>
      <c r="U1617">
        <v>2.9</v>
      </c>
      <c r="V1617">
        <v>15.39</v>
      </c>
      <c r="W1617">
        <v>8371</v>
      </c>
      <c r="X1617">
        <v>10417</v>
      </c>
      <c r="Y1617">
        <v>0.8</v>
      </c>
      <c r="Z1617">
        <v>281</v>
      </c>
      <c r="AA1617">
        <v>110</v>
      </c>
      <c r="AB1617" t="s">
        <v>32</v>
      </c>
      <c r="AC1617">
        <v>1.08</v>
      </c>
    </row>
    <row r="1618" spans="1:29">
      <c r="A1618" t="str">
        <f>"300247"</f>
        <v>300247</v>
      </c>
      <c r="B1618" t="s">
        <v>1787</v>
      </c>
      <c r="C1618">
        <v>1.86</v>
      </c>
      <c r="D1618">
        <v>4.92</v>
      </c>
      <c r="E1618">
        <v>0.09</v>
      </c>
      <c r="F1618">
        <v>4.91</v>
      </c>
      <c r="G1618">
        <v>4.92</v>
      </c>
      <c r="H1618">
        <v>56936</v>
      </c>
      <c r="I1618">
        <v>2252</v>
      </c>
      <c r="J1618">
        <v>0.2</v>
      </c>
      <c r="K1618">
        <v>0.99</v>
      </c>
      <c r="L1618">
        <v>4.84</v>
      </c>
      <c r="M1618">
        <v>4.92</v>
      </c>
      <c r="N1618">
        <v>4.83</v>
      </c>
      <c r="O1618">
        <v>4.83</v>
      </c>
      <c r="P1618">
        <v>39.41</v>
      </c>
      <c r="Q1618">
        <v>27824480</v>
      </c>
      <c r="R1618">
        <v>1.21</v>
      </c>
      <c r="S1618" t="s">
        <v>138</v>
      </c>
      <c r="T1618" t="s">
        <v>143</v>
      </c>
      <c r="U1618">
        <v>1.86</v>
      </c>
      <c r="V1618">
        <v>4.89</v>
      </c>
      <c r="W1618">
        <v>23651</v>
      </c>
      <c r="X1618">
        <v>33285</v>
      </c>
      <c r="Y1618">
        <v>0.71</v>
      </c>
      <c r="Z1618">
        <v>1402</v>
      </c>
      <c r="AA1618">
        <v>1282</v>
      </c>
      <c r="AB1618" t="s">
        <v>32</v>
      </c>
      <c r="AC1618">
        <v>5.78</v>
      </c>
    </row>
    <row r="1619" spans="1:29">
      <c r="A1619" t="str">
        <f>"300248"</f>
        <v>300248</v>
      </c>
      <c r="B1619" t="s">
        <v>1788</v>
      </c>
      <c r="C1619">
        <v>1.33</v>
      </c>
      <c r="D1619">
        <v>6.08</v>
      </c>
      <c r="E1619">
        <v>0.08</v>
      </c>
      <c r="F1619">
        <v>6.08</v>
      </c>
      <c r="G1619">
        <v>6.09</v>
      </c>
      <c r="H1619">
        <v>41985</v>
      </c>
      <c r="I1619">
        <v>390</v>
      </c>
      <c r="J1619">
        <v>-0.15</v>
      </c>
      <c r="K1619">
        <v>1.36</v>
      </c>
      <c r="L1619">
        <v>6.05</v>
      </c>
      <c r="M1619">
        <v>6.12</v>
      </c>
      <c r="N1619">
        <v>5.96</v>
      </c>
      <c r="O1619">
        <v>6</v>
      </c>
      <c r="P1619" t="s">
        <v>32</v>
      </c>
      <c r="Q1619">
        <v>25442168</v>
      </c>
      <c r="R1619">
        <v>1.26</v>
      </c>
      <c r="S1619" t="s">
        <v>270</v>
      </c>
      <c r="T1619" t="s">
        <v>164</v>
      </c>
      <c r="U1619">
        <v>2.67</v>
      </c>
      <c r="V1619">
        <v>6.06</v>
      </c>
      <c r="W1619">
        <v>18903</v>
      </c>
      <c r="X1619">
        <v>23081</v>
      </c>
      <c r="Y1619">
        <v>0.82</v>
      </c>
      <c r="Z1619">
        <v>605</v>
      </c>
      <c r="AA1619">
        <v>152</v>
      </c>
      <c r="AB1619" t="s">
        <v>32</v>
      </c>
      <c r="AC1619">
        <v>3.08</v>
      </c>
    </row>
    <row r="1620" spans="1:29">
      <c r="A1620" t="str">
        <f>"300249"</f>
        <v>300249</v>
      </c>
      <c r="B1620" t="s">
        <v>1789</v>
      </c>
      <c r="C1620">
        <v>-0.87</v>
      </c>
      <c r="D1620">
        <v>6.85</v>
      </c>
      <c r="E1620">
        <v>-0.06</v>
      </c>
      <c r="F1620">
        <v>6.85</v>
      </c>
      <c r="G1620">
        <v>6.86</v>
      </c>
      <c r="H1620">
        <v>61318</v>
      </c>
      <c r="I1620">
        <v>1477</v>
      </c>
      <c r="J1620">
        <v>0.29</v>
      </c>
      <c r="K1620">
        <v>2.03</v>
      </c>
      <c r="L1620">
        <v>6.78</v>
      </c>
      <c r="M1620">
        <v>6.94</v>
      </c>
      <c r="N1620">
        <v>6.62</v>
      </c>
      <c r="O1620">
        <v>6.91</v>
      </c>
      <c r="P1620">
        <v>59.54</v>
      </c>
      <c r="Q1620">
        <v>41711200</v>
      </c>
      <c r="R1620">
        <v>1.48</v>
      </c>
      <c r="S1620" t="s">
        <v>171</v>
      </c>
      <c r="T1620" t="s">
        <v>146</v>
      </c>
      <c r="U1620">
        <v>4.63</v>
      </c>
      <c r="V1620">
        <v>6.8</v>
      </c>
      <c r="W1620">
        <v>34336</v>
      </c>
      <c r="X1620">
        <v>26981</v>
      </c>
      <c r="Y1620">
        <v>1.27</v>
      </c>
      <c r="Z1620">
        <v>188</v>
      </c>
      <c r="AA1620">
        <v>130</v>
      </c>
      <c r="AB1620" t="s">
        <v>32</v>
      </c>
      <c r="AC1620">
        <v>3.03</v>
      </c>
    </row>
    <row r="1621" spans="1:29">
      <c r="A1621" t="str">
        <f>"300250"</f>
        <v>300250</v>
      </c>
      <c r="B1621" t="s">
        <v>1790</v>
      </c>
      <c r="C1621">
        <v>0.08</v>
      </c>
      <c r="D1621">
        <v>13.03</v>
      </c>
      <c r="E1621">
        <v>0.01</v>
      </c>
      <c r="F1621">
        <v>13.03</v>
      </c>
      <c r="G1621">
        <v>13.04</v>
      </c>
      <c r="H1621">
        <v>14395</v>
      </c>
      <c r="I1621">
        <v>268</v>
      </c>
      <c r="J1621">
        <v>0.08</v>
      </c>
      <c r="K1621">
        <v>1.05</v>
      </c>
      <c r="L1621">
        <v>12.95</v>
      </c>
      <c r="M1621">
        <v>13.11</v>
      </c>
      <c r="N1621">
        <v>12.86</v>
      </c>
      <c r="O1621">
        <v>13.02</v>
      </c>
      <c r="P1621">
        <v>597.65</v>
      </c>
      <c r="Q1621">
        <v>18725272</v>
      </c>
      <c r="R1621">
        <v>0.64</v>
      </c>
      <c r="S1621" t="s">
        <v>119</v>
      </c>
      <c r="T1621" t="s">
        <v>149</v>
      </c>
      <c r="U1621">
        <v>1.92</v>
      </c>
      <c r="V1621">
        <v>13.01</v>
      </c>
      <c r="W1621">
        <v>7844</v>
      </c>
      <c r="X1621">
        <v>6550</v>
      </c>
      <c r="Y1621">
        <v>1.2</v>
      </c>
      <c r="Z1621">
        <v>23</v>
      </c>
      <c r="AA1621">
        <v>89</v>
      </c>
      <c r="AB1621" t="s">
        <v>32</v>
      </c>
      <c r="AC1621">
        <v>1.38</v>
      </c>
    </row>
    <row r="1622" spans="1:29">
      <c r="A1622" t="str">
        <f>"300251"</f>
        <v>300251</v>
      </c>
      <c r="B1622" t="s">
        <v>1791</v>
      </c>
      <c r="C1622">
        <v>1.12</v>
      </c>
      <c r="D1622">
        <v>9.92</v>
      </c>
      <c r="E1622">
        <v>0.11</v>
      </c>
      <c r="F1622">
        <v>9.92</v>
      </c>
      <c r="G1622">
        <v>9.93</v>
      </c>
      <c r="H1622">
        <v>283157</v>
      </c>
      <c r="I1622">
        <v>5826</v>
      </c>
      <c r="J1622">
        <v>-0.09</v>
      </c>
      <c r="K1622">
        <v>1.03</v>
      </c>
      <c r="L1622">
        <v>9.78</v>
      </c>
      <c r="M1622">
        <v>9.98</v>
      </c>
      <c r="N1622">
        <v>9.69</v>
      </c>
      <c r="O1622">
        <v>9.81</v>
      </c>
      <c r="P1622">
        <v>3.65</v>
      </c>
      <c r="Q1622">
        <v>279754624</v>
      </c>
      <c r="R1622">
        <v>1.18</v>
      </c>
      <c r="S1622" t="s">
        <v>148</v>
      </c>
      <c r="T1622" t="s">
        <v>45</v>
      </c>
      <c r="U1622">
        <v>2.96</v>
      </c>
      <c r="V1622">
        <v>9.88</v>
      </c>
      <c r="W1622">
        <v>168313</v>
      </c>
      <c r="X1622">
        <v>114843</v>
      </c>
      <c r="Y1622">
        <v>1.47</v>
      </c>
      <c r="Z1622">
        <v>2013</v>
      </c>
      <c r="AA1622">
        <v>1953</v>
      </c>
      <c r="AB1622" t="s">
        <v>32</v>
      </c>
      <c r="AC1622">
        <v>27.52</v>
      </c>
    </row>
    <row r="1623" spans="1:29">
      <c r="A1623" t="str">
        <f>"300252"</f>
        <v>300252</v>
      </c>
      <c r="B1623" t="s">
        <v>1792</v>
      </c>
      <c r="C1623">
        <v>1.07</v>
      </c>
      <c r="D1623">
        <v>9.43</v>
      </c>
      <c r="E1623">
        <v>0.1</v>
      </c>
      <c r="F1623">
        <v>9.43</v>
      </c>
      <c r="G1623">
        <v>9.44</v>
      </c>
      <c r="H1623">
        <v>48241</v>
      </c>
      <c r="I1623">
        <v>387</v>
      </c>
      <c r="J1623">
        <v>0</v>
      </c>
      <c r="K1623">
        <v>1.23</v>
      </c>
      <c r="L1623">
        <v>9.3</v>
      </c>
      <c r="M1623">
        <v>9.49</v>
      </c>
      <c r="N1623">
        <v>9.22</v>
      </c>
      <c r="O1623">
        <v>9.33</v>
      </c>
      <c r="P1623">
        <v>27.14</v>
      </c>
      <c r="Q1623">
        <v>45206944</v>
      </c>
      <c r="R1623">
        <v>0.68</v>
      </c>
      <c r="S1623" t="s">
        <v>104</v>
      </c>
      <c r="T1623" t="s">
        <v>31</v>
      </c>
      <c r="U1623">
        <v>2.89</v>
      </c>
      <c r="V1623">
        <v>9.37</v>
      </c>
      <c r="W1623">
        <v>24117</v>
      </c>
      <c r="X1623">
        <v>24124</v>
      </c>
      <c r="Y1623">
        <v>1</v>
      </c>
      <c r="Z1623">
        <v>394</v>
      </c>
      <c r="AA1623">
        <v>433</v>
      </c>
      <c r="AB1623" t="s">
        <v>32</v>
      </c>
      <c r="AC1623">
        <v>3.91</v>
      </c>
    </row>
    <row r="1624" spans="1:29">
      <c r="A1624" t="str">
        <f>"300253"</f>
        <v>300253</v>
      </c>
      <c r="B1624" t="s">
        <v>1793</v>
      </c>
      <c r="C1624">
        <v>0.08</v>
      </c>
      <c r="D1624">
        <v>13.2</v>
      </c>
      <c r="E1624">
        <v>0.01</v>
      </c>
      <c r="F1624">
        <v>13.19</v>
      </c>
      <c r="G1624">
        <v>13.2</v>
      </c>
      <c r="H1624">
        <v>309525</v>
      </c>
      <c r="I1624">
        <v>5900</v>
      </c>
      <c r="J1624">
        <v>0.15</v>
      </c>
      <c r="K1624">
        <v>2.57</v>
      </c>
      <c r="L1624">
        <v>13.3</v>
      </c>
      <c r="M1624">
        <v>13.48</v>
      </c>
      <c r="N1624">
        <v>13.04</v>
      </c>
      <c r="O1624">
        <v>13.19</v>
      </c>
      <c r="P1624">
        <v>131.99</v>
      </c>
      <c r="Q1624">
        <v>409925440</v>
      </c>
      <c r="R1624">
        <v>0.79</v>
      </c>
      <c r="S1624" t="s">
        <v>270</v>
      </c>
      <c r="T1624" t="s">
        <v>366</v>
      </c>
      <c r="U1624">
        <v>3.34</v>
      </c>
      <c r="V1624">
        <v>13.24</v>
      </c>
      <c r="W1624">
        <v>150111</v>
      </c>
      <c r="X1624">
        <v>159414</v>
      </c>
      <c r="Y1624">
        <v>0.94</v>
      </c>
      <c r="Z1624">
        <v>1103</v>
      </c>
      <c r="AA1624">
        <v>244</v>
      </c>
      <c r="AB1624" t="s">
        <v>32</v>
      </c>
      <c r="AC1624">
        <v>12.02</v>
      </c>
    </row>
    <row r="1625" spans="1:29">
      <c r="A1625" t="str">
        <f>"300254"</f>
        <v>300254</v>
      </c>
      <c r="B1625" t="s">
        <v>1794</v>
      </c>
      <c r="C1625">
        <v>1.29</v>
      </c>
      <c r="D1625">
        <v>8.61</v>
      </c>
      <c r="E1625">
        <v>0.11</v>
      </c>
      <c r="F1625">
        <v>8.61</v>
      </c>
      <c r="G1625">
        <v>8.62</v>
      </c>
      <c r="H1625">
        <v>19536</v>
      </c>
      <c r="I1625">
        <v>287</v>
      </c>
      <c r="J1625">
        <v>0</v>
      </c>
      <c r="K1625">
        <v>1.26</v>
      </c>
      <c r="L1625">
        <v>8.45</v>
      </c>
      <c r="M1625">
        <v>8.69</v>
      </c>
      <c r="N1625">
        <v>8.41</v>
      </c>
      <c r="O1625">
        <v>8.5</v>
      </c>
      <c r="P1625">
        <v>61.28</v>
      </c>
      <c r="Q1625">
        <v>16784174</v>
      </c>
      <c r="R1625">
        <v>0.74</v>
      </c>
      <c r="S1625" t="s">
        <v>142</v>
      </c>
      <c r="T1625" t="s">
        <v>169</v>
      </c>
      <c r="U1625">
        <v>3.29</v>
      </c>
      <c r="V1625">
        <v>8.59</v>
      </c>
      <c r="W1625">
        <v>9728</v>
      </c>
      <c r="X1625">
        <v>9807</v>
      </c>
      <c r="Y1625">
        <v>0.99</v>
      </c>
      <c r="Z1625">
        <v>47</v>
      </c>
      <c r="AA1625">
        <v>70</v>
      </c>
      <c r="AB1625" t="s">
        <v>32</v>
      </c>
      <c r="AC1625">
        <v>1.56</v>
      </c>
    </row>
    <row r="1626" spans="1:29">
      <c r="A1626" t="str">
        <f>"300255"</f>
        <v>300255</v>
      </c>
      <c r="B1626" t="s">
        <v>1795</v>
      </c>
      <c r="C1626">
        <v>1.66</v>
      </c>
      <c r="D1626">
        <v>5.5</v>
      </c>
      <c r="E1626">
        <v>0.09</v>
      </c>
      <c r="F1626">
        <v>5.49</v>
      </c>
      <c r="G1626">
        <v>5.5</v>
      </c>
      <c r="H1626">
        <v>113288</v>
      </c>
      <c r="I1626">
        <v>649</v>
      </c>
      <c r="J1626">
        <v>-0.17</v>
      </c>
      <c r="K1626">
        <v>1.86</v>
      </c>
      <c r="L1626">
        <v>5.46</v>
      </c>
      <c r="M1626">
        <v>5.54</v>
      </c>
      <c r="N1626">
        <v>5.4</v>
      </c>
      <c r="O1626">
        <v>5.41</v>
      </c>
      <c r="P1626">
        <v>28.33</v>
      </c>
      <c r="Q1626">
        <v>62009576</v>
      </c>
      <c r="R1626">
        <v>0.95</v>
      </c>
      <c r="S1626" t="s">
        <v>36</v>
      </c>
      <c r="T1626" t="s">
        <v>154</v>
      </c>
      <c r="U1626">
        <v>2.59</v>
      </c>
      <c r="V1626">
        <v>5.47</v>
      </c>
      <c r="W1626">
        <v>57314</v>
      </c>
      <c r="X1626">
        <v>55974</v>
      </c>
      <c r="Y1626">
        <v>1.02</v>
      </c>
      <c r="Z1626">
        <v>929</v>
      </c>
      <c r="AA1626">
        <v>540</v>
      </c>
      <c r="AB1626" t="s">
        <v>32</v>
      </c>
      <c r="AC1626">
        <v>6.1</v>
      </c>
    </row>
    <row r="1627" spans="1:29">
      <c r="A1627" t="str">
        <f>"300256"</f>
        <v>300256</v>
      </c>
      <c r="B1627" t="s">
        <v>1796</v>
      </c>
      <c r="C1627">
        <v>3.61</v>
      </c>
      <c r="D1627">
        <v>4.3</v>
      </c>
      <c r="E1627">
        <v>0.15</v>
      </c>
      <c r="F1627">
        <v>4.29</v>
      </c>
      <c r="G1627">
        <v>4.3</v>
      </c>
      <c r="H1627">
        <v>340123</v>
      </c>
      <c r="I1627">
        <v>5127</v>
      </c>
      <c r="J1627">
        <v>0.47</v>
      </c>
      <c r="K1627">
        <v>5.73</v>
      </c>
      <c r="L1627">
        <v>4.15</v>
      </c>
      <c r="M1627">
        <v>4.39</v>
      </c>
      <c r="N1627">
        <v>4.1</v>
      </c>
      <c r="O1627">
        <v>4.15</v>
      </c>
      <c r="P1627">
        <v>43.54</v>
      </c>
      <c r="Q1627">
        <v>144716896</v>
      </c>
      <c r="R1627">
        <v>2.04</v>
      </c>
      <c r="S1627" t="s">
        <v>63</v>
      </c>
      <c r="T1627" t="s">
        <v>149</v>
      </c>
      <c r="U1627">
        <v>6.99</v>
      </c>
      <c r="V1627">
        <v>4.25</v>
      </c>
      <c r="W1627">
        <v>148309</v>
      </c>
      <c r="X1627">
        <v>191813</v>
      </c>
      <c r="Y1627">
        <v>0.77</v>
      </c>
      <c r="Z1627">
        <v>2650</v>
      </c>
      <c r="AA1627">
        <v>1530</v>
      </c>
      <c r="AB1627" t="s">
        <v>32</v>
      </c>
      <c r="AC1627">
        <v>5.94</v>
      </c>
    </row>
    <row r="1628" spans="1:29">
      <c r="A1628" t="str">
        <f>"300257"</f>
        <v>300257</v>
      </c>
      <c r="B1628" t="s">
        <v>1797</v>
      </c>
      <c r="C1628">
        <v>1.73</v>
      </c>
      <c r="D1628">
        <v>15.31</v>
      </c>
      <c r="E1628">
        <v>0.26</v>
      </c>
      <c r="F1628">
        <v>15.31</v>
      </c>
      <c r="G1628">
        <v>15.32</v>
      </c>
      <c r="H1628">
        <v>28357</v>
      </c>
      <c r="I1628">
        <v>112</v>
      </c>
      <c r="J1628">
        <v>-0.06</v>
      </c>
      <c r="K1628">
        <v>0.35</v>
      </c>
      <c r="L1628">
        <v>14.98</v>
      </c>
      <c r="M1628">
        <v>15.6</v>
      </c>
      <c r="N1628">
        <v>14.98</v>
      </c>
      <c r="O1628">
        <v>15.05</v>
      </c>
      <c r="P1628">
        <v>121.27</v>
      </c>
      <c r="Q1628">
        <v>43673644</v>
      </c>
      <c r="R1628">
        <v>1.3</v>
      </c>
      <c r="S1628" t="s">
        <v>241</v>
      </c>
      <c r="T1628" t="s">
        <v>149</v>
      </c>
      <c r="U1628">
        <v>4.12</v>
      </c>
      <c r="V1628">
        <v>15.4</v>
      </c>
      <c r="W1628">
        <v>14196</v>
      </c>
      <c r="X1628">
        <v>14161</v>
      </c>
      <c r="Y1628">
        <v>1</v>
      </c>
      <c r="Z1628">
        <v>219</v>
      </c>
      <c r="AA1628">
        <v>261</v>
      </c>
      <c r="AB1628" t="s">
        <v>32</v>
      </c>
      <c r="AC1628">
        <v>8.19</v>
      </c>
    </row>
    <row r="1629" spans="1:29">
      <c r="A1629" t="str">
        <f>"300258"</f>
        <v>300258</v>
      </c>
      <c r="B1629" t="s">
        <v>1798</v>
      </c>
      <c r="C1629">
        <v>1.81</v>
      </c>
      <c r="D1629">
        <v>14.05</v>
      </c>
      <c r="E1629">
        <v>0.25</v>
      </c>
      <c r="F1629">
        <v>14.05</v>
      </c>
      <c r="G1629">
        <v>14.06</v>
      </c>
      <c r="H1629">
        <v>15713</v>
      </c>
      <c r="I1629">
        <v>41</v>
      </c>
      <c r="J1629">
        <v>-0.13</v>
      </c>
      <c r="K1629">
        <v>0.42</v>
      </c>
      <c r="L1629">
        <v>14.02</v>
      </c>
      <c r="M1629">
        <v>14.2</v>
      </c>
      <c r="N1629">
        <v>13.79</v>
      </c>
      <c r="O1629">
        <v>13.8</v>
      </c>
      <c r="P1629">
        <v>21.51</v>
      </c>
      <c r="Q1629">
        <v>22089216</v>
      </c>
      <c r="R1629">
        <v>1.68</v>
      </c>
      <c r="S1629" t="s">
        <v>80</v>
      </c>
      <c r="T1629" t="s">
        <v>87</v>
      </c>
      <c r="U1629">
        <v>2.97</v>
      </c>
      <c r="V1629">
        <v>14.06</v>
      </c>
      <c r="W1629">
        <v>4979</v>
      </c>
      <c r="X1629">
        <v>10734</v>
      </c>
      <c r="Y1629">
        <v>0.46</v>
      </c>
      <c r="Z1629">
        <v>25</v>
      </c>
      <c r="AA1629">
        <v>240</v>
      </c>
      <c r="AB1629" t="s">
        <v>32</v>
      </c>
      <c r="AC1629">
        <v>3.75</v>
      </c>
    </row>
    <row r="1630" spans="1:29">
      <c r="A1630" t="str">
        <f>"300259"</f>
        <v>300259</v>
      </c>
      <c r="B1630" t="s">
        <v>1799</v>
      </c>
      <c r="C1630">
        <v>1.07</v>
      </c>
      <c r="D1630">
        <v>3.78</v>
      </c>
      <c r="E1630">
        <v>0.04</v>
      </c>
      <c r="F1630">
        <v>3.78</v>
      </c>
      <c r="G1630">
        <v>3.79</v>
      </c>
      <c r="H1630">
        <v>54214</v>
      </c>
      <c r="I1630">
        <v>841</v>
      </c>
      <c r="J1630">
        <v>0</v>
      </c>
      <c r="K1630">
        <v>0.75</v>
      </c>
      <c r="L1630">
        <v>3.75</v>
      </c>
      <c r="M1630">
        <v>3.81</v>
      </c>
      <c r="N1630">
        <v>3.72</v>
      </c>
      <c r="O1630">
        <v>3.74</v>
      </c>
      <c r="P1630">
        <v>61.42</v>
      </c>
      <c r="Q1630">
        <v>20456432</v>
      </c>
      <c r="R1630">
        <v>1.57</v>
      </c>
      <c r="S1630" t="s">
        <v>606</v>
      </c>
      <c r="T1630" t="s">
        <v>164</v>
      </c>
      <c r="U1630">
        <v>2.41</v>
      </c>
      <c r="V1630">
        <v>3.77</v>
      </c>
      <c r="W1630">
        <v>23270</v>
      </c>
      <c r="X1630">
        <v>30943</v>
      </c>
      <c r="Y1630">
        <v>0.75</v>
      </c>
      <c r="Z1630">
        <v>470</v>
      </c>
      <c r="AA1630">
        <v>1626</v>
      </c>
      <c r="AB1630" t="s">
        <v>32</v>
      </c>
      <c r="AC1630">
        <v>7.25</v>
      </c>
    </row>
    <row r="1631" spans="1:29">
      <c r="A1631" t="str">
        <f>"300260"</f>
        <v>300260</v>
      </c>
      <c r="B1631" t="s">
        <v>1800</v>
      </c>
      <c r="C1631">
        <v>0.4</v>
      </c>
      <c r="D1631">
        <v>19.96</v>
      </c>
      <c r="E1631">
        <v>0.08</v>
      </c>
      <c r="F1631">
        <v>19.96</v>
      </c>
      <c r="G1631">
        <v>19.97</v>
      </c>
      <c r="H1631">
        <v>12457</v>
      </c>
      <c r="I1631">
        <v>440</v>
      </c>
      <c r="J1631">
        <v>0</v>
      </c>
      <c r="K1631">
        <v>0.91</v>
      </c>
      <c r="L1631">
        <v>19.97</v>
      </c>
      <c r="M1631">
        <v>20.1</v>
      </c>
      <c r="N1631">
        <v>19.75</v>
      </c>
      <c r="O1631">
        <v>19.88</v>
      </c>
      <c r="P1631">
        <v>177.53</v>
      </c>
      <c r="Q1631">
        <v>24887536</v>
      </c>
      <c r="R1631">
        <v>0.91</v>
      </c>
      <c r="S1631" t="s">
        <v>241</v>
      </c>
      <c r="T1631" t="s">
        <v>87</v>
      </c>
      <c r="U1631">
        <v>1.76</v>
      </c>
      <c r="V1631">
        <v>19.98</v>
      </c>
      <c r="W1631">
        <v>6760</v>
      </c>
      <c r="X1631">
        <v>5697</v>
      </c>
      <c r="Y1631">
        <v>1.19</v>
      </c>
      <c r="Z1631">
        <v>122</v>
      </c>
      <c r="AA1631">
        <v>27</v>
      </c>
      <c r="AB1631" t="s">
        <v>32</v>
      </c>
      <c r="AC1631">
        <v>1.37</v>
      </c>
    </row>
    <row r="1632" spans="1:29">
      <c r="A1632" t="str">
        <f>"300261"</f>
        <v>300261</v>
      </c>
      <c r="B1632" t="s">
        <v>1801</v>
      </c>
      <c r="C1632">
        <v>1</v>
      </c>
      <c r="D1632">
        <v>5.03</v>
      </c>
      <c r="E1632">
        <v>0.05</v>
      </c>
      <c r="F1632">
        <v>5.03</v>
      </c>
      <c r="G1632">
        <v>5.04</v>
      </c>
      <c r="H1632">
        <v>35281</v>
      </c>
      <c r="I1632">
        <v>558</v>
      </c>
      <c r="J1632">
        <v>0.2</v>
      </c>
      <c r="K1632">
        <v>0.46</v>
      </c>
      <c r="L1632">
        <v>4.98</v>
      </c>
      <c r="M1632">
        <v>5.28</v>
      </c>
      <c r="N1632">
        <v>4.81</v>
      </c>
      <c r="O1632">
        <v>4.98</v>
      </c>
      <c r="P1632">
        <v>32.86</v>
      </c>
      <c r="Q1632">
        <v>17754308</v>
      </c>
      <c r="R1632">
        <v>1.67</v>
      </c>
      <c r="S1632" t="s">
        <v>145</v>
      </c>
      <c r="T1632" t="s">
        <v>87</v>
      </c>
      <c r="U1632">
        <v>9.44</v>
      </c>
      <c r="V1632">
        <v>5.03</v>
      </c>
      <c r="W1632">
        <v>18143</v>
      </c>
      <c r="X1632">
        <v>17137</v>
      </c>
      <c r="Y1632">
        <v>1.06</v>
      </c>
      <c r="Z1632">
        <v>50</v>
      </c>
      <c r="AA1632">
        <v>752</v>
      </c>
      <c r="AB1632" t="s">
        <v>32</v>
      </c>
      <c r="AC1632">
        <v>7.61</v>
      </c>
    </row>
    <row r="1633" spans="1:29">
      <c r="A1633" t="str">
        <f>"300262"</f>
        <v>300262</v>
      </c>
      <c r="B1633" t="s">
        <v>1802</v>
      </c>
      <c r="C1633">
        <v>2.64</v>
      </c>
      <c r="D1633">
        <v>5.44</v>
      </c>
      <c r="E1633">
        <v>0.14</v>
      </c>
      <c r="F1633">
        <v>5.44</v>
      </c>
      <c r="G1633">
        <v>5.45</v>
      </c>
      <c r="H1633">
        <v>64995</v>
      </c>
      <c r="I1633">
        <v>856</v>
      </c>
      <c r="J1633">
        <v>0</v>
      </c>
      <c r="K1633">
        <v>1.43</v>
      </c>
      <c r="L1633">
        <v>5.3</v>
      </c>
      <c r="M1633">
        <v>5.46</v>
      </c>
      <c r="N1633">
        <v>5.25</v>
      </c>
      <c r="O1633">
        <v>5.3</v>
      </c>
      <c r="P1633">
        <v>30.9</v>
      </c>
      <c r="Q1633">
        <v>35063448</v>
      </c>
      <c r="R1633">
        <v>1.32</v>
      </c>
      <c r="S1633" t="s">
        <v>86</v>
      </c>
      <c r="T1633" t="s">
        <v>366</v>
      </c>
      <c r="U1633">
        <v>3.96</v>
      </c>
      <c r="V1633">
        <v>5.39</v>
      </c>
      <c r="W1633">
        <v>30728</v>
      </c>
      <c r="X1633">
        <v>34266</v>
      </c>
      <c r="Y1633">
        <v>0.9</v>
      </c>
      <c r="Z1633">
        <v>613</v>
      </c>
      <c r="AA1633">
        <v>769</v>
      </c>
      <c r="AB1633" t="s">
        <v>32</v>
      </c>
      <c r="AC1633">
        <v>4.56</v>
      </c>
    </row>
    <row r="1634" spans="1:29">
      <c r="A1634" t="str">
        <f>"300263"</f>
        <v>300263</v>
      </c>
      <c r="B1634" t="s">
        <v>1803</v>
      </c>
      <c r="C1634">
        <v>3.64</v>
      </c>
      <c r="D1634">
        <v>5.12</v>
      </c>
      <c r="E1634">
        <v>0.18</v>
      </c>
      <c r="F1634">
        <v>5.12</v>
      </c>
      <c r="G1634">
        <v>5.13</v>
      </c>
      <c r="H1634">
        <v>126147</v>
      </c>
      <c r="I1634">
        <v>1485</v>
      </c>
      <c r="J1634">
        <v>0</v>
      </c>
      <c r="K1634">
        <v>2.27</v>
      </c>
      <c r="L1634">
        <v>4.94</v>
      </c>
      <c r="M1634">
        <v>5.13</v>
      </c>
      <c r="N1634">
        <v>4.94</v>
      </c>
      <c r="O1634">
        <v>4.94</v>
      </c>
      <c r="P1634">
        <v>88.47</v>
      </c>
      <c r="Q1634">
        <v>63576504</v>
      </c>
      <c r="R1634">
        <v>1.4</v>
      </c>
      <c r="S1634" t="s">
        <v>171</v>
      </c>
      <c r="T1634" t="s">
        <v>164</v>
      </c>
      <c r="U1634">
        <v>3.85</v>
      </c>
      <c r="V1634">
        <v>5.04</v>
      </c>
      <c r="W1634">
        <v>43476</v>
      </c>
      <c r="X1634">
        <v>82671</v>
      </c>
      <c r="Y1634">
        <v>0.53</v>
      </c>
      <c r="Z1634">
        <v>747</v>
      </c>
      <c r="AA1634">
        <v>4771</v>
      </c>
      <c r="AB1634" t="s">
        <v>32</v>
      </c>
      <c r="AC1634">
        <v>5.56</v>
      </c>
    </row>
    <row r="1635" spans="1:29">
      <c r="A1635" t="str">
        <f>"300264"</f>
        <v>300264</v>
      </c>
      <c r="B1635" t="s">
        <v>1804</v>
      </c>
      <c r="C1635">
        <v>1.08</v>
      </c>
      <c r="D1635">
        <v>5.6</v>
      </c>
      <c r="E1635">
        <v>0.06</v>
      </c>
      <c r="F1635">
        <v>5.6</v>
      </c>
      <c r="G1635">
        <v>5.61</v>
      </c>
      <c r="H1635">
        <v>24801</v>
      </c>
      <c r="I1635">
        <v>1340</v>
      </c>
      <c r="J1635">
        <v>-0.17</v>
      </c>
      <c r="K1635">
        <v>0.78</v>
      </c>
      <c r="L1635">
        <v>5.54</v>
      </c>
      <c r="M1635">
        <v>5.66</v>
      </c>
      <c r="N1635">
        <v>5.47</v>
      </c>
      <c r="O1635">
        <v>5.54</v>
      </c>
      <c r="P1635">
        <v>80.53</v>
      </c>
      <c r="Q1635">
        <v>13866109</v>
      </c>
      <c r="R1635">
        <v>1.16</v>
      </c>
      <c r="S1635" t="s">
        <v>119</v>
      </c>
      <c r="T1635" t="s">
        <v>31</v>
      </c>
      <c r="U1635">
        <v>3.43</v>
      </c>
      <c r="V1635">
        <v>5.59</v>
      </c>
      <c r="W1635">
        <v>11296</v>
      </c>
      <c r="X1635">
        <v>13505</v>
      </c>
      <c r="Y1635">
        <v>0.84</v>
      </c>
      <c r="Z1635">
        <v>2582</v>
      </c>
      <c r="AA1635">
        <v>85</v>
      </c>
      <c r="AB1635" t="s">
        <v>32</v>
      </c>
      <c r="AC1635">
        <v>3.19</v>
      </c>
    </row>
    <row r="1636" spans="1:29">
      <c r="A1636" t="str">
        <f>"300265"</f>
        <v>300265</v>
      </c>
      <c r="B1636" t="s">
        <v>1805</v>
      </c>
      <c r="C1636">
        <v>0.34</v>
      </c>
      <c r="D1636">
        <v>5.82</v>
      </c>
      <c r="E1636">
        <v>0.02</v>
      </c>
      <c r="F1636">
        <v>5.82</v>
      </c>
      <c r="G1636">
        <v>5.83</v>
      </c>
      <c r="H1636">
        <v>15406</v>
      </c>
      <c r="I1636">
        <v>147</v>
      </c>
      <c r="J1636">
        <v>-0.16</v>
      </c>
      <c r="K1636">
        <v>0.46</v>
      </c>
      <c r="L1636">
        <v>5.8</v>
      </c>
      <c r="M1636">
        <v>5.87</v>
      </c>
      <c r="N1636">
        <v>5.72</v>
      </c>
      <c r="O1636">
        <v>5.8</v>
      </c>
      <c r="P1636">
        <v>197.25</v>
      </c>
      <c r="Q1636">
        <v>8941738</v>
      </c>
      <c r="R1636">
        <v>0.7</v>
      </c>
      <c r="S1636" t="s">
        <v>104</v>
      </c>
      <c r="T1636" t="s">
        <v>87</v>
      </c>
      <c r="U1636">
        <v>2.59</v>
      </c>
      <c r="V1636">
        <v>5.8</v>
      </c>
      <c r="W1636">
        <v>8957</v>
      </c>
      <c r="X1636">
        <v>6449</v>
      </c>
      <c r="Y1636">
        <v>1.39</v>
      </c>
      <c r="Z1636">
        <v>33</v>
      </c>
      <c r="AA1636">
        <v>94</v>
      </c>
      <c r="AB1636" t="s">
        <v>32</v>
      </c>
      <c r="AC1636">
        <v>3.37</v>
      </c>
    </row>
    <row r="1637" spans="1:29">
      <c r="A1637" t="str">
        <f>"300266"</f>
        <v>300266</v>
      </c>
      <c r="B1637" t="s">
        <v>1806</v>
      </c>
      <c r="C1637">
        <v>3.25</v>
      </c>
      <c r="D1637">
        <v>5.09</v>
      </c>
      <c r="E1637">
        <v>0.16</v>
      </c>
      <c r="F1637">
        <v>5.08</v>
      </c>
      <c r="G1637">
        <v>5.09</v>
      </c>
      <c r="H1637">
        <v>843122</v>
      </c>
      <c r="I1637">
        <v>12667</v>
      </c>
      <c r="J1637">
        <v>0</v>
      </c>
      <c r="K1637">
        <v>5.8</v>
      </c>
      <c r="L1637">
        <v>4.94</v>
      </c>
      <c r="M1637">
        <v>5.21</v>
      </c>
      <c r="N1637">
        <v>4.9</v>
      </c>
      <c r="O1637">
        <v>4.93</v>
      </c>
      <c r="P1637">
        <v>63.53</v>
      </c>
      <c r="Q1637">
        <v>427385152</v>
      </c>
      <c r="R1637">
        <v>0.82</v>
      </c>
      <c r="S1637" t="s">
        <v>86</v>
      </c>
      <c r="T1637" t="s">
        <v>149</v>
      </c>
      <c r="U1637">
        <v>6.29</v>
      </c>
      <c r="V1637">
        <v>5.07</v>
      </c>
      <c r="W1637">
        <v>402937</v>
      </c>
      <c r="X1637">
        <v>440184</v>
      </c>
      <c r="Y1637">
        <v>0.92</v>
      </c>
      <c r="Z1637">
        <v>7732</v>
      </c>
      <c r="AA1637">
        <v>949</v>
      </c>
      <c r="AB1637" t="s">
        <v>32</v>
      </c>
      <c r="AC1637">
        <v>14.53</v>
      </c>
    </row>
    <row r="1638" spans="1:29">
      <c r="A1638" t="str">
        <f>"300267"</f>
        <v>300267</v>
      </c>
      <c r="B1638" t="s">
        <v>1807</v>
      </c>
      <c r="C1638">
        <v>1.44</v>
      </c>
      <c r="D1638">
        <v>4.22</v>
      </c>
      <c r="E1638">
        <v>0.06</v>
      </c>
      <c r="F1638">
        <v>4.22</v>
      </c>
      <c r="G1638">
        <v>4.23</v>
      </c>
      <c r="H1638">
        <v>123625</v>
      </c>
      <c r="I1638">
        <v>683</v>
      </c>
      <c r="J1638">
        <v>0</v>
      </c>
      <c r="K1638">
        <v>1.12</v>
      </c>
      <c r="L1638">
        <v>4.15</v>
      </c>
      <c r="M1638">
        <v>4.24</v>
      </c>
      <c r="N1638">
        <v>4.1</v>
      </c>
      <c r="O1638">
        <v>4.16</v>
      </c>
      <c r="P1638">
        <v>21.07</v>
      </c>
      <c r="Q1638">
        <v>51639360</v>
      </c>
      <c r="R1638">
        <v>1.47</v>
      </c>
      <c r="S1638" t="s">
        <v>142</v>
      </c>
      <c r="T1638" t="s">
        <v>152</v>
      </c>
      <c r="U1638">
        <v>3.37</v>
      </c>
      <c r="V1638">
        <v>4.18</v>
      </c>
      <c r="W1638">
        <v>59941</v>
      </c>
      <c r="X1638">
        <v>63683</v>
      </c>
      <c r="Y1638">
        <v>0.94</v>
      </c>
      <c r="Z1638">
        <v>868</v>
      </c>
      <c r="AA1638">
        <v>2134</v>
      </c>
      <c r="AB1638" t="s">
        <v>32</v>
      </c>
      <c r="AC1638">
        <v>11.05</v>
      </c>
    </row>
    <row r="1639" spans="1:29">
      <c r="A1639" t="str">
        <f>"300268"</f>
        <v>300268</v>
      </c>
      <c r="B1639" t="s">
        <v>1808</v>
      </c>
      <c r="C1639">
        <v>2.91</v>
      </c>
      <c r="D1639">
        <v>13.43</v>
      </c>
      <c r="E1639">
        <v>0.38</v>
      </c>
      <c r="F1639">
        <v>13.43</v>
      </c>
      <c r="G1639">
        <v>13.44</v>
      </c>
      <c r="H1639">
        <v>17422</v>
      </c>
      <c r="I1639">
        <v>393</v>
      </c>
      <c r="J1639">
        <v>0</v>
      </c>
      <c r="K1639">
        <v>1.77</v>
      </c>
      <c r="L1639">
        <v>13.1</v>
      </c>
      <c r="M1639">
        <v>13.49</v>
      </c>
      <c r="N1639">
        <v>13.1</v>
      </c>
      <c r="O1639">
        <v>13.05</v>
      </c>
      <c r="P1639">
        <v>374.05</v>
      </c>
      <c r="Q1639">
        <v>23295302</v>
      </c>
      <c r="R1639">
        <v>1.42</v>
      </c>
      <c r="S1639" t="s">
        <v>115</v>
      </c>
      <c r="T1639" t="s">
        <v>152</v>
      </c>
      <c r="U1639">
        <v>2.99</v>
      </c>
      <c r="V1639">
        <v>13.37</v>
      </c>
      <c r="W1639">
        <v>6517</v>
      </c>
      <c r="X1639">
        <v>10905</v>
      </c>
      <c r="Y1639">
        <v>0.6</v>
      </c>
      <c r="Z1639">
        <v>13</v>
      </c>
      <c r="AA1639">
        <v>42</v>
      </c>
      <c r="AB1639" t="s">
        <v>32</v>
      </c>
      <c r="AC1639">
        <v>0.98</v>
      </c>
    </row>
    <row r="1640" spans="1:29">
      <c r="A1640" t="str">
        <f>"300269"</f>
        <v>300269</v>
      </c>
      <c r="B1640" t="s">
        <v>1809</v>
      </c>
      <c r="C1640">
        <v>2.68</v>
      </c>
      <c r="D1640">
        <v>6.9</v>
      </c>
      <c r="E1640">
        <v>0.18</v>
      </c>
      <c r="F1640">
        <v>6.89</v>
      </c>
      <c r="G1640">
        <v>6.9</v>
      </c>
      <c r="H1640">
        <v>110947</v>
      </c>
      <c r="I1640">
        <v>2154</v>
      </c>
      <c r="J1640">
        <v>0</v>
      </c>
      <c r="K1640">
        <v>2.99</v>
      </c>
      <c r="L1640">
        <v>6.67</v>
      </c>
      <c r="M1640">
        <v>6.92</v>
      </c>
      <c r="N1640">
        <v>6.63</v>
      </c>
      <c r="O1640">
        <v>6.72</v>
      </c>
      <c r="P1640">
        <v>69.86</v>
      </c>
      <c r="Q1640">
        <v>75411280</v>
      </c>
      <c r="R1640">
        <v>0.76</v>
      </c>
      <c r="S1640" t="s">
        <v>699</v>
      </c>
      <c r="T1640" t="s">
        <v>31</v>
      </c>
      <c r="U1640">
        <v>4.32</v>
      </c>
      <c r="V1640">
        <v>6.8</v>
      </c>
      <c r="W1640">
        <v>52495</v>
      </c>
      <c r="X1640">
        <v>58452</v>
      </c>
      <c r="Y1640">
        <v>0.9</v>
      </c>
      <c r="Z1640">
        <v>250</v>
      </c>
      <c r="AA1640">
        <v>251</v>
      </c>
      <c r="AB1640" t="s">
        <v>32</v>
      </c>
      <c r="AC1640">
        <v>3.71</v>
      </c>
    </row>
    <row r="1641" spans="1:29">
      <c r="A1641" t="str">
        <f>"300270"</f>
        <v>300270</v>
      </c>
      <c r="B1641" t="s">
        <v>1810</v>
      </c>
      <c r="C1641">
        <v>1.64</v>
      </c>
      <c r="D1641">
        <v>9.3</v>
      </c>
      <c r="E1641">
        <v>0.15</v>
      </c>
      <c r="F1641">
        <v>9.29</v>
      </c>
      <c r="G1641">
        <v>9.3</v>
      </c>
      <c r="H1641">
        <v>74348</v>
      </c>
      <c r="I1641">
        <v>524</v>
      </c>
      <c r="J1641">
        <v>0.11</v>
      </c>
      <c r="K1641">
        <v>4.93</v>
      </c>
      <c r="L1641">
        <v>9.12</v>
      </c>
      <c r="M1641">
        <v>9.48</v>
      </c>
      <c r="N1641">
        <v>9.01</v>
      </c>
      <c r="O1641">
        <v>9.15</v>
      </c>
      <c r="P1641">
        <v>35.35</v>
      </c>
      <c r="Q1641">
        <v>68562160</v>
      </c>
      <c r="R1641">
        <v>1.84</v>
      </c>
      <c r="S1641" t="s">
        <v>119</v>
      </c>
      <c r="T1641" t="s">
        <v>149</v>
      </c>
      <c r="U1641">
        <v>5.14</v>
      </c>
      <c r="V1641">
        <v>9.22</v>
      </c>
      <c r="W1641">
        <v>27077</v>
      </c>
      <c r="X1641">
        <v>47270</v>
      </c>
      <c r="Y1641">
        <v>0.57</v>
      </c>
      <c r="Z1641">
        <v>256</v>
      </c>
      <c r="AA1641">
        <v>86</v>
      </c>
      <c r="AB1641" t="s">
        <v>32</v>
      </c>
      <c r="AC1641">
        <v>1.51</v>
      </c>
    </row>
    <row r="1642" spans="1:29">
      <c r="A1642" t="str">
        <f>"300271"</f>
        <v>300271</v>
      </c>
      <c r="B1642" t="s">
        <v>1811</v>
      </c>
      <c r="C1642">
        <v>-0.17</v>
      </c>
      <c r="D1642">
        <v>18.08</v>
      </c>
      <c r="E1642">
        <v>-0.03</v>
      </c>
      <c r="F1642">
        <v>18.07</v>
      </c>
      <c r="G1642">
        <v>18.08</v>
      </c>
      <c r="H1642">
        <v>105600</v>
      </c>
      <c r="I1642">
        <v>1542</v>
      </c>
      <c r="J1642">
        <v>0.22</v>
      </c>
      <c r="K1642">
        <v>2.06</v>
      </c>
      <c r="L1642">
        <v>18.13</v>
      </c>
      <c r="M1642">
        <v>18.35</v>
      </c>
      <c r="N1642">
        <v>17.85</v>
      </c>
      <c r="O1642">
        <v>18.11</v>
      </c>
      <c r="P1642">
        <v>67.42</v>
      </c>
      <c r="Q1642">
        <v>191533408</v>
      </c>
      <c r="R1642">
        <v>0.81</v>
      </c>
      <c r="S1642" t="s">
        <v>270</v>
      </c>
      <c r="T1642" t="s">
        <v>45</v>
      </c>
      <c r="U1642">
        <v>2.76</v>
      </c>
      <c r="V1642">
        <v>18.14</v>
      </c>
      <c r="W1642">
        <v>49412</v>
      </c>
      <c r="X1642">
        <v>56187</v>
      </c>
      <c r="Y1642">
        <v>0.88</v>
      </c>
      <c r="Z1642">
        <v>143</v>
      </c>
      <c r="AA1642">
        <v>892</v>
      </c>
      <c r="AB1642" t="s">
        <v>32</v>
      </c>
      <c r="AC1642">
        <v>5.12</v>
      </c>
    </row>
    <row r="1643" spans="1:29">
      <c r="A1643" t="str">
        <f>"300272"</f>
        <v>300272</v>
      </c>
      <c r="B1643" t="s">
        <v>1812</v>
      </c>
      <c r="C1643">
        <v>0.43</v>
      </c>
      <c r="D1643">
        <v>9.33</v>
      </c>
      <c r="E1643">
        <v>0.04</v>
      </c>
      <c r="F1643">
        <v>9.32</v>
      </c>
      <c r="G1643">
        <v>9.33</v>
      </c>
      <c r="H1643">
        <v>58464</v>
      </c>
      <c r="I1643">
        <v>867</v>
      </c>
      <c r="J1643">
        <v>0.11</v>
      </c>
      <c r="K1643">
        <v>2.19</v>
      </c>
      <c r="L1643">
        <v>9.21</v>
      </c>
      <c r="M1643">
        <v>9.36</v>
      </c>
      <c r="N1643">
        <v>9.21</v>
      </c>
      <c r="O1643">
        <v>9.29</v>
      </c>
      <c r="P1643">
        <v>3.14</v>
      </c>
      <c r="Q1643">
        <v>54341100</v>
      </c>
      <c r="R1643">
        <v>1.22</v>
      </c>
      <c r="S1643" t="s">
        <v>86</v>
      </c>
      <c r="T1643" t="s">
        <v>366</v>
      </c>
      <c r="U1643">
        <v>1.61</v>
      </c>
      <c r="V1643">
        <v>9.29</v>
      </c>
      <c r="W1643">
        <v>33106</v>
      </c>
      <c r="X1643">
        <v>25358</v>
      </c>
      <c r="Y1643">
        <v>1.31</v>
      </c>
      <c r="Z1643">
        <v>507</v>
      </c>
      <c r="AA1643">
        <v>702</v>
      </c>
      <c r="AB1643" t="s">
        <v>32</v>
      </c>
      <c r="AC1643">
        <v>2.67</v>
      </c>
    </row>
    <row r="1644" spans="1:29">
      <c r="A1644" t="str">
        <f>"300273"</f>
        <v>300273</v>
      </c>
      <c r="B1644" t="s">
        <v>1813</v>
      </c>
      <c r="C1644">
        <v>3.56</v>
      </c>
      <c r="D1644">
        <v>6.69</v>
      </c>
      <c r="E1644">
        <v>0.23</v>
      </c>
      <c r="F1644">
        <v>6.69</v>
      </c>
      <c r="G1644">
        <v>6.7</v>
      </c>
      <c r="H1644">
        <v>160631</v>
      </c>
      <c r="I1644">
        <v>2157</v>
      </c>
      <c r="J1644">
        <v>0</v>
      </c>
      <c r="K1644">
        <v>2.86</v>
      </c>
      <c r="L1644">
        <v>6.45</v>
      </c>
      <c r="M1644">
        <v>6.72</v>
      </c>
      <c r="N1644">
        <v>6.44</v>
      </c>
      <c r="O1644">
        <v>6.46</v>
      </c>
      <c r="P1644">
        <v>23.86</v>
      </c>
      <c r="Q1644">
        <v>106484800</v>
      </c>
      <c r="R1644">
        <v>1.65</v>
      </c>
      <c r="S1644" t="s">
        <v>138</v>
      </c>
      <c r="T1644" t="s">
        <v>136</v>
      </c>
      <c r="U1644">
        <v>4.33</v>
      </c>
      <c r="V1644">
        <v>6.63</v>
      </c>
      <c r="W1644">
        <v>59902</v>
      </c>
      <c r="X1644">
        <v>100728</v>
      </c>
      <c r="Y1644">
        <v>0.59</v>
      </c>
      <c r="Z1644">
        <v>163</v>
      </c>
      <c r="AA1644">
        <v>1342</v>
      </c>
      <c r="AB1644" t="s">
        <v>32</v>
      </c>
      <c r="AC1644">
        <v>5.62</v>
      </c>
    </row>
    <row r="1645" spans="1:29">
      <c r="A1645" t="str">
        <f>"300274"</f>
        <v>300274</v>
      </c>
      <c r="B1645" t="s">
        <v>1814</v>
      </c>
      <c r="C1645">
        <v>6.54</v>
      </c>
      <c r="D1645">
        <v>8.31</v>
      </c>
      <c r="E1645">
        <v>0.51</v>
      </c>
      <c r="F1645">
        <v>8.3</v>
      </c>
      <c r="G1645">
        <v>8.31</v>
      </c>
      <c r="H1645">
        <v>731722</v>
      </c>
      <c r="I1645">
        <v>8774</v>
      </c>
      <c r="J1645">
        <v>0</v>
      </c>
      <c r="K1645">
        <v>6.86</v>
      </c>
      <c r="L1645">
        <v>7.85</v>
      </c>
      <c r="M1645">
        <v>8.47</v>
      </c>
      <c r="N1645">
        <v>7.78</v>
      </c>
      <c r="O1645">
        <v>7.8</v>
      </c>
      <c r="P1645">
        <v>14.88</v>
      </c>
      <c r="Q1645">
        <v>598369792</v>
      </c>
      <c r="R1645">
        <v>2.15</v>
      </c>
      <c r="S1645" t="s">
        <v>104</v>
      </c>
      <c r="T1645" t="s">
        <v>143</v>
      </c>
      <c r="U1645">
        <v>8.85</v>
      </c>
      <c r="V1645">
        <v>8.18</v>
      </c>
      <c r="W1645">
        <v>333519</v>
      </c>
      <c r="X1645">
        <v>398203</v>
      </c>
      <c r="Y1645">
        <v>0.84</v>
      </c>
      <c r="Z1645">
        <v>3518</v>
      </c>
      <c r="AA1645">
        <v>1020</v>
      </c>
      <c r="AB1645" t="s">
        <v>32</v>
      </c>
      <c r="AC1645">
        <v>10.66</v>
      </c>
    </row>
    <row r="1646" spans="1:29">
      <c r="A1646" t="str">
        <f>"300275"</f>
        <v>300275</v>
      </c>
      <c r="B1646" t="s">
        <v>1815</v>
      </c>
      <c r="C1646">
        <v>2.02</v>
      </c>
      <c r="D1646">
        <v>9.1</v>
      </c>
      <c r="E1646">
        <v>0.18</v>
      </c>
      <c r="F1646">
        <v>9.09</v>
      </c>
      <c r="G1646">
        <v>9.1</v>
      </c>
      <c r="H1646">
        <v>22786</v>
      </c>
      <c r="I1646">
        <v>214</v>
      </c>
      <c r="J1646">
        <v>-0.1</v>
      </c>
      <c r="K1646">
        <v>1.92</v>
      </c>
      <c r="L1646">
        <v>8.9</v>
      </c>
      <c r="M1646">
        <v>9.17</v>
      </c>
      <c r="N1646">
        <v>8.89</v>
      </c>
      <c r="O1646">
        <v>8.92</v>
      </c>
      <c r="P1646">
        <v>89.8</v>
      </c>
      <c r="Q1646">
        <v>20592244</v>
      </c>
      <c r="R1646">
        <v>1.42</v>
      </c>
      <c r="S1646" t="s">
        <v>270</v>
      </c>
      <c r="T1646" t="s">
        <v>221</v>
      </c>
      <c r="U1646">
        <v>3.14</v>
      </c>
      <c r="V1646">
        <v>9.04</v>
      </c>
      <c r="W1646">
        <v>10032</v>
      </c>
      <c r="X1646">
        <v>12754</v>
      </c>
      <c r="Y1646">
        <v>0.79</v>
      </c>
      <c r="Z1646">
        <v>86</v>
      </c>
      <c r="AA1646">
        <v>30</v>
      </c>
      <c r="AB1646" t="s">
        <v>32</v>
      </c>
      <c r="AC1646">
        <v>1.19</v>
      </c>
    </row>
    <row r="1647" spans="1:29">
      <c r="A1647" t="str">
        <f>"300276"</f>
        <v>300276</v>
      </c>
      <c r="B1647" t="s">
        <v>1816</v>
      </c>
      <c r="C1647">
        <v>0.94</v>
      </c>
      <c r="D1647">
        <v>12.84</v>
      </c>
      <c r="E1647">
        <v>0.12</v>
      </c>
      <c r="F1647">
        <v>12.84</v>
      </c>
      <c r="G1647">
        <v>12.85</v>
      </c>
      <c r="H1647">
        <v>37835</v>
      </c>
      <c r="I1647">
        <v>316</v>
      </c>
      <c r="J1647">
        <v>0</v>
      </c>
      <c r="K1647">
        <v>1.89</v>
      </c>
      <c r="L1647">
        <v>12.73</v>
      </c>
      <c r="M1647">
        <v>13</v>
      </c>
      <c r="N1647">
        <v>12.6</v>
      </c>
      <c r="O1647">
        <v>12.72</v>
      </c>
      <c r="P1647">
        <v>49.78</v>
      </c>
      <c r="Q1647">
        <v>48557348</v>
      </c>
      <c r="R1647">
        <v>1.52</v>
      </c>
      <c r="S1647" t="s">
        <v>171</v>
      </c>
      <c r="T1647" t="s">
        <v>193</v>
      </c>
      <c r="U1647">
        <v>3.14</v>
      </c>
      <c r="V1647">
        <v>12.83</v>
      </c>
      <c r="W1647">
        <v>19720</v>
      </c>
      <c r="X1647">
        <v>18114</v>
      </c>
      <c r="Y1647">
        <v>1.09</v>
      </c>
      <c r="Z1647">
        <v>65</v>
      </c>
      <c r="AA1647">
        <v>303</v>
      </c>
      <c r="AB1647" t="s">
        <v>32</v>
      </c>
      <c r="AC1647">
        <v>2</v>
      </c>
    </row>
    <row r="1648" spans="1:29">
      <c r="A1648" t="str">
        <f>"300277"</f>
        <v>300277</v>
      </c>
      <c r="B1648" t="s">
        <v>1817</v>
      </c>
      <c r="C1648">
        <v>1.08</v>
      </c>
      <c r="D1648">
        <v>7.49</v>
      </c>
      <c r="E1648">
        <v>0.08</v>
      </c>
      <c r="F1648">
        <v>7.49</v>
      </c>
      <c r="G1648">
        <v>7.5</v>
      </c>
      <c r="H1648">
        <v>24550</v>
      </c>
      <c r="I1648">
        <v>386</v>
      </c>
      <c r="J1648">
        <v>-0.12</v>
      </c>
      <c r="K1648">
        <v>0.73</v>
      </c>
      <c r="L1648">
        <v>7.43</v>
      </c>
      <c r="M1648">
        <v>7.56</v>
      </c>
      <c r="N1648">
        <v>7.34</v>
      </c>
      <c r="O1648">
        <v>7.41</v>
      </c>
      <c r="P1648" t="s">
        <v>32</v>
      </c>
      <c r="Q1648">
        <v>18426500</v>
      </c>
      <c r="R1648">
        <v>1.08</v>
      </c>
      <c r="S1648" t="s">
        <v>270</v>
      </c>
      <c r="T1648" t="s">
        <v>31</v>
      </c>
      <c r="U1648">
        <v>2.97</v>
      </c>
      <c r="V1648">
        <v>7.51</v>
      </c>
      <c r="W1648">
        <v>11054</v>
      </c>
      <c r="X1648">
        <v>13496</v>
      </c>
      <c r="Y1648">
        <v>0.82</v>
      </c>
      <c r="Z1648">
        <v>903</v>
      </c>
      <c r="AA1648">
        <v>416</v>
      </c>
      <c r="AB1648" t="s">
        <v>32</v>
      </c>
      <c r="AC1648">
        <v>3.34</v>
      </c>
    </row>
    <row r="1649" spans="1:29">
      <c r="A1649" t="str">
        <f>"300278"</f>
        <v>300278</v>
      </c>
      <c r="B1649" t="s">
        <v>1818</v>
      </c>
      <c r="C1649">
        <v>0.43</v>
      </c>
      <c r="D1649">
        <v>9.37</v>
      </c>
      <c r="E1649">
        <v>0.04</v>
      </c>
      <c r="F1649">
        <v>9.37</v>
      </c>
      <c r="G1649">
        <v>9.38</v>
      </c>
      <c r="H1649">
        <v>149845</v>
      </c>
      <c r="I1649">
        <v>2374</v>
      </c>
      <c r="J1649">
        <v>0</v>
      </c>
      <c r="K1649">
        <v>5.59</v>
      </c>
      <c r="L1649">
        <v>9.37</v>
      </c>
      <c r="M1649">
        <v>9.49</v>
      </c>
      <c r="N1649">
        <v>9.18</v>
      </c>
      <c r="O1649">
        <v>9.33</v>
      </c>
      <c r="P1649">
        <v>109.08</v>
      </c>
      <c r="Q1649">
        <v>139559344</v>
      </c>
      <c r="R1649">
        <v>0.66</v>
      </c>
      <c r="S1649" t="s">
        <v>171</v>
      </c>
      <c r="T1649" t="s">
        <v>193</v>
      </c>
      <c r="U1649">
        <v>3.32</v>
      </c>
      <c r="V1649">
        <v>9.31</v>
      </c>
      <c r="W1649">
        <v>76620</v>
      </c>
      <c r="X1649">
        <v>73225</v>
      </c>
      <c r="Y1649">
        <v>1.05</v>
      </c>
      <c r="Z1649">
        <v>597</v>
      </c>
      <c r="AA1649">
        <v>897</v>
      </c>
      <c r="AB1649" t="s">
        <v>32</v>
      </c>
      <c r="AC1649">
        <v>2.68</v>
      </c>
    </row>
    <row r="1650" spans="1:29">
      <c r="A1650" t="str">
        <f>"300279"</f>
        <v>300279</v>
      </c>
      <c r="B1650" t="s">
        <v>1819</v>
      </c>
      <c r="C1650">
        <v>0.43</v>
      </c>
      <c r="D1650">
        <v>7.08</v>
      </c>
      <c r="E1650">
        <v>0.03</v>
      </c>
      <c r="F1650">
        <v>7.07</v>
      </c>
      <c r="G1650">
        <v>7.08</v>
      </c>
      <c r="H1650">
        <v>92561</v>
      </c>
      <c r="I1650">
        <v>2373</v>
      </c>
      <c r="J1650">
        <v>0</v>
      </c>
      <c r="K1650">
        <v>2.99</v>
      </c>
      <c r="L1650">
        <v>7.05</v>
      </c>
      <c r="M1650">
        <v>7.14</v>
      </c>
      <c r="N1650">
        <v>6.95</v>
      </c>
      <c r="O1650">
        <v>7.05</v>
      </c>
      <c r="P1650">
        <v>29.23</v>
      </c>
      <c r="Q1650">
        <v>65352016</v>
      </c>
      <c r="R1650">
        <v>1.11</v>
      </c>
      <c r="S1650" t="s">
        <v>63</v>
      </c>
      <c r="T1650" t="s">
        <v>87</v>
      </c>
      <c r="U1650">
        <v>2.7</v>
      </c>
      <c r="V1650">
        <v>7.06</v>
      </c>
      <c r="W1650">
        <v>55366</v>
      </c>
      <c r="X1650">
        <v>37195</v>
      </c>
      <c r="Y1650">
        <v>1.49</v>
      </c>
      <c r="Z1650">
        <v>292</v>
      </c>
      <c r="AA1650">
        <v>351</v>
      </c>
      <c r="AB1650" t="s">
        <v>32</v>
      </c>
      <c r="AC1650">
        <v>3.1</v>
      </c>
    </row>
    <row r="1651" spans="1:29">
      <c r="A1651" t="str">
        <f>"300280"</f>
        <v>300280</v>
      </c>
      <c r="B1651" t="s">
        <v>1820</v>
      </c>
      <c r="C1651">
        <v>0</v>
      </c>
      <c r="D1651">
        <v>30.57</v>
      </c>
      <c r="E1651">
        <v>0</v>
      </c>
      <c r="F1651">
        <v>30.57</v>
      </c>
      <c r="G1651">
        <v>30.58</v>
      </c>
      <c r="H1651">
        <v>7602</v>
      </c>
      <c r="I1651">
        <v>337</v>
      </c>
      <c r="J1651">
        <v>0.36</v>
      </c>
      <c r="K1651">
        <v>0.59</v>
      </c>
      <c r="L1651">
        <v>30.75</v>
      </c>
      <c r="M1651">
        <v>30.75</v>
      </c>
      <c r="N1651">
        <v>30.43</v>
      </c>
      <c r="O1651">
        <v>30.57</v>
      </c>
      <c r="P1651">
        <v>975.59</v>
      </c>
      <c r="Q1651">
        <v>23202638</v>
      </c>
      <c r="R1651">
        <v>0.72</v>
      </c>
      <c r="S1651" t="s">
        <v>171</v>
      </c>
      <c r="T1651" t="s">
        <v>87</v>
      </c>
      <c r="U1651">
        <v>1.05</v>
      </c>
      <c r="V1651">
        <v>30.52</v>
      </c>
      <c r="W1651">
        <v>1998</v>
      </c>
      <c r="X1651">
        <v>5603</v>
      </c>
      <c r="Y1651">
        <v>0.36</v>
      </c>
      <c r="Z1651">
        <v>71</v>
      </c>
      <c r="AA1651">
        <v>50</v>
      </c>
      <c r="AB1651" t="s">
        <v>32</v>
      </c>
      <c r="AC1651">
        <v>1.28</v>
      </c>
    </row>
    <row r="1652" spans="1:29">
      <c r="A1652" t="str">
        <f>"300281"</f>
        <v>300281</v>
      </c>
      <c r="B1652" t="s">
        <v>1821</v>
      </c>
      <c r="C1652">
        <v>0.48</v>
      </c>
      <c r="D1652">
        <v>6.27</v>
      </c>
      <c r="E1652">
        <v>0.03</v>
      </c>
      <c r="F1652">
        <v>6.27</v>
      </c>
      <c r="G1652">
        <v>6.28</v>
      </c>
      <c r="H1652">
        <v>20102</v>
      </c>
      <c r="I1652">
        <v>328</v>
      </c>
      <c r="J1652">
        <v>0</v>
      </c>
      <c r="K1652">
        <v>0.91</v>
      </c>
      <c r="L1652">
        <v>6.25</v>
      </c>
      <c r="M1652">
        <v>6.29</v>
      </c>
      <c r="N1652">
        <v>6.17</v>
      </c>
      <c r="O1652">
        <v>6.24</v>
      </c>
      <c r="P1652">
        <v>69.65</v>
      </c>
      <c r="Q1652">
        <v>12533582</v>
      </c>
      <c r="R1652">
        <v>1.61</v>
      </c>
      <c r="S1652" t="s">
        <v>171</v>
      </c>
      <c r="T1652" t="s">
        <v>136</v>
      </c>
      <c r="U1652">
        <v>1.92</v>
      </c>
      <c r="V1652">
        <v>6.24</v>
      </c>
      <c r="W1652">
        <v>11172</v>
      </c>
      <c r="X1652">
        <v>8929</v>
      </c>
      <c r="Y1652">
        <v>1.25</v>
      </c>
      <c r="Z1652">
        <v>73</v>
      </c>
      <c r="AA1652">
        <v>1209</v>
      </c>
      <c r="AB1652" t="s">
        <v>32</v>
      </c>
      <c r="AC1652">
        <v>2.21</v>
      </c>
    </row>
    <row r="1653" spans="1:29">
      <c r="A1653" t="str">
        <f>"300282"</f>
        <v>300282</v>
      </c>
      <c r="B1653" t="s">
        <v>1822</v>
      </c>
      <c r="C1653">
        <v>-0.19</v>
      </c>
      <c r="D1653">
        <v>15.5</v>
      </c>
      <c r="E1653">
        <v>-0.03</v>
      </c>
      <c r="F1653">
        <v>15.49</v>
      </c>
      <c r="G1653">
        <v>15.5</v>
      </c>
      <c r="H1653">
        <v>8112</v>
      </c>
      <c r="I1653">
        <v>330</v>
      </c>
      <c r="J1653">
        <v>0.13</v>
      </c>
      <c r="K1653">
        <v>0.36</v>
      </c>
      <c r="L1653">
        <v>15.52</v>
      </c>
      <c r="M1653">
        <v>15.64</v>
      </c>
      <c r="N1653">
        <v>15.38</v>
      </c>
      <c r="O1653">
        <v>15.53</v>
      </c>
      <c r="P1653">
        <v>54.4</v>
      </c>
      <c r="Q1653">
        <v>12569427</v>
      </c>
      <c r="R1653">
        <v>1.06</v>
      </c>
      <c r="S1653" t="s">
        <v>57</v>
      </c>
      <c r="T1653" t="s">
        <v>45</v>
      </c>
      <c r="U1653">
        <v>1.67</v>
      </c>
      <c r="V1653">
        <v>15.5</v>
      </c>
      <c r="W1653">
        <v>4289</v>
      </c>
      <c r="X1653">
        <v>3822</v>
      </c>
      <c r="Y1653">
        <v>1.12</v>
      </c>
      <c r="Z1653">
        <v>13</v>
      </c>
      <c r="AA1653">
        <v>62</v>
      </c>
      <c r="AB1653" t="s">
        <v>32</v>
      </c>
      <c r="AC1653">
        <v>2.23</v>
      </c>
    </row>
    <row r="1654" spans="1:29">
      <c r="A1654" t="str">
        <f>"300283"</f>
        <v>300283</v>
      </c>
      <c r="B1654" t="s">
        <v>1823</v>
      </c>
      <c r="C1654">
        <v>1</v>
      </c>
      <c r="D1654">
        <v>5.03</v>
      </c>
      <c r="E1654">
        <v>0.05</v>
      </c>
      <c r="F1654">
        <v>5.02</v>
      </c>
      <c r="G1654">
        <v>5.03</v>
      </c>
      <c r="H1654">
        <v>46727</v>
      </c>
      <c r="I1654">
        <v>584</v>
      </c>
      <c r="J1654">
        <v>-0.19</v>
      </c>
      <c r="K1654">
        <v>2.25</v>
      </c>
      <c r="L1654">
        <v>4.95</v>
      </c>
      <c r="M1654">
        <v>5.04</v>
      </c>
      <c r="N1654">
        <v>4.91</v>
      </c>
      <c r="O1654">
        <v>4.98</v>
      </c>
      <c r="P1654">
        <v>41.94</v>
      </c>
      <c r="Q1654">
        <v>23264494</v>
      </c>
      <c r="R1654">
        <v>1.43</v>
      </c>
      <c r="S1654" t="s">
        <v>104</v>
      </c>
      <c r="T1654" t="s">
        <v>149</v>
      </c>
      <c r="U1654">
        <v>2.61</v>
      </c>
      <c r="V1654">
        <v>4.98</v>
      </c>
      <c r="W1654">
        <v>24343</v>
      </c>
      <c r="X1654">
        <v>22383</v>
      </c>
      <c r="Y1654">
        <v>1.09</v>
      </c>
      <c r="Z1654">
        <v>315</v>
      </c>
      <c r="AA1654">
        <v>152</v>
      </c>
      <c r="AB1654" t="s">
        <v>32</v>
      </c>
      <c r="AC1654">
        <v>2.07</v>
      </c>
    </row>
    <row r="1655" spans="1:29">
      <c r="A1655" t="str">
        <f>"300284"</f>
        <v>300284</v>
      </c>
      <c r="B1655" t="s">
        <v>1824</v>
      </c>
      <c r="C1655">
        <v>9.96</v>
      </c>
      <c r="D1655">
        <v>10.38</v>
      </c>
      <c r="E1655">
        <v>0.94</v>
      </c>
      <c r="F1655">
        <v>10.38</v>
      </c>
      <c r="G1655" t="s">
        <v>32</v>
      </c>
      <c r="H1655">
        <v>342913</v>
      </c>
      <c r="I1655">
        <v>569</v>
      </c>
      <c r="J1655">
        <v>0</v>
      </c>
      <c r="K1655">
        <v>6.52</v>
      </c>
      <c r="L1655">
        <v>9.7</v>
      </c>
      <c r="M1655">
        <v>10.38</v>
      </c>
      <c r="N1655">
        <v>9.7</v>
      </c>
      <c r="O1655">
        <v>9.44</v>
      </c>
      <c r="P1655">
        <v>29.61</v>
      </c>
      <c r="Q1655">
        <v>352048320</v>
      </c>
      <c r="R1655">
        <v>3.29</v>
      </c>
      <c r="S1655" t="s">
        <v>49</v>
      </c>
      <c r="T1655" t="s">
        <v>87</v>
      </c>
      <c r="U1655">
        <v>7.2</v>
      </c>
      <c r="V1655">
        <v>10.27</v>
      </c>
      <c r="W1655">
        <v>151136</v>
      </c>
      <c r="X1655">
        <v>191776</v>
      </c>
      <c r="Y1655">
        <v>0.79</v>
      </c>
      <c r="Z1655">
        <v>4247</v>
      </c>
      <c r="AA1655">
        <v>0</v>
      </c>
      <c r="AB1655" t="s">
        <v>32</v>
      </c>
      <c r="AC1655">
        <v>5.26</v>
      </c>
    </row>
    <row r="1656" spans="1:29">
      <c r="A1656" t="str">
        <f>"300285"</f>
        <v>300285</v>
      </c>
      <c r="B1656" t="s">
        <v>1825</v>
      </c>
      <c r="C1656">
        <v>-2.92</v>
      </c>
      <c r="D1656">
        <v>20.97</v>
      </c>
      <c r="E1656">
        <v>-0.63</v>
      </c>
      <c r="F1656">
        <v>20.96</v>
      </c>
      <c r="G1656">
        <v>20.97</v>
      </c>
      <c r="H1656">
        <v>110548</v>
      </c>
      <c r="I1656">
        <v>1009</v>
      </c>
      <c r="J1656">
        <v>0.19</v>
      </c>
      <c r="K1656">
        <v>2.71</v>
      </c>
      <c r="L1656">
        <v>21.45</v>
      </c>
      <c r="M1656">
        <v>21.6</v>
      </c>
      <c r="N1656">
        <v>20.53</v>
      </c>
      <c r="O1656">
        <v>21.6</v>
      </c>
      <c r="P1656">
        <v>44.7</v>
      </c>
      <c r="Q1656">
        <v>230664304</v>
      </c>
      <c r="R1656">
        <v>1.39</v>
      </c>
      <c r="S1656" t="s">
        <v>1630</v>
      </c>
      <c r="T1656" t="s">
        <v>162</v>
      </c>
      <c r="U1656">
        <v>4.95</v>
      </c>
      <c r="V1656">
        <v>20.87</v>
      </c>
      <c r="W1656">
        <v>57697</v>
      </c>
      <c r="X1656">
        <v>52850</v>
      </c>
      <c r="Y1656">
        <v>1.09</v>
      </c>
      <c r="Z1656">
        <v>17</v>
      </c>
      <c r="AA1656">
        <v>10</v>
      </c>
      <c r="AB1656" t="s">
        <v>32</v>
      </c>
      <c r="AC1656">
        <v>4.08</v>
      </c>
    </row>
    <row r="1657" spans="1:29">
      <c r="A1657" t="str">
        <f>"300286"</f>
        <v>300286</v>
      </c>
      <c r="B1657" t="s">
        <v>1826</v>
      </c>
      <c r="C1657">
        <v>1.28</v>
      </c>
      <c r="D1657">
        <v>9.5</v>
      </c>
      <c r="E1657">
        <v>0.12</v>
      </c>
      <c r="F1657">
        <v>9.49</v>
      </c>
      <c r="G1657">
        <v>9.5</v>
      </c>
      <c r="H1657">
        <v>10869</v>
      </c>
      <c r="I1657">
        <v>70</v>
      </c>
      <c r="J1657">
        <v>0.11</v>
      </c>
      <c r="K1657">
        <v>0.66</v>
      </c>
      <c r="L1657">
        <v>9.41</v>
      </c>
      <c r="M1657">
        <v>9.55</v>
      </c>
      <c r="N1657">
        <v>9.35</v>
      </c>
      <c r="O1657">
        <v>9.38</v>
      </c>
      <c r="P1657">
        <v>24.33</v>
      </c>
      <c r="Q1657">
        <v>10289408</v>
      </c>
      <c r="R1657">
        <v>1.26</v>
      </c>
      <c r="S1657" t="s">
        <v>606</v>
      </c>
      <c r="T1657" t="s">
        <v>366</v>
      </c>
      <c r="U1657">
        <v>2.13</v>
      </c>
      <c r="V1657">
        <v>9.47</v>
      </c>
      <c r="W1657">
        <v>5296</v>
      </c>
      <c r="X1657">
        <v>5572</v>
      </c>
      <c r="Y1657">
        <v>0.95</v>
      </c>
      <c r="Z1657">
        <v>100</v>
      </c>
      <c r="AA1657">
        <v>163</v>
      </c>
      <c r="AB1657" t="s">
        <v>32</v>
      </c>
      <c r="AC1657">
        <v>1.64</v>
      </c>
    </row>
    <row r="1658" spans="1:29">
      <c r="A1658" t="str">
        <f>"300287"</f>
        <v>300287</v>
      </c>
      <c r="B1658" t="s">
        <v>1827</v>
      </c>
      <c r="C1658">
        <v>1.9</v>
      </c>
      <c r="D1658">
        <v>6.99</v>
      </c>
      <c r="E1658">
        <v>0.13</v>
      </c>
      <c r="F1658">
        <v>6.98</v>
      </c>
      <c r="G1658">
        <v>6.99</v>
      </c>
      <c r="H1658">
        <v>469698</v>
      </c>
      <c r="I1658">
        <v>7662</v>
      </c>
      <c r="J1658">
        <v>0.29</v>
      </c>
      <c r="K1658">
        <v>4.2</v>
      </c>
      <c r="L1658">
        <v>6.86</v>
      </c>
      <c r="M1658">
        <v>7.01</v>
      </c>
      <c r="N1658">
        <v>6.78</v>
      </c>
      <c r="O1658">
        <v>6.86</v>
      </c>
      <c r="P1658">
        <v>25.58</v>
      </c>
      <c r="Q1658">
        <v>325910560</v>
      </c>
      <c r="R1658">
        <v>2.49</v>
      </c>
      <c r="S1658" t="s">
        <v>270</v>
      </c>
      <c r="T1658" t="s">
        <v>45</v>
      </c>
      <c r="U1658">
        <v>3.35</v>
      </c>
      <c r="V1658">
        <v>6.94</v>
      </c>
      <c r="W1658">
        <v>189656</v>
      </c>
      <c r="X1658">
        <v>280041</v>
      </c>
      <c r="Y1658">
        <v>0.68</v>
      </c>
      <c r="Z1658">
        <v>1103</v>
      </c>
      <c r="AA1658">
        <v>22638</v>
      </c>
      <c r="AB1658" t="s">
        <v>32</v>
      </c>
      <c r="AC1658">
        <v>11.19</v>
      </c>
    </row>
    <row r="1659" spans="1:29">
      <c r="A1659" t="str">
        <f>"300288"</f>
        <v>300288</v>
      </c>
      <c r="B1659" t="s">
        <v>1828</v>
      </c>
      <c r="C1659">
        <v>1.65</v>
      </c>
      <c r="D1659">
        <v>15.97</v>
      </c>
      <c r="E1659">
        <v>0.26</v>
      </c>
      <c r="F1659">
        <v>15.97</v>
      </c>
      <c r="G1659">
        <v>15.98</v>
      </c>
      <c r="H1659">
        <v>44657</v>
      </c>
      <c r="I1659">
        <v>502</v>
      </c>
      <c r="J1659">
        <v>0.06</v>
      </c>
      <c r="K1659">
        <v>2.2</v>
      </c>
      <c r="L1659">
        <v>15.84</v>
      </c>
      <c r="M1659">
        <v>16.05</v>
      </c>
      <c r="N1659">
        <v>15.42</v>
      </c>
      <c r="O1659">
        <v>15.71</v>
      </c>
      <c r="P1659">
        <v>62.83</v>
      </c>
      <c r="Q1659">
        <v>70703160</v>
      </c>
      <c r="R1659">
        <v>1.47</v>
      </c>
      <c r="S1659" t="s">
        <v>270</v>
      </c>
      <c r="T1659" t="s">
        <v>253</v>
      </c>
      <c r="U1659">
        <v>4.01</v>
      </c>
      <c r="V1659">
        <v>15.83</v>
      </c>
      <c r="W1659">
        <v>21923</v>
      </c>
      <c r="X1659">
        <v>22733</v>
      </c>
      <c r="Y1659">
        <v>0.96</v>
      </c>
      <c r="Z1659">
        <v>292</v>
      </c>
      <c r="AA1659">
        <v>161</v>
      </c>
      <c r="AB1659" t="s">
        <v>32</v>
      </c>
      <c r="AC1659">
        <v>2.03</v>
      </c>
    </row>
    <row r="1660" spans="1:29">
      <c r="A1660" t="str">
        <f>"300289"</f>
        <v>300289</v>
      </c>
      <c r="B1660" t="s">
        <v>1829</v>
      </c>
      <c r="C1660">
        <v>5.23</v>
      </c>
      <c r="D1660">
        <v>6.44</v>
      </c>
      <c r="E1660">
        <v>0.32</v>
      </c>
      <c r="F1660">
        <v>6.44</v>
      </c>
      <c r="G1660">
        <v>6.45</v>
      </c>
      <c r="H1660">
        <v>79173</v>
      </c>
      <c r="I1660">
        <v>731</v>
      </c>
      <c r="J1660">
        <v>0.16</v>
      </c>
      <c r="K1660">
        <v>2.46</v>
      </c>
      <c r="L1660">
        <v>6.14</v>
      </c>
      <c r="M1660">
        <v>6.5</v>
      </c>
      <c r="N1660">
        <v>6.1</v>
      </c>
      <c r="O1660">
        <v>6.12</v>
      </c>
      <c r="P1660">
        <v>37.18</v>
      </c>
      <c r="Q1660">
        <v>50224944</v>
      </c>
      <c r="R1660">
        <v>1.99</v>
      </c>
      <c r="S1660" t="s">
        <v>36</v>
      </c>
      <c r="T1660" t="s">
        <v>45</v>
      </c>
      <c r="U1660">
        <v>6.54</v>
      </c>
      <c r="V1660">
        <v>6.34</v>
      </c>
      <c r="W1660">
        <v>36896</v>
      </c>
      <c r="X1660">
        <v>42277</v>
      </c>
      <c r="Y1660">
        <v>0.87</v>
      </c>
      <c r="Z1660">
        <v>109</v>
      </c>
      <c r="AA1660">
        <v>144</v>
      </c>
      <c r="AB1660" t="s">
        <v>32</v>
      </c>
      <c r="AC1660">
        <v>3.21</v>
      </c>
    </row>
    <row r="1661" spans="1:29">
      <c r="A1661" t="str">
        <f>"300290"</f>
        <v>300290</v>
      </c>
      <c r="B1661" t="s">
        <v>1830</v>
      </c>
      <c r="C1661">
        <v>0.4</v>
      </c>
      <c r="D1661">
        <v>7.59</v>
      </c>
      <c r="E1661">
        <v>0.03</v>
      </c>
      <c r="F1661">
        <v>7.59</v>
      </c>
      <c r="G1661">
        <v>7.6</v>
      </c>
      <c r="H1661">
        <v>78672</v>
      </c>
      <c r="I1661">
        <v>1955</v>
      </c>
      <c r="J1661">
        <v>0.13</v>
      </c>
      <c r="K1661">
        <v>2.45</v>
      </c>
      <c r="L1661">
        <v>7.55</v>
      </c>
      <c r="M1661">
        <v>7.65</v>
      </c>
      <c r="N1661">
        <v>7.41</v>
      </c>
      <c r="O1661">
        <v>7.56</v>
      </c>
      <c r="P1661">
        <v>117.36</v>
      </c>
      <c r="Q1661">
        <v>59421008</v>
      </c>
      <c r="R1661">
        <v>0.69</v>
      </c>
      <c r="S1661" t="s">
        <v>270</v>
      </c>
      <c r="T1661" t="s">
        <v>111</v>
      </c>
      <c r="U1661">
        <v>3.17</v>
      </c>
      <c r="V1661">
        <v>7.55</v>
      </c>
      <c r="W1661">
        <v>44007</v>
      </c>
      <c r="X1661">
        <v>34664</v>
      </c>
      <c r="Y1661">
        <v>1.27</v>
      </c>
      <c r="Z1661">
        <v>255</v>
      </c>
      <c r="AA1661">
        <v>286</v>
      </c>
      <c r="AB1661" t="s">
        <v>32</v>
      </c>
      <c r="AC1661">
        <v>3.21</v>
      </c>
    </row>
    <row r="1662" spans="1:29">
      <c r="A1662" t="str">
        <f>"300291"</f>
        <v>300291</v>
      </c>
      <c r="B1662" t="s">
        <v>1831</v>
      </c>
      <c r="C1662">
        <v>1.94</v>
      </c>
      <c r="D1662">
        <v>6.83</v>
      </c>
      <c r="E1662">
        <v>0.13</v>
      </c>
      <c r="F1662">
        <v>6.83</v>
      </c>
      <c r="G1662">
        <v>6.84</v>
      </c>
      <c r="H1662">
        <v>44590</v>
      </c>
      <c r="I1662">
        <v>727</v>
      </c>
      <c r="J1662">
        <v>0</v>
      </c>
      <c r="K1662">
        <v>0.75</v>
      </c>
      <c r="L1662">
        <v>6.73</v>
      </c>
      <c r="M1662">
        <v>6.84</v>
      </c>
      <c r="N1662">
        <v>6.65</v>
      </c>
      <c r="O1662">
        <v>6.7</v>
      </c>
      <c r="P1662" t="s">
        <v>32</v>
      </c>
      <c r="Q1662">
        <v>30152926</v>
      </c>
      <c r="R1662">
        <v>0.98</v>
      </c>
      <c r="S1662" t="s">
        <v>148</v>
      </c>
      <c r="T1662" t="s">
        <v>45</v>
      </c>
      <c r="U1662">
        <v>2.84</v>
      </c>
      <c r="V1662">
        <v>6.76</v>
      </c>
      <c r="W1662">
        <v>20075</v>
      </c>
      <c r="X1662">
        <v>24515</v>
      </c>
      <c r="Y1662">
        <v>0.82</v>
      </c>
      <c r="Z1662">
        <v>362</v>
      </c>
      <c r="AA1662">
        <v>254</v>
      </c>
      <c r="AB1662" t="s">
        <v>32</v>
      </c>
      <c r="AC1662">
        <v>5.97</v>
      </c>
    </row>
    <row r="1663" spans="1:29">
      <c r="A1663" t="str">
        <f>"300292"</f>
        <v>300292</v>
      </c>
      <c r="B1663" t="s">
        <v>1832</v>
      </c>
      <c r="C1663">
        <v>1.1</v>
      </c>
      <c r="D1663">
        <v>3.67</v>
      </c>
      <c r="E1663">
        <v>0.04</v>
      </c>
      <c r="F1663">
        <v>3.66</v>
      </c>
      <c r="G1663">
        <v>3.67</v>
      </c>
      <c r="H1663">
        <v>137102</v>
      </c>
      <c r="I1663">
        <v>2788</v>
      </c>
      <c r="J1663">
        <v>0.27</v>
      </c>
      <c r="K1663">
        <v>1.66</v>
      </c>
      <c r="L1663">
        <v>3.61</v>
      </c>
      <c r="M1663">
        <v>3.68</v>
      </c>
      <c r="N1663">
        <v>3.59</v>
      </c>
      <c r="O1663">
        <v>3.63</v>
      </c>
      <c r="P1663">
        <v>23.8</v>
      </c>
      <c r="Q1663">
        <v>50005648</v>
      </c>
      <c r="R1663">
        <v>0.69</v>
      </c>
      <c r="S1663" t="s">
        <v>119</v>
      </c>
      <c r="T1663" t="s">
        <v>87</v>
      </c>
      <c r="U1663">
        <v>2.48</v>
      </c>
      <c r="V1663">
        <v>3.65</v>
      </c>
      <c r="W1663">
        <v>76409</v>
      </c>
      <c r="X1663">
        <v>60692</v>
      </c>
      <c r="Y1663">
        <v>1.26</v>
      </c>
      <c r="Z1663">
        <v>1607</v>
      </c>
      <c r="AA1663">
        <v>177</v>
      </c>
      <c r="AB1663" t="s">
        <v>32</v>
      </c>
      <c r="AC1663">
        <v>8.25</v>
      </c>
    </row>
    <row r="1664" spans="1:29">
      <c r="A1664" t="str">
        <f>"300293"</f>
        <v>300293</v>
      </c>
      <c r="B1664" t="s">
        <v>1833</v>
      </c>
      <c r="C1664">
        <v>2.54</v>
      </c>
      <c r="D1664">
        <v>10.08</v>
      </c>
      <c r="E1664">
        <v>0.25</v>
      </c>
      <c r="F1664">
        <v>10.07</v>
      </c>
      <c r="G1664">
        <v>10.08</v>
      </c>
      <c r="H1664">
        <v>42983</v>
      </c>
      <c r="I1664">
        <v>1362</v>
      </c>
      <c r="J1664">
        <v>0.4</v>
      </c>
      <c r="K1664">
        <v>1.59</v>
      </c>
      <c r="L1664">
        <v>9.89</v>
      </c>
      <c r="M1664">
        <v>10.08</v>
      </c>
      <c r="N1664">
        <v>9.75</v>
      </c>
      <c r="O1664">
        <v>9.83</v>
      </c>
      <c r="P1664">
        <v>73.78</v>
      </c>
      <c r="Q1664">
        <v>42780988</v>
      </c>
      <c r="R1664">
        <v>1.76</v>
      </c>
      <c r="S1664" t="s">
        <v>171</v>
      </c>
      <c r="T1664" t="s">
        <v>111</v>
      </c>
      <c r="U1664">
        <v>3.36</v>
      </c>
      <c r="V1664">
        <v>9.95</v>
      </c>
      <c r="W1664">
        <v>18813</v>
      </c>
      <c r="X1664">
        <v>24170</v>
      </c>
      <c r="Y1664">
        <v>0.78</v>
      </c>
      <c r="Z1664">
        <v>85</v>
      </c>
      <c r="AA1664">
        <v>525</v>
      </c>
      <c r="AB1664" t="s">
        <v>32</v>
      </c>
      <c r="AC1664">
        <v>2.7</v>
      </c>
    </row>
    <row r="1665" spans="1:29">
      <c r="A1665" t="str">
        <f>"300294"</f>
        <v>300294</v>
      </c>
      <c r="B1665" t="s">
        <v>1834</v>
      </c>
      <c r="C1665">
        <v>1.72</v>
      </c>
      <c r="D1665">
        <v>31.93</v>
      </c>
      <c r="E1665">
        <v>0.54</v>
      </c>
      <c r="F1665">
        <v>31.93</v>
      </c>
      <c r="G1665">
        <v>31.94</v>
      </c>
      <c r="H1665">
        <v>12299</v>
      </c>
      <c r="I1665">
        <v>39</v>
      </c>
      <c r="J1665">
        <v>0.35</v>
      </c>
      <c r="K1665">
        <v>0.36</v>
      </c>
      <c r="L1665">
        <v>31.34</v>
      </c>
      <c r="M1665">
        <v>32.08</v>
      </c>
      <c r="N1665">
        <v>31.15</v>
      </c>
      <c r="O1665">
        <v>31.39</v>
      </c>
      <c r="P1665">
        <v>47.69</v>
      </c>
      <c r="Q1665">
        <v>39026912</v>
      </c>
      <c r="R1665">
        <v>1.16</v>
      </c>
      <c r="S1665" t="s">
        <v>36</v>
      </c>
      <c r="T1665" t="s">
        <v>172</v>
      </c>
      <c r="U1665">
        <v>2.96</v>
      </c>
      <c r="V1665">
        <v>31.73</v>
      </c>
      <c r="W1665">
        <v>5810</v>
      </c>
      <c r="X1665">
        <v>6488</v>
      </c>
      <c r="Y1665">
        <v>0.9</v>
      </c>
      <c r="Z1665">
        <v>68</v>
      </c>
      <c r="AA1665">
        <v>5</v>
      </c>
      <c r="AB1665" t="s">
        <v>32</v>
      </c>
      <c r="AC1665">
        <v>3.41</v>
      </c>
    </row>
    <row r="1666" spans="1:29">
      <c r="A1666" t="str">
        <f>"300295"</f>
        <v>300295</v>
      </c>
      <c r="B1666" t="s">
        <v>1835</v>
      </c>
      <c r="C1666">
        <v>2.15</v>
      </c>
      <c r="D1666">
        <v>12.84</v>
      </c>
      <c r="E1666">
        <v>0.27</v>
      </c>
      <c r="F1666">
        <v>12.83</v>
      </c>
      <c r="G1666">
        <v>12.84</v>
      </c>
      <c r="H1666">
        <v>47059</v>
      </c>
      <c r="I1666">
        <v>1219</v>
      </c>
      <c r="J1666">
        <v>0.08</v>
      </c>
      <c r="K1666">
        <v>2.66</v>
      </c>
      <c r="L1666">
        <v>12.52</v>
      </c>
      <c r="M1666">
        <v>12.87</v>
      </c>
      <c r="N1666">
        <v>12.48</v>
      </c>
      <c r="O1666">
        <v>12.57</v>
      </c>
      <c r="P1666">
        <v>32.54</v>
      </c>
      <c r="Q1666">
        <v>60028620</v>
      </c>
      <c r="R1666">
        <v>1.57</v>
      </c>
      <c r="S1666" t="s">
        <v>316</v>
      </c>
      <c r="T1666" t="s">
        <v>87</v>
      </c>
      <c r="U1666">
        <v>3.1</v>
      </c>
      <c r="V1666">
        <v>12.76</v>
      </c>
      <c r="W1666">
        <v>20750</v>
      </c>
      <c r="X1666">
        <v>26308</v>
      </c>
      <c r="Y1666">
        <v>0.79</v>
      </c>
      <c r="Z1666">
        <v>115</v>
      </c>
      <c r="AA1666">
        <v>219</v>
      </c>
      <c r="AB1666" t="s">
        <v>32</v>
      </c>
      <c r="AC1666">
        <v>1.77</v>
      </c>
    </row>
    <row r="1667" spans="1:29">
      <c r="A1667" t="str">
        <f>"300296"</f>
        <v>300296</v>
      </c>
      <c r="B1667" t="s">
        <v>1836</v>
      </c>
      <c r="C1667">
        <v>2.68</v>
      </c>
      <c r="D1667">
        <v>13.78</v>
      </c>
      <c r="E1667">
        <v>0.36</v>
      </c>
      <c r="F1667">
        <v>13.78</v>
      </c>
      <c r="G1667">
        <v>13.79</v>
      </c>
      <c r="H1667">
        <v>336273</v>
      </c>
      <c r="I1667">
        <v>1796</v>
      </c>
      <c r="J1667">
        <v>-0.13</v>
      </c>
      <c r="K1667">
        <v>2.16</v>
      </c>
      <c r="L1667">
        <v>13.88</v>
      </c>
      <c r="M1667">
        <v>14</v>
      </c>
      <c r="N1667">
        <v>13.65</v>
      </c>
      <c r="O1667">
        <v>13.42</v>
      </c>
      <c r="P1667">
        <v>28.77</v>
      </c>
      <c r="Q1667">
        <v>464433984</v>
      </c>
      <c r="R1667">
        <v>1.54</v>
      </c>
      <c r="S1667" t="s">
        <v>699</v>
      </c>
      <c r="T1667" t="s">
        <v>45</v>
      </c>
      <c r="U1667">
        <v>2.61</v>
      </c>
      <c r="V1667">
        <v>13.81</v>
      </c>
      <c r="W1667">
        <v>179523</v>
      </c>
      <c r="X1667">
        <v>156749</v>
      </c>
      <c r="Y1667">
        <v>1.15</v>
      </c>
      <c r="Z1667">
        <v>487</v>
      </c>
      <c r="AA1667">
        <v>302</v>
      </c>
      <c r="AB1667" t="s">
        <v>32</v>
      </c>
      <c r="AC1667">
        <v>15.59</v>
      </c>
    </row>
    <row r="1668" spans="1:29">
      <c r="A1668" t="str">
        <f>"300297"</f>
        <v>300297</v>
      </c>
      <c r="B1668" t="s">
        <v>1837</v>
      </c>
      <c r="C1668">
        <v>1.92</v>
      </c>
      <c r="D1668">
        <v>8.48</v>
      </c>
      <c r="E1668">
        <v>0.16</v>
      </c>
      <c r="F1668">
        <v>8.48</v>
      </c>
      <c r="G1668">
        <v>8.49</v>
      </c>
      <c r="H1668">
        <v>66207</v>
      </c>
      <c r="I1668">
        <v>653</v>
      </c>
      <c r="J1668">
        <v>0</v>
      </c>
      <c r="K1668">
        <v>0.88</v>
      </c>
      <c r="L1668">
        <v>8.34</v>
      </c>
      <c r="M1668">
        <v>8.54</v>
      </c>
      <c r="N1668">
        <v>8.27</v>
      </c>
      <c r="O1668">
        <v>8.32</v>
      </c>
      <c r="P1668">
        <v>39.04</v>
      </c>
      <c r="Q1668">
        <v>55714516</v>
      </c>
      <c r="R1668">
        <v>1.47</v>
      </c>
      <c r="S1668" t="s">
        <v>270</v>
      </c>
      <c r="T1668" t="s">
        <v>136</v>
      </c>
      <c r="U1668">
        <v>3.25</v>
      </c>
      <c r="V1668">
        <v>8.42</v>
      </c>
      <c r="W1668">
        <v>24428</v>
      </c>
      <c r="X1668">
        <v>41778</v>
      </c>
      <c r="Y1668">
        <v>0.58</v>
      </c>
      <c r="Z1668">
        <v>40</v>
      </c>
      <c r="AA1668">
        <v>498</v>
      </c>
      <c r="AB1668" t="s">
        <v>32</v>
      </c>
      <c r="AC1668">
        <v>7.56</v>
      </c>
    </row>
    <row r="1669" spans="1:29">
      <c r="A1669" t="str">
        <f>"300298"</f>
        <v>300298</v>
      </c>
      <c r="B1669" t="s">
        <v>1838</v>
      </c>
      <c r="C1669">
        <v>3.43</v>
      </c>
      <c r="D1669">
        <v>17.77</v>
      </c>
      <c r="E1669">
        <v>0.59</v>
      </c>
      <c r="F1669">
        <v>17.76</v>
      </c>
      <c r="G1669">
        <v>17.77</v>
      </c>
      <c r="H1669">
        <v>37770</v>
      </c>
      <c r="I1669">
        <v>134</v>
      </c>
      <c r="J1669">
        <v>0.06</v>
      </c>
      <c r="K1669">
        <v>1.02</v>
      </c>
      <c r="L1669">
        <v>17.29</v>
      </c>
      <c r="M1669">
        <v>17.86</v>
      </c>
      <c r="N1669">
        <v>17.16</v>
      </c>
      <c r="O1669">
        <v>17.18</v>
      </c>
      <c r="P1669">
        <v>30.15</v>
      </c>
      <c r="Q1669">
        <v>66403032</v>
      </c>
      <c r="R1669">
        <v>1.04</v>
      </c>
      <c r="S1669" t="s">
        <v>138</v>
      </c>
      <c r="T1669" t="s">
        <v>152</v>
      </c>
      <c r="U1669">
        <v>4.07</v>
      </c>
      <c r="V1669">
        <v>17.58</v>
      </c>
      <c r="W1669">
        <v>14792</v>
      </c>
      <c r="X1669">
        <v>22977</v>
      </c>
      <c r="Y1669">
        <v>0.64</v>
      </c>
      <c r="Z1669">
        <v>24</v>
      </c>
      <c r="AA1669">
        <v>338</v>
      </c>
      <c r="AB1669" t="s">
        <v>32</v>
      </c>
      <c r="AC1669">
        <v>3.7</v>
      </c>
    </row>
    <row r="1670" spans="1:29">
      <c r="A1670" t="str">
        <f>"300299"</f>
        <v>300299</v>
      </c>
      <c r="B1670" t="s">
        <v>1839</v>
      </c>
      <c r="C1670">
        <v>-0.76</v>
      </c>
      <c r="D1670">
        <v>5.24</v>
      </c>
      <c r="E1670">
        <v>-0.04</v>
      </c>
      <c r="F1670">
        <v>5.24</v>
      </c>
      <c r="G1670">
        <v>5.25</v>
      </c>
      <c r="H1670">
        <v>244569</v>
      </c>
      <c r="I1670">
        <v>3916</v>
      </c>
      <c r="J1670">
        <v>-0.37</v>
      </c>
      <c r="K1670">
        <v>4.19</v>
      </c>
      <c r="L1670">
        <v>5.24</v>
      </c>
      <c r="M1670">
        <v>5.44</v>
      </c>
      <c r="N1670">
        <v>5.1</v>
      </c>
      <c r="O1670">
        <v>5.28</v>
      </c>
      <c r="P1670">
        <v>50.41</v>
      </c>
      <c r="Q1670">
        <v>127978832</v>
      </c>
      <c r="R1670">
        <v>0.99</v>
      </c>
      <c r="S1670" t="s">
        <v>119</v>
      </c>
      <c r="T1670" t="s">
        <v>236</v>
      </c>
      <c r="U1670">
        <v>6.44</v>
      </c>
      <c r="V1670">
        <v>5.23</v>
      </c>
      <c r="W1670">
        <v>144895</v>
      </c>
      <c r="X1670">
        <v>99674</v>
      </c>
      <c r="Y1670">
        <v>1.45</v>
      </c>
      <c r="Z1670">
        <v>587</v>
      </c>
      <c r="AA1670">
        <v>413</v>
      </c>
      <c r="AB1670" t="s">
        <v>32</v>
      </c>
      <c r="AC1670">
        <v>5.84</v>
      </c>
    </row>
    <row r="1671" spans="1:29">
      <c r="A1671" t="str">
        <f>"300300"</f>
        <v>300300</v>
      </c>
      <c r="B1671" t="s">
        <v>1840</v>
      </c>
      <c r="C1671">
        <v>0.31</v>
      </c>
      <c r="D1671">
        <v>12.97</v>
      </c>
      <c r="E1671">
        <v>0.04</v>
      </c>
      <c r="F1671">
        <v>12.96</v>
      </c>
      <c r="G1671">
        <v>12.97</v>
      </c>
      <c r="H1671">
        <v>87902</v>
      </c>
      <c r="I1671">
        <v>3736</v>
      </c>
      <c r="J1671">
        <v>-0.22</v>
      </c>
      <c r="K1671">
        <v>1.57</v>
      </c>
      <c r="L1671">
        <v>12.89</v>
      </c>
      <c r="M1671">
        <v>13.09</v>
      </c>
      <c r="N1671">
        <v>12.73</v>
      </c>
      <c r="O1671">
        <v>12.93</v>
      </c>
      <c r="P1671">
        <v>24.34</v>
      </c>
      <c r="Q1671">
        <v>113512264</v>
      </c>
      <c r="R1671">
        <v>1.03</v>
      </c>
      <c r="S1671" t="s">
        <v>270</v>
      </c>
      <c r="T1671" t="s">
        <v>149</v>
      </c>
      <c r="U1671">
        <v>2.78</v>
      </c>
      <c r="V1671">
        <v>12.91</v>
      </c>
      <c r="W1671">
        <v>44771</v>
      </c>
      <c r="X1671">
        <v>43130</v>
      </c>
      <c r="Y1671">
        <v>1.04</v>
      </c>
      <c r="Z1671">
        <v>328</v>
      </c>
      <c r="AA1671">
        <v>61</v>
      </c>
      <c r="AB1671" t="s">
        <v>32</v>
      </c>
      <c r="AC1671">
        <v>5.6</v>
      </c>
    </row>
    <row r="1672" spans="1:29">
      <c r="A1672" t="str">
        <f>"300301"</f>
        <v>300301</v>
      </c>
      <c r="B1672" t="s">
        <v>1841</v>
      </c>
      <c r="C1672">
        <v>0.23</v>
      </c>
      <c r="D1672">
        <v>4.43</v>
      </c>
      <c r="E1672">
        <v>0.01</v>
      </c>
      <c r="F1672">
        <v>4.43</v>
      </c>
      <c r="G1672">
        <v>4.44</v>
      </c>
      <c r="H1672">
        <v>36276</v>
      </c>
      <c r="I1672">
        <v>197</v>
      </c>
      <c r="J1672">
        <v>0</v>
      </c>
      <c r="K1672">
        <v>0.59</v>
      </c>
      <c r="L1672">
        <v>4.41</v>
      </c>
      <c r="M1672">
        <v>4.45</v>
      </c>
      <c r="N1672">
        <v>4.38</v>
      </c>
      <c r="O1672">
        <v>4.42</v>
      </c>
      <c r="P1672">
        <v>270.69</v>
      </c>
      <c r="Q1672">
        <v>16054859</v>
      </c>
      <c r="R1672">
        <v>1.37</v>
      </c>
      <c r="S1672" t="s">
        <v>699</v>
      </c>
      <c r="T1672" t="s">
        <v>31</v>
      </c>
      <c r="U1672">
        <v>1.58</v>
      </c>
      <c r="V1672">
        <v>4.43</v>
      </c>
      <c r="W1672">
        <v>16735</v>
      </c>
      <c r="X1672">
        <v>19540</v>
      </c>
      <c r="Y1672">
        <v>0.86</v>
      </c>
      <c r="Z1672">
        <v>152</v>
      </c>
      <c r="AA1672">
        <v>1851</v>
      </c>
      <c r="AB1672" t="s">
        <v>32</v>
      </c>
      <c r="AC1672">
        <v>6.11</v>
      </c>
    </row>
    <row r="1673" spans="1:29">
      <c r="A1673" t="str">
        <f>"300302"</f>
        <v>300302</v>
      </c>
      <c r="B1673" t="s">
        <v>1842</v>
      </c>
      <c r="C1673">
        <v>-0.67</v>
      </c>
      <c r="D1673">
        <v>11.87</v>
      </c>
      <c r="E1673">
        <v>-0.08</v>
      </c>
      <c r="F1673">
        <v>11.86</v>
      </c>
      <c r="G1673">
        <v>11.87</v>
      </c>
      <c r="H1673">
        <v>90189</v>
      </c>
      <c r="I1673">
        <v>1634</v>
      </c>
      <c r="J1673">
        <v>-0.07</v>
      </c>
      <c r="K1673">
        <v>3.69</v>
      </c>
      <c r="L1673">
        <v>11.8</v>
      </c>
      <c r="M1673">
        <v>12.04</v>
      </c>
      <c r="N1673">
        <v>11.58</v>
      </c>
      <c r="O1673">
        <v>11.95</v>
      </c>
      <c r="P1673">
        <v>97.99</v>
      </c>
      <c r="Q1673">
        <v>106339840</v>
      </c>
      <c r="R1673">
        <v>0.7</v>
      </c>
      <c r="S1673" t="s">
        <v>270</v>
      </c>
      <c r="T1673" t="s">
        <v>45</v>
      </c>
      <c r="U1673">
        <v>3.85</v>
      </c>
      <c r="V1673">
        <v>11.79</v>
      </c>
      <c r="W1673">
        <v>51610</v>
      </c>
      <c r="X1673">
        <v>38579</v>
      </c>
      <c r="Y1673">
        <v>1.34</v>
      </c>
      <c r="Z1673">
        <v>322</v>
      </c>
      <c r="AA1673">
        <v>127</v>
      </c>
      <c r="AB1673" t="s">
        <v>32</v>
      </c>
      <c r="AC1673">
        <v>2.45</v>
      </c>
    </row>
    <row r="1674" spans="1:29">
      <c r="A1674" t="str">
        <f>"300303"</f>
        <v>300303</v>
      </c>
      <c r="B1674" t="s">
        <v>1843</v>
      </c>
      <c r="C1674">
        <v>1.45</v>
      </c>
      <c r="D1674">
        <v>2.79</v>
      </c>
      <c r="E1674">
        <v>0.04</v>
      </c>
      <c r="F1674">
        <v>2.78</v>
      </c>
      <c r="G1674">
        <v>2.79</v>
      </c>
      <c r="H1674">
        <v>92692</v>
      </c>
      <c r="I1674">
        <v>1660</v>
      </c>
      <c r="J1674">
        <v>0</v>
      </c>
      <c r="K1674">
        <v>0.91</v>
      </c>
      <c r="L1674">
        <v>2.75</v>
      </c>
      <c r="M1674">
        <v>2.8</v>
      </c>
      <c r="N1674">
        <v>2.73</v>
      </c>
      <c r="O1674">
        <v>2.75</v>
      </c>
      <c r="P1674">
        <v>23.68</v>
      </c>
      <c r="Q1674">
        <v>25727468</v>
      </c>
      <c r="R1674">
        <v>1.1</v>
      </c>
      <c r="S1674" t="s">
        <v>699</v>
      </c>
      <c r="T1674" t="s">
        <v>31</v>
      </c>
      <c r="U1674">
        <v>2.55</v>
      </c>
      <c r="V1674">
        <v>2.78</v>
      </c>
      <c r="W1674">
        <v>37142</v>
      </c>
      <c r="X1674">
        <v>55549</v>
      </c>
      <c r="Y1674">
        <v>0.67</v>
      </c>
      <c r="Z1674">
        <v>4505</v>
      </c>
      <c r="AA1674">
        <v>2006</v>
      </c>
      <c r="AB1674" t="s">
        <v>32</v>
      </c>
      <c r="AC1674">
        <v>10.21</v>
      </c>
    </row>
    <row r="1675" spans="1:29">
      <c r="A1675" t="str">
        <f>"300304"</f>
        <v>300304</v>
      </c>
      <c r="B1675" t="s">
        <v>1844</v>
      </c>
      <c r="C1675">
        <v>3.87</v>
      </c>
      <c r="D1675">
        <v>4.29</v>
      </c>
      <c r="E1675">
        <v>0.16</v>
      </c>
      <c r="F1675">
        <v>4.28</v>
      </c>
      <c r="G1675">
        <v>4.29</v>
      </c>
      <c r="H1675">
        <v>211995</v>
      </c>
      <c r="I1675">
        <v>2976</v>
      </c>
      <c r="J1675">
        <v>0</v>
      </c>
      <c r="K1675">
        <v>2.53</v>
      </c>
      <c r="L1675">
        <v>4.14</v>
      </c>
      <c r="M1675">
        <v>4.51</v>
      </c>
      <c r="N1675">
        <v>4.1</v>
      </c>
      <c r="O1675">
        <v>4.13</v>
      </c>
      <c r="P1675">
        <v>32.86</v>
      </c>
      <c r="Q1675">
        <v>90846376</v>
      </c>
      <c r="R1675">
        <v>3.1</v>
      </c>
      <c r="S1675" t="s">
        <v>80</v>
      </c>
      <c r="T1675" t="s">
        <v>87</v>
      </c>
      <c r="U1675">
        <v>9.93</v>
      </c>
      <c r="V1675">
        <v>4.29</v>
      </c>
      <c r="W1675">
        <v>91499</v>
      </c>
      <c r="X1675">
        <v>120495</v>
      </c>
      <c r="Y1675">
        <v>0.76</v>
      </c>
      <c r="Z1675">
        <v>1237</v>
      </c>
      <c r="AA1675">
        <v>478</v>
      </c>
      <c r="AB1675" t="s">
        <v>32</v>
      </c>
      <c r="AC1675">
        <v>8.39</v>
      </c>
    </row>
    <row r="1676" spans="1:29">
      <c r="A1676" t="str">
        <f>"300305"</f>
        <v>300305</v>
      </c>
      <c r="B1676" t="s">
        <v>1845</v>
      </c>
      <c r="C1676">
        <v>1.83</v>
      </c>
      <c r="D1676">
        <v>6.13</v>
      </c>
      <c r="E1676">
        <v>0.11</v>
      </c>
      <c r="F1676">
        <v>6.13</v>
      </c>
      <c r="G1676">
        <v>6.14</v>
      </c>
      <c r="H1676">
        <v>18731</v>
      </c>
      <c r="I1676">
        <v>105</v>
      </c>
      <c r="J1676">
        <v>0</v>
      </c>
      <c r="K1676">
        <v>0.82</v>
      </c>
      <c r="L1676">
        <v>5.97</v>
      </c>
      <c r="M1676">
        <v>6.14</v>
      </c>
      <c r="N1676">
        <v>5.97</v>
      </c>
      <c r="O1676">
        <v>6.02</v>
      </c>
      <c r="P1676">
        <v>28.86</v>
      </c>
      <c r="Q1676">
        <v>11409305</v>
      </c>
      <c r="R1676">
        <v>1.66</v>
      </c>
      <c r="S1676" t="s">
        <v>508</v>
      </c>
      <c r="T1676" t="s">
        <v>87</v>
      </c>
      <c r="U1676">
        <v>2.82</v>
      </c>
      <c r="V1676">
        <v>6.09</v>
      </c>
      <c r="W1676">
        <v>6279</v>
      </c>
      <c r="X1676">
        <v>12451</v>
      </c>
      <c r="Y1676">
        <v>0.5</v>
      </c>
      <c r="Z1676">
        <v>16</v>
      </c>
      <c r="AA1676">
        <v>1199</v>
      </c>
      <c r="AB1676" t="s">
        <v>32</v>
      </c>
      <c r="AC1676">
        <v>2.3</v>
      </c>
    </row>
    <row r="1677" spans="1:29">
      <c r="A1677" t="str">
        <f>"300306"</f>
        <v>300306</v>
      </c>
      <c r="B1677" t="s">
        <v>1846</v>
      </c>
      <c r="C1677">
        <v>3.01</v>
      </c>
      <c r="D1677">
        <v>8.89</v>
      </c>
      <c r="E1677">
        <v>0.26</v>
      </c>
      <c r="F1677">
        <v>8.89</v>
      </c>
      <c r="G1677">
        <v>8.9</v>
      </c>
      <c r="H1677">
        <v>61705</v>
      </c>
      <c r="I1677">
        <v>742</v>
      </c>
      <c r="J1677">
        <v>0.34</v>
      </c>
      <c r="K1677">
        <v>4.06</v>
      </c>
      <c r="L1677">
        <v>8.7</v>
      </c>
      <c r="M1677">
        <v>8.94</v>
      </c>
      <c r="N1677">
        <v>8.51</v>
      </c>
      <c r="O1677">
        <v>8.63</v>
      </c>
      <c r="P1677">
        <v>33.44</v>
      </c>
      <c r="Q1677">
        <v>53896912</v>
      </c>
      <c r="R1677">
        <v>1.25</v>
      </c>
      <c r="S1677" t="s">
        <v>606</v>
      </c>
      <c r="T1677" t="s">
        <v>149</v>
      </c>
      <c r="U1677">
        <v>4.98</v>
      </c>
      <c r="V1677">
        <v>8.73</v>
      </c>
      <c r="W1677">
        <v>32557</v>
      </c>
      <c r="X1677">
        <v>29148</v>
      </c>
      <c r="Y1677">
        <v>1.12</v>
      </c>
      <c r="Z1677">
        <v>281</v>
      </c>
      <c r="AA1677">
        <v>149</v>
      </c>
      <c r="AB1677" t="s">
        <v>32</v>
      </c>
      <c r="AC1677">
        <v>1.52</v>
      </c>
    </row>
    <row r="1678" spans="1:29">
      <c r="A1678" t="str">
        <f>"300307"</f>
        <v>300307</v>
      </c>
      <c r="B1678" t="s">
        <v>1847</v>
      </c>
      <c r="C1678">
        <v>1.51</v>
      </c>
      <c r="D1678">
        <v>6.07</v>
      </c>
      <c r="E1678">
        <v>0.09</v>
      </c>
      <c r="F1678">
        <v>6.06</v>
      </c>
      <c r="G1678">
        <v>6.07</v>
      </c>
      <c r="H1678">
        <v>53024</v>
      </c>
      <c r="I1678">
        <v>440</v>
      </c>
      <c r="J1678">
        <v>0</v>
      </c>
      <c r="K1678">
        <v>0.67</v>
      </c>
      <c r="L1678">
        <v>5.96</v>
      </c>
      <c r="M1678">
        <v>6.09</v>
      </c>
      <c r="N1678">
        <v>5.95</v>
      </c>
      <c r="O1678">
        <v>5.98</v>
      </c>
      <c r="P1678">
        <v>15.67</v>
      </c>
      <c r="Q1678">
        <v>32051122</v>
      </c>
      <c r="R1678">
        <v>1.71</v>
      </c>
      <c r="S1678" t="s">
        <v>363</v>
      </c>
      <c r="T1678" t="s">
        <v>149</v>
      </c>
      <c r="U1678">
        <v>2.34</v>
      </c>
      <c r="V1678">
        <v>6.04</v>
      </c>
      <c r="W1678">
        <v>24778</v>
      </c>
      <c r="X1678">
        <v>28245</v>
      </c>
      <c r="Y1678">
        <v>0.88</v>
      </c>
      <c r="Z1678">
        <v>355</v>
      </c>
      <c r="AA1678">
        <v>106</v>
      </c>
      <c r="AB1678" t="s">
        <v>32</v>
      </c>
      <c r="AC1678">
        <v>7.93</v>
      </c>
    </row>
    <row r="1679" spans="1:29">
      <c r="A1679" t="str">
        <f>"300308"</f>
        <v>300308</v>
      </c>
      <c r="B1679" t="s">
        <v>1848</v>
      </c>
      <c r="C1679">
        <v>1.81</v>
      </c>
      <c r="D1679">
        <v>61.83</v>
      </c>
      <c r="E1679">
        <v>1.1</v>
      </c>
      <c r="F1679">
        <v>61.83</v>
      </c>
      <c r="G1679">
        <v>61.84</v>
      </c>
      <c r="H1679">
        <v>38518</v>
      </c>
      <c r="I1679">
        <v>295</v>
      </c>
      <c r="J1679">
        <v>0.08</v>
      </c>
      <c r="K1679">
        <v>1.8</v>
      </c>
      <c r="L1679">
        <v>60.75</v>
      </c>
      <c r="M1679">
        <v>63.55</v>
      </c>
      <c r="N1679">
        <v>59.52</v>
      </c>
      <c r="O1679">
        <v>60.73</v>
      </c>
      <c r="P1679">
        <v>49.57</v>
      </c>
      <c r="Q1679">
        <v>237503824</v>
      </c>
      <c r="R1679">
        <v>1.05</v>
      </c>
      <c r="S1679" t="s">
        <v>104</v>
      </c>
      <c r="T1679" t="s">
        <v>162</v>
      </c>
      <c r="U1679">
        <v>6.64</v>
      </c>
      <c r="V1679">
        <v>61.66</v>
      </c>
      <c r="W1679">
        <v>22706</v>
      </c>
      <c r="X1679">
        <v>15811</v>
      </c>
      <c r="Y1679">
        <v>1.44</v>
      </c>
      <c r="Z1679">
        <v>73</v>
      </c>
      <c r="AA1679">
        <v>39</v>
      </c>
      <c r="AB1679" t="s">
        <v>32</v>
      </c>
      <c r="AC1679">
        <v>2.15</v>
      </c>
    </row>
    <row r="1680" spans="1:29">
      <c r="A1680" t="str">
        <f>"300309"</f>
        <v>300309</v>
      </c>
      <c r="B1680" t="s">
        <v>1849</v>
      </c>
      <c r="C1680">
        <v>0.71</v>
      </c>
      <c r="D1680">
        <v>21.19</v>
      </c>
      <c r="E1680">
        <v>0.15</v>
      </c>
      <c r="F1680">
        <v>21.19</v>
      </c>
      <c r="G1680">
        <v>21.2</v>
      </c>
      <c r="H1680">
        <v>27168</v>
      </c>
      <c r="I1680">
        <v>225</v>
      </c>
      <c r="J1680">
        <v>-0.08</v>
      </c>
      <c r="K1680">
        <v>0.63</v>
      </c>
      <c r="L1680">
        <v>21.05</v>
      </c>
      <c r="M1680">
        <v>21.32</v>
      </c>
      <c r="N1680">
        <v>20.94</v>
      </c>
      <c r="O1680">
        <v>21.04</v>
      </c>
      <c r="P1680">
        <v>44.18</v>
      </c>
      <c r="Q1680">
        <v>57427044</v>
      </c>
      <c r="R1680">
        <v>1.03</v>
      </c>
      <c r="S1680" t="s">
        <v>171</v>
      </c>
      <c r="T1680" t="s">
        <v>45</v>
      </c>
      <c r="U1680">
        <v>1.81</v>
      </c>
      <c r="V1680">
        <v>21.14</v>
      </c>
      <c r="W1680">
        <v>13864</v>
      </c>
      <c r="X1680">
        <v>13303</v>
      </c>
      <c r="Y1680">
        <v>1.04</v>
      </c>
      <c r="Z1680">
        <v>336</v>
      </c>
      <c r="AA1680">
        <v>75</v>
      </c>
      <c r="AB1680" t="s">
        <v>32</v>
      </c>
      <c r="AC1680">
        <v>4.33</v>
      </c>
    </row>
    <row r="1681" spans="1:29">
      <c r="A1681" t="str">
        <f>"300310"</f>
        <v>300310</v>
      </c>
      <c r="B1681" t="s">
        <v>1850</v>
      </c>
      <c r="C1681">
        <v>1.39</v>
      </c>
      <c r="D1681">
        <v>5.1</v>
      </c>
      <c r="E1681">
        <v>0.07</v>
      </c>
      <c r="F1681">
        <v>5.1</v>
      </c>
      <c r="G1681">
        <v>5.11</v>
      </c>
      <c r="H1681">
        <v>241988</v>
      </c>
      <c r="I1681">
        <v>3973</v>
      </c>
      <c r="J1681">
        <v>0</v>
      </c>
      <c r="K1681">
        <v>3.85</v>
      </c>
      <c r="L1681">
        <v>4.93</v>
      </c>
      <c r="M1681">
        <v>5.19</v>
      </c>
      <c r="N1681">
        <v>4.93</v>
      </c>
      <c r="O1681">
        <v>5.03</v>
      </c>
      <c r="P1681">
        <v>22.35</v>
      </c>
      <c r="Q1681">
        <v>122971520</v>
      </c>
      <c r="R1681">
        <v>0.89</v>
      </c>
      <c r="S1681" t="s">
        <v>119</v>
      </c>
      <c r="T1681" t="s">
        <v>136</v>
      </c>
      <c r="U1681">
        <v>5.17</v>
      </c>
      <c r="V1681">
        <v>5.08</v>
      </c>
      <c r="W1681">
        <v>117294</v>
      </c>
      <c r="X1681">
        <v>124693</v>
      </c>
      <c r="Y1681">
        <v>0.94</v>
      </c>
      <c r="Z1681">
        <v>2852</v>
      </c>
      <c r="AA1681">
        <v>1280</v>
      </c>
      <c r="AB1681" t="s">
        <v>32</v>
      </c>
      <c r="AC1681">
        <v>6.28</v>
      </c>
    </row>
    <row r="1682" spans="1:29">
      <c r="A1682" t="str">
        <f>"300311"</f>
        <v>300311</v>
      </c>
      <c r="B1682" t="s">
        <v>1851</v>
      </c>
      <c r="C1682">
        <v>1.71</v>
      </c>
      <c r="D1682">
        <v>7.72</v>
      </c>
      <c r="E1682">
        <v>0.13</v>
      </c>
      <c r="F1682">
        <v>7.7</v>
      </c>
      <c r="G1682">
        <v>7.72</v>
      </c>
      <c r="H1682">
        <v>65161</v>
      </c>
      <c r="I1682">
        <v>2235</v>
      </c>
      <c r="J1682">
        <v>0.13</v>
      </c>
      <c r="K1682">
        <v>1.84</v>
      </c>
      <c r="L1682">
        <v>7.59</v>
      </c>
      <c r="M1682">
        <v>7.76</v>
      </c>
      <c r="N1682">
        <v>7.53</v>
      </c>
      <c r="O1682">
        <v>7.59</v>
      </c>
      <c r="P1682">
        <v>113.72</v>
      </c>
      <c r="Q1682">
        <v>50044624</v>
      </c>
      <c r="R1682">
        <v>1.23</v>
      </c>
      <c r="S1682" t="s">
        <v>270</v>
      </c>
      <c r="T1682" t="s">
        <v>136</v>
      </c>
      <c r="U1682">
        <v>3.03</v>
      </c>
      <c r="V1682">
        <v>7.68</v>
      </c>
      <c r="W1682">
        <v>28513</v>
      </c>
      <c r="X1682">
        <v>36647</v>
      </c>
      <c r="Y1682">
        <v>0.78</v>
      </c>
      <c r="Z1682">
        <v>106</v>
      </c>
      <c r="AA1682">
        <v>704</v>
      </c>
      <c r="AB1682" t="s">
        <v>32</v>
      </c>
      <c r="AC1682">
        <v>3.54</v>
      </c>
    </row>
    <row r="1683" spans="1:29">
      <c r="A1683" t="str">
        <f>"300312"</f>
        <v>300312</v>
      </c>
      <c r="B1683" t="s">
        <v>1852</v>
      </c>
      <c r="C1683">
        <v>1.6</v>
      </c>
      <c r="D1683">
        <v>8.27</v>
      </c>
      <c r="E1683">
        <v>0.13</v>
      </c>
      <c r="F1683">
        <v>8.26</v>
      </c>
      <c r="G1683">
        <v>8.27</v>
      </c>
      <c r="H1683">
        <v>185792</v>
      </c>
      <c r="I1683">
        <v>4747</v>
      </c>
      <c r="J1683">
        <v>0.36</v>
      </c>
      <c r="K1683">
        <v>10.11</v>
      </c>
      <c r="L1683">
        <v>8.17</v>
      </c>
      <c r="M1683">
        <v>8.28</v>
      </c>
      <c r="N1683">
        <v>7.95</v>
      </c>
      <c r="O1683">
        <v>8.14</v>
      </c>
      <c r="P1683">
        <v>425.93</v>
      </c>
      <c r="Q1683">
        <v>151327200</v>
      </c>
      <c r="R1683">
        <v>0.55</v>
      </c>
      <c r="S1683" t="s">
        <v>119</v>
      </c>
      <c r="T1683" t="s">
        <v>45</v>
      </c>
      <c r="U1683">
        <v>4.05</v>
      </c>
      <c r="V1683">
        <v>8.14</v>
      </c>
      <c r="W1683">
        <v>95457</v>
      </c>
      <c r="X1683">
        <v>90334</v>
      </c>
      <c r="Y1683">
        <v>1.06</v>
      </c>
      <c r="Z1683">
        <v>2108</v>
      </c>
      <c r="AA1683">
        <v>2336</v>
      </c>
      <c r="AB1683" t="s">
        <v>32</v>
      </c>
      <c r="AC1683">
        <v>1.84</v>
      </c>
    </row>
    <row r="1684" spans="1:29">
      <c r="A1684" t="str">
        <f>"300313"</f>
        <v>300313</v>
      </c>
      <c r="B1684" t="s">
        <v>1853</v>
      </c>
      <c r="C1684">
        <v>1.43</v>
      </c>
      <c r="D1684">
        <v>9.23</v>
      </c>
      <c r="E1684">
        <v>0.13</v>
      </c>
      <c r="F1684">
        <v>9.22</v>
      </c>
      <c r="G1684">
        <v>9.23</v>
      </c>
      <c r="H1684">
        <v>9262</v>
      </c>
      <c r="I1684">
        <v>344</v>
      </c>
      <c r="J1684">
        <v>0.44</v>
      </c>
      <c r="K1684">
        <v>0.51</v>
      </c>
      <c r="L1684">
        <v>9.05</v>
      </c>
      <c r="M1684">
        <v>9.27</v>
      </c>
      <c r="N1684">
        <v>9.05</v>
      </c>
      <c r="O1684">
        <v>9.1</v>
      </c>
      <c r="P1684" t="s">
        <v>32</v>
      </c>
      <c r="Q1684">
        <v>8526706</v>
      </c>
      <c r="R1684">
        <v>1.38</v>
      </c>
      <c r="S1684" t="s">
        <v>115</v>
      </c>
      <c r="T1684" t="s">
        <v>156</v>
      </c>
      <c r="U1684">
        <v>2.42</v>
      </c>
      <c r="V1684">
        <v>9.21</v>
      </c>
      <c r="W1684">
        <v>4175</v>
      </c>
      <c r="X1684">
        <v>5086</v>
      </c>
      <c r="Y1684">
        <v>0.82</v>
      </c>
      <c r="Z1684">
        <v>49</v>
      </c>
      <c r="AA1684">
        <v>186</v>
      </c>
      <c r="AB1684" t="s">
        <v>32</v>
      </c>
      <c r="AC1684">
        <v>1.82</v>
      </c>
    </row>
    <row r="1685" spans="1:29">
      <c r="A1685" t="str">
        <f>"300314"</f>
        <v>300314</v>
      </c>
      <c r="B1685" t="s">
        <v>1854</v>
      </c>
      <c r="C1685">
        <v>1.98</v>
      </c>
      <c r="D1685">
        <v>10.3</v>
      </c>
      <c r="E1685">
        <v>0.2</v>
      </c>
      <c r="F1685">
        <v>10.29</v>
      </c>
      <c r="G1685">
        <v>10.3</v>
      </c>
      <c r="H1685">
        <v>23992</v>
      </c>
      <c r="I1685">
        <v>1393</v>
      </c>
      <c r="J1685">
        <v>1.08</v>
      </c>
      <c r="K1685">
        <v>1.27</v>
      </c>
      <c r="L1685">
        <v>10.1</v>
      </c>
      <c r="M1685">
        <v>10.33</v>
      </c>
      <c r="N1685">
        <v>9.98</v>
      </c>
      <c r="O1685">
        <v>10.1</v>
      </c>
      <c r="P1685">
        <v>49.6</v>
      </c>
      <c r="Q1685">
        <v>24365422</v>
      </c>
      <c r="R1685">
        <v>0.99</v>
      </c>
      <c r="S1685" t="s">
        <v>138</v>
      </c>
      <c r="T1685" t="s">
        <v>149</v>
      </c>
      <c r="U1685">
        <v>3.47</v>
      </c>
      <c r="V1685">
        <v>10.16</v>
      </c>
      <c r="W1685">
        <v>10508</v>
      </c>
      <c r="X1685">
        <v>13483</v>
      </c>
      <c r="Y1685">
        <v>0.78</v>
      </c>
      <c r="Z1685">
        <v>198</v>
      </c>
      <c r="AA1685">
        <v>206</v>
      </c>
      <c r="AB1685" t="s">
        <v>32</v>
      </c>
      <c r="AC1685">
        <v>1.89</v>
      </c>
    </row>
    <row r="1686" spans="1:29">
      <c r="A1686" t="str">
        <f>"300315"</f>
        <v>300315</v>
      </c>
      <c r="B1686" t="s">
        <v>1855</v>
      </c>
      <c r="C1686">
        <v>0.7</v>
      </c>
      <c r="D1686">
        <v>4.34</v>
      </c>
      <c r="E1686">
        <v>0.03</v>
      </c>
      <c r="F1686">
        <v>4.34</v>
      </c>
      <c r="G1686">
        <v>4.35</v>
      </c>
      <c r="H1686">
        <v>515840</v>
      </c>
      <c r="I1686">
        <v>6372</v>
      </c>
      <c r="J1686">
        <v>0</v>
      </c>
      <c r="K1686">
        <v>1.91</v>
      </c>
      <c r="L1686">
        <v>4.29</v>
      </c>
      <c r="M1686">
        <v>4.42</v>
      </c>
      <c r="N1686">
        <v>4.26</v>
      </c>
      <c r="O1686">
        <v>4.31</v>
      </c>
      <c r="P1686">
        <v>22.74</v>
      </c>
      <c r="Q1686">
        <v>223535280</v>
      </c>
      <c r="R1686">
        <v>1.25</v>
      </c>
      <c r="S1686" t="s">
        <v>316</v>
      </c>
      <c r="T1686" t="s">
        <v>45</v>
      </c>
      <c r="U1686">
        <v>3.71</v>
      </c>
      <c r="V1686">
        <v>4.33</v>
      </c>
      <c r="W1686">
        <v>271778</v>
      </c>
      <c r="X1686">
        <v>244062</v>
      </c>
      <c r="Y1686">
        <v>1.11</v>
      </c>
      <c r="Z1686">
        <v>1482</v>
      </c>
      <c r="AA1686">
        <v>3496</v>
      </c>
      <c r="AB1686" t="s">
        <v>32</v>
      </c>
      <c r="AC1686">
        <v>27.01</v>
      </c>
    </row>
    <row r="1687" spans="1:29">
      <c r="A1687" t="str">
        <f>"300316"</f>
        <v>300316</v>
      </c>
      <c r="B1687" t="s">
        <v>1856</v>
      </c>
      <c r="C1687">
        <v>-1.06</v>
      </c>
      <c r="D1687">
        <v>14.88</v>
      </c>
      <c r="E1687">
        <v>-0.16</v>
      </c>
      <c r="F1687">
        <v>14.88</v>
      </c>
      <c r="G1687">
        <v>14.89</v>
      </c>
      <c r="H1687">
        <v>292049</v>
      </c>
      <c r="I1687">
        <v>3399</v>
      </c>
      <c r="J1687">
        <v>-0.06</v>
      </c>
      <c r="K1687">
        <v>2.44</v>
      </c>
      <c r="L1687">
        <v>15.14</v>
      </c>
      <c r="M1687">
        <v>15.18</v>
      </c>
      <c r="N1687">
        <v>14.66</v>
      </c>
      <c r="O1687">
        <v>15.04</v>
      </c>
      <c r="P1687">
        <v>35.26</v>
      </c>
      <c r="Q1687">
        <v>434428096</v>
      </c>
      <c r="R1687">
        <v>1.05</v>
      </c>
      <c r="S1687" t="s">
        <v>171</v>
      </c>
      <c r="T1687" t="s">
        <v>149</v>
      </c>
      <c r="U1687">
        <v>3.46</v>
      </c>
      <c r="V1687">
        <v>14.88</v>
      </c>
      <c r="W1687">
        <v>155585</v>
      </c>
      <c r="X1687">
        <v>136463</v>
      </c>
      <c r="Y1687">
        <v>1.14</v>
      </c>
      <c r="Z1687">
        <v>1533</v>
      </c>
      <c r="AA1687">
        <v>757</v>
      </c>
      <c r="AB1687" t="s">
        <v>32</v>
      </c>
      <c r="AC1687">
        <v>11.98</v>
      </c>
    </row>
    <row r="1688" spans="1:29">
      <c r="A1688" t="str">
        <f>"300317"</f>
        <v>300317</v>
      </c>
      <c r="B1688" t="s">
        <v>1857</v>
      </c>
      <c r="C1688">
        <v>0.25</v>
      </c>
      <c r="D1688">
        <v>7.88</v>
      </c>
      <c r="E1688">
        <v>0.02</v>
      </c>
      <c r="F1688">
        <v>7.88</v>
      </c>
      <c r="G1688">
        <v>7.89</v>
      </c>
      <c r="H1688">
        <v>284287</v>
      </c>
      <c r="I1688">
        <v>6217</v>
      </c>
      <c r="J1688">
        <v>-0.12</v>
      </c>
      <c r="K1688">
        <v>8.78</v>
      </c>
      <c r="L1688">
        <v>7.82</v>
      </c>
      <c r="M1688">
        <v>7.92</v>
      </c>
      <c r="N1688">
        <v>7.64</v>
      </c>
      <c r="O1688">
        <v>7.86</v>
      </c>
      <c r="P1688">
        <v>64.07</v>
      </c>
      <c r="Q1688">
        <v>221673952</v>
      </c>
      <c r="R1688">
        <v>0.87</v>
      </c>
      <c r="S1688" t="s">
        <v>699</v>
      </c>
      <c r="T1688" t="s">
        <v>31</v>
      </c>
      <c r="U1688">
        <v>3.56</v>
      </c>
      <c r="V1688">
        <v>7.8</v>
      </c>
      <c r="W1688">
        <v>156495</v>
      </c>
      <c r="X1688">
        <v>127791</v>
      </c>
      <c r="Y1688">
        <v>1.22</v>
      </c>
      <c r="Z1688">
        <v>1213</v>
      </c>
      <c r="AA1688">
        <v>790</v>
      </c>
      <c r="AB1688" t="s">
        <v>32</v>
      </c>
      <c r="AC1688">
        <v>3.24</v>
      </c>
    </row>
    <row r="1689" spans="1:29">
      <c r="A1689" t="str">
        <f>"300318"</f>
        <v>300318</v>
      </c>
      <c r="B1689" t="s">
        <v>1858</v>
      </c>
      <c r="C1689">
        <v>10.04</v>
      </c>
      <c r="D1689">
        <v>5.59</v>
      </c>
      <c r="E1689">
        <v>0.51</v>
      </c>
      <c r="F1689">
        <v>5.59</v>
      </c>
      <c r="G1689" t="s">
        <v>32</v>
      </c>
      <c r="H1689">
        <v>25245</v>
      </c>
      <c r="I1689">
        <v>210</v>
      </c>
      <c r="J1689">
        <v>0</v>
      </c>
      <c r="K1689">
        <v>0.35</v>
      </c>
      <c r="L1689">
        <v>5.59</v>
      </c>
      <c r="M1689">
        <v>5.59</v>
      </c>
      <c r="N1689">
        <v>5.59</v>
      </c>
      <c r="O1689">
        <v>5.08</v>
      </c>
      <c r="P1689">
        <v>152.07</v>
      </c>
      <c r="Q1689">
        <v>14112207</v>
      </c>
      <c r="R1689">
        <v>1.22</v>
      </c>
      <c r="S1689" t="s">
        <v>138</v>
      </c>
      <c r="T1689" t="s">
        <v>45</v>
      </c>
      <c r="U1689">
        <v>0</v>
      </c>
      <c r="V1689">
        <v>5.59</v>
      </c>
      <c r="W1689">
        <v>17975</v>
      </c>
      <c r="X1689">
        <v>7270</v>
      </c>
      <c r="Y1689">
        <v>2.47</v>
      </c>
      <c r="Z1689">
        <v>33181</v>
      </c>
      <c r="AA1689">
        <v>0</v>
      </c>
      <c r="AB1689" t="s">
        <v>32</v>
      </c>
      <c r="AC1689">
        <v>7.27</v>
      </c>
    </row>
    <row r="1690" spans="1:29">
      <c r="A1690" t="str">
        <f>"300319"</f>
        <v>300319</v>
      </c>
      <c r="B1690" t="s">
        <v>1859</v>
      </c>
      <c r="C1690">
        <v>0</v>
      </c>
      <c r="D1690">
        <v>8.06</v>
      </c>
      <c r="E1690">
        <v>0</v>
      </c>
      <c r="F1690">
        <v>8.06</v>
      </c>
      <c r="G1690">
        <v>8.07</v>
      </c>
      <c r="H1690">
        <v>39049</v>
      </c>
      <c r="I1690">
        <v>279</v>
      </c>
      <c r="J1690">
        <v>0</v>
      </c>
      <c r="K1690">
        <v>0.83</v>
      </c>
      <c r="L1690">
        <v>8.1</v>
      </c>
      <c r="M1690">
        <v>8.22</v>
      </c>
      <c r="N1690">
        <v>7.96</v>
      </c>
      <c r="O1690">
        <v>8.06</v>
      </c>
      <c r="P1690">
        <v>60.89</v>
      </c>
      <c r="Q1690">
        <v>31518160</v>
      </c>
      <c r="R1690">
        <v>0.73</v>
      </c>
      <c r="S1690" t="s">
        <v>63</v>
      </c>
      <c r="T1690" t="s">
        <v>31</v>
      </c>
      <c r="U1690">
        <v>3.23</v>
      </c>
      <c r="V1690">
        <v>8.07</v>
      </c>
      <c r="W1690">
        <v>14362</v>
      </c>
      <c r="X1690">
        <v>24687</v>
      </c>
      <c r="Y1690">
        <v>0.58</v>
      </c>
      <c r="Z1690">
        <v>15</v>
      </c>
      <c r="AA1690">
        <v>126</v>
      </c>
      <c r="AB1690" t="s">
        <v>32</v>
      </c>
      <c r="AC1690">
        <v>4.72</v>
      </c>
    </row>
    <row r="1691" spans="1:29">
      <c r="A1691" t="str">
        <f>"300320"</f>
        <v>300320</v>
      </c>
      <c r="B1691" t="s">
        <v>1860</v>
      </c>
      <c r="C1691">
        <v>0.34</v>
      </c>
      <c r="D1691">
        <v>5.84</v>
      </c>
      <c r="E1691">
        <v>0.02</v>
      </c>
      <c r="F1691">
        <v>5.84</v>
      </c>
      <c r="G1691">
        <v>5.85</v>
      </c>
      <c r="H1691">
        <v>101317</v>
      </c>
      <c r="I1691">
        <v>1870</v>
      </c>
      <c r="J1691">
        <v>0.17</v>
      </c>
      <c r="K1691">
        <v>2.24</v>
      </c>
      <c r="L1691">
        <v>5.83</v>
      </c>
      <c r="M1691">
        <v>5.9</v>
      </c>
      <c r="N1691">
        <v>5.71</v>
      </c>
      <c r="O1691">
        <v>5.82</v>
      </c>
      <c r="P1691">
        <v>17.3</v>
      </c>
      <c r="Q1691">
        <v>58855152</v>
      </c>
      <c r="R1691">
        <v>0.51</v>
      </c>
      <c r="S1691" t="s">
        <v>526</v>
      </c>
      <c r="T1691" t="s">
        <v>87</v>
      </c>
      <c r="U1691">
        <v>3.26</v>
      </c>
      <c r="V1691">
        <v>5.81</v>
      </c>
      <c r="W1691">
        <v>52906</v>
      </c>
      <c r="X1691">
        <v>48411</v>
      </c>
      <c r="Y1691">
        <v>1.09</v>
      </c>
      <c r="Z1691">
        <v>448</v>
      </c>
      <c r="AA1691">
        <v>1592</v>
      </c>
      <c r="AB1691" t="s">
        <v>32</v>
      </c>
      <c r="AC1691">
        <v>4.53</v>
      </c>
    </row>
    <row r="1692" spans="1:29">
      <c r="A1692" t="str">
        <f>"300321"</f>
        <v>300321</v>
      </c>
      <c r="B1692" t="s">
        <v>1861</v>
      </c>
      <c r="C1692">
        <v>1.95</v>
      </c>
      <c r="D1692">
        <v>14.61</v>
      </c>
      <c r="E1692">
        <v>0.28</v>
      </c>
      <c r="F1692">
        <v>14.6</v>
      </c>
      <c r="G1692">
        <v>14.61</v>
      </c>
      <c r="H1692">
        <v>5196</v>
      </c>
      <c r="I1692">
        <v>84</v>
      </c>
      <c r="J1692">
        <v>0.41</v>
      </c>
      <c r="K1692">
        <v>0.63</v>
      </c>
      <c r="L1692">
        <v>14.34</v>
      </c>
      <c r="M1692">
        <v>14.7</v>
      </c>
      <c r="N1692">
        <v>14.24</v>
      </c>
      <c r="O1692">
        <v>14.33</v>
      </c>
      <c r="P1692">
        <v>1131.69</v>
      </c>
      <c r="Q1692">
        <v>7532921</v>
      </c>
      <c r="R1692">
        <v>1.55</v>
      </c>
      <c r="S1692" t="s">
        <v>508</v>
      </c>
      <c r="T1692" t="s">
        <v>162</v>
      </c>
      <c r="U1692">
        <v>3.21</v>
      </c>
      <c r="V1692">
        <v>14.5</v>
      </c>
      <c r="W1692">
        <v>2428</v>
      </c>
      <c r="X1692">
        <v>2768</v>
      </c>
      <c r="Y1692">
        <v>0.88</v>
      </c>
      <c r="Z1692">
        <v>13</v>
      </c>
      <c r="AA1692">
        <v>17</v>
      </c>
      <c r="AB1692" t="s">
        <v>32</v>
      </c>
      <c r="AC1692">
        <v>0.83</v>
      </c>
    </row>
    <row r="1693" spans="1:29">
      <c r="A1693" t="str">
        <f>"300322"</f>
        <v>300322</v>
      </c>
      <c r="B1693" t="s">
        <v>1862</v>
      </c>
      <c r="C1693">
        <v>0</v>
      </c>
      <c r="D1693">
        <v>8.89</v>
      </c>
      <c r="E1693">
        <v>0</v>
      </c>
      <c r="F1693">
        <v>8.89</v>
      </c>
      <c r="G1693">
        <v>8.9</v>
      </c>
      <c r="H1693">
        <v>29078</v>
      </c>
      <c r="I1693">
        <v>293</v>
      </c>
      <c r="J1693">
        <v>0.11</v>
      </c>
      <c r="K1693">
        <v>0.79</v>
      </c>
      <c r="L1693">
        <v>8.94</v>
      </c>
      <c r="M1693">
        <v>8.94</v>
      </c>
      <c r="N1693">
        <v>8.78</v>
      </c>
      <c r="O1693">
        <v>8.89</v>
      </c>
      <c r="P1693">
        <v>58.24</v>
      </c>
      <c r="Q1693">
        <v>25804750</v>
      </c>
      <c r="R1693">
        <v>0.91</v>
      </c>
      <c r="S1693" t="s">
        <v>119</v>
      </c>
      <c r="T1693" t="s">
        <v>136</v>
      </c>
      <c r="U1693">
        <v>1.8</v>
      </c>
      <c r="V1693">
        <v>8.87</v>
      </c>
      <c r="W1693">
        <v>16444</v>
      </c>
      <c r="X1693">
        <v>12633</v>
      </c>
      <c r="Y1693">
        <v>1.3</v>
      </c>
      <c r="Z1693">
        <v>94</v>
      </c>
      <c r="AA1693">
        <v>69</v>
      </c>
      <c r="AB1693" t="s">
        <v>32</v>
      </c>
      <c r="AC1693">
        <v>3.68</v>
      </c>
    </row>
    <row r="1694" spans="1:29">
      <c r="A1694" t="str">
        <f>"300323"</f>
        <v>300323</v>
      </c>
      <c r="B1694" t="s">
        <v>1863</v>
      </c>
      <c r="C1694">
        <v>0.07</v>
      </c>
      <c r="D1694">
        <v>14.22</v>
      </c>
      <c r="E1694">
        <v>0.01</v>
      </c>
      <c r="F1694">
        <v>14.22</v>
      </c>
      <c r="G1694">
        <v>14.23</v>
      </c>
      <c r="H1694">
        <v>67766</v>
      </c>
      <c r="I1694">
        <v>596</v>
      </c>
      <c r="J1694">
        <v>0</v>
      </c>
      <c r="K1694">
        <v>0.98</v>
      </c>
      <c r="L1694">
        <v>14.21</v>
      </c>
      <c r="M1694">
        <v>14.34</v>
      </c>
      <c r="N1694">
        <v>14.02</v>
      </c>
      <c r="O1694">
        <v>14.21</v>
      </c>
      <c r="P1694">
        <v>26.91</v>
      </c>
      <c r="Q1694">
        <v>96321616</v>
      </c>
      <c r="R1694">
        <v>0.93</v>
      </c>
      <c r="S1694" t="s">
        <v>699</v>
      </c>
      <c r="T1694" t="s">
        <v>193</v>
      </c>
      <c r="U1694">
        <v>2.25</v>
      </c>
      <c r="V1694">
        <v>14.21</v>
      </c>
      <c r="W1694">
        <v>34391</v>
      </c>
      <c r="X1694">
        <v>33375</v>
      </c>
      <c r="Y1694">
        <v>1.03</v>
      </c>
      <c r="Z1694">
        <v>8</v>
      </c>
      <c r="AA1694">
        <v>403</v>
      </c>
      <c r="AB1694" t="s">
        <v>32</v>
      </c>
      <c r="AC1694">
        <v>6.9</v>
      </c>
    </row>
    <row r="1695" spans="1:29">
      <c r="A1695" t="str">
        <f>"300324"</f>
        <v>300324</v>
      </c>
      <c r="B1695" t="s">
        <v>1864</v>
      </c>
      <c r="C1695" t="s">
        <v>32</v>
      </c>
      <c r="D1695">
        <v>9.49</v>
      </c>
      <c r="E1695" t="s">
        <v>32</v>
      </c>
      <c r="F1695" t="s">
        <v>32</v>
      </c>
      <c r="G1695" t="s">
        <v>32</v>
      </c>
      <c r="H1695">
        <v>0</v>
      </c>
      <c r="I1695">
        <v>0</v>
      </c>
      <c r="J1695" t="s">
        <v>32</v>
      </c>
      <c r="K1695">
        <v>0</v>
      </c>
      <c r="L1695" t="s">
        <v>32</v>
      </c>
      <c r="M1695" t="s">
        <v>32</v>
      </c>
      <c r="N1695" t="s">
        <v>32</v>
      </c>
      <c r="O1695">
        <v>9.49</v>
      </c>
      <c r="P1695">
        <v>29.55</v>
      </c>
      <c r="Q1695">
        <v>0</v>
      </c>
      <c r="R1695">
        <v>0</v>
      </c>
      <c r="S1695" t="s">
        <v>270</v>
      </c>
      <c r="T1695" t="s">
        <v>45</v>
      </c>
      <c r="U1695">
        <v>0</v>
      </c>
      <c r="V1695">
        <v>9.49</v>
      </c>
      <c r="W1695">
        <v>0</v>
      </c>
      <c r="X1695">
        <v>0</v>
      </c>
      <c r="Y1695" t="s">
        <v>32</v>
      </c>
      <c r="Z1695">
        <v>0</v>
      </c>
      <c r="AA1695">
        <v>0</v>
      </c>
      <c r="AB1695" t="s">
        <v>32</v>
      </c>
      <c r="AC1695">
        <v>10.02</v>
      </c>
    </row>
    <row r="1696" spans="1:29">
      <c r="A1696" t="str">
        <f>"300325"</f>
        <v>300325</v>
      </c>
      <c r="B1696" t="s">
        <v>1865</v>
      </c>
      <c r="C1696">
        <v>-0.27</v>
      </c>
      <c r="D1696">
        <v>3.76</v>
      </c>
      <c r="E1696">
        <v>-0.01</v>
      </c>
      <c r="F1696">
        <v>3.75</v>
      </c>
      <c r="G1696">
        <v>3.76</v>
      </c>
      <c r="H1696">
        <v>124690</v>
      </c>
      <c r="I1696">
        <v>2025</v>
      </c>
      <c r="J1696">
        <v>-0.26</v>
      </c>
      <c r="K1696">
        <v>1.57</v>
      </c>
      <c r="L1696">
        <v>3.7</v>
      </c>
      <c r="M1696">
        <v>3.81</v>
      </c>
      <c r="N1696">
        <v>3.69</v>
      </c>
      <c r="O1696">
        <v>3.77</v>
      </c>
      <c r="P1696">
        <v>56.09</v>
      </c>
      <c r="Q1696">
        <v>46633168</v>
      </c>
      <c r="R1696">
        <v>0.61</v>
      </c>
      <c r="S1696" t="s">
        <v>508</v>
      </c>
      <c r="T1696" t="s">
        <v>87</v>
      </c>
      <c r="U1696">
        <v>3.18</v>
      </c>
      <c r="V1696">
        <v>3.74</v>
      </c>
      <c r="W1696">
        <v>71919</v>
      </c>
      <c r="X1696">
        <v>52771</v>
      </c>
      <c r="Y1696">
        <v>1.36</v>
      </c>
      <c r="Z1696">
        <v>2870</v>
      </c>
      <c r="AA1696">
        <v>1652</v>
      </c>
      <c r="AB1696" t="s">
        <v>32</v>
      </c>
      <c r="AC1696">
        <v>7.95</v>
      </c>
    </row>
    <row r="1697" spans="1:29">
      <c r="A1697" t="str">
        <f>"300326"</f>
        <v>300326</v>
      </c>
      <c r="B1697" t="s">
        <v>1866</v>
      </c>
      <c r="C1697">
        <v>2.07</v>
      </c>
      <c r="D1697">
        <v>9.86</v>
      </c>
      <c r="E1697">
        <v>0.2</v>
      </c>
      <c r="F1697">
        <v>9.85</v>
      </c>
      <c r="G1697">
        <v>9.86</v>
      </c>
      <c r="H1697">
        <v>55420</v>
      </c>
      <c r="I1697">
        <v>1044</v>
      </c>
      <c r="J1697">
        <v>0.41</v>
      </c>
      <c r="K1697">
        <v>0.86</v>
      </c>
      <c r="L1697">
        <v>9.54</v>
      </c>
      <c r="M1697">
        <v>9.88</v>
      </c>
      <c r="N1697">
        <v>9.54</v>
      </c>
      <c r="O1697">
        <v>9.66</v>
      </c>
      <c r="P1697">
        <v>36.23</v>
      </c>
      <c r="Q1697">
        <v>54052776</v>
      </c>
      <c r="R1697">
        <v>0.93</v>
      </c>
      <c r="S1697" t="s">
        <v>138</v>
      </c>
      <c r="T1697" t="s">
        <v>366</v>
      </c>
      <c r="U1697">
        <v>3.52</v>
      </c>
      <c r="V1697">
        <v>9.75</v>
      </c>
      <c r="W1697">
        <v>25109</v>
      </c>
      <c r="X1697">
        <v>30310</v>
      </c>
      <c r="Y1697">
        <v>0.83</v>
      </c>
      <c r="Z1697">
        <v>268</v>
      </c>
      <c r="AA1697">
        <v>205</v>
      </c>
      <c r="AB1697" t="s">
        <v>32</v>
      </c>
      <c r="AC1697">
        <v>6.44</v>
      </c>
    </row>
    <row r="1698" spans="1:29">
      <c r="A1698" t="str">
        <f>"300327"</f>
        <v>300327</v>
      </c>
      <c r="B1698" t="s">
        <v>1867</v>
      </c>
      <c r="C1698">
        <v>0.12</v>
      </c>
      <c r="D1698">
        <v>25.67</v>
      </c>
      <c r="E1698">
        <v>0.03</v>
      </c>
      <c r="F1698">
        <v>25.66</v>
      </c>
      <c r="G1698">
        <v>25.67</v>
      </c>
      <c r="H1698">
        <v>53546</v>
      </c>
      <c r="I1698">
        <v>646</v>
      </c>
      <c r="J1698">
        <v>-0.11</v>
      </c>
      <c r="K1698">
        <v>2.34</v>
      </c>
      <c r="L1698">
        <v>25.41</v>
      </c>
      <c r="M1698">
        <v>25.77</v>
      </c>
      <c r="N1698">
        <v>25.14</v>
      </c>
      <c r="O1698">
        <v>25.64</v>
      </c>
      <c r="P1698">
        <v>42.77</v>
      </c>
      <c r="Q1698">
        <v>136557440</v>
      </c>
      <c r="R1698">
        <v>1.53</v>
      </c>
      <c r="S1698" t="s">
        <v>699</v>
      </c>
      <c r="T1698" t="s">
        <v>366</v>
      </c>
      <c r="U1698">
        <v>2.46</v>
      </c>
      <c r="V1698">
        <v>25.5</v>
      </c>
      <c r="W1698">
        <v>27157</v>
      </c>
      <c r="X1698">
        <v>26389</v>
      </c>
      <c r="Y1698">
        <v>1.03</v>
      </c>
      <c r="Z1698">
        <v>348</v>
      </c>
      <c r="AA1698">
        <v>11</v>
      </c>
      <c r="AB1698" t="s">
        <v>32</v>
      </c>
      <c r="AC1698">
        <v>2.29</v>
      </c>
    </row>
    <row r="1699" spans="1:29">
      <c r="A1699" t="str">
        <f>"300328"</f>
        <v>300328</v>
      </c>
      <c r="B1699" t="s">
        <v>1868</v>
      </c>
      <c r="C1699">
        <v>1.22</v>
      </c>
      <c r="D1699">
        <v>7.46</v>
      </c>
      <c r="E1699">
        <v>0.09</v>
      </c>
      <c r="F1699">
        <v>7.46</v>
      </c>
      <c r="G1699">
        <v>7.47</v>
      </c>
      <c r="H1699">
        <v>21539</v>
      </c>
      <c r="I1699">
        <v>244</v>
      </c>
      <c r="J1699">
        <v>0.4</v>
      </c>
      <c r="K1699">
        <v>0.52</v>
      </c>
      <c r="L1699">
        <v>7.33</v>
      </c>
      <c r="M1699">
        <v>7.55</v>
      </c>
      <c r="N1699">
        <v>7.27</v>
      </c>
      <c r="O1699">
        <v>7.37</v>
      </c>
      <c r="P1699">
        <v>280.07</v>
      </c>
      <c r="Q1699">
        <v>15971036</v>
      </c>
      <c r="R1699">
        <v>1.95</v>
      </c>
      <c r="S1699" t="s">
        <v>324</v>
      </c>
      <c r="T1699" t="s">
        <v>136</v>
      </c>
      <c r="U1699">
        <v>3.8</v>
      </c>
      <c r="V1699">
        <v>7.41</v>
      </c>
      <c r="W1699">
        <v>11248</v>
      </c>
      <c r="X1699">
        <v>10290</v>
      </c>
      <c r="Y1699">
        <v>1.09</v>
      </c>
      <c r="Z1699">
        <v>106</v>
      </c>
      <c r="AA1699">
        <v>135</v>
      </c>
      <c r="AB1699" t="s">
        <v>32</v>
      </c>
      <c r="AC1699">
        <v>4.1</v>
      </c>
    </row>
    <row r="1700" spans="1:29">
      <c r="A1700" t="str">
        <f>"300329"</f>
        <v>300329</v>
      </c>
      <c r="B1700" t="s">
        <v>1869</v>
      </c>
      <c r="C1700">
        <v>3.73</v>
      </c>
      <c r="D1700">
        <v>8.63</v>
      </c>
      <c r="E1700">
        <v>0.31</v>
      </c>
      <c r="F1700">
        <v>8.62</v>
      </c>
      <c r="G1700">
        <v>8.63</v>
      </c>
      <c r="H1700">
        <v>41811</v>
      </c>
      <c r="I1700">
        <v>709</v>
      </c>
      <c r="J1700">
        <v>0.12</v>
      </c>
      <c r="K1700">
        <v>1.67</v>
      </c>
      <c r="L1700">
        <v>8.36</v>
      </c>
      <c r="M1700">
        <v>8.69</v>
      </c>
      <c r="N1700">
        <v>8.3</v>
      </c>
      <c r="O1700">
        <v>8.32</v>
      </c>
      <c r="P1700">
        <v>37.9</v>
      </c>
      <c r="Q1700">
        <v>35495068</v>
      </c>
      <c r="R1700">
        <v>1.98</v>
      </c>
      <c r="S1700" t="s">
        <v>57</v>
      </c>
      <c r="T1700" t="s">
        <v>149</v>
      </c>
      <c r="U1700">
        <v>4.69</v>
      </c>
      <c r="V1700">
        <v>8.49</v>
      </c>
      <c r="W1700">
        <v>19150</v>
      </c>
      <c r="X1700">
        <v>22661</v>
      </c>
      <c r="Y1700">
        <v>0.85</v>
      </c>
      <c r="Z1700">
        <v>132</v>
      </c>
      <c r="AA1700">
        <v>23</v>
      </c>
      <c r="AB1700" t="s">
        <v>32</v>
      </c>
      <c r="AC1700">
        <v>2.51</v>
      </c>
    </row>
    <row r="1701" spans="1:29">
      <c r="A1701" t="str">
        <f>"300330"</f>
        <v>300330</v>
      </c>
      <c r="B1701" t="s">
        <v>1870</v>
      </c>
      <c r="C1701">
        <v>1.23</v>
      </c>
      <c r="D1701">
        <v>9.02</v>
      </c>
      <c r="E1701">
        <v>0.11</v>
      </c>
      <c r="F1701">
        <v>9.01</v>
      </c>
      <c r="G1701">
        <v>9.02</v>
      </c>
      <c r="H1701">
        <v>18844</v>
      </c>
      <c r="I1701">
        <v>142</v>
      </c>
      <c r="J1701">
        <v>0.11</v>
      </c>
      <c r="K1701">
        <v>1.12</v>
      </c>
      <c r="L1701">
        <v>8.91</v>
      </c>
      <c r="M1701">
        <v>9.05</v>
      </c>
      <c r="N1701">
        <v>8.85</v>
      </c>
      <c r="O1701">
        <v>8.91</v>
      </c>
      <c r="P1701" t="s">
        <v>32</v>
      </c>
      <c r="Q1701">
        <v>16935954</v>
      </c>
      <c r="R1701">
        <v>1.31</v>
      </c>
      <c r="S1701" t="s">
        <v>270</v>
      </c>
      <c r="T1701" t="s">
        <v>366</v>
      </c>
      <c r="U1701">
        <v>2.24</v>
      </c>
      <c r="V1701">
        <v>8.99</v>
      </c>
      <c r="W1701">
        <v>8497</v>
      </c>
      <c r="X1701">
        <v>10347</v>
      </c>
      <c r="Y1701">
        <v>0.82</v>
      </c>
      <c r="Z1701">
        <v>22</v>
      </c>
      <c r="AA1701">
        <v>534</v>
      </c>
      <c r="AB1701" t="s">
        <v>32</v>
      </c>
      <c r="AC1701">
        <v>1.68</v>
      </c>
    </row>
    <row r="1702" spans="1:29">
      <c r="A1702" t="str">
        <f>"300331"</f>
        <v>300331</v>
      </c>
      <c r="B1702" t="s">
        <v>1871</v>
      </c>
      <c r="C1702">
        <v>0.7</v>
      </c>
      <c r="D1702">
        <v>14.46</v>
      </c>
      <c r="E1702">
        <v>0.1</v>
      </c>
      <c r="F1702">
        <v>14.46</v>
      </c>
      <c r="G1702">
        <v>14.47</v>
      </c>
      <c r="H1702">
        <v>25228</v>
      </c>
      <c r="I1702">
        <v>272</v>
      </c>
      <c r="J1702">
        <v>-0.06</v>
      </c>
      <c r="K1702">
        <v>1.93</v>
      </c>
      <c r="L1702">
        <v>14.18</v>
      </c>
      <c r="M1702">
        <v>14.6</v>
      </c>
      <c r="N1702">
        <v>14.12</v>
      </c>
      <c r="O1702">
        <v>14.36</v>
      </c>
      <c r="P1702">
        <v>49.85</v>
      </c>
      <c r="Q1702">
        <v>36253512</v>
      </c>
      <c r="R1702">
        <v>1.18</v>
      </c>
      <c r="S1702" t="s">
        <v>63</v>
      </c>
      <c r="T1702" t="s">
        <v>87</v>
      </c>
      <c r="U1702">
        <v>3.34</v>
      </c>
      <c r="V1702">
        <v>14.37</v>
      </c>
      <c r="W1702">
        <v>13000</v>
      </c>
      <c r="X1702">
        <v>12228</v>
      </c>
      <c r="Y1702">
        <v>1.06</v>
      </c>
      <c r="Z1702">
        <v>100</v>
      </c>
      <c r="AA1702">
        <v>242</v>
      </c>
      <c r="AB1702" t="s">
        <v>32</v>
      </c>
      <c r="AC1702">
        <v>1.31</v>
      </c>
    </row>
    <row r="1703" spans="1:29">
      <c r="A1703" t="str">
        <f>"300332"</f>
        <v>300332</v>
      </c>
      <c r="B1703" t="s">
        <v>1872</v>
      </c>
      <c r="C1703">
        <v>4.66</v>
      </c>
      <c r="D1703">
        <v>4.72</v>
      </c>
      <c r="E1703">
        <v>0.21</v>
      </c>
      <c r="F1703">
        <v>4.71</v>
      </c>
      <c r="G1703">
        <v>4.72</v>
      </c>
      <c r="H1703">
        <v>91459</v>
      </c>
      <c r="I1703">
        <v>1092</v>
      </c>
      <c r="J1703">
        <v>0.21</v>
      </c>
      <c r="K1703">
        <v>1.46</v>
      </c>
      <c r="L1703">
        <v>4.57</v>
      </c>
      <c r="M1703">
        <v>4.79</v>
      </c>
      <c r="N1703">
        <v>4.56</v>
      </c>
      <c r="O1703">
        <v>4.51</v>
      </c>
      <c r="P1703" t="s">
        <v>32</v>
      </c>
      <c r="Q1703">
        <v>43026544</v>
      </c>
      <c r="R1703">
        <v>3.31</v>
      </c>
      <c r="S1703" t="s">
        <v>86</v>
      </c>
      <c r="T1703" t="s">
        <v>45</v>
      </c>
      <c r="U1703">
        <v>5.1</v>
      </c>
      <c r="V1703">
        <v>4.7</v>
      </c>
      <c r="W1703">
        <v>37221</v>
      </c>
      <c r="X1703">
        <v>54238</v>
      </c>
      <c r="Y1703">
        <v>0.69</v>
      </c>
      <c r="Z1703">
        <v>953</v>
      </c>
      <c r="AA1703">
        <v>693</v>
      </c>
      <c r="AB1703" t="s">
        <v>32</v>
      </c>
      <c r="AC1703">
        <v>6.27</v>
      </c>
    </row>
    <row r="1704" spans="1:29">
      <c r="A1704" t="str">
        <f>"300333"</f>
        <v>300333</v>
      </c>
      <c r="B1704" t="s">
        <v>1873</v>
      </c>
      <c r="C1704">
        <v>-1.06</v>
      </c>
      <c r="D1704">
        <v>10.27</v>
      </c>
      <c r="E1704">
        <v>-0.11</v>
      </c>
      <c r="F1704">
        <v>10.27</v>
      </c>
      <c r="G1704">
        <v>10.28</v>
      </c>
      <c r="H1704">
        <v>190477</v>
      </c>
      <c r="I1704">
        <v>2646</v>
      </c>
      <c r="J1704">
        <v>0</v>
      </c>
      <c r="K1704">
        <v>5.76</v>
      </c>
      <c r="L1704">
        <v>10.29</v>
      </c>
      <c r="M1704">
        <v>10.4</v>
      </c>
      <c r="N1704">
        <v>10.08</v>
      </c>
      <c r="O1704">
        <v>10.38</v>
      </c>
      <c r="P1704">
        <v>212.35</v>
      </c>
      <c r="Q1704">
        <v>195019728</v>
      </c>
      <c r="R1704">
        <v>0.67</v>
      </c>
      <c r="S1704" t="s">
        <v>63</v>
      </c>
      <c r="T1704" t="s">
        <v>31</v>
      </c>
      <c r="U1704">
        <v>3.08</v>
      </c>
      <c r="V1704">
        <v>10.24</v>
      </c>
      <c r="W1704">
        <v>103544</v>
      </c>
      <c r="X1704">
        <v>86932</v>
      </c>
      <c r="Y1704">
        <v>1.19</v>
      </c>
      <c r="Z1704">
        <v>1041</v>
      </c>
      <c r="AA1704">
        <v>564</v>
      </c>
      <c r="AB1704" t="s">
        <v>32</v>
      </c>
      <c r="AC1704">
        <v>3.31</v>
      </c>
    </row>
    <row r="1705" spans="1:29">
      <c r="A1705" t="str">
        <f>"300334"</f>
        <v>300334</v>
      </c>
      <c r="B1705" t="s">
        <v>1874</v>
      </c>
      <c r="C1705">
        <v>1.62</v>
      </c>
      <c r="D1705">
        <v>8.77</v>
      </c>
      <c r="E1705">
        <v>0.14</v>
      </c>
      <c r="F1705">
        <v>8.76</v>
      </c>
      <c r="G1705">
        <v>8.77</v>
      </c>
      <c r="H1705">
        <v>61113</v>
      </c>
      <c r="I1705">
        <v>587</v>
      </c>
      <c r="J1705">
        <v>0.11</v>
      </c>
      <c r="K1705">
        <v>2.22</v>
      </c>
      <c r="L1705">
        <v>8.63</v>
      </c>
      <c r="M1705">
        <v>8.84</v>
      </c>
      <c r="N1705">
        <v>8.54</v>
      </c>
      <c r="O1705">
        <v>8.63</v>
      </c>
      <c r="P1705" t="s">
        <v>32</v>
      </c>
      <c r="Q1705">
        <v>53188840</v>
      </c>
      <c r="R1705">
        <v>1.52</v>
      </c>
      <c r="S1705" t="s">
        <v>171</v>
      </c>
      <c r="T1705" t="s">
        <v>248</v>
      </c>
      <c r="U1705">
        <v>3.48</v>
      </c>
      <c r="V1705">
        <v>8.7</v>
      </c>
      <c r="W1705">
        <v>31036</v>
      </c>
      <c r="X1705">
        <v>30077</v>
      </c>
      <c r="Y1705">
        <v>1.03</v>
      </c>
      <c r="Z1705">
        <v>870</v>
      </c>
      <c r="AA1705">
        <v>964</v>
      </c>
      <c r="AB1705" t="s">
        <v>32</v>
      </c>
      <c r="AC1705">
        <v>2.75</v>
      </c>
    </row>
    <row r="1706" spans="1:29">
      <c r="A1706" t="str">
        <f>"300335"</f>
        <v>300335</v>
      </c>
      <c r="B1706" t="s">
        <v>1875</v>
      </c>
      <c r="C1706">
        <v>2.26</v>
      </c>
      <c r="D1706">
        <v>9.51</v>
      </c>
      <c r="E1706">
        <v>0.21</v>
      </c>
      <c r="F1706">
        <v>9.51</v>
      </c>
      <c r="G1706">
        <v>9.52</v>
      </c>
      <c r="H1706">
        <v>115479</v>
      </c>
      <c r="I1706">
        <v>1204</v>
      </c>
      <c r="J1706">
        <v>-0.1</v>
      </c>
      <c r="K1706">
        <v>4.35</v>
      </c>
      <c r="L1706">
        <v>9.4</v>
      </c>
      <c r="M1706">
        <v>9.56</v>
      </c>
      <c r="N1706">
        <v>9.25</v>
      </c>
      <c r="O1706">
        <v>9.3</v>
      </c>
      <c r="P1706">
        <v>13.46</v>
      </c>
      <c r="Q1706">
        <v>108889208</v>
      </c>
      <c r="R1706">
        <v>1.24</v>
      </c>
      <c r="S1706" t="s">
        <v>174</v>
      </c>
      <c r="T1706" t="s">
        <v>136</v>
      </c>
      <c r="U1706">
        <v>3.33</v>
      </c>
      <c r="V1706">
        <v>9.43</v>
      </c>
      <c r="W1706">
        <v>51341</v>
      </c>
      <c r="X1706">
        <v>64138</v>
      </c>
      <c r="Y1706">
        <v>0.8</v>
      </c>
      <c r="Z1706">
        <v>513</v>
      </c>
      <c r="AA1706">
        <v>570</v>
      </c>
      <c r="AB1706" t="s">
        <v>32</v>
      </c>
      <c r="AC1706">
        <v>2.65</v>
      </c>
    </row>
    <row r="1707" spans="1:29">
      <c r="A1707" t="str">
        <f>"300336"</f>
        <v>300336</v>
      </c>
      <c r="B1707" t="s">
        <v>1876</v>
      </c>
      <c r="C1707">
        <v>2.61</v>
      </c>
      <c r="D1707">
        <v>5.5</v>
      </c>
      <c r="E1707">
        <v>0.14</v>
      </c>
      <c r="F1707">
        <v>5.5</v>
      </c>
      <c r="G1707">
        <v>5.51</v>
      </c>
      <c r="H1707">
        <v>150962</v>
      </c>
      <c r="I1707">
        <v>2129</v>
      </c>
      <c r="J1707">
        <v>-0.35</v>
      </c>
      <c r="K1707">
        <v>2.2</v>
      </c>
      <c r="L1707">
        <v>5.36</v>
      </c>
      <c r="M1707">
        <v>5.53</v>
      </c>
      <c r="N1707">
        <v>5.34</v>
      </c>
      <c r="O1707">
        <v>5.36</v>
      </c>
      <c r="P1707">
        <v>16.44</v>
      </c>
      <c r="Q1707">
        <v>82337448</v>
      </c>
      <c r="R1707">
        <v>1.7</v>
      </c>
      <c r="S1707" t="s">
        <v>148</v>
      </c>
      <c r="T1707" t="s">
        <v>366</v>
      </c>
      <c r="U1707">
        <v>3.54</v>
      </c>
      <c r="V1707">
        <v>5.45</v>
      </c>
      <c r="W1707">
        <v>62524</v>
      </c>
      <c r="X1707">
        <v>88437</v>
      </c>
      <c r="Y1707">
        <v>0.71</v>
      </c>
      <c r="Z1707">
        <v>3716</v>
      </c>
      <c r="AA1707">
        <v>1213</v>
      </c>
      <c r="AB1707" t="s">
        <v>32</v>
      </c>
      <c r="AC1707">
        <v>6.88</v>
      </c>
    </row>
    <row r="1708" spans="1:29">
      <c r="A1708" t="str">
        <f>"300337"</f>
        <v>300337</v>
      </c>
      <c r="B1708" t="s">
        <v>1877</v>
      </c>
      <c r="C1708">
        <v>-2.42</v>
      </c>
      <c r="D1708">
        <v>8.05</v>
      </c>
      <c r="E1708">
        <v>-0.2</v>
      </c>
      <c r="F1708">
        <v>8.03</v>
      </c>
      <c r="G1708">
        <v>8.05</v>
      </c>
      <c r="H1708">
        <v>122824</v>
      </c>
      <c r="I1708">
        <v>704</v>
      </c>
      <c r="J1708">
        <v>0.63</v>
      </c>
      <c r="K1708">
        <v>1.75</v>
      </c>
      <c r="L1708">
        <v>8.23</v>
      </c>
      <c r="M1708">
        <v>8.23</v>
      </c>
      <c r="N1708">
        <v>8</v>
      </c>
      <c r="O1708">
        <v>8.25</v>
      </c>
      <c r="P1708">
        <v>155.29</v>
      </c>
      <c r="Q1708">
        <v>99003952</v>
      </c>
      <c r="R1708">
        <v>0.96</v>
      </c>
      <c r="S1708" t="s">
        <v>324</v>
      </c>
      <c r="T1708" t="s">
        <v>87</v>
      </c>
      <c r="U1708">
        <v>2.79</v>
      </c>
      <c r="V1708">
        <v>8.06</v>
      </c>
      <c r="W1708">
        <v>41665</v>
      </c>
      <c r="X1708">
        <v>81159</v>
      </c>
      <c r="Y1708">
        <v>0.51</v>
      </c>
      <c r="Z1708">
        <v>5</v>
      </c>
      <c r="AA1708">
        <v>75</v>
      </c>
      <c r="AB1708" t="s">
        <v>32</v>
      </c>
      <c r="AC1708">
        <v>7.01</v>
      </c>
    </row>
    <row r="1709" spans="1:29">
      <c r="A1709" t="str">
        <f>"300338"</f>
        <v>300338</v>
      </c>
      <c r="B1709" t="s">
        <v>1878</v>
      </c>
      <c r="C1709">
        <v>-0.08</v>
      </c>
      <c r="D1709">
        <v>12.07</v>
      </c>
      <c r="E1709">
        <v>-0.01</v>
      </c>
      <c r="F1709">
        <v>12.07</v>
      </c>
      <c r="G1709">
        <v>12.08</v>
      </c>
      <c r="H1709">
        <v>20881</v>
      </c>
      <c r="I1709">
        <v>278</v>
      </c>
      <c r="J1709">
        <v>-0.07</v>
      </c>
      <c r="K1709">
        <v>1.11</v>
      </c>
      <c r="L1709">
        <v>11.87</v>
      </c>
      <c r="M1709">
        <v>12.18</v>
      </c>
      <c r="N1709">
        <v>11.66</v>
      </c>
      <c r="O1709">
        <v>12.08</v>
      </c>
      <c r="P1709">
        <v>61.22</v>
      </c>
      <c r="Q1709">
        <v>25076948</v>
      </c>
      <c r="R1709">
        <v>1.1</v>
      </c>
      <c r="S1709" t="s">
        <v>606</v>
      </c>
      <c r="T1709" t="s">
        <v>152</v>
      </c>
      <c r="U1709">
        <v>4.3</v>
      </c>
      <c r="V1709">
        <v>12.01</v>
      </c>
      <c r="W1709">
        <v>8118</v>
      </c>
      <c r="X1709">
        <v>12763</v>
      </c>
      <c r="Y1709">
        <v>0.64</v>
      </c>
      <c r="Z1709">
        <v>372</v>
      </c>
      <c r="AA1709">
        <v>406</v>
      </c>
      <c r="AB1709" t="s">
        <v>32</v>
      </c>
      <c r="AC1709">
        <v>1.88</v>
      </c>
    </row>
    <row r="1710" spans="1:29">
      <c r="A1710" t="str">
        <f>"300339"</f>
        <v>300339</v>
      </c>
      <c r="B1710" t="s">
        <v>1879</v>
      </c>
      <c r="C1710">
        <v>-0.63</v>
      </c>
      <c r="D1710">
        <v>12.52</v>
      </c>
      <c r="E1710">
        <v>-0.08</v>
      </c>
      <c r="F1710">
        <v>12.51</v>
      </c>
      <c r="G1710">
        <v>12.52</v>
      </c>
      <c r="H1710">
        <v>145435</v>
      </c>
      <c r="I1710">
        <v>2056</v>
      </c>
      <c r="J1710">
        <v>-0.07</v>
      </c>
      <c r="K1710">
        <v>2.82</v>
      </c>
      <c r="L1710">
        <v>12.55</v>
      </c>
      <c r="M1710">
        <v>12.65</v>
      </c>
      <c r="N1710">
        <v>12.3</v>
      </c>
      <c r="O1710">
        <v>12.6</v>
      </c>
      <c r="P1710">
        <v>55.2</v>
      </c>
      <c r="Q1710">
        <v>181551920</v>
      </c>
      <c r="R1710">
        <v>0.87</v>
      </c>
      <c r="S1710" t="s">
        <v>270</v>
      </c>
      <c r="T1710" t="s">
        <v>87</v>
      </c>
      <c r="U1710">
        <v>2.78</v>
      </c>
      <c r="V1710">
        <v>12.48</v>
      </c>
      <c r="W1710">
        <v>78078</v>
      </c>
      <c r="X1710">
        <v>67357</v>
      </c>
      <c r="Y1710">
        <v>1.16</v>
      </c>
      <c r="Z1710">
        <v>266</v>
      </c>
      <c r="AA1710">
        <v>171</v>
      </c>
      <c r="AB1710" t="s">
        <v>32</v>
      </c>
      <c r="AC1710">
        <v>5.16</v>
      </c>
    </row>
    <row r="1711" spans="1:29">
      <c r="A1711" t="str">
        <f>"300340"</f>
        <v>300340</v>
      </c>
      <c r="B1711" t="s">
        <v>1880</v>
      </c>
      <c r="C1711">
        <v>-2</v>
      </c>
      <c r="D1711">
        <v>21.6</v>
      </c>
      <c r="E1711">
        <v>-0.44</v>
      </c>
      <c r="F1711">
        <v>21.6</v>
      </c>
      <c r="G1711">
        <v>21.61</v>
      </c>
      <c r="H1711">
        <v>118175</v>
      </c>
      <c r="I1711">
        <v>3738</v>
      </c>
      <c r="J1711">
        <v>0.05</v>
      </c>
      <c r="K1711">
        <v>7.72</v>
      </c>
      <c r="L1711">
        <v>21.7</v>
      </c>
      <c r="M1711">
        <v>21.98</v>
      </c>
      <c r="N1711">
        <v>21.3</v>
      </c>
      <c r="O1711">
        <v>22.04</v>
      </c>
      <c r="P1711">
        <v>40.37</v>
      </c>
      <c r="Q1711">
        <v>255587712</v>
      </c>
      <c r="R1711">
        <v>0.56</v>
      </c>
      <c r="S1711" t="s">
        <v>63</v>
      </c>
      <c r="T1711" t="s">
        <v>136</v>
      </c>
      <c r="U1711">
        <v>3.09</v>
      </c>
      <c r="V1711">
        <v>21.63</v>
      </c>
      <c r="W1711">
        <v>65446</v>
      </c>
      <c r="X1711">
        <v>52728</v>
      </c>
      <c r="Y1711">
        <v>1.24</v>
      </c>
      <c r="Z1711">
        <v>180</v>
      </c>
      <c r="AA1711">
        <v>96</v>
      </c>
      <c r="AB1711" t="s">
        <v>32</v>
      </c>
      <c r="AC1711">
        <v>1.53</v>
      </c>
    </row>
    <row r="1712" spans="1:29">
      <c r="A1712" t="str">
        <f>"300341"</f>
        <v>300341</v>
      </c>
      <c r="B1712" t="s">
        <v>1881</v>
      </c>
      <c r="C1712">
        <v>-1.08</v>
      </c>
      <c r="D1712">
        <v>5.5</v>
      </c>
      <c r="E1712">
        <v>-0.06</v>
      </c>
      <c r="F1712">
        <v>5.49</v>
      </c>
      <c r="G1712">
        <v>5.5</v>
      </c>
      <c r="H1712">
        <v>60586</v>
      </c>
      <c r="I1712">
        <v>1351</v>
      </c>
      <c r="J1712">
        <v>-0.17</v>
      </c>
      <c r="K1712">
        <v>1.64</v>
      </c>
      <c r="L1712">
        <v>5.18</v>
      </c>
      <c r="M1712">
        <v>5.54</v>
      </c>
      <c r="N1712">
        <v>5.18</v>
      </c>
      <c r="O1712">
        <v>5.56</v>
      </c>
      <c r="P1712">
        <v>58.56</v>
      </c>
      <c r="Q1712">
        <v>32523044</v>
      </c>
      <c r="R1712">
        <v>1.86</v>
      </c>
      <c r="S1712" t="s">
        <v>104</v>
      </c>
      <c r="T1712" t="s">
        <v>236</v>
      </c>
      <c r="U1712">
        <v>6.47</v>
      </c>
      <c r="V1712">
        <v>5.37</v>
      </c>
      <c r="W1712">
        <v>35782</v>
      </c>
      <c r="X1712">
        <v>24804</v>
      </c>
      <c r="Y1712">
        <v>1.44</v>
      </c>
      <c r="Z1712">
        <v>255</v>
      </c>
      <c r="AA1712">
        <v>278</v>
      </c>
      <c r="AB1712" t="s">
        <v>32</v>
      </c>
      <c r="AC1712">
        <v>3.69</v>
      </c>
    </row>
    <row r="1713" spans="1:29">
      <c r="A1713" t="str">
        <f>"300342"</f>
        <v>300342</v>
      </c>
      <c r="B1713" t="s">
        <v>1882</v>
      </c>
      <c r="C1713">
        <v>-0.32</v>
      </c>
      <c r="D1713">
        <v>12.27</v>
      </c>
      <c r="E1713">
        <v>-0.04</v>
      </c>
      <c r="F1713">
        <v>12.26</v>
      </c>
      <c r="G1713">
        <v>12.27</v>
      </c>
      <c r="H1713">
        <v>24608</v>
      </c>
      <c r="I1713">
        <v>206</v>
      </c>
      <c r="J1713">
        <v>-0.07</v>
      </c>
      <c r="K1713">
        <v>0.63</v>
      </c>
      <c r="L1713">
        <v>12.29</v>
      </c>
      <c r="M1713">
        <v>12.38</v>
      </c>
      <c r="N1713">
        <v>12.2</v>
      </c>
      <c r="O1713">
        <v>12.31</v>
      </c>
      <c r="P1713">
        <v>31.57</v>
      </c>
      <c r="Q1713">
        <v>30170660</v>
      </c>
      <c r="R1713">
        <v>1.37</v>
      </c>
      <c r="S1713" t="s">
        <v>63</v>
      </c>
      <c r="T1713" t="s">
        <v>87</v>
      </c>
      <c r="U1713">
        <v>1.46</v>
      </c>
      <c r="V1713">
        <v>12.26</v>
      </c>
      <c r="W1713">
        <v>11597</v>
      </c>
      <c r="X1713">
        <v>13011</v>
      </c>
      <c r="Y1713">
        <v>0.89</v>
      </c>
      <c r="Z1713">
        <v>12</v>
      </c>
      <c r="AA1713">
        <v>172</v>
      </c>
      <c r="AB1713" t="s">
        <v>32</v>
      </c>
      <c r="AC1713">
        <v>3.93</v>
      </c>
    </row>
    <row r="1714" spans="1:29">
      <c r="A1714" t="str">
        <f>"300343"</f>
        <v>300343</v>
      </c>
      <c r="B1714" t="s">
        <v>1883</v>
      </c>
      <c r="C1714" t="s">
        <v>32</v>
      </c>
      <c r="D1714">
        <v>9.87</v>
      </c>
      <c r="E1714" t="s">
        <v>32</v>
      </c>
      <c r="F1714" t="s">
        <v>32</v>
      </c>
      <c r="G1714" t="s">
        <v>32</v>
      </c>
      <c r="H1714">
        <v>0</v>
      </c>
      <c r="I1714">
        <v>0</v>
      </c>
      <c r="J1714" t="s">
        <v>32</v>
      </c>
      <c r="K1714">
        <v>0</v>
      </c>
      <c r="L1714" t="s">
        <v>32</v>
      </c>
      <c r="M1714" t="s">
        <v>32</v>
      </c>
      <c r="N1714" t="s">
        <v>32</v>
      </c>
      <c r="O1714">
        <v>9.87</v>
      </c>
      <c r="P1714">
        <v>50.9</v>
      </c>
      <c r="Q1714">
        <v>0</v>
      </c>
      <c r="R1714">
        <v>0</v>
      </c>
      <c r="S1714" t="s">
        <v>316</v>
      </c>
      <c r="T1714" t="s">
        <v>162</v>
      </c>
      <c r="U1714">
        <v>0</v>
      </c>
      <c r="V1714">
        <v>9.87</v>
      </c>
      <c r="W1714">
        <v>0</v>
      </c>
      <c r="X1714">
        <v>0</v>
      </c>
      <c r="Y1714" t="s">
        <v>32</v>
      </c>
      <c r="Z1714">
        <v>0</v>
      </c>
      <c r="AA1714">
        <v>0</v>
      </c>
      <c r="AB1714" t="s">
        <v>32</v>
      </c>
      <c r="AC1714">
        <v>3.75</v>
      </c>
    </row>
    <row r="1715" spans="1:29">
      <c r="A1715" t="str">
        <f>"300344"</f>
        <v>300344</v>
      </c>
      <c r="B1715" t="s">
        <v>1884</v>
      </c>
      <c r="C1715">
        <v>2.42</v>
      </c>
      <c r="D1715">
        <v>8.04</v>
      </c>
      <c r="E1715">
        <v>0.19</v>
      </c>
      <c r="F1715">
        <v>8.04</v>
      </c>
      <c r="G1715">
        <v>8.05</v>
      </c>
      <c r="H1715">
        <v>150668</v>
      </c>
      <c r="I1715">
        <v>2226</v>
      </c>
      <c r="J1715">
        <v>0</v>
      </c>
      <c r="K1715">
        <v>7.36</v>
      </c>
      <c r="L1715">
        <v>7.8</v>
      </c>
      <c r="M1715">
        <v>8.14</v>
      </c>
      <c r="N1715">
        <v>7.8</v>
      </c>
      <c r="O1715">
        <v>7.85</v>
      </c>
      <c r="P1715">
        <v>28.34</v>
      </c>
      <c r="Q1715">
        <v>120939208</v>
      </c>
      <c r="R1715">
        <v>2.23</v>
      </c>
      <c r="S1715" t="s">
        <v>69</v>
      </c>
      <c r="T1715" t="s">
        <v>45</v>
      </c>
      <c r="U1715">
        <v>4.33</v>
      </c>
      <c r="V1715">
        <v>8.03</v>
      </c>
      <c r="W1715">
        <v>75934</v>
      </c>
      <c r="X1715">
        <v>74733</v>
      </c>
      <c r="Y1715">
        <v>1.02</v>
      </c>
      <c r="Z1715">
        <v>419</v>
      </c>
      <c r="AA1715">
        <v>1415</v>
      </c>
      <c r="AB1715" t="s">
        <v>32</v>
      </c>
      <c r="AC1715">
        <v>2.05</v>
      </c>
    </row>
    <row r="1716" spans="1:29">
      <c r="A1716" t="str">
        <f>"300345"</f>
        <v>300345</v>
      </c>
      <c r="B1716" t="s">
        <v>1885</v>
      </c>
      <c r="C1716">
        <v>-0.32</v>
      </c>
      <c r="D1716">
        <v>6.15</v>
      </c>
      <c r="E1716">
        <v>-0.02</v>
      </c>
      <c r="F1716">
        <v>6.14</v>
      </c>
      <c r="G1716">
        <v>6.15</v>
      </c>
      <c r="H1716">
        <v>293931</v>
      </c>
      <c r="I1716">
        <v>4042</v>
      </c>
      <c r="J1716">
        <v>-0.15</v>
      </c>
      <c r="K1716">
        <v>9</v>
      </c>
      <c r="L1716">
        <v>6.11</v>
      </c>
      <c r="M1716">
        <v>6.28</v>
      </c>
      <c r="N1716">
        <v>6.1</v>
      </c>
      <c r="O1716">
        <v>6.17</v>
      </c>
      <c r="P1716">
        <v>2681.79</v>
      </c>
      <c r="Q1716">
        <v>181908288</v>
      </c>
      <c r="R1716">
        <v>1.1</v>
      </c>
      <c r="S1716" t="s">
        <v>449</v>
      </c>
      <c r="T1716" t="s">
        <v>152</v>
      </c>
      <c r="U1716">
        <v>2.92</v>
      </c>
      <c r="V1716">
        <v>6.19</v>
      </c>
      <c r="W1716">
        <v>142512</v>
      </c>
      <c r="X1716">
        <v>151419</v>
      </c>
      <c r="Y1716">
        <v>0.94</v>
      </c>
      <c r="Z1716">
        <v>2951</v>
      </c>
      <c r="AA1716">
        <v>580</v>
      </c>
      <c r="AB1716" t="s">
        <v>32</v>
      </c>
      <c r="AC1716">
        <v>3.27</v>
      </c>
    </row>
    <row r="1717" spans="1:29">
      <c r="A1717" t="str">
        <f>"300346"</f>
        <v>300346</v>
      </c>
      <c r="B1717" t="s">
        <v>1886</v>
      </c>
      <c r="C1717">
        <v>-0.07</v>
      </c>
      <c r="D1717">
        <v>14.45</v>
      </c>
      <c r="E1717">
        <v>-0.01</v>
      </c>
      <c r="F1717">
        <v>14.45</v>
      </c>
      <c r="G1717">
        <v>14.46</v>
      </c>
      <c r="H1717">
        <v>28840</v>
      </c>
      <c r="I1717">
        <v>531</v>
      </c>
      <c r="J1717">
        <v>0.21</v>
      </c>
      <c r="K1717">
        <v>1.22</v>
      </c>
      <c r="L1717">
        <v>14.43</v>
      </c>
      <c r="M1717">
        <v>14.54</v>
      </c>
      <c r="N1717">
        <v>14.22</v>
      </c>
      <c r="O1717">
        <v>14.46</v>
      </c>
      <c r="P1717">
        <v>93.67</v>
      </c>
      <c r="Q1717">
        <v>41444840</v>
      </c>
      <c r="R1717">
        <v>1.1</v>
      </c>
      <c r="S1717" t="s">
        <v>63</v>
      </c>
      <c r="T1717" t="s">
        <v>87</v>
      </c>
      <c r="U1717">
        <v>2.21</v>
      </c>
      <c r="V1717">
        <v>14.37</v>
      </c>
      <c r="W1717">
        <v>16091</v>
      </c>
      <c r="X1717">
        <v>12748</v>
      </c>
      <c r="Y1717">
        <v>1.26</v>
      </c>
      <c r="Z1717">
        <v>1114</v>
      </c>
      <c r="AA1717">
        <v>72</v>
      </c>
      <c r="AB1717" t="s">
        <v>32</v>
      </c>
      <c r="AC1717">
        <v>2.36</v>
      </c>
    </row>
    <row r="1718" spans="1:29">
      <c r="A1718" t="str">
        <f>"300347"</f>
        <v>300347</v>
      </c>
      <c r="B1718" t="s">
        <v>1887</v>
      </c>
      <c r="C1718">
        <v>0.25</v>
      </c>
      <c r="D1718">
        <v>60.4</v>
      </c>
      <c r="E1718">
        <v>0.15</v>
      </c>
      <c r="F1718">
        <v>60.4</v>
      </c>
      <c r="G1718">
        <v>60.42</v>
      </c>
      <c r="H1718">
        <v>68825</v>
      </c>
      <c r="I1718">
        <v>705</v>
      </c>
      <c r="J1718">
        <v>0.1</v>
      </c>
      <c r="K1718">
        <v>2.07</v>
      </c>
      <c r="L1718">
        <v>59.7</v>
      </c>
      <c r="M1718">
        <v>61.98</v>
      </c>
      <c r="N1718">
        <v>57.66</v>
      </c>
      <c r="O1718">
        <v>60.25</v>
      </c>
      <c r="P1718">
        <v>78.75</v>
      </c>
      <c r="Q1718">
        <v>413406432</v>
      </c>
      <c r="R1718">
        <v>0.84</v>
      </c>
      <c r="S1718" t="s">
        <v>138</v>
      </c>
      <c r="T1718" t="s">
        <v>149</v>
      </c>
      <c r="U1718">
        <v>7.17</v>
      </c>
      <c r="V1718">
        <v>60.07</v>
      </c>
      <c r="W1718">
        <v>34319</v>
      </c>
      <c r="X1718">
        <v>34506</v>
      </c>
      <c r="Y1718">
        <v>0.99</v>
      </c>
      <c r="Z1718">
        <v>254</v>
      </c>
      <c r="AA1718">
        <v>20</v>
      </c>
      <c r="AB1718" t="s">
        <v>32</v>
      </c>
      <c r="AC1718">
        <v>3.33</v>
      </c>
    </row>
    <row r="1719" spans="1:29">
      <c r="A1719" t="str">
        <f>"300348"</f>
        <v>300348</v>
      </c>
      <c r="B1719" t="s">
        <v>1888</v>
      </c>
      <c r="C1719">
        <v>-0.25</v>
      </c>
      <c r="D1719">
        <v>27.89</v>
      </c>
      <c r="E1719">
        <v>-0.07</v>
      </c>
      <c r="F1719">
        <v>27.89</v>
      </c>
      <c r="G1719">
        <v>27.9</v>
      </c>
      <c r="H1719">
        <v>63115</v>
      </c>
      <c r="I1719">
        <v>566</v>
      </c>
      <c r="J1719">
        <v>0.65</v>
      </c>
      <c r="K1719">
        <v>3.38</v>
      </c>
      <c r="L1719">
        <v>28.31</v>
      </c>
      <c r="M1719">
        <v>29.2</v>
      </c>
      <c r="N1719">
        <v>27.4</v>
      </c>
      <c r="O1719">
        <v>27.96</v>
      </c>
      <c r="P1719">
        <v>641.68</v>
      </c>
      <c r="Q1719">
        <v>178481648</v>
      </c>
      <c r="R1719">
        <v>0.75</v>
      </c>
      <c r="S1719" t="s">
        <v>270</v>
      </c>
      <c r="T1719" t="s">
        <v>31</v>
      </c>
      <c r="U1719">
        <v>6.44</v>
      </c>
      <c r="V1719">
        <v>28.28</v>
      </c>
      <c r="W1719">
        <v>32633</v>
      </c>
      <c r="X1719">
        <v>30482</v>
      </c>
      <c r="Y1719">
        <v>1.07</v>
      </c>
      <c r="Z1719">
        <v>256</v>
      </c>
      <c r="AA1719">
        <v>106</v>
      </c>
      <c r="AB1719" t="s">
        <v>32</v>
      </c>
      <c r="AC1719">
        <v>1.87</v>
      </c>
    </row>
    <row r="1720" spans="1:29">
      <c r="A1720" t="str">
        <f>"300349"</f>
        <v>300349</v>
      </c>
      <c r="B1720" t="s">
        <v>1889</v>
      </c>
      <c r="C1720">
        <v>0</v>
      </c>
      <c r="D1720">
        <v>21.2</v>
      </c>
      <c r="E1720">
        <v>0</v>
      </c>
      <c r="F1720">
        <v>21.19</v>
      </c>
      <c r="G1720">
        <v>21.2</v>
      </c>
      <c r="H1720">
        <v>34495</v>
      </c>
      <c r="I1720">
        <v>260</v>
      </c>
      <c r="J1720">
        <v>0</v>
      </c>
      <c r="K1720">
        <v>1.03</v>
      </c>
      <c r="L1720">
        <v>21.23</v>
      </c>
      <c r="M1720">
        <v>21.34</v>
      </c>
      <c r="N1720">
        <v>20.65</v>
      </c>
      <c r="O1720">
        <v>21.2</v>
      </c>
      <c r="P1720">
        <v>25.89</v>
      </c>
      <c r="Q1720">
        <v>72908056</v>
      </c>
      <c r="R1720">
        <v>1.06</v>
      </c>
      <c r="S1720" t="s">
        <v>606</v>
      </c>
      <c r="T1720" t="s">
        <v>149</v>
      </c>
      <c r="U1720">
        <v>3.25</v>
      </c>
      <c r="V1720">
        <v>21.14</v>
      </c>
      <c r="W1720">
        <v>15937</v>
      </c>
      <c r="X1720">
        <v>18557</v>
      </c>
      <c r="Y1720">
        <v>0.86</v>
      </c>
      <c r="Z1720">
        <v>152</v>
      </c>
      <c r="AA1720">
        <v>1295</v>
      </c>
      <c r="AB1720" t="s">
        <v>32</v>
      </c>
      <c r="AC1720">
        <v>3.36</v>
      </c>
    </row>
    <row r="1721" spans="1:29">
      <c r="A1721" t="str">
        <f>"300350"</f>
        <v>300350</v>
      </c>
      <c r="B1721" t="s">
        <v>1890</v>
      </c>
      <c r="C1721">
        <v>2.01</v>
      </c>
      <c r="D1721">
        <v>6.08</v>
      </c>
      <c r="E1721">
        <v>0.12</v>
      </c>
      <c r="F1721">
        <v>6.07</v>
      </c>
      <c r="G1721">
        <v>6.08</v>
      </c>
      <c r="H1721">
        <v>116144</v>
      </c>
      <c r="I1721">
        <v>1437</v>
      </c>
      <c r="J1721">
        <v>-0.15</v>
      </c>
      <c r="K1721">
        <v>4.94</v>
      </c>
      <c r="L1721">
        <v>5.98</v>
      </c>
      <c r="M1721">
        <v>6.14</v>
      </c>
      <c r="N1721">
        <v>5.92</v>
      </c>
      <c r="O1721">
        <v>5.96</v>
      </c>
      <c r="P1721">
        <v>54.04</v>
      </c>
      <c r="Q1721">
        <v>69950576</v>
      </c>
      <c r="R1721">
        <v>0.81</v>
      </c>
      <c r="S1721" t="s">
        <v>270</v>
      </c>
      <c r="T1721" t="s">
        <v>31</v>
      </c>
      <c r="U1721">
        <v>3.69</v>
      </c>
      <c r="V1721">
        <v>6.02</v>
      </c>
      <c r="W1721">
        <v>58455</v>
      </c>
      <c r="X1721">
        <v>57689</v>
      </c>
      <c r="Y1721">
        <v>1.01</v>
      </c>
      <c r="Z1721">
        <v>565</v>
      </c>
      <c r="AA1721">
        <v>278</v>
      </c>
      <c r="AB1721" t="s">
        <v>32</v>
      </c>
      <c r="AC1721">
        <v>2.35</v>
      </c>
    </row>
    <row r="1722" spans="1:29">
      <c r="A1722" t="str">
        <f>"300351"</f>
        <v>300351</v>
      </c>
      <c r="B1722" t="s">
        <v>1891</v>
      </c>
      <c r="C1722">
        <v>2.4</v>
      </c>
      <c r="D1722">
        <v>12.35</v>
      </c>
      <c r="E1722">
        <v>0.29</v>
      </c>
      <c r="F1722">
        <v>12.35</v>
      </c>
      <c r="G1722">
        <v>12.36</v>
      </c>
      <c r="H1722">
        <v>40164</v>
      </c>
      <c r="I1722">
        <v>178</v>
      </c>
      <c r="J1722">
        <v>-0.07</v>
      </c>
      <c r="K1722">
        <v>1.68</v>
      </c>
      <c r="L1722">
        <v>12.05</v>
      </c>
      <c r="M1722">
        <v>12.42</v>
      </c>
      <c r="N1722">
        <v>11.97</v>
      </c>
      <c r="O1722">
        <v>12.06</v>
      </c>
      <c r="P1722">
        <v>24.16</v>
      </c>
      <c r="Q1722">
        <v>49207952</v>
      </c>
      <c r="R1722">
        <v>1.3</v>
      </c>
      <c r="S1722" t="s">
        <v>63</v>
      </c>
      <c r="T1722" t="s">
        <v>149</v>
      </c>
      <c r="U1722">
        <v>3.73</v>
      </c>
      <c r="V1722">
        <v>12.25</v>
      </c>
      <c r="W1722">
        <v>15747</v>
      </c>
      <c r="X1722">
        <v>24417</v>
      </c>
      <c r="Y1722">
        <v>0.64</v>
      </c>
      <c r="Z1722">
        <v>150</v>
      </c>
      <c r="AA1722">
        <v>324</v>
      </c>
      <c r="AB1722" t="s">
        <v>32</v>
      </c>
      <c r="AC1722">
        <v>2.39</v>
      </c>
    </row>
    <row r="1723" spans="1:29">
      <c r="A1723" t="str">
        <f>"300352"</f>
        <v>300352</v>
      </c>
      <c r="B1723" t="s">
        <v>1892</v>
      </c>
      <c r="C1723">
        <v>1.21</v>
      </c>
      <c r="D1723">
        <v>4.17</v>
      </c>
      <c r="E1723">
        <v>0.05</v>
      </c>
      <c r="F1723">
        <v>4.17</v>
      </c>
      <c r="G1723">
        <v>4.18</v>
      </c>
      <c r="H1723">
        <v>353514</v>
      </c>
      <c r="I1723">
        <v>4091</v>
      </c>
      <c r="J1723">
        <v>0</v>
      </c>
      <c r="K1723">
        <v>3.39</v>
      </c>
      <c r="L1723">
        <v>4.1</v>
      </c>
      <c r="M1723">
        <v>4.18</v>
      </c>
      <c r="N1723">
        <v>4.06</v>
      </c>
      <c r="O1723">
        <v>4.12</v>
      </c>
      <c r="P1723">
        <v>1233.33</v>
      </c>
      <c r="Q1723">
        <v>145931888</v>
      </c>
      <c r="R1723">
        <v>1.19</v>
      </c>
      <c r="S1723" t="s">
        <v>270</v>
      </c>
      <c r="T1723" t="s">
        <v>45</v>
      </c>
      <c r="U1723">
        <v>2.91</v>
      </c>
      <c r="V1723">
        <v>4.13</v>
      </c>
      <c r="W1723">
        <v>174448</v>
      </c>
      <c r="X1723">
        <v>179065</v>
      </c>
      <c r="Y1723">
        <v>0.97</v>
      </c>
      <c r="Z1723">
        <v>2966</v>
      </c>
      <c r="AA1723">
        <v>10845</v>
      </c>
      <c r="AB1723" t="s">
        <v>32</v>
      </c>
      <c r="AC1723">
        <v>10.44</v>
      </c>
    </row>
    <row r="1724" spans="1:29">
      <c r="A1724" t="str">
        <f>"300353"</f>
        <v>300353</v>
      </c>
      <c r="B1724" t="s">
        <v>1893</v>
      </c>
      <c r="C1724">
        <v>-0.08</v>
      </c>
      <c r="D1724">
        <v>13.03</v>
      </c>
      <c r="E1724">
        <v>-0.01</v>
      </c>
      <c r="F1724">
        <v>13.03</v>
      </c>
      <c r="G1724">
        <v>13.04</v>
      </c>
      <c r="H1724">
        <v>229584</v>
      </c>
      <c r="I1724">
        <v>3157</v>
      </c>
      <c r="J1724">
        <v>0.08</v>
      </c>
      <c r="K1724">
        <v>6.54</v>
      </c>
      <c r="L1724">
        <v>12.91</v>
      </c>
      <c r="M1724">
        <v>13.25</v>
      </c>
      <c r="N1724">
        <v>12.76</v>
      </c>
      <c r="O1724">
        <v>13.04</v>
      </c>
      <c r="P1724">
        <v>134.79</v>
      </c>
      <c r="Q1724">
        <v>298058688</v>
      </c>
      <c r="R1724">
        <v>1.32</v>
      </c>
      <c r="S1724" t="s">
        <v>119</v>
      </c>
      <c r="T1724" t="s">
        <v>45</v>
      </c>
      <c r="U1724">
        <v>3.76</v>
      </c>
      <c r="V1724">
        <v>12.98</v>
      </c>
      <c r="W1724">
        <v>119244</v>
      </c>
      <c r="X1724">
        <v>110340</v>
      </c>
      <c r="Y1724">
        <v>1.08</v>
      </c>
      <c r="Z1724">
        <v>88</v>
      </c>
      <c r="AA1724">
        <v>574</v>
      </c>
      <c r="AB1724" t="s">
        <v>32</v>
      </c>
      <c r="AC1724">
        <v>3.51</v>
      </c>
    </row>
    <row r="1725" spans="1:29">
      <c r="A1725" t="str">
        <f>"300354"</f>
        <v>300354</v>
      </c>
      <c r="B1725" t="s">
        <v>1894</v>
      </c>
      <c r="C1725">
        <v>1.29</v>
      </c>
      <c r="D1725">
        <v>10.19</v>
      </c>
      <c r="E1725">
        <v>0.13</v>
      </c>
      <c r="F1725">
        <v>10.18</v>
      </c>
      <c r="G1725">
        <v>10.19</v>
      </c>
      <c r="H1725">
        <v>25778</v>
      </c>
      <c r="I1725">
        <v>107</v>
      </c>
      <c r="J1725">
        <v>0.3</v>
      </c>
      <c r="K1725">
        <v>3.42</v>
      </c>
      <c r="L1725">
        <v>10.04</v>
      </c>
      <c r="M1725">
        <v>10.29</v>
      </c>
      <c r="N1725">
        <v>9.89</v>
      </c>
      <c r="O1725">
        <v>10.06</v>
      </c>
      <c r="P1725" t="s">
        <v>32</v>
      </c>
      <c r="Q1725">
        <v>25974040</v>
      </c>
      <c r="R1725">
        <v>1.63</v>
      </c>
      <c r="S1725" t="s">
        <v>606</v>
      </c>
      <c r="T1725" t="s">
        <v>87</v>
      </c>
      <c r="U1725">
        <v>3.98</v>
      </c>
      <c r="V1725">
        <v>10.08</v>
      </c>
      <c r="W1725">
        <v>12445</v>
      </c>
      <c r="X1725">
        <v>13333</v>
      </c>
      <c r="Y1725">
        <v>0.93</v>
      </c>
      <c r="Z1725">
        <v>62</v>
      </c>
      <c r="AA1725">
        <v>321</v>
      </c>
      <c r="AB1725" t="s">
        <v>32</v>
      </c>
      <c r="AC1725">
        <v>0.75</v>
      </c>
    </row>
    <row r="1726" spans="1:29">
      <c r="A1726" t="str">
        <f>"300355"</f>
        <v>300355</v>
      </c>
      <c r="B1726" t="s">
        <v>1895</v>
      </c>
      <c r="C1726">
        <v>10.1</v>
      </c>
      <c r="D1726">
        <v>5.78</v>
      </c>
      <c r="E1726">
        <v>0.53</v>
      </c>
      <c r="F1726">
        <v>5.78</v>
      </c>
      <c r="G1726" t="s">
        <v>32</v>
      </c>
      <c r="H1726">
        <v>492535</v>
      </c>
      <c r="I1726">
        <v>1465</v>
      </c>
      <c r="J1726">
        <v>0</v>
      </c>
      <c r="K1726">
        <v>4.25</v>
      </c>
      <c r="L1726">
        <v>5.32</v>
      </c>
      <c r="M1726">
        <v>5.78</v>
      </c>
      <c r="N1726">
        <v>5.32</v>
      </c>
      <c r="O1726">
        <v>5.25</v>
      </c>
      <c r="P1726">
        <v>136.33</v>
      </c>
      <c r="Q1726">
        <v>273829376</v>
      </c>
      <c r="R1726">
        <v>1.6</v>
      </c>
      <c r="S1726" t="s">
        <v>86</v>
      </c>
      <c r="T1726" t="s">
        <v>198</v>
      </c>
      <c r="U1726">
        <v>8.76</v>
      </c>
      <c r="V1726">
        <v>5.56</v>
      </c>
      <c r="W1726">
        <v>237444</v>
      </c>
      <c r="X1726">
        <v>255090</v>
      </c>
      <c r="Y1726">
        <v>0.93</v>
      </c>
      <c r="Z1726">
        <v>90583</v>
      </c>
      <c r="AA1726">
        <v>0</v>
      </c>
      <c r="AB1726" t="s">
        <v>32</v>
      </c>
      <c r="AC1726">
        <v>11.58</v>
      </c>
    </row>
    <row r="1727" spans="1:29">
      <c r="A1727" t="str">
        <f>"300356"</f>
        <v>300356</v>
      </c>
      <c r="B1727" t="s">
        <v>1896</v>
      </c>
      <c r="C1727">
        <v>0.51</v>
      </c>
      <c r="D1727">
        <v>5.9</v>
      </c>
      <c r="E1727">
        <v>0.03</v>
      </c>
      <c r="F1727">
        <v>5.9</v>
      </c>
      <c r="G1727">
        <v>5.91</v>
      </c>
      <c r="H1727">
        <v>86515</v>
      </c>
      <c r="I1727">
        <v>2101</v>
      </c>
      <c r="J1727">
        <v>-0.5</v>
      </c>
      <c r="K1727">
        <v>2.35</v>
      </c>
      <c r="L1727">
        <v>5.85</v>
      </c>
      <c r="M1727">
        <v>6.05</v>
      </c>
      <c r="N1727">
        <v>5.76</v>
      </c>
      <c r="O1727">
        <v>5.87</v>
      </c>
      <c r="P1727" t="s">
        <v>32</v>
      </c>
      <c r="Q1727">
        <v>51504540</v>
      </c>
      <c r="R1727">
        <v>0.86</v>
      </c>
      <c r="S1727" t="s">
        <v>104</v>
      </c>
      <c r="T1727" t="s">
        <v>87</v>
      </c>
      <c r="U1727">
        <v>4.94</v>
      </c>
      <c r="V1727">
        <v>5.95</v>
      </c>
      <c r="W1727">
        <v>41395</v>
      </c>
      <c r="X1727">
        <v>45119</v>
      </c>
      <c r="Y1727">
        <v>0.92</v>
      </c>
      <c r="Z1727">
        <v>536</v>
      </c>
      <c r="AA1727">
        <v>10</v>
      </c>
      <c r="AB1727" t="s">
        <v>32</v>
      </c>
      <c r="AC1727">
        <v>3.69</v>
      </c>
    </row>
    <row r="1728" spans="1:29">
      <c r="A1728" t="str">
        <f>"300357"</f>
        <v>300357</v>
      </c>
      <c r="B1728" t="s">
        <v>1897</v>
      </c>
      <c r="C1728">
        <v>0.42</v>
      </c>
      <c r="D1728">
        <v>40.74</v>
      </c>
      <c r="E1728">
        <v>0.17</v>
      </c>
      <c r="F1728">
        <v>40.72</v>
      </c>
      <c r="G1728">
        <v>40.74</v>
      </c>
      <c r="H1728">
        <v>56866</v>
      </c>
      <c r="I1728">
        <v>237</v>
      </c>
      <c r="J1728">
        <v>-0.19</v>
      </c>
      <c r="K1728">
        <v>2.24</v>
      </c>
      <c r="L1728">
        <v>39.79</v>
      </c>
      <c r="M1728">
        <v>41.43</v>
      </c>
      <c r="N1728">
        <v>38.35</v>
      </c>
      <c r="O1728">
        <v>40.57</v>
      </c>
      <c r="P1728">
        <v>57.02</v>
      </c>
      <c r="Q1728">
        <v>227679552</v>
      </c>
      <c r="R1728">
        <v>1.29</v>
      </c>
      <c r="S1728" t="s">
        <v>36</v>
      </c>
      <c r="T1728" t="s">
        <v>149</v>
      </c>
      <c r="U1728">
        <v>7.59</v>
      </c>
      <c r="V1728">
        <v>40.04</v>
      </c>
      <c r="W1728">
        <v>28481</v>
      </c>
      <c r="X1728">
        <v>28384</v>
      </c>
      <c r="Y1728">
        <v>1</v>
      </c>
      <c r="Z1728">
        <v>89</v>
      </c>
      <c r="AA1728">
        <v>41</v>
      </c>
      <c r="AB1728" t="s">
        <v>32</v>
      </c>
      <c r="AC1728">
        <v>2.54</v>
      </c>
    </row>
    <row r="1729" spans="1:29">
      <c r="A1729" t="str">
        <f>"300358"</f>
        <v>300358</v>
      </c>
      <c r="B1729" t="s">
        <v>1898</v>
      </c>
      <c r="C1729">
        <v>9.98</v>
      </c>
      <c r="D1729">
        <v>11.02</v>
      </c>
      <c r="E1729">
        <v>1</v>
      </c>
      <c r="F1729">
        <v>11.02</v>
      </c>
      <c r="G1729" t="s">
        <v>32</v>
      </c>
      <c r="H1729">
        <v>20321</v>
      </c>
      <c r="I1729">
        <v>53</v>
      </c>
      <c r="J1729">
        <v>0</v>
      </c>
      <c r="K1729">
        <v>1.13</v>
      </c>
      <c r="L1729">
        <v>11.02</v>
      </c>
      <c r="M1729">
        <v>11.02</v>
      </c>
      <c r="N1729">
        <v>11.02</v>
      </c>
      <c r="O1729">
        <v>10.02</v>
      </c>
      <c r="P1729">
        <v>54.49</v>
      </c>
      <c r="Q1729">
        <v>22393864</v>
      </c>
      <c r="R1729">
        <v>0.67</v>
      </c>
      <c r="S1729" t="s">
        <v>138</v>
      </c>
      <c r="T1729" t="s">
        <v>152</v>
      </c>
      <c r="U1729">
        <v>0</v>
      </c>
      <c r="V1729">
        <v>11.02</v>
      </c>
      <c r="W1729">
        <v>16175</v>
      </c>
      <c r="X1729">
        <v>4146</v>
      </c>
      <c r="Y1729">
        <v>3.9</v>
      </c>
      <c r="Z1729">
        <v>33975</v>
      </c>
      <c r="AA1729">
        <v>0</v>
      </c>
      <c r="AB1729" t="s">
        <v>32</v>
      </c>
      <c r="AC1729">
        <v>1.8</v>
      </c>
    </row>
    <row r="1730" spans="1:29">
      <c r="A1730" t="str">
        <f>"300359"</f>
        <v>300359</v>
      </c>
      <c r="B1730" t="s">
        <v>1899</v>
      </c>
      <c r="C1730">
        <v>2.68</v>
      </c>
      <c r="D1730">
        <v>7.27</v>
      </c>
      <c r="E1730">
        <v>0.19</v>
      </c>
      <c r="F1730">
        <v>7.27</v>
      </c>
      <c r="G1730">
        <v>7.28</v>
      </c>
      <c r="H1730">
        <v>106640</v>
      </c>
      <c r="I1730">
        <v>2361</v>
      </c>
      <c r="J1730">
        <v>0.14</v>
      </c>
      <c r="K1730">
        <v>2.57</v>
      </c>
      <c r="L1730">
        <v>7.08</v>
      </c>
      <c r="M1730">
        <v>7.32</v>
      </c>
      <c r="N1730">
        <v>7.03</v>
      </c>
      <c r="O1730">
        <v>7.08</v>
      </c>
      <c r="P1730">
        <v>195.82</v>
      </c>
      <c r="Q1730">
        <v>76668232</v>
      </c>
      <c r="R1730">
        <v>1.66</v>
      </c>
      <c r="S1730" t="s">
        <v>57</v>
      </c>
      <c r="T1730" t="s">
        <v>136</v>
      </c>
      <c r="U1730">
        <v>4.1</v>
      </c>
      <c r="V1730">
        <v>7.19</v>
      </c>
      <c r="W1730">
        <v>48344</v>
      </c>
      <c r="X1730">
        <v>58296</v>
      </c>
      <c r="Y1730">
        <v>0.83</v>
      </c>
      <c r="Z1730">
        <v>360</v>
      </c>
      <c r="AA1730">
        <v>644</v>
      </c>
      <c r="AB1730" t="s">
        <v>32</v>
      </c>
      <c r="AC1730">
        <v>4.14</v>
      </c>
    </row>
    <row r="1731" spans="1:29">
      <c r="A1731" t="str">
        <f>"300360"</f>
        <v>300360</v>
      </c>
      <c r="B1731" t="s">
        <v>1900</v>
      </c>
      <c r="C1731">
        <v>1.56</v>
      </c>
      <c r="D1731">
        <v>7.82</v>
      </c>
      <c r="E1731">
        <v>0.12</v>
      </c>
      <c r="F1731">
        <v>7.82</v>
      </c>
      <c r="G1731">
        <v>7.83</v>
      </c>
      <c r="H1731">
        <v>22805</v>
      </c>
      <c r="I1731">
        <v>419</v>
      </c>
      <c r="J1731">
        <v>-0.12</v>
      </c>
      <c r="K1731">
        <v>0.83</v>
      </c>
      <c r="L1731">
        <v>7.68</v>
      </c>
      <c r="M1731">
        <v>7.84</v>
      </c>
      <c r="N1731">
        <v>7.63</v>
      </c>
      <c r="O1731">
        <v>7.7</v>
      </c>
      <c r="P1731">
        <v>22.04</v>
      </c>
      <c r="Q1731">
        <v>17699492</v>
      </c>
      <c r="R1731">
        <v>1.17</v>
      </c>
      <c r="S1731" t="s">
        <v>606</v>
      </c>
      <c r="T1731" t="s">
        <v>149</v>
      </c>
      <c r="U1731">
        <v>2.73</v>
      </c>
      <c r="V1731">
        <v>7.76</v>
      </c>
      <c r="W1731">
        <v>11149</v>
      </c>
      <c r="X1731">
        <v>11656</v>
      </c>
      <c r="Y1731">
        <v>0.96</v>
      </c>
      <c r="Z1731">
        <v>128</v>
      </c>
      <c r="AA1731">
        <v>234</v>
      </c>
      <c r="AB1731" t="s">
        <v>32</v>
      </c>
      <c r="AC1731">
        <v>2.75</v>
      </c>
    </row>
    <row r="1732" spans="1:29">
      <c r="A1732" t="str">
        <f>"300362"</f>
        <v>300362</v>
      </c>
      <c r="B1732" t="s">
        <v>1901</v>
      </c>
      <c r="C1732" t="s">
        <v>32</v>
      </c>
      <c r="D1732">
        <v>9.66</v>
      </c>
      <c r="E1732" t="s">
        <v>32</v>
      </c>
      <c r="F1732" t="s">
        <v>32</v>
      </c>
      <c r="G1732" t="s">
        <v>32</v>
      </c>
      <c r="H1732">
        <v>0</v>
      </c>
      <c r="I1732">
        <v>0</v>
      </c>
      <c r="J1732" t="s">
        <v>32</v>
      </c>
      <c r="K1732">
        <v>0</v>
      </c>
      <c r="L1732" t="s">
        <v>32</v>
      </c>
      <c r="M1732" t="s">
        <v>32</v>
      </c>
      <c r="N1732" t="s">
        <v>32</v>
      </c>
      <c r="O1732">
        <v>9.66</v>
      </c>
      <c r="P1732">
        <v>218.18</v>
      </c>
      <c r="Q1732">
        <v>0</v>
      </c>
      <c r="R1732">
        <v>0</v>
      </c>
      <c r="S1732" t="s">
        <v>86</v>
      </c>
      <c r="T1732" t="s">
        <v>146</v>
      </c>
      <c r="U1732">
        <v>0</v>
      </c>
      <c r="V1732">
        <v>9.66</v>
      </c>
      <c r="W1732">
        <v>0</v>
      </c>
      <c r="X1732">
        <v>0</v>
      </c>
      <c r="Y1732" t="s">
        <v>32</v>
      </c>
      <c r="Z1732">
        <v>0</v>
      </c>
      <c r="AA1732">
        <v>0</v>
      </c>
      <c r="AB1732" t="s">
        <v>32</v>
      </c>
      <c r="AC1732">
        <v>1.92</v>
      </c>
    </row>
    <row r="1733" spans="1:29">
      <c r="A1733" t="str">
        <f>"300363"</f>
        <v>300363</v>
      </c>
      <c r="B1733" t="s">
        <v>1902</v>
      </c>
      <c r="C1733">
        <v>-1.47</v>
      </c>
      <c r="D1733">
        <v>10.71</v>
      </c>
      <c r="E1733">
        <v>-0.16</v>
      </c>
      <c r="F1733">
        <v>10.7</v>
      </c>
      <c r="G1733">
        <v>10.71</v>
      </c>
      <c r="H1733">
        <v>101148</v>
      </c>
      <c r="I1733">
        <v>1828</v>
      </c>
      <c r="J1733">
        <v>0.19</v>
      </c>
      <c r="K1733">
        <v>3.28</v>
      </c>
      <c r="L1733">
        <v>11</v>
      </c>
      <c r="M1733">
        <v>11.16</v>
      </c>
      <c r="N1733">
        <v>10.6</v>
      </c>
      <c r="O1733">
        <v>10.87</v>
      </c>
      <c r="P1733">
        <v>66.07</v>
      </c>
      <c r="Q1733">
        <v>109640496</v>
      </c>
      <c r="R1733">
        <v>2.91</v>
      </c>
      <c r="S1733" t="s">
        <v>142</v>
      </c>
      <c r="T1733" t="s">
        <v>221</v>
      </c>
      <c r="U1733">
        <v>5.15</v>
      </c>
      <c r="V1733">
        <v>10.84</v>
      </c>
      <c r="W1733">
        <v>57467</v>
      </c>
      <c r="X1733">
        <v>43680</v>
      </c>
      <c r="Y1733">
        <v>1.32</v>
      </c>
      <c r="Z1733">
        <v>8</v>
      </c>
      <c r="AA1733">
        <v>778</v>
      </c>
      <c r="AB1733" t="s">
        <v>32</v>
      </c>
      <c r="AC1733">
        <v>3.08</v>
      </c>
    </row>
    <row r="1734" spans="1:29">
      <c r="A1734" t="str">
        <f>"300364"</f>
        <v>300364</v>
      </c>
      <c r="B1734" t="s">
        <v>1903</v>
      </c>
      <c r="C1734">
        <v>1.41</v>
      </c>
      <c r="D1734">
        <v>7.2</v>
      </c>
      <c r="E1734">
        <v>0.1</v>
      </c>
      <c r="F1734">
        <v>7.19</v>
      </c>
      <c r="G1734">
        <v>7.2</v>
      </c>
      <c r="H1734">
        <v>119719</v>
      </c>
      <c r="I1734">
        <v>3002</v>
      </c>
      <c r="J1734">
        <v>0.28</v>
      </c>
      <c r="K1734">
        <v>2.23</v>
      </c>
      <c r="L1734">
        <v>7.15</v>
      </c>
      <c r="M1734">
        <v>7.24</v>
      </c>
      <c r="N1734">
        <v>7.04</v>
      </c>
      <c r="O1734">
        <v>7.1</v>
      </c>
      <c r="P1734" t="s">
        <v>32</v>
      </c>
      <c r="Q1734">
        <v>85725456</v>
      </c>
      <c r="R1734">
        <v>1.21</v>
      </c>
      <c r="S1734" t="s">
        <v>211</v>
      </c>
      <c r="T1734" t="s">
        <v>45</v>
      </c>
      <c r="U1734">
        <v>2.82</v>
      </c>
      <c r="V1734">
        <v>7.16</v>
      </c>
      <c r="W1734">
        <v>62865</v>
      </c>
      <c r="X1734">
        <v>56854</v>
      </c>
      <c r="Y1734">
        <v>1.11</v>
      </c>
      <c r="Z1734">
        <v>807</v>
      </c>
      <c r="AA1734">
        <v>649</v>
      </c>
      <c r="AB1734" t="s">
        <v>32</v>
      </c>
      <c r="AC1734">
        <v>5.37</v>
      </c>
    </row>
    <row r="1735" spans="1:29">
      <c r="A1735" t="str">
        <f>"300365"</f>
        <v>300365</v>
      </c>
      <c r="B1735" t="s">
        <v>1904</v>
      </c>
      <c r="C1735">
        <v>-1.3</v>
      </c>
      <c r="D1735">
        <v>22.09</v>
      </c>
      <c r="E1735">
        <v>-0.29</v>
      </c>
      <c r="F1735">
        <v>22.08</v>
      </c>
      <c r="G1735">
        <v>22.09</v>
      </c>
      <c r="H1735">
        <v>28958</v>
      </c>
      <c r="I1735">
        <v>424</v>
      </c>
      <c r="J1735">
        <v>0.36</v>
      </c>
      <c r="K1735">
        <v>1.32</v>
      </c>
      <c r="L1735">
        <v>22.4</v>
      </c>
      <c r="M1735">
        <v>22.55</v>
      </c>
      <c r="N1735">
        <v>21.76</v>
      </c>
      <c r="O1735">
        <v>22.38</v>
      </c>
      <c r="P1735">
        <v>224.82</v>
      </c>
      <c r="Q1735">
        <v>63724908</v>
      </c>
      <c r="R1735">
        <v>1.21</v>
      </c>
      <c r="S1735" t="s">
        <v>270</v>
      </c>
      <c r="T1735" t="s">
        <v>45</v>
      </c>
      <c r="U1735">
        <v>3.53</v>
      </c>
      <c r="V1735">
        <v>22.01</v>
      </c>
      <c r="W1735">
        <v>15020</v>
      </c>
      <c r="X1735">
        <v>13938</v>
      </c>
      <c r="Y1735">
        <v>1.08</v>
      </c>
      <c r="Z1735">
        <v>2</v>
      </c>
      <c r="AA1735">
        <v>143</v>
      </c>
      <c r="AB1735" t="s">
        <v>32</v>
      </c>
      <c r="AC1735">
        <v>2.19</v>
      </c>
    </row>
    <row r="1736" spans="1:29">
      <c r="A1736" t="str">
        <f>"300366"</f>
        <v>300366</v>
      </c>
      <c r="B1736" t="s">
        <v>1905</v>
      </c>
      <c r="C1736">
        <v>-2.16</v>
      </c>
      <c r="D1736">
        <v>9.97</v>
      </c>
      <c r="E1736">
        <v>-0.22</v>
      </c>
      <c r="F1736">
        <v>9.97</v>
      </c>
      <c r="G1736">
        <v>9.98</v>
      </c>
      <c r="H1736">
        <v>131873</v>
      </c>
      <c r="I1736">
        <v>2110</v>
      </c>
      <c r="J1736">
        <v>-0.09</v>
      </c>
      <c r="K1736">
        <v>5.09</v>
      </c>
      <c r="L1736">
        <v>10.01</v>
      </c>
      <c r="M1736">
        <v>10.16</v>
      </c>
      <c r="N1736">
        <v>9.84</v>
      </c>
      <c r="O1736">
        <v>10.19</v>
      </c>
      <c r="P1736">
        <v>58.13</v>
      </c>
      <c r="Q1736">
        <v>131805952</v>
      </c>
      <c r="R1736">
        <v>0.85</v>
      </c>
      <c r="S1736" t="s">
        <v>270</v>
      </c>
      <c r="T1736" t="s">
        <v>146</v>
      </c>
      <c r="U1736">
        <v>3.14</v>
      </c>
      <c r="V1736">
        <v>9.99</v>
      </c>
      <c r="W1736">
        <v>73304</v>
      </c>
      <c r="X1736">
        <v>58568</v>
      </c>
      <c r="Y1736">
        <v>1.25</v>
      </c>
      <c r="Z1736">
        <v>576</v>
      </c>
      <c r="AA1736">
        <v>1027</v>
      </c>
      <c r="AB1736" t="s">
        <v>32</v>
      </c>
      <c r="AC1736">
        <v>2.59</v>
      </c>
    </row>
    <row r="1737" spans="1:29">
      <c r="A1737" t="str">
        <f>"300367"</f>
        <v>300367</v>
      </c>
      <c r="B1737" t="s">
        <v>1906</v>
      </c>
      <c r="C1737">
        <v>0.4</v>
      </c>
      <c r="D1737">
        <v>12.4</v>
      </c>
      <c r="E1737">
        <v>0.05</v>
      </c>
      <c r="F1737">
        <v>12.4</v>
      </c>
      <c r="G1737">
        <v>12.41</v>
      </c>
      <c r="H1737">
        <v>113150</v>
      </c>
      <c r="I1737">
        <v>999</v>
      </c>
      <c r="J1737">
        <v>0.08</v>
      </c>
      <c r="K1737">
        <v>2.03</v>
      </c>
      <c r="L1737">
        <v>12.3</v>
      </c>
      <c r="M1737">
        <v>12.57</v>
      </c>
      <c r="N1737">
        <v>12.2</v>
      </c>
      <c r="O1737">
        <v>12.35</v>
      </c>
      <c r="P1737">
        <v>41.74</v>
      </c>
      <c r="Q1737">
        <v>140473600</v>
      </c>
      <c r="R1737">
        <v>1.11</v>
      </c>
      <c r="S1737" t="s">
        <v>65</v>
      </c>
      <c r="T1737" t="s">
        <v>45</v>
      </c>
      <c r="U1737">
        <v>3</v>
      </c>
      <c r="V1737">
        <v>12.41</v>
      </c>
      <c r="W1737">
        <v>62423</v>
      </c>
      <c r="X1737">
        <v>50726</v>
      </c>
      <c r="Y1737">
        <v>1.23</v>
      </c>
      <c r="Z1737">
        <v>452</v>
      </c>
      <c r="AA1737">
        <v>966</v>
      </c>
      <c r="AB1737" t="s">
        <v>32</v>
      </c>
      <c r="AC1737">
        <v>5.57</v>
      </c>
    </row>
    <row r="1738" spans="1:29">
      <c r="A1738" t="str">
        <f>"300368"</f>
        <v>300368</v>
      </c>
      <c r="B1738" t="s">
        <v>1907</v>
      </c>
      <c r="C1738">
        <v>0.15</v>
      </c>
      <c r="D1738">
        <v>6.63</v>
      </c>
      <c r="E1738">
        <v>0.01</v>
      </c>
      <c r="F1738">
        <v>6.62</v>
      </c>
      <c r="G1738">
        <v>6.63</v>
      </c>
      <c r="H1738">
        <v>143842</v>
      </c>
      <c r="I1738">
        <v>3465</v>
      </c>
      <c r="J1738">
        <v>0.15</v>
      </c>
      <c r="K1738">
        <v>5.49</v>
      </c>
      <c r="L1738">
        <v>6.38</v>
      </c>
      <c r="M1738">
        <v>6.77</v>
      </c>
      <c r="N1738">
        <v>6.38</v>
      </c>
      <c r="O1738">
        <v>6.62</v>
      </c>
      <c r="P1738">
        <v>382.74</v>
      </c>
      <c r="Q1738">
        <v>94295104</v>
      </c>
      <c r="R1738">
        <v>2.21</v>
      </c>
      <c r="S1738" t="s">
        <v>171</v>
      </c>
      <c r="T1738" t="s">
        <v>154</v>
      </c>
      <c r="U1738">
        <v>5.89</v>
      </c>
      <c r="V1738">
        <v>6.56</v>
      </c>
      <c r="W1738">
        <v>70202</v>
      </c>
      <c r="X1738">
        <v>73640</v>
      </c>
      <c r="Y1738">
        <v>0.95</v>
      </c>
      <c r="Z1738">
        <v>829</v>
      </c>
      <c r="AA1738">
        <v>944</v>
      </c>
      <c r="AB1738" t="s">
        <v>32</v>
      </c>
      <c r="AC1738">
        <v>2.62</v>
      </c>
    </row>
    <row r="1739" spans="1:29">
      <c r="A1739" t="str">
        <f>"300369"</f>
        <v>300369</v>
      </c>
      <c r="B1739" t="s">
        <v>1908</v>
      </c>
      <c r="C1739">
        <v>2.09</v>
      </c>
      <c r="D1739">
        <v>10.25</v>
      </c>
      <c r="E1739">
        <v>0.21</v>
      </c>
      <c r="F1739">
        <v>10.25</v>
      </c>
      <c r="G1739">
        <v>10.26</v>
      </c>
      <c r="H1739">
        <v>72111</v>
      </c>
      <c r="I1739">
        <v>681</v>
      </c>
      <c r="J1739">
        <v>0.1</v>
      </c>
      <c r="K1739">
        <v>1.2</v>
      </c>
      <c r="L1739">
        <v>10.07</v>
      </c>
      <c r="M1739">
        <v>10.38</v>
      </c>
      <c r="N1739">
        <v>9.94</v>
      </c>
      <c r="O1739">
        <v>10.04</v>
      </c>
      <c r="P1739" t="s">
        <v>32</v>
      </c>
      <c r="Q1739">
        <v>73557552</v>
      </c>
      <c r="R1739">
        <v>1.11</v>
      </c>
      <c r="S1739" t="s">
        <v>270</v>
      </c>
      <c r="T1739" t="s">
        <v>45</v>
      </c>
      <c r="U1739">
        <v>4.38</v>
      </c>
      <c r="V1739">
        <v>10.2</v>
      </c>
      <c r="W1739">
        <v>27415</v>
      </c>
      <c r="X1739">
        <v>44695</v>
      </c>
      <c r="Y1739">
        <v>0.61</v>
      </c>
      <c r="Z1739">
        <v>519</v>
      </c>
      <c r="AA1739">
        <v>287</v>
      </c>
      <c r="AB1739" t="s">
        <v>32</v>
      </c>
      <c r="AC1739">
        <v>5.99</v>
      </c>
    </row>
    <row r="1740" spans="1:29">
      <c r="A1740" t="str">
        <f>"300370"</f>
        <v>300370</v>
      </c>
      <c r="B1740" t="s">
        <v>1909</v>
      </c>
      <c r="C1740">
        <v>0.58</v>
      </c>
      <c r="D1740">
        <v>3.46</v>
      </c>
      <c r="E1740">
        <v>0.02</v>
      </c>
      <c r="F1740">
        <v>3.46</v>
      </c>
      <c r="G1740">
        <v>3.47</v>
      </c>
      <c r="H1740">
        <v>59658</v>
      </c>
      <c r="I1740">
        <v>1521</v>
      </c>
      <c r="J1740">
        <v>0</v>
      </c>
      <c r="K1740">
        <v>0.89</v>
      </c>
      <c r="L1740">
        <v>3.45</v>
      </c>
      <c r="M1740">
        <v>3.49</v>
      </c>
      <c r="N1740">
        <v>3.41</v>
      </c>
      <c r="O1740">
        <v>3.44</v>
      </c>
      <c r="P1740" t="s">
        <v>32</v>
      </c>
      <c r="Q1740">
        <v>20636492</v>
      </c>
      <c r="R1740">
        <v>0.94</v>
      </c>
      <c r="S1740" t="s">
        <v>606</v>
      </c>
      <c r="T1740" t="s">
        <v>45</v>
      </c>
      <c r="U1740">
        <v>2.33</v>
      </c>
      <c r="V1740">
        <v>3.46</v>
      </c>
      <c r="W1740">
        <v>28487</v>
      </c>
      <c r="X1740">
        <v>31171</v>
      </c>
      <c r="Y1740">
        <v>0.91</v>
      </c>
      <c r="Z1740">
        <v>53</v>
      </c>
      <c r="AA1740">
        <v>1442</v>
      </c>
      <c r="AB1740" t="s">
        <v>32</v>
      </c>
      <c r="AC1740">
        <v>6.7</v>
      </c>
    </row>
    <row r="1741" spans="1:29">
      <c r="A1741" t="str">
        <f>"300371"</f>
        <v>300371</v>
      </c>
      <c r="B1741" t="s">
        <v>1910</v>
      </c>
      <c r="C1741">
        <v>1.12</v>
      </c>
      <c r="D1741">
        <v>16.28</v>
      </c>
      <c r="E1741">
        <v>0.18</v>
      </c>
      <c r="F1741">
        <v>16.26</v>
      </c>
      <c r="G1741">
        <v>16.28</v>
      </c>
      <c r="H1741">
        <v>4422</v>
      </c>
      <c r="I1741">
        <v>127</v>
      </c>
      <c r="J1741">
        <v>0.25</v>
      </c>
      <c r="K1741">
        <v>0.77</v>
      </c>
      <c r="L1741">
        <v>15.98</v>
      </c>
      <c r="M1741">
        <v>16.29</v>
      </c>
      <c r="N1741">
        <v>15.85</v>
      </c>
      <c r="O1741">
        <v>16.1</v>
      </c>
      <c r="P1741">
        <v>97.02</v>
      </c>
      <c r="Q1741">
        <v>7151143</v>
      </c>
      <c r="R1741">
        <v>1.02</v>
      </c>
      <c r="S1741" t="s">
        <v>606</v>
      </c>
      <c r="T1741" t="s">
        <v>154</v>
      </c>
      <c r="U1741">
        <v>2.73</v>
      </c>
      <c r="V1741">
        <v>16.17</v>
      </c>
      <c r="W1741">
        <v>2194</v>
      </c>
      <c r="X1741">
        <v>2228</v>
      </c>
      <c r="Y1741">
        <v>0.98</v>
      </c>
      <c r="Z1741">
        <v>13</v>
      </c>
      <c r="AA1741">
        <v>166</v>
      </c>
      <c r="AB1741" t="s">
        <v>32</v>
      </c>
      <c r="AC1741">
        <v>0.57</v>
      </c>
    </row>
    <row r="1742" spans="1:29">
      <c r="A1742" t="str">
        <f>"300373"</f>
        <v>300373</v>
      </c>
      <c r="B1742" t="s">
        <v>1911</v>
      </c>
      <c r="C1742">
        <v>0.52</v>
      </c>
      <c r="D1742">
        <v>31</v>
      </c>
      <c r="E1742">
        <v>0.16</v>
      </c>
      <c r="F1742">
        <v>30.99</v>
      </c>
      <c r="G1742">
        <v>31</v>
      </c>
      <c r="H1742">
        <v>82249</v>
      </c>
      <c r="I1742">
        <v>2209</v>
      </c>
      <c r="J1742">
        <v>0.29</v>
      </c>
      <c r="K1742">
        <v>3.53</v>
      </c>
      <c r="L1742">
        <v>30.86</v>
      </c>
      <c r="M1742">
        <v>31.15</v>
      </c>
      <c r="N1742">
        <v>30.16</v>
      </c>
      <c r="O1742">
        <v>30.84</v>
      </c>
      <c r="P1742">
        <v>57.42</v>
      </c>
      <c r="Q1742">
        <v>252878384</v>
      </c>
      <c r="R1742">
        <v>0.82</v>
      </c>
      <c r="S1742" t="s">
        <v>699</v>
      </c>
      <c r="T1742" t="s">
        <v>87</v>
      </c>
      <c r="U1742">
        <v>3.21</v>
      </c>
      <c r="V1742">
        <v>30.75</v>
      </c>
      <c r="W1742">
        <v>40692</v>
      </c>
      <c r="X1742">
        <v>41556</v>
      </c>
      <c r="Y1742">
        <v>0.98</v>
      </c>
      <c r="Z1742">
        <v>87</v>
      </c>
      <c r="AA1742">
        <v>585</v>
      </c>
      <c r="AB1742" t="s">
        <v>32</v>
      </c>
      <c r="AC1742">
        <v>2.33</v>
      </c>
    </row>
    <row r="1743" spans="1:29">
      <c r="A1743" t="str">
        <f>"300374"</f>
        <v>300374</v>
      </c>
      <c r="B1743" t="s">
        <v>1912</v>
      </c>
      <c r="C1743">
        <v>4.26</v>
      </c>
      <c r="D1743">
        <v>11.25</v>
      </c>
      <c r="E1743">
        <v>0.46</v>
      </c>
      <c r="F1743">
        <v>11.24</v>
      </c>
      <c r="G1743">
        <v>11.25</v>
      </c>
      <c r="H1743">
        <v>41870</v>
      </c>
      <c r="I1743">
        <v>1015</v>
      </c>
      <c r="J1743">
        <v>0.27</v>
      </c>
      <c r="K1743">
        <v>2.61</v>
      </c>
      <c r="L1743">
        <v>10.82</v>
      </c>
      <c r="M1743">
        <v>11.49</v>
      </c>
      <c r="N1743">
        <v>10.81</v>
      </c>
      <c r="O1743">
        <v>10.79</v>
      </c>
      <c r="P1743">
        <v>39.64</v>
      </c>
      <c r="Q1743">
        <v>46882672</v>
      </c>
      <c r="R1743">
        <v>1.86</v>
      </c>
      <c r="S1743" t="s">
        <v>69</v>
      </c>
      <c r="T1743" t="s">
        <v>45</v>
      </c>
      <c r="U1743">
        <v>6.3</v>
      </c>
      <c r="V1743">
        <v>11.2</v>
      </c>
      <c r="W1743">
        <v>19198</v>
      </c>
      <c r="X1743">
        <v>22672</v>
      </c>
      <c r="Y1743">
        <v>0.85</v>
      </c>
      <c r="Z1743">
        <v>668</v>
      </c>
      <c r="AA1743">
        <v>309</v>
      </c>
      <c r="AB1743" t="s">
        <v>32</v>
      </c>
      <c r="AC1743">
        <v>1.61</v>
      </c>
    </row>
    <row r="1744" spans="1:29">
      <c r="A1744" t="str">
        <f>"300375"</f>
        <v>300375</v>
      </c>
      <c r="B1744" t="s">
        <v>1913</v>
      </c>
      <c r="C1744">
        <v>1.46</v>
      </c>
      <c r="D1744">
        <v>6.26</v>
      </c>
      <c r="E1744">
        <v>0.09</v>
      </c>
      <c r="F1744">
        <v>6.26</v>
      </c>
      <c r="G1744">
        <v>6.27</v>
      </c>
      <c r="H1744">
        <v>28515</v>
      </c>
      <c r="I1744">
        <v>684</v>
      </c>
      <c r="J1744">
        <v>0</v>
      </c>
      <c r="K1744">
        <v>1.18</v>
      </c>
      <c r="L1744">
        <v>6.21</v>
      </c>
      <c r="M1744">
        <v>6.27</v>
      </c>
      <c r="N1744">
        <v>6.14</v>
      </c>
      <c r="O1744">
        <v>6.17</v>
      </c>
      <c r="P1744">
        <v>22.36</v>
      </c>
      <c r="Q1744">
        <v>17758704</v>
      </c>
      <c r="R1744">
        <v>1.77</v>
      </c>
      <c r="S1744" t="s">
        <v>80</v>
      </c>
      <c r="T1744" t="s">
        <v>248</v>
      </c>
      <c r="U1744">
        <v>2.11</v>
      </c>
      <c r="V1744">
        <v>6.23</v>
      </c>
      <c r="W1744">
        <v>13775</v>
      </c>
      <c r="X1744">
        <v>14739</v>
      </c>
      <c r="Y1744">
        <v>0.93</v>
      </c>
      <c r="Z1744">
        <v>303</v>
      </c>
      <c r="AA1744">
        <v>486</v>
      </c>
      <c r="AB1744" t="s">
        <v>32</v>
      </c>
      <c r="AC1744">
        <v>2.42</v>
      </c>
    </row>
    <row r="1745" spans="1:29">
      <c r="A1745" t="str">
        <f>"300376"</f>
        <v>300376</v>
      </c>
      <c r="B1745" t="s">
        <v>1914</v>
      </c>
      <c r="C1745">
        <v>0.39</v>
      </c>
      <c r="D1745">
        <v>5.11</v>
      </c>
      <c r="E1745">
        <v>0.02</v>
      </c>
      <c r="F1745">
        <v>5.1</v>
      </c>
      <c r="G1745">
        <v>5.11</v>
      </c>
      <c r="H1745">
        <v>159014</v>
      </c>
      <c r="I1745">
        <v>1408</v>
      </c>
      <c r="J1745">
        <v>0</v>
      </c>
      <c r="K1745">
        <v>0.69</v>
      </c>
      <c r="L1745">
        <v>5.12</v>
      </c>
      <c r="M1745">
        <v>5.18</v>
      </c>
      <c r="N1745">
        <v>5.05</v>
      </c>
      <c r="O1745">
        <v>5.09</v>
      </c>
      <c r="P1745">
        <v>35.06</v>
      </c>
      <c r="Q1745">
        <v>81301280</v>
      </c>
      <c r="R1745">
        <v>2.38</v>
      </c>
      <c r="S1745" t="s">
        <v>104</v>
      </c>
      <c r="T1745" t="s">
        <v>136</v>
      </c>
      <c r="U1745">
        <v>2.55</v>
      </c>
      <c r="V1745">
        <v>5.11</v>
      </c>
      <c r="W1745">
        <v>80799</v>
      </c>
      <c r="X1745">
        <v>78215</v>
      </c>
      <c r="Y1745">
        <v>1.03</v>
      </c>
      <c r="Z1745">
        <v>2050</v>
      </c>
      <c r="AA1745">
        <v>40</v>
      </c>
      <c r="AB1745" t="s">
        <v>32</v>
      </c>
      <c r="AC1745">
        <v>22.99</v>
      </c>
    </row>
    <row r="1746" spans="1:29">
      <c r="A1746" t="str">
        <f>"300377"</f>
        <v>300377</v>
      </c>
      <c r="B1746" t="s">
        <v>1915</v>
      </c>
      <c r="C1746">
        <v>0.07</v>
      </c>
      <c r="D1746">
        <v>15.15</v>
      </c>
      <c r="E1746">
        <v>0.01</v>
      </c>
      <c r="F1746">
        <v>15.15</v>
      </c>
      <c r="G1746">
        <v>15.16</v>
      </c>
      <c r="H1746">
        <v>271859</v>
      </c>
      <c r="I1746">
        <v>2099</v>
      </c>
      <c r="J1746">
        <v>0</v>
      </c>
      <c r="K1746">
        <v>6.36</v>
      </c>
      <c r="L1746">
        <v>15.13</v>
      </c>
      <c r="M1746">
        <v>15.69</v>
      </c>
      <c r="N1746">
        <v>15.06</v>
      </c>
      <c r="O1746">
        <v>15.14</v>
      </c>
      <c r="P1746">
        <v>110.53</v>
      </c>
      <c r="Q1746">
        <v>417492352</v>
      </c>
      <c r="R1746">
        <v>1.15</v>
      </c>
      <c r="S1746" t="s">
        <v>270</v>
      </c>
      <c r="T1746" t="s">
        <v>31</v>
      </c>
      <c r="U1746">
        <v>4.16</v>
      </c>
      <c r="V1746">
        <v>15.36</v>
      </c>
      <c r="W1746">
        <v>149930</v>
      </c>
      <c r="X1746">
        <v>121929</v>
      </c>
      <c r="Y1746">
        <v>1.23</v>
      </c>
      <c r="Z1746">
        <v>2129</v>
      </c>
      <c r="AA1746">
        <v>284</v>
      </c>
      <c r="AB1746" t="s">
        <v>32</v>
      </c>
      <c r="AC1746">
        <v>4.28</v>
      </c>
    </row>
    <row r="1747" spans="1:29">
      <c r="A1747" t="str">
        <f>"300378"</f>
        <v>300378</v>
      </c>
      <c r="B1747" t="s">
        <v>1916</v>
      </c>
      <c r="C1747">
        <v>-0.08</v>
      </c>
      <c r="D1747">
        <v>12.99</v>
      </c>
      <c r="E1747">
        <v>-0.01</v>
      </c>
      <c r="F1747">
        <v>12.99</v>
      </c>
      <c r="G1747">
        <v>13</v>
      </c>
      <c r="H1747">
        <v>61157</v>
      </c>
      <c r="I1747">
        <v>858</v>
      </c>
      <c r="J1747">
        <v>-0.07</v>
      </c>
      <c r="K1747">
        <v>2.34</v>
      </c>
      <c r="L1747">
        <v>12.99</v>
      </c>
      <c r="M1747">
        <v>13.08</v>
      </c>
      <c r="N1747">
        <v>12.77</v>
      </c>
      <c r="O1747">
        <v>13</v>
      </c>
      <c r="P1747">
        <v>303.18</v>
      </c>
      <c r="Q1747">
        <v>79236992</v>
      </c>
      <c r="R1747">
        <v>1.28</v>
      </c>
      <c r="S1747" t="s">
        <v>270</v>
      </c>
      <c r="T1747" t="s">
        <v>366</v>
      </c>
      <c r="U1747">
        <v>2.38</v>
      </c>
      <c r="V1747">
        <v>12.96</v>
      </c>
      <c r="W1747">
        <v>28953</v>
      </c>
      <c r="X1747">
        <v>32204</v>
      </c>
      <c r="Y1747">
        <v>0.9</v>
      </c>
      <c r="Z1747">
        <v>367</v>
      </c>
      <c r="AA1747">
        <v>326</v>
      </c>
      <c r="AB1747" t="s">
        <v>32</v>
      </c>
      <c r="AC1747">
        <v>2.61</v>
      </c>
    </row>
    <row r="1748" spans="1:29">
      <c r="A1748" t="str">
        <f>"300379"</f>
        <v>300379</v>
      </c>
      <c r="B1748" t="s">
        <v>1917</v>
      </c>
      <c r="C1748">
        <v>0.68</v>
      </c>
      <c r="D1748">
        <v>14.89</v>
      </c>
      <c r="E1748">
        <v>0.1</v>
      </c>
      <c r="F1748">
        <v>14.88</v>
      </c>
      <c r="G1748">
        <v>14.89</v>
      </c>
      <c r="H1748">
        <v>24476</v>
      </c>
      <c r="I1748">
        <v>447</v>
      </c>
      <c r="J1748">
        <v>0</v>
      </c>
      <c r="K1748">
        <v>1.23</v>
      </c>
      <c r="L1748">
        <v>14.84</v>
      </c>
      <c r="M1748">
        <v>14.95</v>
      </c>
      <c r="N1748">
        <v>14.5</v>
      </c>
      <c r="O1748">
        <v>14.79</v>
      </c>
      <c r="P1748">
        <v>313.02</v>
      </c>
      <c r="Q1748">
        <v>36152672</v>
      </c>
      <c r="R1748">
        <v>0.87</v>
      </c>
      <c r="S1748" t="s">
        <v>270</v>
      </c>
      <c r="T1748" t="s">
        <v>45</v>
      </c>
      <c r="U1748">
        <v>3.04</v>
      </c>
      <c r="V1748">
        <v>14.77</v>
      </c>
      <c r="W1748">
        <v>13498</v>
      </c>
      <c r="X1748">
        <v>10978</v>
      </c>
      <c r="Y1748">
        <v>1.23</v>
      </c>
      <c r="Z1748">
        <v>95</v>
      </c>
      <c r="AA1748">
        <v>151</v>
      </c>
      <c r="AB1748" t="s">
        <v>32</v>
      </c>
      <c r="AC1748">
        <v>1.99</v>
      </c>
    </row>
    <row r="1749" spans="1:29">
      <c r="A1749" t="str">
        <f>"300380"</f>
        <v>300380</v>
      </c>
      <c r="B1749" t="s">
        <v>1918</v>
      </c>
      <c r="C1749">
        <v>1.07</v>
      </c>
      <c r="D1749">
        <v>18.85</v>
      </c>
      <c r="E1749">
        <v>0.2</v>
      </c>
      <c r="F1749">
        <v>18.85</v>
      </c>
      <c r="G1749">
        <v>18.86</v>
      </c>
      <c r="H1749">
        <v>20685</v>
      </c>
      <c r="I1749">
        <v>203</v>
      </c>
      <c r="J1749">
        <v>0.32</v>
      </c>
      <c r="K1749">
        <v>2.93</v>
      </c>
      <c r="L1749">
        <v>18.58</v>
      </c>
      <c r="M1749">
        <v>19.2</v>
      </c>
      <c r="N1749">
        <v>18.43</v>
      </c>
      <c r="O1749">
        <v>18.65</v>
      </c>
      <c r="P1749">
        <v>238.16</v>
      </c>
      <c r="Q1749">
        <v>39037164</v>
      </c>
      <c r="R1749">
        <v>1.29</v>
      </c>
      <c r="S1749" t="s">
        <v>270</v>
      </c>
      <c r="T1749" t="s">
        <v>366</v>
      </c>
      <c r="U1749">
        <v>4.13</v>
      </c>
      <c r="V1749">
        <v>18.87</v>
      </c>
      <c r="W1749">
        <v>10416</v>
      </c>
      <c r="X1749">
        <v>10269</v>
      </c>
      <c r="Y1749">
        <v>1.01</v>
      </c>
      <c r="Z1749">
        <v>66</v>
      </c>
      <c r="AA1749">
        <v>22</v>
      </c>
      <c r="AB1749" t="s">
        <v>32</v>
      </c>
      <c r="AC1749">
        <v>0.71</v>
      </c>
    </row>
    <row r="1750" spans="1:29">
      <c r="A1750" t="str">
        <f>"300381"</f>
        <v>300381</v>
      </c>
      <c r="B1750" t="s">
        <v>1919</v>
      </c>
      <c r="C1750">
        <v>0.12</v>
      </c>
      <c r="D1750">
        <v>8.14</v>
      </c>
      <c r="E1750">
        <v>0.01</v>
      </c>
      <c r="F1750">
        <v>8.13</v>
      </c>
      <c r="G1750">
        <v>8.14</v>
      </c>
      <c r="H1750">
        <v>17580</v>
      </c>
      <c r="I1750">
        <v>280</v>
      </c>
      <c r="J1750">
        <v>0</v>
      </c>
      <c r="K1750">
        <v>0.51</v>
      </c>
      <c r="L1750">
        <v>7.34</v>
      </c>
      <c r="M1750">
        <v>8.17</v>
      </c>
      <c r="N1750">
        <v>7.34</v>
      </c>
      <c r="O1750">
        <v>8.13</v>
      </c>
      <c r="P1750">
        <v>71.74</v>
      </c>
      <c r="Q1750">
        <v>14128990</v>
      </c>
      <c r="R1750">
        <v>1.53</v>
      </c>
      <c r="S1750" t="s">
        <v>102</v>
      </c>
      <c r="T1750" t="s">
        <v>136</v>
      </c>
      <c r="U1750">
        <v>10.21</v>
      </c>
      <c r="V1750">
        <v>8.04</v>
      </c>
      <c r="W1750">
        <v>7891</v>
      </c>
      <c r="X1750">
        <v>9689</v>
      </c>
      <c r="Y1750">
        <v>0.81</v>
      </c>
      <c r="Z1750">
        <v>549</v>
      </c>
      <c r="AA1750">
        <v>569</v>
      </c>
      <c r="AB1750" t="s">
        <v>32</v>
      </c>
      <c r="AC1750">
        <v>3.46</v>
      </c>
    </row>
    <row r="1751" spans="1:29">
      <c r="A1751" t="str">
        <f>"300382"</f>
        <v>300382</v>
      </c>
      <c r="B1751" t="s">
        <v>1920</v>
      </c>
      <c r="C1751">
        <v>2.86</v>
      </c>
      <c r="D1751">
        <v>6.84</v>
      </c>
      <c r="E1751">
        <v>0.19</v>
      </c>
      <c r="F1751">
        <v>6.83</v>
      </c>
      <c r="G1751">
        <v>6.84</v>
      </c>
      <c r="H1751">
        <v>33073</v>
      </c>
      <c r="I1751">
        <v>1349</v>
      </c>
      <c r="J1751">
        <v>0.44</v>
      </c>
      <c r="K1751">
        <v>0.87</v>
      </c>
      <c r="L1751">
        <v>6.62</v>
      </c>
      <c r="M1751">
        <v>6.88</v>
      </c>
      <c r="N1751">
        <v>6.6</v>
      </c>
      <c r="O1751">
        <v>6.65</v>
      </c>
      <c r="P1751">
        <v>56.78</v>
      </c>
      <c r="Q1751">
        <v>22419164</v>
      </c>
      <c r="R1751">
        <v>1.66</v>
      </c>
      <c r="S1751" t="s">
        <v>171</v>
      </c>
      <c r="T1751" t="s">
        <v>87</v>
      </c>
      <c r="U1751">
        <v>4.21</v>
      </c>
      <c r="V1751">
        <v>6.78</v>
      </c>
      <c r="W1751">
        <v>12029</v>
      </c>
      <c r="X1751">
        <v>21044</v>
      </c>
      <c r="Y1751">
        <v>0.57</v>
      </c>
      <c r="Z1751">
        <v>205</v>
      </c>
      <c r="AA1751">
        <v>587</v>
      </c>
      <c r="AB1751" t="s">
        <v>32</v>
      </c>
      <c r="AC1751">
        <v>3.81</v>
      </c>
    </row>
    <row r="1752" spans="1:29">
      <c r="A1752" t="str">
        <f>"300383"</f>
        <v>300383</v>
      </c>
      <c r="B1752" t="s">
        <v>1921</v>
      </c>
      <c r="C1752">
        <v>-0.59</v>
      </c>
      <c r="D1752">
        <v>15.09</v>
      </c>
      <c r="E1752">
        <v>-0.09</v>
      </c>
      <c r="F1752">
        <v>15.09</v>
      </c>
      <c r="G1752">
        <v>15.1</v>
      </c>
      <c r="H1752">
        <v>306614</v>
      </c>
      <c r="I1752">
        <v>2792</v>
      </c>
      <c r="J1752">
        <v>0.07</v>
      </c>
      <c r="K1752">
        <v>2.21</v>
      </c>
      <c r="L1752">
        <v>15.19</v>
      </c>
      <c r="M1752">
        <v>15.49</v>
      </c>
      <c r="N1752">
        <v>14.91</v>
      </c>
      <c r="O1752">
        <v>15.18</v>
      </c>
      <c r="P1752">
        <v>39.54</v>
      </c>
      <c r="Q1752">
        <v>464781152</v>
      </c>
      <c r="R1752">
        <v>0.84</v>
      </c>
      <c r="S1752" t="s">
        <v>714</v>
      </c>
      <c r="T1752" t="s">
        <v>45</v>
      </c>
      <c r="U1752">
        <v>3.82</v>
      </c>
      <c r="V1752">
        <v>15.16</v>
      </c>
      <c r="W1752">
        <v>162001</v>
      </c>
      <c r="X1752">
        <v>144613</v>
      </c>
      <c r="Y1752">
        <v>1.12</v>
      </c>
      <c r="Z1752">
        <v>445</v>
      </c>
      <c r="AA1752">
        <v>1534</v>
      </c>
      <c r="AB1752" t="s">
        <v>32</v>
      </c>
      <c r="AC1752">
        <v>13.88</v>
      </c>
    </row>
    <row r="1753" spans="1:29">
      <c r="A1753" t="str">
        <f>"300384"</f>
        <v>300384</v>
      </c>
      <c r="B1753" t="s">
        <v>1922</v>
      </c>
      <c r="C1753">
        <v>-0.72</v>
      </c>
      <c r="D1753">
        <v>42.54</v>
      </c>
      <c r="E1753">
        <v>-0.31</v>
      </c>
      <c r="F1753">
        <v>42.54</v>
      </c>
      <c r="G1753">
        <v>42.55</v>
      </c>
      <c r="H1753">
        <v>75608</v>
      </c>
      <c r="I1753">
        <v>1247</v>
      </c>
      <c r="J1753">
        <v>0.19</v>
      </c>
      <c r="K1753">
        <v>12.42</v>
      </c>
      <c r="L1753">
        <v>43</v>
      </c>
      <c r="M1753">
        <v>43.26</v>
      </c>
      <c r="N1753">
        <v>41.72</v>
      </c>
      <c r="O1753">
        <v>42.85</v>
      </c>
      <c r="P1753">
        <v>40.54</v>
      </c>
      <c r="Q1753">
        <v>321163680</v>
      </c>
      <c r="R1753">
        <v>0.91</v>
      </c>
      <c r="S1753" t="s">
        <v>363</v>
      </c>
      <c r="T1753" t="s">
        <v>45</v>
      </c>
      <c r="U1753">
        <v>3.59</v>
      </c>
      <c r="V1753">
        <v>42.48</v>
      </c>
      <c r="W1753">
        <v>40515</v>
      </c>
      <c r="X1753">
        <v>35092</v>
      </c>
      <c r="Y1753">
        <v>1.15</v>
      </c>
      <c r="Z1753">
        <v>1</v>
      </c>
      <c r="AA1753">
        <v>241</v>
      </c>
      <c r="AB1753" t="s">
        <v>32</v>
      </c>
      <c r="AC1753">
        <v>0.61</v>
      </c>
    </row>
    <row r="1754" spans="1:29">
      <c r="A1754" t="str">
        <f>"300385"</f>
        <v>300385</v>
      </c>
      <c r="B1754" t="s">
        <v>1923</v>
      </c>
      <c r="C1754">
        <v>1.9</v>
      </c>
      <c r="D1754">
        <v>18.77</v>
      </c>
      <c r="E1754">
        <v>0.35</v>
      </c>
      <c r="F1754">
        <v>18.76</v>
      </c>
      <c r="G1754">
        <v>18.77</v>
      </c>
      <c r="H1754">
        <v>11545</v>
      </c>
      <c r="I1754">
        <v>328</v>
      </c>
      <c r="J1754">
        <v>0.21</v>
      </c>
      <c r="K1754">
        <v>1.81</v>
      </c>
      <c r="L1754">
        <v>18.45</v>
      </c>
      <c r="M1754">
        <v>18.88</v>
      </c>
      <c r="N1754">
        <v>18.35</v>
      </c>
      <c r="O1754">
        <v>18.42</v>
      </c>
      <c r="P1754">
        <v>29.54</v>
      </c>
      <c r="Q1754">
        <v>21502626</v>
      </c>
      <c r="R1754">
        <v>1.66</v>
      </c>
      <c r="S1754" t="s">
        <v>86</v>
      </c>
      <c r="T1754" t="s">
        <v>87</v>
      </c>
      <c r="U1754">
        <v>2.88</v>
      </c>
      <c r="V1754">
        <v>18.62</v>
      </c>
      <c r="W1754">
        <v>5293</v>
      </c>
      <c r="X1754">
        <v>6252</v>
      </c>
      <c r="Y1754">
        <v>0.85</v>
      </c>
      <c r="Z1754">
        <v>42</v>
      </c>
      <c r="AA1754">
        <v>17</v>
      </c>
      <c r="AB1754" t="s">
        <v>32</v>
      </c>
      <c r="AC1754">
        <v>0.64</v>
      </c>
    </row>
    <row r="1755" spans="1:29">
      <c r="A1755" t="str">
        <f>"300386"</f>
        <v>300386</v>
      </c>
      <c r="B1755" t="s">
        <v>1924</v>
      </c>
      <c r="C1755">
        <v>1.37</v>
      </c>
      <c r="D1755">
        <v>11.81</v>
      </c>
      <c r="E1755">
        <v>0.16</v>
      </c>
      <c r="F1755">
        <v>11.8</v>
      </c>
      <c r="G1755">
        <v>11.81</v>
      </c>
      <c r="H1755">
        <v>49298</v>
      </c>
      <c r="I1755">
        <v>1039</v>
      </c>
      <c r="J1755">
        <v>0.34</v>
      </c>
      <c r="K1755">
        <v>2.13</v>
      </c>
      <c r="L1755">
        <v>11.62</v>
      </c>
      <c r="M1755">
        <v>11.83</v>
      </c>
      <c r="N1755">
        <v>11.53</v>
      </c>
      <c r="O1755">
        <v>11.65</v>
      </c>
      <c r="P1755">
        <v>583.31</v>
      </c>
      <c r="Q1755">
        <v>57864044</v>
      </c>
      <c r="R1755">
        <v>1.15</v>
      </c>
      <c r="S1755" t="s">
        <v>270</v>
      </c>
      <c r="T1755" t="s">
        <v>45</v>
      </c>
      <c r="U1755">
        <v>2.58</v>
      </c>
      <c r="V1755">
        <v>11.74</v>
      </c>
      <c r="W1755">
        <v>23418</v>
      </c>
      <c r="X1755">
        <v>25879</v>
      </c>
      <c r="Y1755">
        <v>0.9</v>
      </c>
      <c r="Z1755">
        <v>162</v>
      </c>
      <c r="AA1755">
        <v>137</v>
      </c>
      <c r="AB1755" t="s">
        <v>32</v>
      </c>
      <c r="AC1755">
        <v>2.31</v>
      </c>
    </row>
    <row r="1756" spans="1:29">
      <c r="A1756" t="str">
        <f>"300387"</f>
        <v>300387</v>
      </c>
      <c r="B1756" t="s">
        <v>1925</v>
      </c>
      <c r="C1756">
        <v>2.87</v>
      </c>
      <c r="D1756">
        <v>6.8</v>
      </c>
      <c r="E1756">
        <v>0.19</v>
      </c>
      <c r="F1756">
        <v>6.79</v>
      </c>
      <c r="G1756">
        <v>6.8</v>
      </c>
      <c r="H1756">
        <v>30118</v>
      </c>
      <c r="I1756">
        <v>171</v>
      </c>
      <c r="J1756">
        <v>0.15</v>
      </c>
      <c r="K1756">
        <v>1.04</v>
      </c>
      <c r="L1756">
        <v>6.58</v>
      </c>
      <c r="M1756">
        <v>6.93</v>
      </c>
      <c r="N1756">
        <v>6.58</v>
      </c>
      <c r="O1756">
        <v>6.61</v>
      </c>
      <c r="P1756">
        <v>26.84</v>
      </c>
      <c r="Q1756">
        <v>20419146</v>
      </c>
      <c r="R1756">
        <v>1.87</v>
      </c>
      <c r="S1756" t="s">
        <v>218</v>
      </c>
      <c r="T1756" t="s">
        <v>193</v>
      </c>
      <c r="U1756">
        <v>5.3</v>
      </c>
      <c r="V1756">
        <v>6.78</v>
      </c>
      <c r="W1756">
        <v>14180</v>
      </c>
      <c r="X1756">
        <v>15938</v>
      </c>
      <c r="Y1756">
        <v>0.89</v>
      </c>
      <c r="Z1756">
        <v>66</v>
      </c>
      <c r="AA1756">
        <v>55</v>
      </c>
      <c r="AB1756" t="s">
        <v>32</v>
      </c>
      <c r="AC1756">
        <v>2.89</v>
      </c>
    </row>
    <row r="1757" spans="1:29">
      <c r="A1757" t="str">
        <f>"300388"</f>
        <v>300388</v>
      </c>
      <c r="B1757" t="s">
        <v>1926</v>
      </c>
      <c r="C1757">
        <v>-1.35</v>
      </c>
      <c r="D1757">
        <v>10.99</v>
      </c>
      <c r="E1757">
        <v>-0.15</v>
      </c>
      <c r="F1757">
        <v>10.98</v>
      </c>
      <c r="G1757">
        <v>10.99</v>
      </c>
      <c r="H1757">
        <v>91210</v>
      </c>
      <c r="I1757">
        <v>893</v>
      </c>
      <c r="J1757">
        <v>0</v>
      </c>
      <c r="K1757">
        <v>1.71</v>
      </c>
      <c r="L1757">
        <v>11.1</v>
      </c>
      <c r="M1757">
        <v>11.46</v>
      </c>
      <c r="N1757">
        <v>10.98</v>
      </c>
      <c r="O1757">
        <v>11.14</v>
      </c>
      <c r="P1757">
        <v>33.3</v>
      </c>
      <c r="Q1757">
        <v>102024304</v>
      </c>
      <c r="R1757">
        <v>1.01</v>
      </c>
      <c r="S1757" t="s">
        <v>86</v>
      </c>
      <c r="T1757" t="s">
        <v>143</v>
      </c>
      <c r="U1757">
        <v>4.31</v>
      </c>
      <c r="V1757">
        <v>11.19</v>
      </c>
      <c r="W1757">
        <v>51740</v>
      </c>
      <c r="X1757">
        <v>39470</v>
      </c>
      <c r="Y1757">
        <v>1.31</v>
      </c>
      <c r="Z1757">
        <v>708</v>
      </c>
      <c r="AA1757">
        <v>119</v>
      </c>
      <c r="AB1757" t="s">
        <v>32</v>
      </c>
      <c r="AC1757">
        <v>5.34</v>
      </c>
    </row>
    <row r="1758" spans="1:29">
      <c r="A1758" t="str">
        <f>"300389"</f>
        <v>300389</v>
      </c>
      <c r="B1758" t="s">
        <v>1927</v>
      </c>
      <c r="C1758">
        <v>2.11</v>
      </c>
      <c r="D1758">
        <v>20.32</v>
      </c>
      <c r="E1758">
        <v>0.42</v>
      </c>
      <c r="F1758">
        <v>20.32</v>
      </c>
      <c r="G1758">
        <v>20.34</v>
      </c>
      <c r="H1758">
        <v>16767</v>
      </c>
      <c r="I1758">
        <v>353</v>
      </c>
      <c r="J1758">
        <v>-0.38</v>
      </c>
      <c r="K1758">
        <v>1.02</v>
      </c>
      <c r="L1758">
        <v>19.9</v>
      </c>
      <c r="M1758">
        <v>20.42</v>
      </c>
      <c r="N1758">
        <v>19.57</v>
      </c>
      <c r="O1758">
        <v>19.9</v>
      </c>
      <c r="P1758">
        <v>73.4</v>
      </c>
      <c r="Q1758">
        <v>33406244</v>
      </c>
      <c r="R1758">
        <v>0.73</v>
      </c>
      <c r="S1758" t="s">
        <v>699</v>
      </c>
      <c r="T1758" t="s">
        <v>31</v>
      </c>
      <c r="U1758">
        <v>4.27</v>
      </c>
      <c r="V1758">
        <v>19.92</v>
      </c>
      <c r="W1758">
        <v>7469</v>
      </c>
      <c r="X1758">
        <v>9297</v>
      </c>
      <c r="Y1758">
        <v>0.8</v>
      </c>
      <c r="Z1758">
        <v>82</v>
      </c>
      <c r="AA1758">
        <v>46</v>
      </c>
      <c r="AB1758" t="s">
        <v>32</v>
      </c>
      <c r="AC1758">
        <v>1.64</v>
      </c>
    </row>
    <row r="1759" spans="1:29">
      <c r="A1759" t="str">
        <f>"300390"</f>
        <v>300390</v>
      </c>
      <c r="B1759" t="s">
        <v>1928</v>
      </c>
      <c r="C1759">
        <v>-4.21</v>
      </c>
      <c r="D1759">
        <v>12.75</v>
      </c>
      <c r="E1759">
        <v>-0.56</v>
      </c>
      <c r="F1759">
        <v>12.75</v>
      </c>
      <c r="G1759">
        <v>12.76</v>
      </c>
      <c r="H1759">
        <v>503648</v>
      </c>
      <c r="I1759">
        <v>7373</v>
      </c>
      <c r="J1759">
        <v>0.24</v>
      </c>
      <c r="K1759">
        <v>27.25</v>
      </c>
      <c r="L1759">
        <v>12.86</v>
      </c>
      <c r="M1759">
        <v>13.45</v>
      </c>
      <c r="N1759">
        <v>12.63</v>
      </c>
      <c r="O1759">
        <v>13.31</v>
      </c>
      <c r="P1759">
        <v>145.23</v>
      </c>
      <c r="Q1759">
        <v>649715392</v>
      </c>
      <c r="R1759">
        <v>0.76</v>
      </c>
      <c r="S1759" t="s">
        <v>63</v>
      </c>
      <c r="T1759" t="s">
        <v>87</v>
      </c>
      <c r="U1759">
        <v>6.16</v>
      </c>
      <c r="V1759">
        <v>12.9</v>
      </c>
      <c r="W1759">
        <v>280049</v>
      </c>
      <c r="X1759">
        <v>223598</v>
      </c>
      <c r="Y1759">
        <v>1.25</v>
      </c>
      <c r="Z1759">
        <v>659</v>
      </c>
      <c r="AA1759">
        <v>951</v>
      </c>
      <c r="AB1759" t="s">
        <v>32</v>
      </c>
      <c r="AC1759">
        <v>1.85</v>
      </c>
    </row>
    <row r="1760" spans="1:29">
      <c r="A1760" t="str">
        <f>"300391"</f>
        <v>300391</v>
      </c>
      <c r="B1760" t="s">
        <v>1929</v>
      </c>
      <c r="C1760">
        <v>-0.1</v>
      </c>
      <c r="D1760">
        <v>10.44</v>
      </c>
      <c r="E1760">
        <v>-0.01</v>
      </c>
      <c r="F1760">
        <v>10.43</v>
      </c>
      <c r="G1760">
        <v>10.44</v>
      </c>
      <c r="H1760">
        <v>19879</v>
      </c>
      <c r="I1760">
        <v>234</v>
      </c>
      <c r="J1760">
        <v>0.29</v>
      </c>
      <c r="K1760">
        <v>2.54</v>
      </c>
      <c r="L1760">
        <v>10.4</v>
      </c>
      <c r="M1760">
        <v>10.48</v>
      </c>
      <c r="N1760">
        <v>10.22</v>
      </c>
      <c r="O1760">
        <v>10.45</v>
      </c>
      <c r="P1760">
        <v>49.1</v>
      </c>
      <c r="Q1760">
        <v>20644580</v>
      </c>
      <c r="R1760">
        <v>1.15</v>
      </c>
      <c r="S1760" t="s">
        <v>241</v>
      </c>
      <c r="T1760" t="s">
        <v>162</v>
      </c>
      <c r="U1760">
        <v>2.49</v>
      </c>
      <c r="V1760">
        <v>10.39</v>
      </c>
      <c r="W1760">
        <v>11573</v>
      </c>
      <c r="X1760">
        <v>8305</v>
      </c>
      <c r="Y1760">
        <v>1.39</v>
      </c>
      <c r="Z1760">
        <v>140</v>
      </c>
      <c r="AA1760">
        <v>37</v>
      </c>
      <c r="AB1760" t="s">
        <v>32</v>
      </c>
      <c r="AC1760">
        <v>0.78</v>
      </c>
    </row>
    <row r="1761" spans="1:29">
      <c r="A1761" t="str">
        <f>"300392"</f>
        <v>300392</v>
      </c>
      <c r="B1761" t="s">
        <v>1930</v>
      </c>
      <c r="C1761">
        <v>0.25</v>
      </c>
      <c r="D1761">
        <v>8.09</v>
      </c>
      <c r="E1761">
        <v>0.02</v>
      </c>
      <c r="F1761">
        <v>8.08</v>
      </c>
      <c r="G1761">
        <v>8.09</v>
      </c>
      <c r="H1761">
        <v>29886</v>
      </c>
      <c r="I1761">
        <v>425</v>
      </c>
      <c r="J1761">
        <v>-0.11</v>
      </c>
      <c r="K1761">
        <v>1.16</v>
      </c>
      <c r="L1761">
        <v>8</v>
      </c>
      <c r="M1761">
        <v>8.16</v>
      </c>
      <c r="N1761">
        <v>8</v>
      </c>
      <c r="O1761">
        <v>8.07</v>
      </c>
      <c r="P1761">
        <v>383.6</v>
      </c>
      <c r="Q1761">
        <v>24186756</v>
      </c>
      <c r="R1761">
        <v>1.16</v>
      </c>
      <c r="S1761" t="s">
        <v>316</v>
      </c>
      <c r="T1761" t="s">
        <v>45</v>
      </c>
      <c r="U1761">
        <v>1.98</v>
      </c>
      <c r="V1761">
        <v>8.09</v>
      </c>
      <c r="W1761">
        <v>17308</v>
      </c>
      <c r="X1761">
        <v>12578</v>
      </c>
      <c r="Y1761">
        <v>1.38</v>
      </c>
      <c r="Z1761">
        <v>7741</v>
      </c>
      <c r="AA1761">
        <v>98</v>
      </c>
      <c r="AB1761" t="s">
        <v>32</v>
      </c>
      <c r="AC1761">
        <v>2.59</v>
      </c>
    </row>
    <row r="1762" spans="1:29">
      <c r="A1762" t="str">
        <f>"300393"</f>
        <v>300393</v>
      </c>
      <c r="B1762" t="s">
        <v>1931</v>
      </c>
      <c r="C1762">
        <v>-0.11</v>
      </c>
      <c r="D1762">
        <v>18.43</v>
      </c>
      <c r="E1762">
        <v>-0.02</v>
      </c>
      <c r="F1762">
        <v>18.43</v>
      </c>
      <c r="G1762">
        <v>18.44</v>
      </c>
      <c r="H1762">
        <v>26242</v>
      </c>
      <c r="I1762">
        <v>383</v>
      </c>
      <c r="J1762">
        <v>-0.15</v>
      </c>
      <c r="K1762">
        <v>2.18</v>
      </c>
      <c r="L1762">
        <v>18.41</v>
      </c>
      <c r="M1762">
        <v>18.67</v>
      </c>
      <c r="N1762">
        <v>18.25</v>
      </c>
      <c r="O1762">
        <v>18.45</v>
      </c>
      <c r="P1762">
        <v>49.79</v>
      </c>
      <c r="Q1762">
        <v>48485160</v>
      </c>
      <c r="R1762">
        <v>0.8</v>
      </c>
      <c r="S1762" t="s">
        <v>508</v>
      </c>
      <c r="T1762" t="s">
        <v>87</v>
      </c>
      <c r="U1762">
        <v>2.28</v>
      </c>
      <c r="V1762">
        <v>18.48</v>
      </c>
      <c r="W1762">
        <v>14421</v>
      </c>
      <c r="X1762">
        <v>11821</v>
      </c>
      <c r="Y1762">
        <v>1.22</v>
      </c>
      <c r="Z1762">
        <v>163</v>
      </c>
      <c r="AA1762">
        <v>76</v>
      </c>
      <c r="AB1762" t="s">
        <v>32</v>
      </c>
      <c r="AC1762">
        <v>1.21</v>
      </c>
    </row>
    <row r="1763" spans="1:29">
      <c r="A1763" t="str">
        <f>"300394"</f>
        <v>300394</v>
      </c>
      <c r="B1763" t="s">
        <v>1932</v>
      </c>
      <c r="C1763">
        <v>0.55</v>
      </c>
      <c r="D1763">
        <v>18.14</v>
      </c>
      <c r="E1763">
        <v>0.1</v>
      </c>
      <c r="F1763">
        <v>18.13</v>
      </c>
      <c r="G1763">
        <v>18.14</v>
      </c>
      <c r="H1763">
        <v>14434</v>
      </c>
      <c r="I1763">
        <v>315</v>
      </c>
      <c r="J1763">
        <v>0</v>
      </c>
      <c r="K1763">
        <v>0.88</v>
      </c>
      <c r="L1763">
        <v>17.91</v>
      </c>
      <c r="M1763">
        <v>18.24</v>
      </c>
      <c r="N1763">
        <v>17.81</v>
      </c>
      <c r="O1763">
        <v>18.04</v>
      </c>
      <c r="P1763">
        <v>30.74</v>
      </c>
      <c r="Q1763">
        <v>26084034</v>
      </c>
      <c r="R1763">
        <v>0.5</v>
      </c>
      <c r="S1763" t="s">
        <v>119</v>
      </c>
      <c r="T1763" t="s">
        <v>87</v>
      </c>
      <c r="U1763">
        <v>2.38</v>
      </c>
      <c r="V1763">
        <v>18.07</v>
      </c>
      <c r="W1763">
        <v>8368</v>
      </c>
      <c r="X1763">
        <v>6066</v>
      </c>
      <c r="Y1763">
        <v>1.38</v>
      </c>
      <c r="Z1763">
        <v>263</v>
      </c>
      <c r="AA1763">
        <v>18</v>
      </c>
      <c r="AB1763" t="s">
        <v>32</v>
      </c>
      <c r="AC1763">
        <v>1.64</v>
      </c>
    </row>
    <row r="1764" spans="1:29">
      <c r="A1764" t="str">
        <f>"300395"</f>
        <v>300395</v>
      </c>
      <c r="B1764" t="s">
        <v>1933</v>
      </c>
      <c r="C1764">
        <v>-1.6</v>
      </c>
      <c r="D1764">
        <v>15.34</v>
      </c>
      <c r="E1764">
        <v>-0.25</v>
      </c>
      <c r="F1764">
        <v>15.33</v>
      </c>
      <c r="G1764">
        <v>15.34</v>
      </c>
      <c r="H1764">
        <v>27787</v>
      </c>
      <c r="I1764">
        <v>443</v>
      </c>
      <c r="J1764">
        <v>-0.25</v>
      </c>
      <c r="K1764">
        <v>1.04</v>
      </c>
      <c r="L1764">
        <v>15.41</v>
      </c>
      <c r="M1764">
        <v>15.55</v>
      </c>
      <c r="N1764">
        <v>15.15</v>
      </c>
      <c r="O1764">
        <v>15.59</v>
      </c>
      <c r="P1764">
        <v>54.52</v>
      </c>
      <c r="Q1764">
        <v>42625324</v>
      </c>
      <c r="R1764">
        <v>0.57</v>
      </c>
      <c r="S1764" t="s">
        <v>52</v>
      </c>
      <c r="T1764" t="s">
        <v>193</v>
      </c>
      <c r="U1764">
        <v>2.57</v>
      </c>
      <c r="V1764">
        <v>15.34</v>
      </c>
      <c r="W1764">
        <v>15647</v>
      </c>
      <c r="X1764">
        <v>12139</v>
      </c>
      <c r="Y1764">
        <v>1.29</v>
      </c>
      <c r="Z1764">
        <v>24</v>
      </c>
      <c r="AA1764">
        <v>212</v>
      </c>
      <c r="AB1764" t="s">
        <v>32</v>
      </c>
      <c r="AC1764">
        <v>2.66</v>
      </c>
    </row>
    <row r="1765" spans="1:29">
      <c r="A1765" t="str">
        <f>"300396"</f>
        <v>300396</v>
      </c>
      <c r="B1765" t="s">
        <v>1934</v>
      </c>
      <c r="C1765">
        <v>2.97</v>
      </c>
      <c r="D1765">
        <v>18.74</v>
      </c>
      <c r="E1765">
        <v>0.54</v>
      </c>
      <c r="F1765">
        <v>18.68</v>
      </c>
      <c r="G1765">
        <v>18.74</v>
      </c>
      <c r="H1765">
        <v>10932</v>
      </c>
      <c r="I1765">
        <v>119</v>
      </c>
      <c r="J1765">
        <v>0</v>
      </c>
      <c r="K1765">
        <v>0.44</v>
      </c>
      <c r="L1765">
        <v>18.21</v>
      </c>
      <c r="M1765">
        <v>18.95</v>
      </c>
      <c r="N1765">
        <v>18.06</v>
      </c>
      <c r="O1765">
        <v>18.2</v>
      </c>
      <c r="P1765">
        <v>37.46</v>
      </c>
      <c r="Q1765">
        <v>20359550</v>
      </c>
      <c r="R1765">
        <v>0.95</v>
      </c>
      <c r="S1765" t="s">
        <v>138</v>
      </c>
      <c r="T1765" t="s">
        <v>81</v>
      </c>
      <c r="U1765">
        <v>4.89</v>
      </c>
      <c r="V1765">
        <v>18.62</v>
      </c>
      <c r="W1765">
        <v>4834</v>
      </c>
      <c r="X1765">
        <v>6097</v>
      </c>
      <c r="Y1765">
        <v>0.79</v>
      </c>
      <c r="Z1765">
        <v>2</v>
      </c>
      <c r="AA1765">
        <v>4</v>
      </c>
      <c r="AB1765" t="s">
        <v>32</v>
      </c>
      <c r="AC1765">
        <v>2.47</v>
      </c>
    </row>
    <row r="1766" spans="1:29">
      <c r="A1766" t="str">
        <f>"300397"</f>
        <v>300397</v>
      </c>
      <c r="B1766" t="s">
        <v>1935</v>
      </c>
      <c r="C1766">
        <v>0.66</v>
      </c>
      <c r="D1766">
        <v>12.29</v>
      </c>
      <c r="E1766">
        <v>0.08</v>
      </c>
      <c r="F1766">
        <v>12.29</v>
      </c>
      <c r="G1766">
        <v>12.3</v>
      </c>
      <c r="H1766">
        <v>34651</v>
      </c>
      <c r="I1766">
        <v>474</v>
      </c>
      <c r="J1766">
        <v>0.08</v>
      </c>
      <c r="K1766">
        <v>2.23</v>
      </c>
      <c r="L1766">
        <v>12.15</v>
      </c>
      <c r="M1766">
        <v>12.45</v>
      </c>
      <c r="N1766">
        <v>12.07</v>
      </c>
      <c r="O1766">
        <v>12.21</v>
      </c>
      <c r="P1766" t="s">
        <v>32</v>
      </c>
      <c r="Q1766">
        <v>42400088</v>
      </c>
      <c r="R1766">
        <v>1.66</v>
      </c>
      <c r="S1766" t="s">
        <v>119</v>
      </c>
      <c r="T1766" t="s">
        <v>223</v>
      </c>
      <c r="U1766">
        <v>3.11</v>
      </c>
      <c r="V1766">
        <v>12.24</v>
      </c>
      <c r="W1766">
        <v>17206</v>
      </c>
      <c r="X1766">
        <v>17445</v>
      </c>
      <c r="Y1766">
        <v>0.99</v>
      </c>
      <c r="Z1766">
        <v>107</v>
      </c>
      <c r="AA1766">
        <v>70</v>
      </c>
      <c r="AB1766" t="s">
        <v>32</v>
      </c>
      <c r="AC1766">
        <v>1.55</v>
      </c>
    </row>
    <row r="1767" spans="1:29">
      <c r="A1767" t="str">
        <f>"300398"</f>
        <v>300398</v>
      </c>
      <c r="B1767" t="s">
        <v>1936</v>
      </c>
      <c r="C1767">
        <v>0.13</v>
      </c>
      <c r="D1767">
        <v>22.3</v>
      </c>
      <c r="E1767">
        <v>0.03</v>
      </c>
      <c r="F1767">
        <v>22.29</v>
      </c>
      <c r="G1767">
        <v>22.3</v>
      </c>
      <c r="H1767">
        <v>55635</v>
      </c>
      <c r="I1767">
        <v>354</v>
      </c>
      <c r="J1767">
        <v>0.18</v>
      </c>
      <c r="K1767">
        <v>1.53</v>
      </c>
      <c r="L1767">
        <v>22.27</v>
      </c>
      <c r="M1767">
        <v>22.59</v>
      </c>
      <c r="N1767">
        <v>21.81</v>
      </c>
      <c r="O1767">
        <v>22.27</v>
      </c>
      <c r="P1767">
        <v>32.4</v>
      </c>
      <c r="Q1767">
        <v>123993720</v>
      </c>
      <c r="R1767">
        <v>1.24</v>
      </c>
      <c r="S1767" t="s">
        <v>281</v>
      </c>
      <c r="T1767" t="s">
        <v>366</v>
      </c>
      <c r="U1767">
        <v>3.5</v>
      </c>
      <c r="V1767">
        <v>22.29</v>
      </c>
      <c r="W1767">
        <v>28936</v>
      </c>
      <c r="X1767">
        <v>26698</v>
      </c>
      <c r="Y1767">
        <v>1.08</v>
      </c>
      <c r="Z1767">
        <v>4</v>
      </c>
      <c r="AA1767">
        <v>73</v>
      </c>
      <c r="AB1767" t="s">
        <v>32</v>
      </c>
      <c r="AC1767">
        <v>3.64</v>
      </c>
    </row>
    <row r="1768" spans="1:29">
      <c r="A1768" t="str">
        <f>"300399"</f>
        <v>300399</v>
      </c>
      <c r="B1768" t="s">
        <v>1937</v>
      </c>
      <c r="C1768">
        <v>2.62</v>
      </c>
      <c r="D1768">
        <v>10.17</v>
      </c>
      <c r="E1768">
        <v>0.26</v>
      </c>
      <c r="F1768">
        <v>10.17</v>
      </c>
      <c r="G1768">
        <v>10.18</v>
      </c>
      <c r="H1768">
        <v>13634</v>
      </c>
      <c r="I1768">
        <v>79</v>
      </c>
      <c r="J1768">
        <v>0.3</v>
      </c>
      <c r="K1768">
        <v>1.02</v>
      </c>
      <c r="L1768">
        <v>9.91</v>
      </c>
      <c r="M1768">
        <v>10.2</v>
      </c>
      <c r="N1768">
        <v>9.83</v>
      </c>
      <c r="O1768">
        <v>9.91</v>
      </c>
      <c r="P1768" t="s">
        <v>32</v>
      </c>
      <c r="Q1768">
        <v>13730469</v>
      </c>
      <c r="R1768">
        <v>1.72</v>
      </c>
      <c r="S1768" t="s">
        <v>316</v>
      </c>
      <c r="T1768" t="s">
        <v>45</v>
      </c>
      <c r="U1768">
        <v>3.73</v>
      </c>
      <c r="V1768">
        <v>10.07</v>
      </c>
      <c r="W1768">
        <v>6056</v>
      </c>
      <c r="X1768">
        <v>7577</v>
      </c>
      <c r="Y1768">
        <v>0.8</v>
      </c>
      <c r="Z1768">
        <v>184</v>
      </c>
      <c r="AA1768">
        <v>211</v>
      </c>
      <c r="AB1768" t="s">
        <v>32</v>
      </c>
      <c r="AC1768">
        <v>1.34</v>
      </c>
    </row>
    <row r="1769" spans="1:29">
      <c r="A1769" t="str">
        <f>"300400"</f>
        <v>300400</v>
      </c>
      <c r="B1769" t="s">
        <v>1938</v>
      </c>
      <c r="C1769">
        <v>4.78</v>
      </c>
      <c r="D1769">
        <v>16.66</v>
      </c>
      <c r="E1769">
        <v>0.76</v>
      </c>
      <c r="F1769">
        <v>16.65</v>
      </c>
      <c r="G1769">
        <v>16.66</v>
      </c>
      <c r="H1769">
        <v>49341</v>
      </c>
      <c r="I1769">
        <v>735</v>
      </c>
      <c r="J1769">
        <v>0.73</v>
      </c>
      <c r="K1769">
        <v>3.17</v>
      </c>
      <c r="L1769">
        <v>15.71</v>
      </c>
      <c r="M1769">
        <v>16.69</v>
      </c>
      <c r="N1769">
        <v>15.71</v>
      </c>
      <c r="O1769">
        <v>15.9</v>
      </c>
      <c r="P1769">
        <v>50.63</v>
      </c>
      <c r="Q1769">
        <v>80188032</v>
      </c>
      <c r="R1769">
        <v>1.94</v>
      </c>
      <c r="S1769" t="s">
        <v>171</v>
      </c>
      <c r="T1769" t="s">
        <v>31</v>
      </c>
      <c r="U1769">
        <v>6.16</v>
      </c>
      <c r="V1769">
        <v>16.25</v>
      </c>
      <c r="W1769">
        <v>18821</v>
      </c>
      <c r="X1769">
        <v>30520</v>
      </c>
      <c r="Y1769">
        <v>0.62</v>
      </c>
      <c r="Z1769">
        <v>8</v>
      </c>
      <c r="AA1769">
        <v>611</v>
      </c>
      <c r="AB1769" t="s">
        <v>32</v>
      </c>
      <c r="AC1769">
        <v>1.56</v>
      </c>
    </row>
    <row r="1770" spans="1:29">
      <c r="A1770" t="str">
        <f>"300401"</f>
        <v>300401</v>
      </c>
      <c r="B1770" t="s">
        <v>1939</v>
      </c>
      <c r="C1770">
        <v>3.51</v>
      </c>
      <c r="D1770">
        <v>18.85</v>
      </c>
      <c r="E1770">
        <v>0.64</v>
      </c>
      <c r="F1770">
        <v>18.84</v>
      </c>
      <c r="G1770">
        <v>18.85</v>
      </c>
      <c r="H1770">
        <v>92949</v>
      </c>
      <c r="I1770">
        <v>1353</v>
      </c>
      <c r="J1770">
        <v>0.16</v>
      </c>
      <c r="K1770">
        <v>2.16</v>
      </c>
      <c r="L1770">
        <v>18.23</v>
      </c>
      <c r="M1770">
        <v>18.92</v>
      </c>
      <c r="N1770">
        <v>18.1</v>
      </c>
      <c r="O1770">
        <v>18.21</v>
      </c>
      <c r="P1770">
        <v>18.53</v>
      </c>
      <c r="Q1770">
        <v>172758656</v>
      </c>
      <c r="R1770">
        <v>1.3</v>
      </c>
      <c r="S1770" t="s">
        <v>213</v>
      </c>
      <c r="T1770" t="s">
        <v>149</v>
      </c>
      <c r="U1770">
        <v>4.5</v>
      </c>
      <c r="V1770">
        <v>18.59</v>
      </c>
      <c r="W1770">
        <v>42883</v>
      </c>
      <c r="X1770">
        <v>50066</v>
      </c>
      <c r="Y1770">
        <v>0.86</v>
      </c>
      <c r="Z1770">
        <v>27</v>
      </c>
      <c r="AA1770">
        <v>66</v>
      </c>
      <c r="AB1770" t="s">
        <v>32</v>
      </c>
      <c r="AC1770">
        <v>4.3</v>
      </c>
    </row>
    <row r="1771" spans="1:29">
      <c r="A1771" t="str">
        <f>"300402"</f>
        <v>300402</v>
      </c>
      <c r="B1771" t="s">
        <v>1940</v>
      </c>
      <c r="C1771">
        <v>2.69</v>
      </c>
      <c r="D1771">
        <v>9.53</v>
      </c>
      <c r="E1771">
        <v>0.25</v>
      </c>
      <c r="F1771">
        <v>9.53</v>
      </c>
      <c r="G1771">
        <v>9.56</v>
      </c>
      <c r="H1771">
        <v>25752</v>
      </c>
      <c r="I1771">
        <v>348</v>
      </c>
      <c r="J1771">
        <v>-0.41</v>
      </c>
      <c r="K1771">
        <v>2.98</v>
      </c>
      <c r="L1771">
        <v>9.2</v>
      </c>
      <c r="M1771">
        <v>9.6</v>
      </c>
      <c r="N1771">
        <v>9.2</v>
      </c>
      <c r="O1771">
        <v>9.28</v>
      </c>
      <c r="P1771" t="s">
        <v>32</v>
      </c>
      <c r="Q1771">
        <v>24416286</v>
      </c>
      <c r="R1771">
        <v>2.98</v>
      </c>
      <c r="S1771" t="s">
        <v>171</v>
      </c>
      <c r="T1771" t="s">
        <v>87</v>
      </c>
      <c r="U1771">
        <v>4.31</v>
      </c>
      <c r="V1771">
        <v>9.48</v>
      </c>
      <c r="W1771">
        <v>7390</v>
      </c>
      <c r="X1771">
        <v>18362</v>
      </c>
      <c r="Y1771">
        <v>0.4</v>
      </c>
      <c r="Z1771">
        <v>184</v>
      </c>
      <c r="AA1771">
        <v>10</v>
      </c>
      <c r="AB1771" t="s">
        <v>32</v>
      </c>
      <c r="AC1771">
        <v>0.86</v>
      </c>
    </row>
    <row r="1772" spans="1:29">
      <c r="A1772" t="str">
        <f>"300403"</f>
        <v>300403</v>
      </c>
      <c r="B1772" t="s">
        <v>1941</v>
      </c>
      <c r="C1772">
        <v>0.31</v>
      </c>
      <c r="D1772">
        <v>6.45</v>
      </c>
      <c r="E1772">
        <v>0.02</v>
      </c>
      <c r="F1772">
        <v>6.44</v>
      </c>
      <c r="G1772">
        <v>6.45</v>
      </c>
      <c r="H1772">
        <v>27430</v>
      </c>
      <c r="I1772">
        <v>435</v>
      </c>
      <c r="J1772">
        <v>0.16</v>
      </c>
      <c r="K1772">
        <v>0.72</v>
      </c>
      <c r="L1772">
        <v>6.43</v>
      </c>
      <c r="M1772">
        <v>6.5</v>
      </c>
      <c r="N1772">
        <v>6.36</v>
      </c>
      <c r="O1772">
        <v>6.43</v>
      </c>
      <c r="P1772">
        <v>40</v>
      </c>
      <c r="Q1772">
        <v>17638740</v>
      </c>
      <c r="R1772">
        <v>0.92</v>
      </c>
      <c r="S1772" t="s">
        <v>55</v>
      </c>
      <c r="T1772" t="s">
        <v>136</v>
      </c>
      <c r="U1772">
        <v>2.18</v>
      </c>
      <c r="V1772">
        <v>6.43</v>
      </c>
      <c r="W1772">
        <v>14323</v>
      </c>
      <c r="X1772">
        <v>13107</v>
      </c>
      <c r="Y1772">
        <v>1.09</v>
      </c>
      <c r="Z1772">
        <v>145</v>
      </c>
      <c r="AA1772">
        <v>496</v>
      </c>
      <c r="AB1772" t="s">
        <v>32</v>
      </c>
      <c r="AC1772">
        <v>3.81</v>
      </c>
    </row>
    <row r="1773" spans="1:29">
      <c r="A1773" t="str">
        <f>"300404"</f>
        <v>300404</v>
      </c>
      <c r="B1773" t="s">
        <v>1942</v>
      </c>
      <c r="C1773">
        <v>0.82</v>
      </c>
      <c r="D1773">
        <v>17.19</v>
      </c>
      <c r="E1773">
        <v>0.14</v>
      </c>
      <c r="F1773">
        <v>17.19</v>
      </c>
      <c r="G1773">
        <v>17.2</v>
      </c>
      <c r="H1773">
        <v>24367</v>
      </c>
      <c r="I1773">
        <v>218</v>
      </c>
      <c r="J1773">
        <v>-0.05</v>
      </c>
      <c r="K1773">
        <v>2.88</v>
      </c>
      <c r="L1773">
        <v>16.95</v>
      </c>
      <c r="M1773">
        <v>17.4</v>
      </c>
      <c r="N1773">
        <v>16.78</v>
      </c>
      <c r="O1773">
        <v>17.05</v>
      </c>
      <c r="P1773">
        <v>113.47</v>
      </c>
      <c r="Q1773">
        <v>41801100</v>
      </c>
      <c r="R1773">
        <v>1.07</v>
      </c>
      <c r="S1773" t="s">
        <v>138</v>
      </c>
      <c r="T1773" t="s">
        <v>136</v>
      </c>
      <c r="U1773">
        <v>3.64</v>
      </c>
      <c r="V1773">
        <v>17.15</v>
      </c>
      <c r="W1773">
        <v>15365</v>
      </c>
      <c r="X1773">
        <v>9002</v>
      </c>
      <c r="Y1773">
        <v>1.71</v>
      </c>
      <c r="Z1773">
        <v>188</v>
      </c>
      <c r="AA1773">
        <v>813</v>
      </c>
      <c r="AB1773" t="s">
        <v>32</v>
      </c>
      <c r="AC1773">
        <v>0.85</v>
      </c>
    </row>
    <row r="1774" spans="1:29">
      <c r="A1774" t="str">
        <f>"300405"</f>
        <v>300405</v>
      </c>
      <c r="B1774" t="s">
        <v>1943</v>
      </c>
      <c r="C1774">
        <v>1.61</v>
      </c>
      <c r="D1774">
        <v>8.85</v>
      </c>
      <c r="E1774">
        <v>0.14</v>
      </c>
      <c r="F1774">
        <v>8.84</v>
      </c>
      <c r="G1774">
        <v>8.85</v>
      </c>
      <c r="H1774">
        <v>14681</v>
      </c>
      <c r="I1774">
        <v>279</v>
      </c>
      <c r="J1774">
        <v>0.45</v>
      </c>
      <c r="K1774">
        <v>1.11</v>
      </c>
      <c r="L1774">
        <v>8.74</v>
      </c>
      <c r="M1774">
        <v>8.93</v>
      </c>
      <c r="N1774">
        <v>8.71</v>
      </c>
      <c r="O1774">
        <v>8.71</v>
      </c>
      <c r="P1774">
        <v>154.06</v>
      </c>
      <c r="Q1774">
        <v>12974018</v>
      </c>
      <c r="R1774">
        <v>1.22</v>
      </c>
      <c r="S1774" t="s">
        <v>218</v>
      </c>
      <c r="T1774" t="s">
        <v>111</v>
      </c>
      <c r="U1774">
        <v>2.53</v>
      </c>
      <c r="V1774">
        <v>8.84</v>
      </c>
      <c r="W1774">
        <v>6270</v>
      </c>
      <c r="X1774">
        <v>8411</v>
      </c>
      <c r="Y1774">
        <v>0.75</v>
      </c>
      <c r="Z1774">
        <v>37</v>
      </c>
      <c r="AA1774">
        <v>62</v>
      </c>
      <c r="AB1774" t="s">
        <v>32</v>
      </c>
      <c r="AC1774">
        <v>1.33</v>
      </c>
    </row>
    <row r="1775" spans="1:29">
      <c r="A1775" t="str">
        <f>"300406"</f>
        <v>300406</v>
      </c>
      <c r="B1775" t="s">
        <v>1944</v>
      </c>
      <c r="C1775">
        <v>1.84</v>
      </c>
      <c r="D1775">
        <v>13.25</v>
      </c>
      <c r="E1775">
        <v>0.24</v>
      </c>
      <c r="F1775">
        <v>13.24</v>
      </c>
      <c r="G1775">
        <v>13.25</v>
      </c>
      <c r="H1775">
        <v>35537</v>
      </c>
      <c r="I1775">
        <v>163</v>
      </c>
      <c r="J1775">
        <v>0.3</v>
      </c>
      <c r="K1775">
        <v>1.08</v>
      </c>
      <c r="L1775">
        <v>12.97</v>
      </c>
      <c r="M1775">
        <v>13.27</v>
      </c>
      <c r="N1775">
        <v>12.95</v>
      </c>
      <c r="O1775">
        <v>13.01</v>
      </c>
      <c r="P1775">
        <v>28.71</v>
      </c>
      <c r="Q1775">
        <v>46761244</v>
      </c>
      <c r="R1775">
        <v>1.5</v>
      </c>
      <c r="S1775" t="s">
        <v>36</v>
      </c>
      <c r="T1775" t="s">
        <v>45</v>
      </c>
      <c r="U1775">
        <v>2.46</v>
      </c>
      <c r="V1775">
        <v>13.16</v>
      </c>
      <c r="W1775">
        <v>19981</v>
      </c>
      <c r="X1775">
        <v>15556</v>
      </c>
      <c r="Y1775">
        <v>1.28</v>
      </c>
      <c r="Z1775">
        <v>114</v>
      </c>
      <c r="AA1775">
        <v>69</v>
      </c>
      <c r="AB1775" t="s">
        <v>32</v>
      </c>
      <c r="AC1775">
        <v>3.3</v>
      </c>
    </row>
    <row r="1776" spans="1:29">
      <c r="A1776" t="str">
        <f>"300407"</f>
        <v>300407</v>
      </c>
      <c r="B1776" t="s">
        <v>1945</v>
      </c>
      <c r="C1776">
        <v>4.17</v>
      </c>
      <c r="D1776">
        <v>7.99</v>
      </c>
      <c r="E1776">
        <v>0.32</v>
      </c>
      <c r="F1776">
        <v>7.99</v>
      </c>
      <c r="G1776">
        <v>8</v>
      </c>
      <c r="H1776">
        <v>88798</v>
      </c>
      <c r="I1776">
        <v>569</v>
      </c>
      <c r="J1776">
        <v>0</v>
      </c>
      <c r="K1776">
        <v>5.35</v>
      </c>
      <c r="L1776">
        <v>7.61</v>
      </c>
      <c r="M1776">
        <v>8.44</v>
      </c>
      <c r="N1776">
        <v>7.58</v>
      </c>
      <c r="O1776">
        <v>7.67</v>
      </c>
      <c r="P1776" t="s">
        <v>32</v>
      </c>
      <c r="Q1776">
        <v>72316848</v>
      </c>
      <c r="R1776">
        <v>1.46</v>
      </c>
      <c r="S1776" t="s">
        <v>104</v>
      </c>
      <c r="T1776" t="s">
        <v>248</v>
      </c>
      <c r="U1776">
        <v>11.21</v>
      </c>
      <c r="V1776">
        <v>8.14</v>
      </c>
      <c r="W1776">
        <v>50916</v>
      </c>
      <c r="X1776">
        <v>37882</v>
      </c>
      <c r="Y1776">
        <v>1.34</v>
      </c>
      <c r="Z1776">
        <v>817</v>
      </c>
      <c r="AA1776">
        <v>147</v>
      </c>
      <c r="AB1776" t="s">
        <v>32</v>
      </c>
      <c r="AC1776">
        <v>1.66</v>
      </c>
    </row>
    <row r="1777" spans="1:29">
      <c r="A1777" t="str">
        <f>"300408"</f>
        <v>300408</v>
      </c>
      <c r="B1777" t="s">
        <v>1946</v>
      </c>
      <c r="C1777">
        <v>-6.18</v>
      </c>
      <c r="D1777">
        <v>25.36</v>
      </c>
      <c r="E1777">
        <v>-1.67</v>
      </c>
      <c r="F1777">
        <v>25.35</v>
      </c>
      <c r="G1777">
        <v>25.36</v>
      </c>
      <c r="H1777">
        <v>317268</v>
      </c>
      <c r="I1777">
        <v>3055</v>
      </c>
      <c r="J1777">
        <v>0.44</v>
      </c>
      <c r="K1777">
        <v>1.93</v>
      </c>
      <c r="L1777">
        <v>27.11</v>
      </c>
      <c r="M1777">
        <v>27.19</v>
      </c>
      <c r="N1777">
        <v>24.7</v>
      </c>
      <c r="O1777">
        <v>27.03</v>
      </c>
      <c r="P1777">
        <v>43.87</v>
      </c>
      <c r="Q1777">
        <v>819030080</v>
      </c>
      <c r="R1777">
        <v>1.99</v>
      </c>
      <c r="S1777" t="s">
        <v>63</v>
      </c>
      <c r="T1777" t="s">
        <v>136</v>
      </c>
      <c r="U1777">
        <v>9.21</v>
      </c>
      <c r="V1777">
        <v>25.82</v>
      </c>
      <c r="W1777">
        <v>184995</v>
      </c>
      <c r="X1777">
        <v>132272</v>
      </c>
      <c r="Y1777">
        <v>1.4</v>
      </c>
      <c r="Z1777">
        <v>10</v>
      </c>
      <c r="AA1777">
        <v>1702</v>
      </c>
      <c r="AB1777" t="s">
        <v>32</v>
      </c>
      <c r="AC1777">
        <v>16.42</v>
      </c>
    </row>
    <row r="1778" spans="1:29">
      <c r="A1778" t="str">
        <f>"300409"</f>
        <v>300409</v>
      </c>
      <c r="B1778" t="s">
        <v>1947</v>
      </c>
      <c r="C1778">
        <v>-0.65</v>
      </c>
      <c r="D1778">
        <v>24.51</v>
      </c>
      <c r="E1778">
        <v>-0.16</v>
      </c>
      <c r="F1778">
        <v>24.51</v>
      </c>
      <c r="G1778">
        <v>24.52</v>
      </c>
      <c r="H1778">
        <v>78483</v>
      </c>
      <c r="I1778">
        <v>940</v>
      </c>
      <c r="J1778">
        <v>0.16</v>
      </c>
      <c r="K1778">
        <v>3.23</v>
      </c>
      <c r="L1778">
        <v>24.5</v>
      </c>
      <c r="M1778">
        <v>24.7</v>
      </c>
      <c r="N1778">
        <v>24.08</v>
      </c>
      <c r="O1778">
        <v>24.67</v>
      </c>
      <c r="P1778">
        <v>36.44</v>
      </c>
      <c r="Q1778">
        <v>191413280</v>
      </c>
      <c r="R1778">
        <v>0.6</v>
      </c>
      <c r="S1778" t="s">
        <v>1630</v>
      </c>
      <c r="T1778" t="s">
        <v>136</v>
      </c>
      <c r="U1778">
        <v>2.51</v>
      </c>
      <c r="V1778">
        <v>24.39</v>
      </c>
      <c r="W1778">
        <v>43730</v>
      </c>
      <c r="X1778">
        <v>34753</v>
      </c>
      <c r="Y1778">
        <v>1.26</v>
      </c>
      <c r="Z1778">
        <v>106</v>
      </c>
      <c r="AA1778">
        <v>38</v>
      </c>
      <c r="AB1778" t="s">
        <v>32</v>
      </c>
      <c r="AC1778">
        <v>2.43</v>
      </c>
    </row>
    <row r="1779" spans="1:29">
      <c r="A1779" t="str">
        <f>"300410"</f>
        <v>300410</v>
      </c>
      <c r="B1779" t="s">
        <v>1948</v>
      </c>
      <c r="C1779">
        <v>2.18</v>
      </c>
      <c r="D1779">
        <v>23.46</v>
      </c>
      <c r="E1779">
        <v>0.5</v>
      </c>
      <c r="F1779">
        <v>23.46</v>
      </c>
      <c r="G1779">
        <v>23.47</v>
      </c>
      <c r="H1779">
        <v>17416</v>
      </c>
      <c r="I1779">
        <v>161</v>
      </c>
      <c r="J1779">
        <v>0</v>
      </c>
      <c r="K1779">
        <v>0.95</v>
      </c>
      <c r="L1779">
        <v>22.86</v>
      </c>
      <c r="M1779">
        <v>23.66</v>
      </c>
      <c r="N1779">
        <v>22.65</v>
      </c>
      <c r="O1779">
        <v>22.96</v>
      </c>
      <c r="P1779">
        <v>38.33</v>
      </c>
      <c r="Q1779">
        <v>40669844</v>
      </c>
      <c r="R1779">
        <v>0.65</v>
      </c>
      <c r="S1779" t="s">
        <v>606</v>
      </c>
      <c r="T1779" t="s">
        <v>136</v>
      </c>
      <c r="U1779">
        <v>4.4</v>
      </c>
      <c r="V1779">
        <v>23.35</v>
      </c>
      <c r="W1779">
        <v>8420</v>
      </c>
      <c r="X1779">
        <v>8995</v>
      </c>
      <c r="Y1779">
        <v>0.94</v>
      </c>
      <c r="Z1779">
        <v>337</v>
      </c>
      <c r="AA1779">
        <v>61</v>
      </c>
      <c r="AB1779" t="s">
        <v>32</v>
      </c>
      <c r="AC1779">
        <v>1.84</v>
      </c>
    </row>
    <row r="1780" spans="1:29">
      <c r="A1780" t="str">
        <f>"300411"</f>
        <v>300411</v>
      </c>
      <c r="B1780" t="s">
        <v>1949</v>
      </c>
      <c r="C1780">
        <v>-0.62</v>
      </c>
      <c r="D1780">
        <v>9.68</v>
      </c>
      <c r="E1780">
        <v>-0.06</v>
      </c>
      <c r="F1780">
        <v>9.67</v>
      </c>
      <c r="G1780">
        <v>9.68</v>
      </c>
      <c r="H1780">
        <v>81231</v>
      </c>
      <c r="I1780">
        <v>1575</v>
      </c>
      <c r="J1780">
        <v>0.1</v>
      </c>
      <c r="K1780">
        <v>6.22</v>
      </c>
      <c r="L1780">
        <v>9.66</v>
      </c>
      <c r="M1780">
        <v>9.77</v>
      </c>
      <c r="N1780">
        <v>9.46</v>
      </c>
      <c r="O1780">
        <v>9.74</v>
      </c>
      <c r="P1780">
        <v>75.99</v>
      </c>
      <c r="Q1780">
        <v>77994464</v>
      </c>
      <c r="R1780">
        <v>1.07</v>
      </c>
      <c r="S1780" t="s">
        <v>171</v>
      </c>
      <c r="T1780" t="s">
        <v>149</v>
      </c>
      <c r="U1780">
        <v>3.18</v>
      </c>
      <c r="V1780">
        <v>9.6</v>
      </c>
      <c r="W1780">
        <v>45193</v>
      </c>
      <c r="X1780">
        <v>36037</v>
      </c>
      <c r="Y1780">
        <v>1.25</v>
      </c>
      <c r="Z1780">
        <v>611</v>
      </c>
      <c r="AA1780">
        <v>1</v>
      </c>
      <c r="AB1780" t="s">
        <v>32</v>
      </c>
      <c r="AC1780">
        <v>1.31</v>
      </c>
    </row>
    <row r="1781" spans="1:29">
      <c r="A1781" t="str">
        <f>"300412"</f>
        <v>300412</v>
      </c>
      <c r="B1781" t="s">
        <v>1950</v>
      </c>
      <c r="C1781">
        <v>0.59</v>
      </c>
      <c r="D1781">
        <v>10.15</v>
      </c>
      <c r="E1781">
        <v>0.06</v>
      </c>
      <c r="F1781">
        <v>10.15</v>
      </c>
      <c r="G1781">
        <v>10.16</v>
      </c>
      <c r="H1781">
        <v>61151</v>
      </c>
      <c r="I1781">
        <v>985</v>
      </c>
      <c r="J1781">
        <v>-0.19</v>
      </c>
      <c r="K1781">
        <v>2.77</v>
      </c>
      <c r="L1781">
        <v>10</v>
      </c>
      <c r="M1781">
        <v>10.58</v>
      </c>
      <c r="N1781">
        <v>9.94</v>
      </c>
      <c r="O1781">
        <v>10.09</v>
      </c>
      <c r="P1781">
        <v>237.06</v>
      </c>
      <c r="Q1781">
        <v>62746308</v>
      </c>
      <c r="R1781">
        <v>1.11</v>
      </c>
      <c r="S1781" t="s">
        <v>138</v>
      </c>
      <c r="T1781" t="s">
        <v>149</v>
      </c>
      <c r="U1781">
        <v>6.34</v>
      </c>
      <c r="V1781">
        <v>10.26</v>
      </c>
      <c r="W1781">
        <v>32149</v>
      </c>
      <c r="X1781">
        <v>29001</v>
      </c>
      <c r="Y1781">
        <v>1.11</v>
      </c>
      <c r="Z1781">
        <v>171</v>
      </c>
      <c r="AA1781">
        <v>380</v>
      </c>
      <c r="AB1781" t="s">
        <v>32</v>
      </c>
      <c r="AC1781">
        <v>2.21</v>
      </c>
    </row>
    <row r="1782" spans="1:29">
      <c r="A1782" t="str">
        <f>"300413"</f>
        <v>300413</v>
      </c>
      <c r="B1782" t="s">
        <v>1951</v>
      </c>
      <c r="C1782">
        <v>-3.32</v>
      </c>
      <c r="D1782">
        <v>43.09</v>
      </c>
      <c r="E1782">
        <v>-1.48</v>
      </c>
      <c r="F1782">
        <v>43.08</v>
      </c>
      <c r="G1782">
        <v>43.09</v>
      </c>
      <c r="H1782">
        <v>85571</v>
      </c>
      <c r="I1782">
        <v>721</v>
      </c>
      <c r="J1782">
        <v>0</v>
      </c>
      <c r="K1782">
        <v>4.16</v>
      </c>
      <c r="L1782">
        <v>44.37</v>
      </c>
      <c r="M1782">
        <v>44.37</v>
      </c>
      <c r="N1782">
        <v>41.36</v>
      </c>
      <c r="O1782">
        <v>44.57</v>
      </c>
      <c r="P1782">
        <v>803.54</v>
      </c>
      <c r="Q1782">
        <v>364449984</v>
      </c>
      <c r="R1782">
        <v>2.58</v>
      </c>
      <c r="S1782" t="s">
        <v>186</v>
      </c>
      <c r="T1782" t="s">
        <v>152</v>
      </c>
      <c r="U1782">
        <v>6.75</v>
      </c>
      <c r="V1782">
        <v>42.59</v>
      </c>
      <c r="W1782">
        <v>48517</v>
      </c>
      <c r="X1782">
        <v>37053</v>
      </c>
      <c r="Y1782">
        <v>1.31</v>
      </c>
      <c r="Z1782">
        <v>5</v>
      </c>
      <c r="AA1782">
        <v>3</v>
      </c>
      <c r="AB1782" t="s">
        <v>32</v>
      </c>
      <c r="AC1782">
        <v>2.06</v>
      </c>
    </row>
    <row r="1783" spans="1:29">
      <c r="A1783" t="str">
        <f>"300414"</f>
        <v>300414</v>
      </c>
      <c r="B1783" t="s">
        <v>1952</v>
      </c>
      <c r="C1783">
        <v>0.11</v>
      </c>
      <c r="D1783">
        <v>17.73</v>
      </c>
      <c r="E1783">
        <v>0.02</v>
      </c>
      <c r="F1783">
        <v>17.73</v>
      </c>
      <c r="G1783">
        <v>17.74</v>
      </c>
      <c r="H1783">
        <v>6303</v>
      </c>
      <c r="I1783">
        <v>34</v>
      </c>
      <c r="J1783">
        <v>0.17</v>
      </c>
      <c r="K1783">
        <v>0.4</v>
      </c>
      <c r="L1783">
        <v>17.5</v>
      </c>
      <c r="M1783">
        <v>17.81</v>
      </c>
      <c r="N1783">
        <v>17.5</v>
      </c>
      <c r="O1783">
        <v>17.71</v>
      </c>
      <c r="P1783">
        <v>69.17</v>
      </c>
      <c r="Q1783">
        <v>11151555</v>
      </c>
      <c r="R1783">
        <v>1.19</v>
      </c>
      <c r="S1783" t="s">
        <v>63</v>
      </c>
      <c r="T1783" t="s">
        <v>146</v>
      </c>
      <c r="U1783">
        <v>1.75</v>
      </c>
      <c r="V1783">
        <v>17.69</v>
      </c>
      <c r="W1783">
        <v>3250</v>
      </c>
      <c r="X1783">
        <v>3053</v>
      </c>
      <c r="Y1783">
        <v>1.06</v>
      </c>
      <c r="Z1783">
        <v>28</v>
      </c>
      <c r="AA1783">
        <v>147</v>
      </c>
      <c r="AB1783" t="s">
        <v>32</v>
      </c>
      <c r="AC1783">
        <v>1.57</v>
      </c>
    </row>
    <row r="1784" spans="1:29">
      <c r="A1784" t="str">
        <f>"300415"</f>
        <v>300415</v>
      </c>
      <c r="B1784" t="s">
        <v>1953</v>
      </c>
      <c r="C1784">
        <v>4.23</v>
      </c>
      <c r="D1784">
        <v>8.63</v>
      </c>
      <c r="E1784">
        <v>0.35</v>
      </c>
      <c r="F1784">
        <v>8.62</v>
      </c>
      <c r="G1784">
        <v>8.63</v>
      </c>
      <c r="H1784">
        <v>83530</v>
      </c>
      <c r="I1784">
        <v>1330</v>
      </c>
      <c r="J1784">
        <v>0.12</v>
      </c>
      <c r="K1784">
        <v>2.78</v>
      </c>
      <c r="L1784">
        <v>8.26</v>
      </c>
      <c r="M1784">
        <v>9.1</v>
      </c>
      <c r="N1784">
        <v>8.2</v>
      </c>
      <c r="O1784">
        <v>8.28</v>
      </c>
      <c r="P1784">
        <v>18.91</v>
      </c>
      <c r="Q1784">
        <v>72192456</v>
      </c>
      <c r="R1784">
        <v>3.08</v>
      </c>
      <c r="S1784" t="s">
        <v>171</v>
      </c>
      <c r="T1784" t="s">
        <v>136</v>
      </c>
      <c r="U1784">
        <v>10.87</v>
      </c>
      <c r="V1784">
        <v>8.64</v>
      </c>
      <c r="W1784">
        <v>41654</v>
      </c>
      <c r="X1784">
        <v>41875</v>
      </c>
      <c r="Y1784">
        <v>0.99</v>
      </c>
      <c r="Z1784">
        <v>35</v>
      </c>
      <c r="AA1784">
        <v>253</v>
      </c>
      <c r="AB1784" t="s">
        <v>32</v>
      </c>
      <c r="AC1784">
        <v>3.01</v>
      </c>
    </row>
    <row r="1785" spans="1:29">
      <c r="A1785" t="str">
        <f>"300416"</f>
        <v>300416</v>
      </c>
      <c r="B1785" t="s">
        <v>1954</v>
      </c>
      <c r="C1785">
        <v>1.15</v>
      </c>
      <c r="D1785">
        <v>22.05</v>
      </c>
      <c r="E1785">
        <v>0.25</v>
      </c>
      <c r="F1785">
        <v>22.03</v>
      </c>
      <c r="G1785">
        <v>22.05</v>
      </c>
      <c r="H1785">
        <v>7400</v>
      </c>
      <c r="I1785">
        <v>53</v>
      </c>
      <c r="J1785">
        <v>-0.22</v>
      </c>
      <c r="K1785">
        <v>0.97</v>
      </c>
      <c r="L1785">
        <v>22.08</v>
      </c>
      <c r="M1785">
        <v>22.28</v>
      </c>
      <c r="N1785">
        <v>21.66</v>
      </c>
      <c r="O1785">
        <v>21.8</v>
      </c>
      <c r="P1785">
        <v>301.97</v>
      </c>
      <c r="Q1785">
        <v>16267303</v>
      </c>
      <c r="R1785">
        <v>1.28</v>
      </c>
      <c r="S1785" t="s">
        <v>606</v>
      </c>
      <c r="T1785" t="s">
        <v>87</v>
      </c>
      <c r="U1785">
        <v>2.84</v>
      </c>
      <c r="V1785">
        <v>21.98</v>
      </c>
      <c r="W1785">
        <v>4303</v>
      </c>
      <c r="X1785">
        <v>3097</v>
      </c>
      <c r="Y1785">
        <v>1.39</v>
      </c>
      <c r="Z1785">
        <v>24</v>
      </c>
      <c r="AA1785">
        <v>1</v>
      </c>
      <c r="AB1785" t="s">
        <v>32</v>
      </c>
      <c r="AC1785">
        <v>0.77</v>
      </c>
    </row>
    <row r="1786" spans="1:29">
      <c r="A1786" t="str">
        <f>"300417"</f>
        <v>300417</v>
      </c>
      <c r="B1786" t="s">
        <v>1955</v>
      </c>
      <c r="C1786">
        <v>0.57</v>
      </c>
      <c r="D1786">
        <v>19.41</v>
      </c>
      <c r="E1786">
        <v>0.11</v>
      </c>
      <c r="F1786">
        <v>19.41</v>
      </c>
      <c r="G1786">
        <v>19.42</v>
      </c>
      <c r="H1786">
        <v>7224</v>
      </c>
      <c r="I1786">
        <v>232</v>
      </c>
      <c r="J1786">
        <v>0.1</v>
      </c>
      <c r="K1786">
        <v>2.52</v>
      </c>
      <c r="L1786">
        <v>19.4</v>
      </c>
      <c r="M1786">
        <v>19.58</v>
      </c>
      <c r="N1786">
        <v>19.23</v>
      </c>
      <c r="O1786">
        <v>19.3</v>
      </c>
      <c r="P1786">
        <v>67.09</v>
      </c>
      <c r="Q1786">
        <v>13990350</v>
      </c>
      <c r="R1786">
        <v>1.25</v>
      </c>
      <c r="S1786" t="s">
        <v>606</v>
      </c>
      <c r="T1786" t="s">
        <v>136</v>
      </c>
      <c r="U1786">
        <v>1.81</v>
      </c>
      <c r="V1786">
        <v>19.37</v>
      </c>
      <c r="W1786">
        <v>4036</v>
      </c>
      <c r="X1786">
        <v>3187</v>
      </c>
      <c r="Y1786">
        <v>1.27</v>
      </c>
      <c r="Z1786">
        <v>98</v>
      </c>
      <c r="AA1786">
        <v>116</v>
      </c>
      <c r="AB1786" t="s">
        <v>32</v>
      </c>
      <c r="AC1786">
        <v>0.29</v>
      </c>
    </row>
    <row r="1787" spans="1:29">
      <c r="A1787" t="str">
        <f>"300418"</f>
        <v>300418</v>
      </c>
      <c r="B1787" t="s">
        <v>1956</v>
      </c>
      <c r="C1787">
        <v>0.67</v>
      </c>
      <c r="D1787">
        <v>19.41</v>
      </c>
      <c r="E1787">
        <v>0.13</v>
      </c>
      <c r="F1787">
        <v>19.41</v>
      </c>
      <c r="G1787">
        <v>19.42</v>
      </c>
      <c r="H1787">
        <v>104671</v>
      </c>
      <c r="I1787">
        <v>736</v>
      </c>
      <c r="J1787">
        <v>-0.04</v>
      </c>
      <c r="K1787">
        <v>1.7</v>
      </c>
      <c r="L1787">
        <v>19.29</v>
      </c>
      <c r="M1787">
        <v>19.6</v>
      </c>
      <c r="N1787">
        <v>19.02</v>
      </c>
      <c r="O1787">
        <v>19.28</v>
      </c>
      <c r="P1787">
        <v>28.21</v>
      </c>
      <c r="Q1787">
        <v>202868368</v>
      </c>
      <c r="R1787">
        <v>1.28</v>
      </c>
      <c r="S1787" t="s">
        <v>316</v>
      </c>
      <c r="T1787" t="s">
        <v>45</v>
      </c>
      <c r="U1787">
        <v>3.01</v>
      </c>
      <c r="V1787">
        <v>19.38</v>
      </c>
      <c r="W1787">
        <v>49031</v>
      </c>
      <c r="X1787">
        <v>55639</v>
      </c>
      <c r="Y1787">
        <v>0.88</v>
      </c>
      <c r="Z1787">
        <v>82</v>
      </c>
      <c r="AA1787">
        <v>264</v>
      </c>
      <c r="AB1787" t="s">
        <v>32</v>
      </c>
      <c r="AC1787">
        <v>6.17</v>
      </c>
    </row>
    <row r="1788" spans="1:29">
      <c r="A1788" t="str">
        <f>"300419"</f>
        <v>300419</v>
      </c>
      <c r="B1788" t="s">
        <v>1957</v>
      </c>
      <c r="C1788">
        <v>-0.3</v>
      </c>
      <c r="D1788">
        <v>6.57</v>
      </c>
      <c r="E1788">
        <v>-0.02</v>
      </c>
      <c r="F1788">
        <v>6.57</v>
      </c>
      <c r="G1788">
        <v>6.58</v>
      </c>
      <c r="H1788">
        <v>108686</v>
      </c>
      <c r="I1788">
        <v>986</v>
      </c>
      <c r="J1788">
        <v>0.15</v>
      </c>
      <c r="K1788">
        <v>4.79</v>
      </c>
      <c r="L1788">
        <v>6.46</v>
      </c>
      <c r="M1788">
        <v>6.62</v>
      </c>
      <c r="N1788">
        <v>6.39</v>
      </c>
      <c r="O1788">
        <v>6.59</v>
      </c>
      <c r="P1788">
        <v>80.9</v>
      </c>
      <c r="Q1788">
        <v>70801232</v>
      </c>
      <c r="R1788">
        <v>1.68</v>
      </c>
      <c r="S1788" t="s">
        <v>270</v>
      </c>
      <c r="T1788" t="s">
        <v>45</v>
      </c>
      <c r="U1788">
        <v>3.49</v>
      </c>
      <c r="V1788">
        <v>6.51</v>
      </c>
      <c r="W1788">
        <v>65417</v>
      </c>
      <c r="X1788">
        <v>43268</v>
      </c>
      <c r="Y1788">
        <v>1.51</v>
      </c>
      <c r="Z1788">
        <v>981</v>
      </c>
      <c r="AA1788">
        <v>617</v>
      </c>
      <c r="AB1788" t="s">
        <v>32</v>
      </c>
      <c r="AC1788">
        <v>2.27</v>
      </c>
    </row>
    <row r="1789" spans="1:29">
      <c r="A1789" t="str">
        <f>"300420"</f>
        <v>300420</v>
      </c>
      <c r="B1789" t="s">
        <v>1958</v>
      </c>
      <c r="C1789">
        <v>3.85</v>
      </c>
      <c r="D1789">
        <v>4.58</v>
      </c>
      <c r="E1789">
        <v>0.17</v>
      </c>
      <c r="F1789">
        <v>4.57</v>
      </c>
      <c r="G1789">
        <v>4.58</v>
      </c>
      <c r="H1789">
        <v>53413</v>
      </c>
      <c r="I1789">
        <v>552</v>
      </c>
      <c r="J1789">
        <v>0</v>
      </c>
      <c r="K1789">
        <v>1.53</v>
      </c>
      <c r="L1789">
        <v>4.4</v>
      </c>
      <c r="M1789">
        <v>4.78</v>
      </c>
      <c r="N1789">
        <v>4.37</v>
      </c>
      <c r="O1789">
        <v>4.41</v>
      </c>
      <c r="P1789">
        <v>72.95</v>
      </c>
      <c r="Q1789">
        <v>24290314</v>
      </c>
      <c r="R1789">
        <v>1.22</v>
      </c>
      <c r="S1789" t="s">
        <v>241</v>
      </c>
      <c r="T1789" t="s">
        <v>87</v>
      </c>
      <c r="U1789">
        <v>9.3</v>
      </c>
      <c r="V1789">
        <v>4.55</v>
      </c>
      <c r="W1789">
        <v>25305</v>
      </c>
      <c r="X1789">
        <v>28108</v>
      </c>
      <c r="Y1789">
        <v>0.9</v>
      </c>
      <c r="Z1789">
        <v>699</v>
      </c>
      <c r="AA1789">
        <v>876</v>
      </c>
      <c r="AB1789" t="s">
        <v>32</v>
      </c>
      <c r="AC1789">
        <v>3.5</v>
      </c>
    </row>
    <row r="1790" spans="1:29">
      <c r="A1790" t="str">
        <f>"300421"</f>
        <v>300421</v>
      </c>
      <c r="B1790" t="s">
        <v>1959</v>
      </c>
      <c r="C1790">
        <v>1.11</v>
      </c>
      <c r="D1790">
        <v>14.52</v>
      </c>
      <c r="E1790">
        <v>0.16</v>
      </c>
      <c r="F1790">
        <v>14.52</v>
      </c>
      <c r="G1790">
        <v>14.54</v>
      </c>
      <c r="H1790">
        <v>8086</v>
      </c>
      <c r="I1790">
        <v>218</v>
      </c>
      <c r="J1790">
        <v>0</v>
      </c>
      <c r="K1790">
        <v>0.67</v>
      </c>
      <c r="L1790">
        <v>14.26</v>
      </c>
      <c r="M1790">
        <v>14.56</v>
      </c>
      <c r="N1790">
        <v>14.25</v>
      </c>
      <c r="O1790">
        <v>14.36</v>
      </c>
      <c r="P1790">
        <v>26.89</v>
      </c>
      <c r="Q1790">
        <v>11674551</v>
      </c>
      <c r="R1790">
        <v>1.46</v>
      </c>
      <c r="S1790" t="s">
        <v>241</v>
      </c>
      <c r="T1790" t="s">
        <v>87</v>
      </c>
      <c r="U1790">
        <v>2.16</v>
      </c>
      <c r="V1790">
        <v>14.44</v>
      </c>
      <c r="W1790">
        <v>4092</v>
      </c>
      <c r="X1790">
        <v>3994</v>
      </c>
      <c r="Y1790">
        <v>1.02</v>
      </c>
      <c r="Z1790">
        <v>8</v>
      </c>
      <c r="AA1790">
        <v>168</v>
      </c>
      <c r="AB1790" t="s">
        <v>32</v>
      </c>
      <c r="AC1790">
        <v>1.21</v>
      </c>
    </row>
    <row r="1791" spans="1:29">
      <c r="A1791" t="str">
        <f>"300422"</f>
        <v>300422</v>
      </c>
      <c r="B1791" t="s">
        <v>1960</v>
      </c>
      <c r="C1791">
        <v>0.54</v>
      </c>
      <c r="D1791">
        <v>14.94</v>
      </c>
      <c r="E1791">
        <v>0.08</v>
      </c>
      <c r="F1791">
        <v>14.93</v>
      </c>
      <c r="G1791">
        <v>14.94</v>
      </c>
      <c r="H1791">
        <v>129881</v>
      </c>
      <c r="I1791">
        <v>1485</v>
      </c>
      <c r="J1791">
        <v>0.13</v>
      </c>
      <c r="K1791">
        <v>4.93</v>
      </c>
      <c r="L1791">
        <v>15.04</v>
      </c>
      <c r="M1791">
        <v>15.6</v>
      </c>
      <c r="N1791">
        <v>14.91</v>
      </c>
      <c r="O1791">
        <v>14.86</v>
      </c>
      <c r="P1791">
        <v>21.94</v>
      </c>
      <c r="Q1791">
        <v>197964576</v>
      </c>
      <c r="R1791">
        <v>1.39</v>
      </c>
      <c r="S1791" t="s">
        <v>86</v>
      </c>
      <c r="T1791" t="s">
        <v>238</v>
      </c>
      <c r="U1791">
        <v>4.64</v>
      </c>
      <c r="V1791">
        <v>15.24</v>
      </c>
      <c r="W1791">
        <v>70213</v>
      </c>
      <c r="X1791">
        <v>59668</v>
      </c>
      <c r="Y1791">
        <v>1.18</v>
      </c>
      <c r="Z1791">
        <v>451</v>
      </c>
      <c r="AA1791">
        <v>455</v>
      </c>
      <c r="AB1791" t="s">
        <v>32</v>
      </c>
      <c r="AC1791">
        <v>2.64</v>
      </c>
    </row>
    <row r="1792" spans="1:29">
      <c r="A1792" t="str">
        <f>"300423"</f>
        <v>300423</v>
      </c>
      <c r="B1792" t="s">
        <v>1961</v>
      </c>
      <c r="C1792">
        <v>1.54</v>
      </c>
      <c r="D1792">
        <v>22.43</v>
      </c>
      <c r="E1792">
        <v>0.34</v>
      </c>
      <c r="F1792">
        <v>22.43</v>
      </c>
      <c r="G1792">
        <v>22.44</v>
      </c>
      <c r="H1792">
        <v>40397</v>
      </c>
      <c r="I1792">
        <v>580</v>
      </c>
      <c r="J1792">
        <v>0.04</v>
      </c>
      <c r="K1792">
        <v>3.76</v>
      </c>
      <c r="L1792">
        <v>22.08</v>
      </c>
      <c r="M1792">
        <v>22.55</v>
      </c>
      <c r="N1792">
        <v>21.43</v>
      </c>
      <c r="O1792">
        <v>22.09</v>
      </c>
      <c r="P1792">
        <v>24.26</v>
      </c>
      <c r="Q1792">
        <v>89743584</v>
      </c>
      <c r="R1792">
        <v>1.24</v>
      </c>
      <c r="S1792" t="s">
        <v>104</v>
      </c>
      <c r="T1792" t="s">
        <v>162</v>
      </c>
      <c r="U1792">
        <v>5.07</v>
      </c>
      <c r="V1792">
        <v>22.22</v>
      </c>
      <c r="W1792">
        <v>17979</v>
      </c>
      <c r="X1792">
        <v>22418</v>
      </c>
      <c r="Y1792">
        <v>0.8</v>
      </c>
      <c r="Z1792">
        <v>105</v>
      </c>
      <c r="AA1792">
        <v>106</v>
      </c>
      <c r="AB1792" t="s">
        <v>32</v>
      </c>
      <c r="AC1792">
        <v>1.07</v>
      </c>
    </row>
    <row r="1793" spans="1:29">
      <c r="A1793" t="str">
        <f>"300424"</f>
        <v>300424</v>
      </c>
      <c r="B1793" t="s">
        <v>1962</v>
      </c>
      <c r="C1793">
        <v>-1.95</v>
      </c>
      <c r="D1793">
        <v>23.65</v>
      </c>
      <c r="E1793">
        <v>-0.47</v>
      </c>
      <c r="F1793">
        <v>23.64</v>
      </c>
      <c r="G1793">
        <v>23.65</v>
      </c>
      <c r="H1793">
        <v>17544</v>
      </c>
      <c r="I1793">
        <v>104</v>
      </c>
      <c r="J1793">
        <v>0.68</v>
      </c>
      <c r="K1793">
        <v>1.12</v>
      </c>
      <c r="L1793">
        <v>24.13</v>
      </c>
      <c r="M1793">
        <v>25.09</v>
      </c>
      <c r="N1793">
        <v>23.43</v>
      </c>
      <c r="O1793">
        <v>24.12</v>
      </c>
      <c r="P1793">
        <v>719.76</v>
      </c>
      <c r="Q1793">
        <v>41740176</v>
      </c>
      <c r="R1793">
        <v>1.11</v>
      </c>
      <c r="S1793" t="s">
        <v>389</v>
      </c>
      <c r="T1793" t="s">
        <v>136</v>
      </c>
      <c r="U1793">
        <v>6.88</v>
      </c>
      <c r="V1793">
        <v>23.79</v>
      </c>
      <c r="W1793">
        <v>11836</v>
      </c>
      <c r="X1793">
        <v>5707</v>
      </c>
      <c r="Y1793">
        <v>2.07</v>
      </c>
      <c r="Z1793">
        <v>27</v>
      </c>
      <c r="AA1793">
        <v>16</v>
      </c>
      <c r="AB1793" t="s">
        <v>32</v>
      </c>
      <c r="AC1793">
        <v>1.57</v>
      </c>
    </row>
    <row r="1794" spans="1:29">
      <c r="A1794" t="str">
        <f>"300425"</f>
        <v>300425</v>
      </c>
      <c r="B1794" t="s">
        <v>1963</v>
      </c>
      <c r="C1794">
        <v>0.38</v>
      </c>
      <c r="D1794">
        <v>5.27</v>
      </c>
      <c r="E1794">
        <v>0.02</v>
      </c>
      <c r="F1794">
        <v>5.26</v>
      </c>
      <c r="G1794">
        <v>5.27</v>
      </c>
      <c r="H1794">
        <v>171111</v>
      </c>
      <c r="I1794">
        <v>3569</v>
      </c>
      <c r="J1794">
        <v>0.19</v>
      </c>
      <c r="K1794">
        <v>2.93</v>
      </c>
      <c r="L1794">
        <v>5.23</v>
      </c>
      <c r="M1794">
        <v>5.3</v>
      </c>
      <c r="N1794">
        <v>5.16</v>
      </c>
      <c r="O1794">
        <v>5.25</v>
      </c>
      <c r="P1794">
        <v>79.41</v>
      </c>
      <c r="Q1794">
        <v>89733800</v>
      </c>
      <c r="R1794">
        <v>0.72</v>
      </c>
      <c r="S1794" t="s">
        <v>86</v>
      </c>
      <c r="T1794" t="s">
        <v>146</v>
      </c>
      <c r="U1794">
        <v>2.67</v>
      </c>
      <c r="V1794">
        <v>5.24</v>
      </c>
      <c r="W1794">
        <v>93685</v>
      </c>
      <c r="X1794">
        <v>77425</v>
      </c>
      <c r="Y1794">
        <v>1.21</v>
      </c>
      <c r="Z1794">
        <v>1892</v>
      </c>
      <c r="AA1794">
        <v>232</v>
      </c>
      <c r="AB1794" t="s">
        <v>32</v>
      </c>
      <c r="AC1794">
        <v>5.84</v>
      </c>
    </row>
    <row r="1795" spans="1:29">
      <c r="A1795" t="str">
        <f>"300426"</f>
        <v>300426</v>
      </c>
      <c r="B1795" t="s">
        <v>1964</v>
      </c>
      <c r="C1795">
        <v>0.8</v>
      </c>
      <c r="D1795">
        <v>12.61</v>
      </c>
      <c r="E1795">
        <v>0.1</v>
      </c>
      <c r="F1795">
        <v>12.6</v>
      </c>
      <c r="G1795">
        <v>12.61</v>
      </c>
      <c r="H1795">
        <v>45578</v>
      </c>
      <c r="I1795">
        <v>840</v>
      </c>
      <c r="J1795">
        <v>0</v>
      </c>
      <c r="K1795">
        <v>1.85</v>
      </c>
      <c r="L1795">
        <v>12.52</v>
      </c>
      <c r="M1795">
        <v>12.69</v>
      </c>
      <c r="N1795">
        <v>12.35</v>
      </c>
      <c r="O1795">
        <v>12.51</v>
      </c>
      <c r="P1795">
        <v>51.63</v>
      </c>
      <c r="Q1795">
        <v>57178912</v>
      </c>
      <c r="R1795">
        <v>0.97</v>
      </c>
      <c r="S1795" t="s">
        <v>148</v>
      </c>
      <c r="T1795" t="s">
        <v>149</v>
      </c>
      <c r="U1795">
        <v>2.72</v>
      </c>
      <c r="V1795">
        <v>12.55</v>
      </c>
      <c r="W1795">
        <v>23329</v>
      </c>
      <c r="X1795">
        <v>22249</v>
      </c>
      <c r="Y1795">
        <v>1.05</v>
      </c>
      <c r="Z1795">
        <v>218</v>
      </c>
      <c r="AA1795">
        <v>79</v>
      </c>
      <c r="AB1795" t="s">
        <v>32</v>
      </c>
      <c r="AC1795">
        <v>2.46</v>
      </c>
    </row>
    <row r="1796" spans="1:29">
      <c r="A1796" t="str">
        <f>"300427"</f>
        <v>300427</v>
      </c>
      <c r="B1796" t="s">
        <v>1965</v>
      </c>
      <c r="C1796">
        <v>0.35</v>
      </c>
      <c r="D1796">
        <v>14.29</v>
      </c>
      <c r="E1796">
        <v>0.05</v>
      </c>
      <c r="F1796">
        <v>14.28</v>
      </c>
      <c r="G1796">
        <v>14.29</v>
      </c>
      <c r="H1796">
        <v>22652</v>
      </c>
      <c r="I1796">
        <v>179</v>
      </c>
      <c r="J1796">
        <v>0.07</v>
      </c>
      <c r="K1796">
        <v>2.03</v>
      </c>
      <c r="L1796">
        <v>14.27</v>
      </c>
      <c r="M1796">
        <v>14.45</v>
      </c>
      <c r="N1796">
        <v>14.13</v>
      </c>
      <c r="O1796">
        <v>14.24</v>
      </c>
      <c r="P1796">
        <v>21.21</v>
      </c>
      <c r="Q1796">
        <v>32340644</v>
      </c>
      <c r="R1796">
        <v>1.43</v>
      </c>
      <c r="S1796" t="s">
        <v>104</v>
      </c>
      <c r="T1796" t="s">
        <v>236</v>
      </c>
      <c r="U1796">
        <v>2.25</v>
      </c>
      <c r="V1796">
        <v>14.28</v>
      </c>
      <c r="W1796">
        <v>10707</v>
      </c>
      <c r="X1796">
        <v>11944</v>
      </c>
      <c r="Y1796">
        <v>0.9</v>
      </c>
      <c r="Z1796">
        <v>39</v>
      </c>
      <c r="AA1796">
        <v>135</v>
      </c>
      <c r="AB1796" t="s">
        <v>32</v>
      </c>
      <c r="AC1796">
        <v>1.11</v>
      </c>
    </row>
    <row r="1797" spans="1:29">
      <c r="A1797" t="str">
        <f>"300428"</f>
        <v>300428</v>
      </c>
      <c r="B1797" t="s">
        <v>1966</v>
      </c>
      <c r="C1797" t="s">
        <v>32</v>
      </c>
      <c r="D1797">
        <v>11.8</v>
      </c>
      <c r="E1797" t="s">
        <v>32</v>
      </c>
      <c r="F1797" t="s">
        <v>32</v>
      </c>
      <c r="G1797" t="s">
        <v>32</v>
      </c>
      <c r="H1797">
        <v>0</v>
      </c>
      <c r="I1797">
        <v>0</v>
      </c>
      <c r="J1797" t="s">
        <v>32</v>
      </c>
      <c r="K1797">
        <v>0</v>
      </c>
      <c r="L1797" t="s">
        <v>32</v>
      </c>
      <c r="M1797" t="s">
        <v>32</v>
      </c>
      <c r="N1797" t="s">
        <v>32</v>
      </c>
      <c r="O1797">
        <v>11.8</v>
      </c>
      <c r="P1797">
        <v>36.89</v>
      </c>
      <c r="Q1797">
        <v>0</v>
      </c>
      <c r="R1797">
        <v>0</v>
      </c>
      <c r="S1797" t="s">
        <v>324</v>
      </c>
      <c r="T1797" t="s">
        <v>154</v>
      </c>
      <c r="U1797">
        <v>0</v>
      </c>
      <c r="V1797">
        <v>11.8</v>
      </c>
      <c r="W1797">
        <v>0</v>
      </c>
      <c r="X1797">
        <v>0</v>
      </c>
      <c r="Y1797" t="s">
        <v>32</v>
      </c>
      <c r="Z1797">
        <v>0</v>
      </c>
      <c r="AA1797">
        <v>0</v>
      </c>
      <c r="AB1797" t="s">
        <v>32</v>
      </c>
      <c r="AC1797">
        <v>1.38</v>
      </c>
    </row>
    <row r="1798" spans="1:29">
      <c r="A1798" t="str">
        <f>"300429"</f>
        <v>300429</v>
      </c>
      <c r="B1798" t="s">
        <v>1967</v>
      </c>
      <c r="C1798">
        <v>0.68</v>
      </c>
      <c r="D1798">
        <v>28.23</v>
      </c>
      <c r="E1798">
        <v>0.19</v>
      </c>
      <c r="F1798">
        <v>28.22</v>
      </c>
      <c r="G1798">
        <v>28.23</v>
      </c>
      <c r="H1798">
        <v>13147</v>
      </c>
      <c r="I1798">
        <v>278</v>
      </c>
      <c r="J1798">
        <v>-0.34</v>
      </c>
      <c r="K1798">
        <v>0.94</v>
      </c>
      <c r="L1798">
        <v>28.18</v>
      </c>
      <c r="M1798">
        <v>28.49</v>
      </c>
      <c r="N1798">
        <v>27.8</v>
      </c>
      <c r="O1798">
        <v>28.04</v>
      </c>
      <c r="P1798">
        <v>52.05</v>
      </c>
      <c r="Q1798">
        <v>37062440</v>
      </c>
      <c r="R1798">
        <v>0.69</v>
      </c>
      <c r="S1798" t="s">
        <v>218</v>
      </c>
      <c r="T1798" t="s">
        <v>87</v>
      </c>
      <c r="U1798">
        <v>2.46</v>
      </c>
      <c r="V1798">
        <v>28.19</v>
      </c>
      <c r="W1798">
        <v>7264</v>
      </c>
      <c r="X1798">
        <v>5883</v>
      </c>
      <c r="Y1798">
        <v>1.23</v>
      </c>
      <c r="Z1798">
        <v>7</v>
      </c>
      <c r="AA1798">
        <v>93</v>
      </c>
      <c r="AB1798" t="s">
        <v>32</v>
      </c>
      <c r="AC1798">
        <v>1.41</v>
      </c>
    </row>
    <row r="1799" spans="1:29">
      <c r="A1799" t="str">
        <f>"300430"</f>
        <v>300430</v>
      </c>
      <c r="B1799" t="s">
        <v>1968</v>
      </c>
      <c r="C1799">
        <v>0.19</v>
      </c>
      <c r="D1799">
        <v>10.63</v>
      </c>
      <c r="E1799">
        <v>0.02</v>
      </c>
      <c r="F1799">
        <v>10.61</v>
      </c>
      <c r="G1799">
        <v>10.63</v>
      </c>
      <c r="H1799">
        <v>17177</v>
      </c>
      <c r="I1799">
        <v>428</v>
      </c>
      <c r="J1799">
        <v>0</v>
      </c>
      <c r="K1799">
        <v>1.11</v>
      </c>
      <c r="L1799">
        <v>10.52</v>
      </c>
      <c r="M1799">
        <v>10.73</v>
      </c>
      <c r="N1799">
        <v>10.47</v>
      </c>
      <c r="O1799">
        <v>10.61</v>
      </c>
      <c r="P1799">
        <v>60.41</v>
      </c>
      <c r="Q1799">
        <v>18254234</v>
      </c>
      <c r="R1799">
        <v>0.99</v>
      </c>
      <c r="S1799" t="s">
        <v>606</v>
      </c>
      <c r="T1799" t="s">
        <v>45</v>
      </c>
      <c r="U1799">
        <v>2.45</v>
      </c>
      <c r="V1799">
        <v>10.63</v>
      </c>
      <c r="W1799">
        <v>10277</v>
      </c>
      <c r="X1799">
        <v>6899</v>
      </c>
      <c r="Y1799">
        <v>1.49</v>
      </c>
      <c r="Z1799">
        <v>163</v>
      </c>
      <c r="AA1799">
        <v>135</v>
      </c>
      <c r="AB1799" t="s">
        <v>32</v>
      </c>
      <c r="AC1799">
        <v>1.55</v>
      </c>
    </row>
    <row r="1800" spans="1:29">
      <c r="A1800" t="str">
        <f>"300431"</f>
        <v>300431</v>
      </c>
      <c r="B1800" t="s">
        <v>1969</v>
      </c>
      <c r="C1800">
        <v>2.45</v>
      </c>
      <c r="D1800">
        <v>13.38</v>
      </c>
      <c r="E1800">
        <v>0.32</v>
      </c>
      <c r="F1800">
        <v>13.38</v>
      </c>
      <c r="G1800">
        <v>13.39</v>
      </c>
      <c r="H1800">
        <v>158849</v>
      </c>
      <c r="I1800">
        <v>1502</v>
      </c>
      <c r="J1800">
        <v>0</v>
      </c>
      <c r="K1800">
        <v>6.36</v>
      </c>
      <c r="L1800">
        <v>13.12</v>
      </c>
      <c r="M1800">
        <v>13.59</v>
      </c>
      <c r="N1800">
        <v>12.92</v>
      </c>
      <c r="O1800">
        <v>13.06</v>
      </c>
      <c r="P1800" t="s">
        <v>32</v>
      </c>
      <c r="Q1800">
        <v>211511936</v>
      </c>
      <c r="R1800">
        <v>1.29</v>
      </c>
      <c r="S1800" t="s">
        <v>316</v>
      </c>
      <c r="T1800" t="s">
        <v>45</v>
      </c>
      <c r="U1800">
        <v>5.13</v>
      </c>
      <c r="V1800">
        <v>13.32</v>
      </c>
      <c r="W1800">
        <v>74610</v>
      </c>
      <c r="X1800">
        <v>84239</v>
      </c>
      <c r="Y1800">
        <v>0.89</v>
      </c>
      <c r="Z1800">
        <v>468</v>
      </c>
      <c r="AA1800">
        <v>84</v>
      </c>
      <c r="AB1800" t="s">
        <v>32</v>
      </c>
      <c r="AC1800">
        <v>2.5</v>
      </c>
    </row>
    <row r="1801" spans="1:29">
      <c r="A1801" t="str">
        <f>"300432"</f>
        <v>300432</v>
      </c>
      <c r="B1801" t="s">
        <v>1970</v>
      </c>
      <c r="C1801">
        <v>4.02</v>
      </c>
      <c r="D1801">
        <v>8.8</v>
      </c>
      <c r="E1801">
        <v>0.34</v>
      </c>
      <c r="F1801">
        <v>8.79</v>
      </c>
      <c r="G1801">
        <v>8.8</v>
      </c>
      <c r="H1801">
        <v>66425</v>
      </c>
      <c r="I1801">
        <v>1365</v>
      </c>
      <c r="J1801">
        <v>0.11</v>
      </c>
      <c r="K1801">
        <v>1.73</v>
      </c>
      <c r="L1801">
        <v>8.55</v>
      </c>
      <c r="M1801">
        <v>8.81</v>
      </c>
      <c r="N1801">
        <v>8.38</v>
      </c>
      <c r="O1801">
        <v>8.46</v>
      </c>
      <c r="P1801">
        <v>43.25</v>
      </c>
      <c r="Q1801">
        <v>57557424</v>
      </c>
      <c r="R1801">
        <v>2.47</v>
      </c>
      <c r="S1801" t="s">
        <v>80</v>
      </c>
      <c r="T1801" t="s">
        <v>146</v>
      </c>
      <c r="U1801">
        <v>5.08</v>
      </c>
      <c r="V1801">
        <v>8.67</v>
      </c>
      <c r="W1801">
        <v>30531</v>
      </c>
      <c r="X1801">
        <v>35893</v>
      </c>
      <c r="Y1801">
        <v>0.85</v>
      </c>
      <c r="Z1801">
        <v>804</v>
      </c>
      <c r="AA1801">
        <v>618</v>
      </c>
      <c r="AB1801" t="s">
        <v>32</v>
      </c>
      <c r="AC1801">
        <v>3.84</v>
      </c>
    </row>
    <row r="1802" spans="1:29">
      <c r="A1802" t="str">
        <f>"300433"</f>
        <v>300433</v>
      </c>
      <c r="B1802" t="s">
        <v>1971</v>
      </c>
      <c r="C1802">
        <v>1.16</v>
      </c>
      <c r="D1802">
        <v>13.9</v>
      </c>
      <c r="E1802">
        <v>0.16</v>
      </c>
      <c r="F1802">
        <v>13.9</v>
      </c>
      <c r="G1802">
        <v>13.91</v>
      </c>
      <c r="H1802">
        <v>156517</v>
      </c>
      <c r="I1802">
        <v>1081</v>
      </c>
      <c r="J1802">
        <v>0</v>
      </c>
      <c r="K1802">
        <v>2.34</v>
      </c>
      <c r="L1802">
        <v>13.81</v>
      </c>
      <c r="M1802">
        <v>14</v>
      </c>
      <c r="N1802">
        <v>13.59</v>
      </c>
      <c r="O1802">
        <v>13.74</v>
      </c>
      <c r="P1802">
        <v>124.62</v>
      </c>
      <c r="Q1802">
        <v>216948976</v>
      </c>
      <c r="R1802">
        <v>1.27</v>
      </c>
      <c r="S1802" t="s">
        <v>63</v>
      </c>
      <c r="T1802" t="s">
        <v>152</v>
      </c>
      <c r="U1802">
        <v>2.98</v>
      </c>
      <c r="V1802">
        <v>13.86</v>
      </c>
      <c r="W1802">
        <v>69982</v>
      </c>
      <c r="X1802">
        <v>86534</v>
      </c>
      <c r="Y1802">
        <v>0.81</v>
      </c>
      <c r="Z1802">
        <v>719</v>
      </c>
      <c r="AA1802">
        <v>1005</v>
      </c>
      <c r="AB1802" t="s">
        <v>32</v>
      </c>
      <c r="AC1802">
        <v>6.7</v>
      </c>
    </row>
    <row r="1803" spans="1:29">
      <c r="A1803" t="str">
        <f>"300434"</f>
        <v>300434</v>
      </c>
      <c r="B1803" t="s">
        <v>1972</v>
      </c>
      <c r="C1803">
        <v>-0.08</v>
      </c>
      <c r="D1803">
        <v>23.68</v>
      </c>
      <c r="E1803">
        <v>-0.02</v>
      </c>
      <c r="F1803">
        <v>23.67</v>
      </c>
      <c r="G1803">
        <v>23.68</v>
      </c>
      <c r="H1803">
        <v>20573</v>
      </c>
      <c r="I1803">
        <v>410</v>
      </c>
      <c r="J1803">
        <v>-0.41</v>
      </c>
      <c r="K1803">
        <v>2.49</v>
      </c>
      <c r="L1803">
        <v>23.55</v>
      </c>
      <c r="M1803">
        <v>24.1</v>
      </c>
      <c r="N1803">
        <v>23.55</v>
      </c>
      <c r="O1803">
        <v>23.7</v>
      </c>
      <c r="P1803">
        <v>27.5</v>
      </c>
      <c r="Q1803">
        <v>48972420</v>
      </c>
      <c r="R1803">
        <v>0.78</v>
      </c>
      <c r="S1803" t="s">
        <v>142</v>
      </c>
      <c r="T1803" t="s">
        <v>146</v>
      </c>
      <c r="U1803">
        <v>2.32</v>
      </c>
      <c r="V1803">
        <v>23.8</v>
      </c>
      <c r="W1803">
        <v>12505</v>
      </c>
      <c r="X1803">
        <v>8068</v>
      </c>
      <c r="Y1803">
        <v>1.55</v>
      </c>
      <c r="Z1803">
        <v>10</v>
      </c>
      <c r="AA1803">
        <v>172</v>
      </c>
      <c r="AB1803" t="s">
        <v>32</v>
      </c>
      <c r="AC1803">
        <v>0.83</v>
      </c>
    </row>
    <row r="1804" spans="1:29">
      <c r="A1804" t="str">
        <f>"300435"</f>
        <v>300435</v>
      </c>
      <c r="B1804" t="s">
        <v>1973</v>
      </c>
      <c r="C1804">
        <v>2.15</v>
      </c>
      <c r="D1804">
        <v>10.45</v>
      </c>
      <c r="E1804">
        <v>0.22</v>
      </c>
      <c r="F1804">
        <v>10.45</v>
      </c>
      <c r="G1804">
        <v>10.46</v>
      </c>
      <c r="H1804">
        <v>5141</v>
      </c>
      <c r="I1804">
        <v>191</v>
      </c>
      <c r="J1804">
        <v>0.1</v>
      </c>
      <c r="K1804">
        <v>0.51</v>
      </c>
      <c r="L1804">
        <v>10.23</v>
      </c>
      <c r="M1804">
        <v>10.47</v>
      </c>
      <c r="N1804">
        <v>9.85</v>
      </c>
      <c r="O1804">
        <v>10.23</v>
      </c>
      <c r="P1804">
        <v>32.02</v>
      </c>
      <c r="Q1804">
        <v>5342817</v>
      </c>
      <c r="R1804">
        <v>1.65</v>
      </c>
      <c r="S1804" t="s">
        <v>241</v>
      </c>
      <c r="T1804" t="s">
        <v>149</v>
      </c>
      <c r="U1804">
        <v>6.06</v>
      </c>
      <c r="V1804">
        <v>10.39</v>
      </c>
      <c r="W1804">
        <v>2365</v>
      </c>
      <c r="X1804">
        <v>2776</v>
      </c>
      <c r="Y1804">
        <v>0.85</v>
      </c>
      <c r="Z1804">
        <v>90</v>
      </c>
      <c r="AA1804">
        <v>92</v>
      </c>
      <c r="AB1804" t="s">
        <v>32</v>
      </c>
      <c r="AC1804">
        <v>1</v>
      </c>
    </row>
    <row r="1805" spans="1:29">
      <c r="A1805" t="str">
        <f>"300436"</f>
        <v>300436</v>
      </c>
      <c r="B1805" t="s">
        <v>1974</v>
      </c>
      <c r="C1805">
        <v>2.23</v>
      </c>
      <c r="D1805">
        <v>24.27</v>
      </c>
      <c r="E1805">
        <v>0.53</v>
      </c>
      <c r="F1805">
        <v>24.27</v>
      </c>
      <c r="G1805">
        <v>24.28</v>
      </c>
      <c r="H1805">
        <v>10031</v>
      </c>
      <c r="I1805">
        <v>122</v>
      </c>
      <c r="J1805">
        <v>0.08</v>
      </c>
      <c r="K1805">
        <v>0.89</v>
      </c>
      <c r="L1805">
        <v>23.64</v>
      </c>
      <c r="M1805">
        <v>24.35</v>
      </c>
      <c r="N1805">
        <v>23.54</v>
      </c>
      <c r="O1805">
        <v>23.74</v>
      </c>
      <c r="P1805">
        <v>70.87</v>
      </c>
      <c r="Q1805">
        <v>24090744</v>
      </c>
      <c r="R1805">
        <v>1.04</v>
      </c>
      <c r="S1805" t="s">
        <v>142</v>
      </c>
      <c r="T1805" t="s">
        <v>236</v>
      </c>
      <c r="U1805">
        <v>3.41</v>
      </c>
      <c r="V1805">
        <v>24.02</v>
      </c>
      <c r="W1805">
        <v>4792</v>
      </c>
      <c r="X1805">
        <v>5239</v>
      </c>
      <c r="Y1805">
        <v>0.91</v>
      </c>
      <c r="Z1805">
        <v>52</v>
      </c>
      <c r="AA1805">
        <v>7</v>
      </c>
      <c r="AB1805" t="s">
        <v>32</v>
      </c>
      <c r="AC1805">
        <v>1.12</v>
      </c>
    </row>
    <row r="1806" spans="1:29">
      <c r="A1806" t="str">
        <f>"300437"</f>
        <v>300437</v>
      </c>
      <c r="B1806" t="s">
        <v>1975</v>
      </c>
      <c r="C1806">
        <v>-0.47</v>
      </c>
      <c r="D1806">
        <v>17</v>
      </c>
      <c r="E1806">
        <v>-0.08</v>
      </c>
      <c r="F1806">
        <v>16.99</v>
      </c>
      <c r="G1806">
        <v>17</v>
      </c>
      <c r="H1806">
        <v>31252</v>
      </c>
      <c r="I1806">
        <v>340</v>
      </c>
      <c r="J1806">
        <v>0.06</v>
      </c>
      <c r="K1806">
        <v>2.47</v>
      </c>
      <c r="L1806">
        <v>16.88</v>
      </c>
      <c r="M1806">
        <v>17.08</v>
      </c>
      <c r="N1806">
        <v>16.55</v>
      </c>
      <c r="O1806">
        <v>17.08</v>
      </c>
      <c r="P1806">
        <v>18.56</v>
      </c>
      <c r="Q1806">
        <v>52821532</v>
      </c>
      <c r="R1806">
        <v>1.36</v>
      </c>
      <c r="S1806" t="s">
        <v>218</v>
      </c>
      <c r="T1806" t="s">
        <v>164</v>
      </c>
      <c r="U1806">
        <v>3.1</v>
      </c>
      <c r="V1806">
        <v>16.9</v>
      </c>
      <c r="W1806">
        <v>16479</v>
      </c>
      <c r="X1806">
        <v>14772</v>
      </c>
      <c r="Y1806">
        <v>1.12</v>
      </c>
      <c r="Z1806">
        <v>147</v>
      </c>
      <c r="AA1806">
        <v>481</v>
      </c>
      <c r="AB1806" t="s">
        <v>32</v>
      </c>
      <c r="AC1806">
        <v>1.27</v>
      </c>
    </row>
    <row r="1807" spans="1:29">
      <c r="A1807" t="str">
        <f>"300438"</f>
        <v>300438</v>
      </c>
      <c r="B1807" t="s">
        <v>1976</v>
      </c>
      <c r="C1807">
        <v>0.64</v>
      </c>
      <c r="D1807">
        <v>20.32</v>
      </c>
      <c r="E1807">
        <v>0.13</v>
      </c>
      <c r="F1807">
        <v>20.31</v>
      </c>
      <c r="G1807">
        <v>20.32</v>
      </c>
      <c r="H1807">
        <v>22820</v>
      </c>
      <c r="I1807">
        <v>316</v>
      </c>
      <c r="J1807">
        <v>-0.04</v>
      </c>
      <c r="K1807">
        <v>1.06</v>
      </c>
      <c r="L1807">
        <v>20.25</v>
      </c>
      <c r="M1807">
        <v>20.48</v>
      </c>
      <c r="N1807">
        <v>19.92</v>
      </c>
      <c r="O1807">
        <v>20.19</v>
      </c>
      <c r="P1807">
        <v>19.31</v>
      </c>
      <c r="Q1807">
        <v>46042344</v>
      </c>
      <c r="R1807">
        <v>1.01</v>
      </c>
      <c r="S1807" t="s">
        <v>104</v>
      </c>
      <c r="T1807" t="s">
        <v>136</v>
      </c>
      <c r="U1807">
        <v>2.77</v>
      </c>
      <c r="V1807">
        <v>20.18</v>
      </c>
      <c r="W1807">
        <v>10695</v>
      </c>
      <c r="X1807">
        <v>12125</v>
      </c>
      <c r="Y1807">
        <v>0.88</v>
      </c>
      <c r="Z1807">
        <v>14</v>
      </c>
      <c r="AA1807">
        <v>181</v>
      </c>
      <c r="AB1807" t="s">
        <v>32</v>
      </c>
      <c r="AC1807">
        <v>2.15</v>
      </c>
    </row>
    <row r="1808" spans="1:29">
      <c r="A1808" t="str">
        <f>"300439"</f>
        <v>300439</v>
      </c>
      <c r="B1808" t="s">
        <v>1977</v>
      </c>
      <c r="C1808">
        <v>2.89</v>
      </c>
      <c r="D1808">
        <v>22.07</v>
      </c>
      <c r="E1808">
        <v>0.62</v>
      </c>
      <c r="F1808">
        <v>22.07</v>
      </c>
      <c r="G1808">
        <v>22.08</v>
      </c>
      <c r="H1808">
        <v>37720</v>
      </c>
      <c r="I1808">
        <v>204</v>
      </c>
      <c r="J1808">
        <v>-0.13</v>
      </c>
      <c r="K1808">
        <v>1.89</v>
      </c>
      <c r="L1808">
        <v>21.45</v>
      </c>
      <c r="M1808">
        <v>22.27</v>
      </c>
      <c r="N1808">
        <v>21.16</v>
      </c>
      <c r="O1808">
        <v>21.45</v>
      </c>
      <c r="P1808">
        <v>29.78</v>
      </c>
      <c r="Q1808">
        <v>82478248</v>
      </c>
      <c r="R1808">
        <v>0.88</v>
      </c>
      <c r="S1808" t="s">
        <v>138</v>
      </c>
      <c r="T1808" t="s">
        <v>149</v>
      </c>
      <c r="U1808">
        <v>5.17</v>
      </c>
      <c r="V1808">
        <v>21.87</v>
      </c>
      <c r="W1808">
        <v>16786</v>
      </c>
      <c r="X1808">
        <v>20934</v>
      </c>
      <c r="Y1808">
        <v>0.8</v>
      </c>
      <c r="Z1808">
        <v>65</v>
      </c>
      <c r="AA1808">
        <v>1</v>
      </c>
      <c r="AB1808" t="s">
        <v>32</v>
      </c>
      <c r="AC1808">
        <v>1.99</v>
      </c>
    </row>
    <row r="1809" spans="1:29">
      <c r="A1809" t="str">
        <f>"300440"</f>
        <v>300440</v>
      </c>
      <c r="B1809" t="s">
        <v>1978</v>
      </c>
      <c r="C1809">
        <v>0.75</v>
      </c>
      <c r="D1809">
        <v>6.71</v>
      </c>
      <c r="E1809">
        <v>0.05</v>
      </c>
      <c r="F1809">
        <v>6.7</v>
      </c>
      <c r="G1809">
        <v>6.71</v>
      </c>
      <c r="H1809">
        <v>28941</v>
      </c>
      <c r="I1809">
        <v>371</v>
      </c>
      <c r="J1809">
        <v>0.15</v>
      </c>
      <c r="K1809">
        <v>0.65</v>
      </c>
      <c r="L1809">
        <v>6.66</v>
      </c>
      <c r="M1809">
        <v>6.74</v>
      </c>
      <c r="N1809">
        <v>6.58</v>
      </c>
      <c r="O1809">
        <v>6.66</v>
      </c>
      <c r="P1809">
        <v>172.83</v>
      </c>
      <c r="Q1809">
        <v>19353766</v>
      </c>
      <c r="R1809">
        <v>1.49</v>
      </c>
      <c r="S1809" t="s">
        <v>270</v>
      </c>
      <c r="T1809" t="s">
        <v>146</v>
      </c>
      <c r="U1809">
        <v>2.4</v>
      </c>
      <c r="V1809">
        <v>6.69</v>
      </c>
      <c r="W1809">
        <v>14751</v>
      </c>
      <c r="X1809">
        <v>14190</v>
      </c>
      <c r="Y1809">
        <v>1.04</v>
      </c>
      <c r="Z1809">
        <v>418</v>
      </c>
      <c r="AA1809">
        <v>775</v>
      </c>
      <c r="AB1809" t="s">
        <v>32</v>
      </c>
      <c r="AC1809">
        <v>4.46</v>
      </c>
    </row>
    <row r="1810" spans="1:29">
      <c r="A1810" t="str">
        <f>"300441"</f>
        <v>300441</v>
      </c>
      <c r="B1810" t="s">
        <v>1979</v>
      </c>
      <c r="C1810">
        <v>-0.45</v>
      </c>
      <c r="D1810">
        <v>8.89</v>
      </c>
      <c r="E1810">
        <v>-0.04</v>
      </c>
      <c r="F1810">
        <v>8.88</v>
      </c>
      <c r="G1810">
        <v>8.89</v>
      </c>
      <c r="H1810">
        <v>34170</v>
      </c>
      <c r="I1810">
        <v>210</v>
      </c>
      <c r="J1810">
        <v>0.11</v>
      </c>
      <c r="K1810">
        <v>1.38</v>
      </c>
      <c r="L1810">
        <v>8.95</v>
      </c>
      <c r="M1810">
        <v>8.95</v>
      </c>
      <c r="N1810">
        <v>8.87</v>
      </c>
      <c r="O1810">
        <v>8.93</v>
      </c>
      <c r="P1810">
        <v>38.05</v>
      </c>
      <c r="Q1810">
        <v>30392824</v>
      </c>
      <c r="R1810">
        <v>2.59</v>
      </c>
      <c r="S1810" t="s">
        <v>179</v>
      </c>
      <c r="T1810" t="s">
        <v>149</v>
      </c>
      <c r="U1810">
        <v>0.9</v>
      </c>
      <c r="V1810">
        <v>8.89</v>
      </c>
      <c r="W1810">
        <v>23233</v>
      </c>
      <c r="X1810">
        <v>10937</v>
      </c>
      <c r="Y1810">
        <v>2.12</v>
      </c>
      <c r="Z1810">
        <v>561</v>
      </c>
      <c r="AA1810">
        <v>1178</v>
      </c>
      <c r="AB1810" t="s">
        <v>32</v>
      </c>
      <c r="AC1810">
        <v>2.48</v>
      </c>
    </row>
    <row r="1811" spans="1:29">
      <c r="A1811" t="str">
        <f>"300442"</f>
        <v>300442</v>
      </c>
      <c r="B1811" t="s">
        <v>1980</v>
      </c>
      <c r="C1811">
        <v>1.38</v>
      </c>
      <c r="D1811">
        <v>16.85</v>
      </c>
      <c r="E1811">
        <v>0.23</v>
      </c>
      <c r="F1811">
        <v>16.84</v>
      </c>
      <c r="G1811">
        <v>16.85</v>
      </c>
      <c r="H1811">
        <v>3771</v>
      </c>
      <c r="I1811">
        <v>56</v>
      </c>
      <c r="J1811">
        <v>0.06</v>
      </c>
      <c r="K1811">
        <v>0.52</v>
      </c>
      <c r="L1811">
        <v>16.7</v>
      </c>
      <c r="M1811">
        <v>16.86</v>
      </c>
      <c r="N1811">
        <v>16.61</v>
      </c>
      <c r="O1811">
        <v>16.62</v>
      </c>
      <c r="P1811">
        <v>160.18</v>
      </c>
      <c r="Q1811">
        <v>6328522</v>
      </c>
      <c r="R1811">
        <v>1.05</v>
      </c>
      <c r="S1811" t="s">
        <v>93</v>
      </c>
      <c r="T1811" t="s">
        <v>366</v>
      </c>
      <c r="U1811">
        <v>1.5</v>
      </c>
      <c r="V1811">
        <v>16.78</v>
      </c>
      <c r="W1811">
        <v>2179</v>
      </c>
      <c r="X1811">
        <v>1591</v>
      </c>
      <c r="Y1811">
        <v>1.37</v>
      </c>
      <c r="Z1811">
        <v>35</v>
      </c>
      <c r="AA1811">
        <v>119</v>
      </c>
      <c r="AB1811" t="s">
        <v>32</v>
      </c>
      <c r="AC1811">
        <v>0.72</v>
      </c>
    </row>
    <row r="1812" spans="1:29">
      <c r="A1812" t="str">
        <f>"300443"</f>
        <v>300443</v>
      </c>
      <c r="B1812" t="s">
        <v>1981</v>
      </c>
      <c r="C1812">
        <v>1.3</v>
      </c>
      <c r="D1812">
        <v>10.16</v>
      </c>
      <c r="E1812">
        <v>0.13</v>
      </c>
      <c r="F1812">
        <v>10.16</v>
      </c>
      <c r="G1812">
        <v>10.18</v>
      </c>
      <c r="H1812">
        <v>15050</v>
      </c>
      <c r="I1812">
        <v>458</v>
      </c>
      <c r="J1812">
        <v>0</v>
      </c>
      <c r="K1812">
        <v>0.94</v>
      </c>
      <c r="L1812">
        <v>10.06</v>
      </c>
      <c r="M1812">
        <v>10.32</v>
      </c>
      <c r="N1812">
        <v>9.92</v>
      </c>
      <c r="O1812">
        <v>10.03</v>
      </c>
      <c r="P1812">
        <v>45.38</v>
      </c>
      <c r="Q1812">
        <v>15265344</v>
      </c>
      <c r="R1812">
        <v>1.1</v>
      </c>
      <c r="S1812" t="s">
        <v>171</v>
      </c>
      <c r="T1812" t="s">
        <v>162</v>
      </c>
      <c r="U1812">
        <v>3.99</v>
      </c>
      <c r="V1812">
        <v>10.14</v>
      </c>
      <c r="W1812">
        <v>7905</v>
      </c>
      <c r="X1812">
        <v>7144</v>
      </c>
      <c r="Y1812">
        <v>1.11</v>
      </c>
      <c r="Z1812">
        <v>497</v>
      </c>
      <c r="AA1812">
        <v>161</v>
      </c>
      <c r="AB1812" t="s">
        <v>32</v>
      </c>
      <c r="AC1812">
        <v>1.59</v>
      </c>
    </row>
    <row r="1813" spans="1:29">
      <c r="A1813" t="str">
        <f>"300444"</f>
        <v>300444</v>
      </c>
      <c r="B1813" t="s">
        <v>1982</v>
      </c>
      <c r="C1813">
        <v>1.58</v>
      </c>
      <c r="D1813">
        <v>9.62</v>
      </c>
      <c r="E1813">
        <v>0.15</v>
      </c>
      <c r="F1813">
        <v>9.61</v>
      </c>
      <c r="G1813">
        <v>9.62</v>
      </c>
      <c r="H1813">
        <v>114143</v>
      </c>
      <c r="I1813">
        <v>2469</v>
      </c>
      <c r="J1813">
        <v>0</v>
      </c>
      <c r="K1813">
        <v>3.83</v>
      </c>
      <c r="L1813">
        <v>9.45</v>
      </c>
      <c r="M1813">
        <v>9.65</v>
      </c>
      <c r="N1813">
        <v>9.36</v>
      </c>
      <c r="O1813">
        <v>9.47</v>
      </c>
      <c r="P1813">
        <v>12.16</v>
      </c>
      <c r="Q1813">
        <v>108994368</v>
      </c>
      <c r="R1813">
        <v>0.74</v>
      </c>
      <c r="S1813" t="s">
        <v>104</v>
      </c>
      <c r="T1813" t="s">
        <v>45</v>
      </c>
      <c r="U1813">
        <v>3.06</v>
      </c>
      <c r="V1813">
        <v>9.55</v>
      </c>
      <c r="W1813">
        <v>54756</v>
      </c>
      <c r="X1813">
        <v>59386</v>
      </c>
      <c r="Y1813">
        <v>0.92</v>
      </c>
      <c r="Z1813">
        <v>254</v>
      </c>
      <c r="AA1813">
        <v>328</v>
      </c>
      <c r="AB1813" t="s">
        <v>32</v>
      </c>
      <c r="AC1813">
        <v>2.98</v>
      </c>
    </row>
    <row r="1814" spans="1:29">
      <c r="A1814" t="str">
        <f>"300445"</f>
        <v>300445</v>
      </c>
      <c r="B1814" t="s">
        <v>1983</v>
      </c>
      <c r="C1814">
        <v>0.96</v>
      </c>
      <c r="D1814">
        <v>13.73</v>
      </c>
      <c r="E1814">
        <v>0.13</v>
      </c>
      <c r="F1814">
        <v>13.72</v>
      </c>
      <c r="G1814">
        <v>13.73</v>
      </c>
      <c r="H1814">
        <v>5203</v>
      </c>
      <c r="I1814">
        <v>206</v>
      </c>
      <c r="J1814">
        <v>-0.14</v>
      </c>
      <c r="K1814">
        <v>0.59</v>
      </c>
      <c r="L1814">
        <v>13.61</v>
      </c>
      <c r="M1814">
        <v>13.79</v>
      </c>
      <c r="N1814">
        <v>13.53</v>
      </c>
      <c r="O1814">
        <v>13.6</v>
      </c>
      <c r="P1814">
        <v>64.58</v>
      </c>
      <c r="Q1814">
        <v>7132553</v>
      </c>
      <c r="R1814">
        <v>1.45</v>
      </c>
      <c r="S1814" t="s">
        <v>606</v>
      </c>
      <c r="T1814" t="s">
        <v>45</v>
      </c>
      <c r="U1814">
        <v>1.91</v>
      </c>
      <c r="V1814">
        <v>13.71</v>
      </c>
      <c r="W1814">
        <v>2274</v>
      </c>
      <c r="X1814">
        <v>2929</v>
      </c>
      <c r="Y1814">
        <v>0.78</v>
      </c>
      <c r="Z1814">
        <v>70</v>
      </c>
      <c r="AA1814">
        <v>89</v>
      </c>
      <c r="AB1814" t="s">
        <v>32</v>
      </c>
      <c r="AC1814">
        <v>0.88</v>
      </c>
    </row>
    <row r="1815" spans="1:29">
      <c r="A1815" t="str">
        <f>"300446"</f>
        <v>300446</v>
      </c>
      <c r="B1815" t="s">
        <v>1984</v>
      </c>
      <c r="C1815">
        <v>2.52</v>
      </c>
      <c r="D1815">
        <v>17.92</v>
      </c>
      <c r="E1815">
        <v>0.44</v>
      </c>
      <c r="F1815">
        <v>17.9</v>
      </c>
      <c r="G1815">
        <v>17.92</v>
      </c>
      <c r="H1815">
        <v>14166</v>
      </c>
      <c r="I1815">
        <v>383</v>
      </c>
      <c r="J1815">
        <v>0</v>
      </c>
      <c r="K1815">
        <v>1.2</v>
      </c>
      <c r="L1815">
        <v>17.5</v>
      </c>
      <c r="M1815">
        <v>17.93</v>
      </c>
      <c r="N1815">
        <v>17.3</v>
      </c>
      <c r="O1815">
        <v>17.48</v>
      </c>
      <c r="P1815">
        <v>18.01</v>
      </c>
      <c r="Q1815">
        <v>25122580</v>
      </c>
      <c r="R1815">
        <v>1.51</v>
      </c>
      <c r="S1815" t="s">
        <v>218</v>
      </c>
      <c r="T1815" t="s">
        <v>154</v>
      </c>
      <c r="U1815">
        <v>3.6</v>
      </c>
      <c r="V1815">
        <v>17.74</v>
      </c>
      <c r="W1815">
        <v>6441</v>
      </c>
      <c r="X1815">
        <v>7724</v>
      </c>
      <c r="Y1815">
        <v>0.83</v>
      </c>
      <c r="Z1815">
        <v>179</v>
      </c>
      <c r="AA1815">
        <v>32</v>
      </c>
      <c r="AB1815" t="s">
        <v>32</v>
      </c>
      <c r="AC1815">
        <v>1.18</v>
      </c>
    </row>
    <row r="1816" spans="1:29">
      <c r="A1816" t="str">
        <f>"300447"</f>
        <v>300447</v>
      </c>
      <c r="B1816" t="s">
        <v>1985</v>
      </c>
      <c r="C1816">
        <v>1.23</v>
      </c>
      <c r="D1816">
        <v>12.32</v>
      </c>
      <c r="E1816">
        <v>0.15</v>
      </c>
      <c r="F1816">
        <v>12.32</v>
      </c>
      <c r="G1816">
        <v>12.34</v>
      </c>
      <c r="H1816">
        <v>10883</v>
      </c>
      <c r="I1816">
        <v>108</v>
      </c>
      <c r="J1816">
        <v>-0.15</v>
      </c>
      <c r="K1816">
        <v>0.68</v>
      </c>
      <c r="L1816">
        <v>12.3</v>
      </c>
      <c r="M1816">
        <v>12.39</v>
      </c>
      <c r="N1816">
        <v>12.13</v>
      </c>
      <c r="O1816">
        <v>12.17</v>
      </c>
      <c r="P1816">
        <v>31.5</v>
      </c>
      <c r="Q1816">
        <v>13370140</v>
      </c>
      <c r="R1816">
        <v>0.99</v>
      </c>
      <c r="S1816" t="s">
        <v>104</v>
      </c>
      <c r="T1816" t="s">
        <v>87</v>
      </c>
      <c r="U1816">
        <v>2.14</v>
      </c>
      <c r="V1816">
        <v>12.29</v>
      </c>
      <c r="W1816">
        <v>5505</v>
      </c>
      <c r="X1816">
        <v>5377</v>
      </c>
      <c r="Y1816">
        <v>1.02</v>
      </c>
      <c r="Z1816">
        <v>65</v>
      </c>
      <c r="AA1816">
        <v>168</v>
      </c>
      <c r="AB1816" t="s">
        <v>32</v>
      </c>
      <c r="AC1816">
        <v>1.6</v>
      </c>
    </row>
    <row r="1817" spans="1:29">
      <c r="A1817" t="str">
        <f>"300448"</f>
        <v>300448</v>
      </c>
      <c r="B1817" t="s">
        <v>1986</v>
      </c>
      <c r="C1817">
        <v>0</v>
      </c>
      <c r="D1817">
        <v>10.95</v>
      </c>
      <c r="E1817">
        <v>0</v>
      </c>
      <c r="F1817">
        <v>10.93</v>
      </c>
      <c r="G1817">
        <v>10.95</v>
      </c>
      <c r="H1817">
        <v>27612</v>
      </c>
      <c r="I1817">
        <v>535</v>
      </c>
      <c r="J1817">
        <v>0.18</v>
      </c>
      <c r="K1817">
        <v>1.3</v>
      </c>
      <c r="L1817">
        <v>10.88</v>
      </c>
      <c r="M1817">
        <v>11.15</v>
      </c>
      <c r="N1817">
        <v>10.81</v>
      </c>
      <c r="O1817">
        <v>10.95</v>
      </c>
      <c r="P1817">
        <v>176.65</v>
      </c>
      <c r="Q1817">
        <v>30223332</v>
      </c>
      <c r="R1817">
        <v>1.13</v>
      </c>
      <c r="S1817" t="s">
        <v>270</v>
      </c>
      <c r="T1817" t="s">
        <v>136</v>
      </c>
      <c r="U1817">
        <v>3.11</v>
      </c>
      <c r="V1817">
        <v>10.95</v>
      </c>
      <c r="W1817">
        <v>15246</v>
      </c>
      <c r="X1817">
        <v>12366</v>
      </c>
      <c r="Y1817">
        <v>1.23</v>
      </c>
      <c r="Z1817">
        <v>4</v>
      </c>
      <c r="AA1817">
        <v>473</v>
      </c>
      <c r="AB1817" t="s">
        <v>32</v>
      </c>
      <c r="AC1817">
        <v>2.13</v>
      </c>
    </row>
    <row r="1818" spans="1:29">
      <c r="A1818" t="str">
        <f>"300449"</f>
        <v>300449</v>
      </c>
      <c r="B1818" t="s">
        <v>1987</v>
      </c>
      <c r="C1818">
        <v>1.01</v>
      </c>
      <c r="D1818">
        <v>18.02</v>
      </c>
      <c r="E1818">
        <v>0.18</v>
      </c>
      <c r="F1818">
        <v>18.02</v>
      </c>
      <c r="G1818">
        <v>18.03</v>
      </c>
      <c r="H1818">
        <v>19426</v>
      </c>
      <c r="I1818">
        <v>201</v>
      </c>
      <c r="J1818">
        <v>0.22</v>
      </c>
      <c r="K1818">
        <v>1.95</v>
      </c>
      <c r="L1818">
        <v>17.84</v>
      </c>
      <c r="M1818">
        <v>18.1</v>
      </c>
      <c r="N1818">
        <v>17.6</v>
      </c>
      <c r="O1818">
        <v>17.84</v>
      </c>
      <c r="P1818" t="s">
        <v>32</v>
      </c>
      <c r="Q1818">
        <v>34766372</v>
      </c>
      <c r="R1818">
        <v>1.62</v>
      </c>
      <c r="S1818" t="s">
        <v>65</v>
      </c>
      <c r="T1818" t="s">
        <v>45</v>
      </c>
      <c r="U1818">
        <v>2.8</v>
      </c>
      <c r="V1818">
        <v>17.9</v>
      </c>
      <c r="W1818">
        <v>8842</v>
      </c>
      <c r="X1818">
        <v>10584</v>
      </c>
      <c r="Y1818">
        <v>0.84</v>
      </c>
      <c r="Z1818">
        <v>5</v>
      </c>
      <c r="AA1818">
        <v>17</v>
      </c>
      <c r="AB1818" t="s">
        <v>32</v>
      </c>
      <c r="AC1818">
        <v>1</v>
      </c>
    </row>
    <row r="1819" spans="1:29">
      <c r="A1819" t="str">
        <f>"300450"</f>
        <v>300450</v>
      </c>
      <c r="B1819" t="s">
        <v>1988</v>
      </c>
      <c r="C1819">
        <v>-0.46</v>
      </c>
      <c r="D1819">
        <v>32.73</v>
      </c>
      <c r="E1819">
        <v>-0.15</v>
      </c>
      <c r="F1819">
        <v>32.72</v>
      </c>
      <c r="G1819">
        <v>32.73</v>
      </c>
      <c r="H1819">
        <v>71965</v>
      </c>
      <c r="I1819">
        <v>577</v>
      </c>
      <c r="J1819">
        <v>-0.05</v>
      </c>
      <c r="K1819">
        <v>1.58</v>
      </c>
      <c r="L1819">
        <v>32.61</v>
      </c>
      <c r="M1819">
        <v>33.3</v>
      </c>
      <c r="N1819">
        <v>32.42</v>
      </c>
      <c r="O1819">
        <v>32.88</v>
      </c>
      <c r="P1819">
        <v>41.69</v>
      </c>
      <c r="Q1819">
        <v>236556256</v>
      </c>
      <c r="R1819">
        <v>0.88</v>
      </c>
      <c r="S1819" t="s">
        <v>171</v>
      </c>
      <c r="T1819" t="s">
        <v>87</v>
      </c>
      <c r="U1819">
        <v>2.68</v>
      </c>
      <c r="V1819">
        <v>32.87</v>
      </c>
      <c r="W1819">
        <v>38807</v>
      </c>
      <c r="X1819">
        <v>33157</v>
      </c>
      <c r="Y1819">
        <v>1.17</v>
      </c>
      <c r="Z1819">
        <v>64</v>
      </c>
      <c r="AA1819">
        <v>1563</v>
      </c>
      <c r="AB1819" t="s">
        <v>32</v>
      </c>
      <c r="AC1819">
        <v>4.57</v>
      </c>
    </row>
    <row r="1820" spans="1:29">
      <c r="A1820" t="str">
        <f>"300451"</f>
        <v>300451</v>
      </c>
      <c r="B1820" t="s">
        <v>1989</v>
      </c>
      <c r="C1820">
        <v>0.85</v>
      </c>
      <c r="D1820">
        <v>16.7</v>
      </c>
      <c r="E1820">
        <v>0.14</v>
      </c>
      <c r="F1820">
        <v>16.7</v>
      </c>
      <c r="G1820">
        <v>16.71</v>
      </c>
      <c r="H1820">
        <v>167845</v>
      </c>
      <c r="I1820">
        <v>2088</v>
      </c>
      <c r="J1820">
        <v>0</v>
      </c>
      <c r="K1820">
        <v>5.04</v>
      </c>
      <c r="L1820">
        <v>16.49</v>
      </c>
      <c r="M1820">
        <v>16.83</v>
      </c>
      <c r="N1820">
        <v>16.18</v>
      </c>
      <c r="O1820">
        <v>16.56</v>
      </c>
      <c r="P1820">
        <v>45.9</v>
      </c>
      <c r="Q1820">
        <v>277917312</v>
      </c>
      <c r="R1820">
        <v>1.14</v>
      </c>
      <c r="S1820" t="s">
        <v>270</v>
      </c>
      <c r="T1820" t="s">
        <v>149</v>
      </c>
      <c r="U1820">
        <v>3.93</v>
      </c>
      <c r="V1820">
        <v>16.56</v>
      </c>
      <c r="W1820">
        <v>83640</v>
      </c>
      <c r="X1820">
        <v>84205</v>
      </c>
      <c r="Y1820">
        <v>0.99</v>
      </c>
      <c r="Z1820">
        <v>1668</v>
      </c>
      <c r="AA1820">
        <v>284</v>
      </c>
      <c r="AB1820" t="s">
        <v>32</v>
      </c>
      <c r="AC1820">
        <v>3.33</v>
      </c>
    </row>
    <row r="1821" spans="1:29">
      <c r="A1821" t="str">
        <f>"300452"</f>
        <v>300452</v>
      </c>
      <c r="B1821" t="s">
        <v>1990</v>
      </c>
      <c r="C1821">
        <v>2.63</v>
      </c>
      <c r="D1821">
        <v>16.37</v>
      </c>
      <c r="E1821">
        <v>0.42</v>
      </c>
      <c r="F1821">
        <v>16.36</v>
      </c>
      <c r="G1821">
        <v>16.37</v>
      </c>
      <c r="H1821">
        <v>77724</v>
      </c>
      <c r="I1821">
        <v>837</v>
      </c>
      <c r="J1821">
        <v>-0.17</v>
      </c>
      <c r="K1821">
        <v>7.23</v>
      </c>
      <c r="L1821">
        <v>15.95</v>
      </c>
      <c r="M1821">
        <v>16.58</v>
      </c>
      <c r="N1821">
        <v>15.7</v>
      </c>
      <c r="O1821">
        <v>15.95</v>
      </c>
      <c r="P1821">
        <v>35.99</v>
      </c>
      <c r="Q1821">
        <v>126129712</v>
      </c>
      <c r="R1821">
        <v>0.64</v>
      </c>
      <c r="S1821" t="s">
        <v>142</v>
      </c>
      <c r="T1821" t="s">
        <v>143</v>
      </c>
      <c r="U1821">
        <v>5.52</v>
      </c>
      <c r="V1821">
        <v>16.23</v>
      </c>
      <c r="W1821">
        <v>37802</v>
      </c>
      <c r="X1821">
        <v>39922</v>
      </c>
      <c r="Y1821">
        <v>0.95</v>
      </c>
      <c r="Z1821">
        <v>80</v>
      </c>
      <c r="AA1821">
        <v>48</v>
      </c>
      <c r="AB1821" t="s">
        <v>32</v>
      </c>
      <c r="AC1821">
        <v>1.08</v>
      </c>
    </row>
    <row r="1822" spans="1:29">
      <c r="A1822" t="str">
        <f>"300453"</f>
        <v>300453</v>
      </c>
      <c r="B1822" t="s">
        <v>1991</v>
      </c>
      <c r="C1822">
        <v>2.19</v>
      </c>
      <c r="D1822">
        <v>11.2</v>
      </c>
      <c r="E1822">
        <v>0.24</v>
      </c>
      <c r="F1822">
        <v>11.19</v>
      </c>
      <c r="G1822">
        <v>11.2</v>
      </c>
      <c r="H1822">
        <v>16286</v>
      </c>
      <c r="I1822">
        <v>581</v>
      </c>
      <c r="J1822">
        <v>0.36</v>
      </c>
      <c r="K1822">
        <v>1.5</v>
      </c>
      <c r="L1822">
        <v>10.91</v>
      </c>
      <c r="M1822">
        <v>11.25</v>
      </c>
      <c r="N1822">
        <v>10.91</v>
      </c>
      <c r="O1822">
        <v>10.96</v>
      </c>
      <c r="P1822">
        <v>66.73</v>
      </c>
      <c r="Q1822">
        <v>18120120</v>
      </c>
      <c r="R1822">
        <v>0.97</v>
      </c>
      <c r="S1822" t="s">
        <v>138</v>
      </c>
      <c r="T1822" t="s">
        <v>172</v>
      </c>
      <c r="U1822">
        <v>3.1</v>
      </c>
      <c r="V1822">
        <v>11.13</v>
      </c>
      <c r="W1822">
        <v>7197</v>
      </c>
      <c r="X1822">
        <v>9089</v>
      </c>
      <c r="Y1822">
        <v>0.79</v>
      </c>
      <c r="Z1822">
        <v>154</v>
      </c>
      <c r="AA1822">
        <v>126</v>
      </c>
      <c r="AB1822" t="s">
        <v>32</v>
      </c>
      <c r="AC1822">
        <v>1.09</v>
      </c>
    </row>
    <row r="1823" spans="1:29">
      <c r="A1823" t="str">
        <f>"300454"</f>
        <v>300454</v>
      </c>
      <c r="B1823" t="s">
        <v>1992</v>
      </c>
      <c r="C1823">
        <v>0.92</v>
      </c>
      <c r="D1823">
        <v>111</v>
      </c>
      <c r="E1823">
        <v>1.01</v>
      </c>
      <c r="F1823">
        <v>110.99</v>
      </c>
      <c r="G1823">
        <v>111</v>
      </c>
      <c r="H1823">
        <v>48653</v>
      </c>
      <c r="I1823">
        <v>953</v>
      </c>
      <c r="J1823">
        <v>0.22</v>
      </c>
      <c r="K1823">
        <v>12.16</v>
      </c>
      <c r="L1823">
        <v>109.01</v>
      </c>
      <c r="M1823">
        <v>113</v>
      </c>
      <c r="N1823">
        <v>107.5</v>
      </c>
      <c r="O1823">
        <v>109.99</v>
      </c>
      <c r="P1823">
        <v>225.65</v>
      </c>
      <c r="Q1823">
        <v>537435904</v>
      </c>
      <c r="R1823">
        <v>0.93</v>
      </c>
      <c r="S1823" t="s">
        <v>270</v>
      </c>
      <c r="T1823" t="s">
        <v>31</v>
      </c>
      <c r="U1823">
        <v>5</v>
      </c>
      <c r="V1823">
        <v>110.46</v>
      </c>
      <c r="W1823">
        <v>23924</v>
      </c>
      <c r="X1823">
        <v>24728</v>
      </c>
      <c r="Y1823">
        <v>0.97</v>
      </c>
      <c r="Z1823">
        <v>49</v>
      </c>
      <c r="AA1823">
        <v>97</v>
      </c>
      <c r="AB1823" t="s">
        <v>32</v>
      </c>
      <c r="AC1823">
        <v>0.4</v>
      </c>
    </row>
    <row r="1824" spans="1:29">
      <c r="A1824" t="str">
        <f>"300455"</f>
        <v>300455</v>
      </c>
      <c r="B1824" t="s">
        <v>1993</v>
      </c>
      <c r="C1824">
        <v>-0.69</v>
      </c>
      <c r="D1824">
        <v>8.66</v>
      </c>
      <c r="E1824">
        <v>-0.06</v>
      </c>
      <c r="F1824">
        <v>8.66</v>
      </c>
      <c r="G1824">
        <v>8.67</v>
      </c>
      <c r="H1824">
        <v>91095</v>
      </c>
      <c r="I1824">
        <v>1849</v>
      </c>
      <c r="J1824">
        <v>0.35</v>
      </c>
      <c r="K1824">
        <v>1.82</v>
      </c>
      <c r="L1824">
        <v>8.57</v>
      </c>
      <c r="M1824">
        <v>8.66</v>
      </c>
      <c r="N1824">
        <v>8.41</v>
      </c>
      <c r="O1824">
        <v>8.72</v>
      </c>
      <c r="P1824">
        <v>84.93</v>
      </c>
      <c r="Q1824">
        <v>78206200</v>
      </c>
      <c r="R1824">
        <v>2</v>
      </c>
      <c r="S1824" t="s">
        <v>44</v>
      </c>
      <c r="T1824" t="s">
        <v>45</v>
      </c>
      <c r="U1824">
        <v>2.87</v>
      </c>
      <c r="V1824">
        <v>8.59</v>
      </c>
      <c r="W1824">
        <v>54723</v>
      </c>
      <c r="X1824">
        <v>36371</v>
      </c>
      <c r="Y1824">
        <v>1.5</v>
      </c>
      <c r="Z1824">
        <v>64</v>
      </c>
      <c r="AA1824">
        <v>284</v>
      </c>
      <c r="AB1824" t="s">
        <v>32</v>
      </c>
      <c r="AC1824">
        <v>5</v>
      </c>
    </row>
    <row r="1825" spans="1:29">
      <c r="A1825" t="str">
        <f>"300456"</f>
        <v>300456</v>
      </c>
      <c r="B1825" t="s">
        <v>1994</v>
      </c>
      <c r="C1825">
        <v>-0.68</v>
      </c>
      <c r="D1825">
        <v>27.93</v>
      </c>
      <c r="E1825">
        <v>-0.19</v>
      </c>
      <c r="F1825">
        <v>27.93</v>
      </c>
      <c r="G1825">
        <v>27.94</v>
      </c>
      <c r="H1825">
        <v>66100</v>
      </c>
      <c r="I1825">
        <v>642</v>
      </c>
      <c r="J1825">
        <v>0.14</v>
      </c>
      <c r="K1825">
        <v>4.66</v>
      </c>
      <c r="L1825">
        <v>28</v>
      </c>
      <c r="M1825">
        <v>28.7</v>
      </c>
      <c r="N1825">
        <v>27.8</v>
      </c>
      <c r="O1825">
        <v>28.12</v>
      </c>
      <c r="P1825">
        <v>320.28</v>
      </c>
      <c r="Q1825">
        <v>186448672</v>
      </c>
      <c r="R1825">
        <v>0.82</v>
      </c>
      <c r="S1825" t="s">
        <v>63</v>
      </c>
      <c r="T1825" t="s">
        <v>45</v>
      </c>
      <c r="U1825">
        <v>3.2</v>
      </c>
      <c r="V1825">
        <v>28.21</v>
      </c>
      <c r="W1825">
        <v>33527</v>
      </c>
      <c r="X1825">
        <v>32573</v>
      </c>
      <c r="Y1825">
        <v>1.03</v>
      </c>
      <c r="Z1825">
        <v>314</v>
      </c>
      <c r="AA1825">
        <v>183</v>
      </c>
      <c r="AB1825" t="s">
        <v>32</v>
      </c>
      <c r="AC1825">
        <v>1.42</v>
      </c>
    </row>
    <row r="1826" spans="1:29">
      <c r="A1826" t="str">
        <f>"300457"</f>
        <v>300457</v>
      </c>
      <c r="B1826" t="s">
        <v>1995</v>
      </c>
      <c r="C1826">
        <v>1.4</v>
      </c>
      <c r="D1826">
        <v>23.2</v>
      </c>
      <c r="E1826">
        <v>0.32</v>
      </c>
      <c r="F1826">
        <v>23.2</v>
      </c>
      <c r="G1826">
        <v>23.21</v>
      </c>
      <c r="H1826">
        <v>25445</v>
      </c>
      <c r="I1826">
        <v>463</v>
      </c>
      <c r="J1826">
        <v>0.04</v>
      </c>
      <c r="K1826">
        <v>1.35</v>
      </c>
      <c r="L1826">
        <v>23</v>
      </c>
      <c r="M1826">
        <v>23.35</v>
      </c>
      <c r="N1826">
        <v>22.76</v>
      </c>
      <c r="O1826">
        <v>22.88</v>
      </c>
      <c r="P1826">
        <v>36.27</v>
      </c>
      <c r="Q1826">
        <v>58902856</v>
      </c>
      <c r="R1826">
        <v>1.51</v>
      </c>
      <c r="S1826" t="s">
        <v>171</v>
      </c>
      <c r="T1826" t="s">
        <v>31</v>
      </c>
      <c r="U1826">
        <v>2.58</v>
      </c>
      <c r="V1826">
        <v>23.15</v>
      </c>
      <c r="W1826">
        <v>9724</v>
      </c>
      <c r="X1826">
        <v>15720</v>
      </c>
      <c r="Y1826">
        <v>0.62</v>
      </c>
      <c r="Z1826">
        <v>51</v>
      </c>
      <c r="AA1826">
        <v>20</v>
      </c>
      <c r="AB1826" t="s">
        <v>32</v>
      </c>
      <c r="AC1826">
        <v>1.88</v>
      </c>
    </row>
    <row r="1827" spans="1:29">
      <c r="A1827" t="str">
        <f>"300458"</f>
        <v>300458</v>
      </c>
      <c r="B1827" t="s">
        <v>1996</v>
      </c>
      <c r="C1827">
        <v>1.46</v>
      </c>
      <c r="D1827">
        <v>24.25</v>
      </c>
      <c r="E1827">
        <v>0.35</v>
      </c>
      <c r="F1827">
        <v>24.25</v>
      </c>
      <c r="G1827">
        <v>24.26</v>
      </c>
      <c r="H1827">
        <v>131337</v>
      </c>
      <c r="I1827">
        <v>1335</v>
      </c>
      <c r="J1827">
        <v>0.08</v>
      </c>
      <c r="K1827">
        <v>4.45</v>
      </c>
      <c r="L1827">
        <v>23.86</v>
      </c>
      <c r="M1827">
        <v>24.6</v>
      </c>
      <c r="N1827">
        <v>23.53</v>
      </c>
      <c r="O1827">
        <v>23.9</v>
      </c>
      <c r="P1827" t="s">
        <v>32</v>
      </c>
      <c r="Q1827">
        <v>317654720</v>
      </c>
      <c r="R1827">
        <v>1.03</v>
      </c>
      <c r="S1827" t="s">
        <v>63</v>
      </c>
      <c r="T1827" t="s">
        <v>136</v>
      </c>
      <c r="U1827">
        <v>4.48</v>
      </c>
      <c r="V1827">
        <v>24.19</v>
      </c>
      <c r="W1827">
        <v>60867</v>
      </c>
      <c r="X1827">
        <v>70470</v>
      </c>
      <c r="Y1827">
        <v>0.86</v>
      </c>
      <c r="Z1827">
        <v>855</v>
      </c>
      <c r="AA1827">
        <v>47</v>
      </c>
      <c r="AB1827" t="s">
        <v>32</v>
      </c>
      <c r="AC1827">
        <v>2.95</v>
      </c>
    </row>
    <row r="1828" spans="1:29">
      <c r="A1828" t="str">
        <f>"300459"</f>
        <v>300459</v>
      </c>
      <c r="B1828" t="s">
        <v>1997</v>
      </c>
      <c r="C1828">
        <v>-0.11</v>
      </c>
      <c r="D1828">
        <v>9.37</v>
      </c>
      <c r="E1828">
        <v>-0.01</v>
      </c>
      <c r="F1828">
        <v>9.36</v>
      </c>
      <c r="G1828">
        <v>9.37</v>
      </c>
      <c r="H1828">
        <v>39515</v>
      </c>
      <c r="I1828">
        <v>1277</v>
      </c>
      <c r="J1828">
        <v>-0.1</v>
      </c>
      <c r="K1828">
        <v>0.51</v>
      </c>
      <c r="L1828">
        <v>9.3</v>
      </c>
      <c r="M1828">
        <v>9.41</v>
      </c>
      <c r="N1828">
        <v>9.28</v>
      </c>
      <c r="O1828">
        <v>9.38</v>
      </c>
      <c r="P1828">
        <v>15.9</v>
      </c>
      <c r="Q1828">
        <v>37033376</v>
      </c>
      <c r="R1828">
        <v>1.27</v>
      </c>
      <c r="S1828" t="s">
        <v>218</v>
      </c>
      <c r="T1828" t="s">
        <v>149</v>
      </c>
      <c r="U1828">
        <v>1.39</v>
      </c>
      <c r="V1828">
        <v>9.37</v>
      </c>
      <c r="W1828">
        <v>20997</v>
      </c>
      <c r="X1828">
        <v>18517</v>
      </c>
      <c r="Y1828">
        <v>1.13</v>
      </c>
      <c r="Z1828">
        <v>97</v>
      </c>
      <c r="AA1828">
        <v>269</v>
      </c>
      <c r="AB1828" t="s">
        <v>32</v>
      </c>
      <c r="AC1828">
        <v>7.73</v>
      </c>
    </row>
    <row r="1829" spans="1:29">
      <c r="A1829" t="str">
        <f>"300460"</f>
        <v>300460</v>
      </c>
      <c r="B1829" t="s">
        <v>1998</v>
      </c>
      <c r="C1829">
        <v>-2.58</v>
      </c>
      <c r="D1829">
        <v>11.7</v>
      </c>
      <c r="E1829">
        <v>-0.31</v>
      </c>
      <c r="F1829">
        <v>11.69</v>
      </c>
      <c r="G1829">
        <v>11.7</v>
      </c>
      <c r="H1829">
        <v>57020</v>
      </c>
      <c r="I1829">
        <v>1867</v>
      </c>
      <c r="J1829">
        <v>-0.42</v>
      </c>
      <c r="K1829">
        <v>3.39</v>
      </c>
      <c r="L1829">
        <v>11.9</v>
      </c>
      <c r="M1829">
        <v>11.92</v>
      </c>
      <c r="N1829">
        <v>11.51</v>
      </c>
      <c r="O1829">
        <v>12.01</v>
      </c>
      <c r="P1829">
        <v>206.76</v>
      </c>
      <c r="Q1829">
        <v>66745008</v>
      </c>
      <c r="R1829">
        <v>1.14</v>
      </c>
      <c r="S1829" t="s">
        <v>63</v>
      </c>
      <c r="T1829" t="s">
        <v>136</v>
      </c>
      <c r="U1829">
        <v>3.41</v>
      </c>
      <c r="V1829">
        <v>11.71</v>
      </c>
      <c r="W1829">
        <v>35787</v>
      </c>
      <c r="X1829">
        <v>21233</v>
      </c>
      <c r="Y1829">
        <v>1.69</v>
      </c>
      <c r="Z1829">
        <v>479</v>
      </c>
      <c r="AA1829">
        <v>85</v>
      </c>
      <c r="AB1829" t="s">
        <v>32</v>
      </c>
      <c r="AC1829">
        <v>1.68</v>
      </c>
    </row>
    <row r="1830" spans="1:29">
      <c r="A1830" t="str">
        <f>"300461"</f>
        <v>300461</v>
      </c>
      <c r="B1830" t="s">
        <v>1999</v>
      </c>
      <c r="C1830">
        <v>1.51</v>
      </c>
      <c r="D1830">
        <v>28.9</v>
      </c>
      <c r="E1830">
        <v>0.43</v>
      </c>
      <c r="F1830">
        <v>28.9</v>
      </c>
      <c r="G1830">
        <v>28.96</v>
      </c>
      <c r="H1830">
        <v>9782</v>
      </c>
      <c r="I1830">
        <v>202</v>
      </c>
      <c r="J1830">
        <v>-0.61</v>
      </c>
      <c r="K1830">
        <v>1.05</v>
      </c>
      <c r="L1830">
        <v>28.48</v>
      </c>
      <c r="M1830">
        <v>30</v>
      </c>
      <c r="N1830">
        <v>28.4</v>
      </c>
      <c r="O1830">
        <v>28.47</v>
      </c>
      <c r="P1830">
        <v>247.44</v>
      </c>
      <c r="Q1830">
        <v>28407594</v>
      </c>
      <c r="R1830">
        <v>1.31</v>
      </c>
      <c r="S1830" t="s">
        <v>171</v>
      </c>
      <c r="T1830" t="s">
        <v>149</v>
      </c>
      <c r="U1830">
        <v>5.62</v>
      </c>
      <c r="V1830">
        <v>29.04</v>
      </c>
      <c r="W1830">
        <v>5084</v>
      </c>
      <c r="X1830">
        <v>4697</v>
      </c>
      <c r="Y1830">
        <v>1.08</v>
      </c>
      <c r="Z1830">
        <v>1</v>
      </c>
      <c r="AA1830">
        <v>3</v>
      </c>
      <c r="AB1830" t="s">
        <v>32</v>
      </c>
      <c r="AC1830">
        <v>0.93</v>
      </c>
    </row>
    <row r="1831" spans="1:29">
      <c r="A1831" t="str">
        <f>"300462"</f>
        <v>300462</v>
      </c>
      <c r="B1831" t="s">
        <v>2000</v>
      </c>
      <c r="C1831">
        <v>1.36</v>
      </c>
      <c r="D1831">
        <v>23.83</v>
      </c>
      <c r="E1831">
        <v>0.32</v>
      </c>
      <c r="F1831">
        <v>23.82</v>
      </c>
      <c r="G1831">
        <v>23.83</v>
      </c>
      <c r="H1831">
        <v>19732</v>
      </c>
      <c r="I1831">
        <v>494</v>
      </c>
      <c r="J1831">
        <v>0.25</v>
      </c>
      <c r="K1831">
        <v>2.9</v>
      </c>
      <c r="L1831">
        <v>23.51</v>
      </c>
      <c r="M1831">
        <v>23.84</v>
      </c>
      <c r="N1831">
        <v>23.42</v>
      </c>
      <c r="O1831">
        <v>23.51</v>
      </c>
      <c r="P1831">
        <v>29.75</v>
      </c>
      <c r="Q1831">
        <v>46696756</v>
      </c>
      <c r="R1831">
        <v>1.03</v>
      </c>
      <c r="S1831" t="s">
        <v>171</v>
      </c>
      <c r="T1831" t="s">
        <v>366</v>
      </c>
      <c r="U1831">
        <v>1.79</v>
      </c>
      <c r="V1831">
        <v>23.67</v>
      </c>
      <c r="W1831">
        <v>10261</v>
      </c>
      <c r="X1831">
        <v>9470</v>
      </c>
      <c r="Y1831">
        <v>1.08</v>
      </c>
      <c r="Z1831">
        <v>17</v>
      </c>
      <c r="AA1831">
        <v>42</v>
      </c>
      <c r="AB1831" t="s">
        <v>32</v>
      </c>
      <c r="AC1831">
        <v>0.68</v>
      </c>
    </row>
    <row r="1832" spans="1:29">
      <c r="A1832" t="str">
        <f>"300463"</f>
        <v>300463</v>
      </c>
      <c r="B1832" t="s">
        <v>2001</v>
      </c>
      <c r="C1832">
        <v>0</v>
      </c>
      <c r="D1832">
        <v>25.3</v>
      </c>
      <c r="E1832">
        <v>0</v>
      </c>
      <c r="F1832">
        <v>25.29</v>
      </c>
      <c r="G1832">
        <v>25.3</v>
      </c>
      <c r="H1832">
        <v>43154</v>
      </c>
      <c r="I1832">
        <v>656</v>
      </c>
      <c r="J1832">
        <v>-0.03</v>
      </c>
      <c r="K1832">
        <v>1.18</v>
      </c>
      <c r="L1832">
        <v>25.07</v>
      </c>
      <c r="M1832">
        <v>25.94</v>
      </c>
      <c r="N1832">
        <v>24.95</v>
      </c>
      <c r="O1832">
        <v>25.3</v>
      </c>
      <c r="P1832">
        <v>35.17</v>
      </c>
      <c r="Q1832">
        <v>109682304</v>
      </c>
      <c r="R1832">
        <v>1.21</v>
      </c>
      <c r="S1832" t="s">
        <v>138</v>
      </c>
      <c r="T1832" t="s">
        <v>146</v>
      </c>
      <c r="U1832">
        <v>3.91</v>
      </c>
      <c r="V1832">
        <v>25.42</v>
      </c>
      <c r="W1832">
        <v>22673</v>
      </c>
      <c r="X1832">
        <v>20481</v>
      </c>
      <c r="Y1832">
        <v>1.11</v>
      </c>
      <c r="Z1832">
        <v>4</v>
      </c>
      <c r="AA1832">
        <v>962</v>
      </c>
      <c r="AB1832" t="s">
        <v>32</v>
      </c>
      <c r="AC1832">
        <v>3.67</v>
      </c>
    </row>
    <row r="1833" spans="1:29">
      <c r="A1833" t="str">
        <f>"300464"</f>
        <v>300464</v>
      </c>
      <c r="B1833" t="s">
        <v>2002</v>
      </c>
      <c r="C1833">
        <v>6.61</v>
      </c>
      <c r="D1833">
        <v>12.25</v>
      </c>
      <c r="E1833">
        <v>0.76</v>
      </c>
      <c r="F1833">
        <v>12.23</v>
      </c>
      <c r="G1833">
        <v>12.25</v>
      </c>
      <c r="H1833">
        <v>274647</v>
      </c>
      <c r="I1833">
        <v>6225</v>
      </c>
      <c r="J1833">
        <v>-0.23</v>
      </c>
      <c r="K1833">
        <v>30.09</v>
      </c>
      <c r="L1833">
        <v>11.99</v>
      </c>
      <c r="M1833">
        <v>12.6</v>
      </c>
      <c r="N1833">
        <v>11.2</v>
      </c>
      <c r="O1833">
        <v>11.49</v>
      </c>
      <c r="P1833" t="s">
        <v>32</v>
      </c>
      <c r="Q1833">
        <v>327948320</v>
      </c>
      <c r="R1833">
        <v>3.21</v>
      </c>
      <c r="S1833" t="s">
        <v>241</v>
      </c>
      <c r="T1833" t="s">
        <v>136</v>
      </c>
      <c r="U1833">
        <v>12.18</v>
      </c>
      <c r="V1833">
        <v>11.94</v>
      </c>
      <c r="W1833">
        <v>126770</v>
      </c>
      <c r="X1833">
        <v>147877</v>
      </c>
      <c r="Y1833">
        <v>0.86</v>
      </c>
      <c r="Z1833">
        <v>2</v>
      </c>
      <c r="AA1833">
        <v>1486</v>
      </c>
      <c r="AB1833" t="s">
        <v>32</v>
      </c>
      <c r="AC1833">
        <v>0.91</v>
      </c>
    </row>
    <row r="1834" spans="1:29">
      <c r="A1834" t="str">
        <f>"300465"</f>
        <v>300465</v>
      </c>
      <c r="B1834" t="s">
        <v>2003</v>
      </c>
      <c r="C1834">
        <v>1.53</v>
      </c>
      <c r="D1834">
        <v>8.65</v>
      </c>
      <c r="E1834">
        <v>0.13</v>
      </c>
      <c r="F1834">
        <v>8.64</v>
      </c>
      <c r="G1834">
        <v>8.65</v>
      </c>
      <c r="H1834">
        <v>99855</v>
      </c>
      <c r="I1834">
        <v>1365</v>
      </c>
      <c r="J1834">
        <v>0.23</v>
      </c>
      <c r="K1834">
        <v>2.34</v>
      </c>
      <c r="L1834">
        <v>8.49</v>
      </c>
      <c r="M1834">
        <v>8.68</v>
      </c>
      <c r="N1834">
        <v>8.43</v>
      </c>
      <c r="O1834">
        <v>8.52</v>
      </c>
      <c r="P1834">
        <v>753.72</v>
      </c>
      <c r="Q1834">
        <v>85664096</v>
      </c>
      <c r="R1834">
        <v>1.28</v>
      </c>
      <c r="S1834" t="s">
        <v>270</v>
      </c>
      <c r="T1834" t="s">
        <v>45</v>
      </c>
      <c r="U1834">
        <v>2.93</v>
      </c>
      <c r="V1834">
        <v>8.58</v>
      </c>
      <c r="W1834">
        <v>47397</v>
      </c>
      <c r="X1834">
        <v>52457</v>
      </c>
      <c r="Y1834">
        <v>0.9</v>
      </c>
      <c r="Z1834">
        <v>378</v>
      </c>
      <c r="AA1834">
        <v>1828</v>
      </c>
      <c r="AB1834" t="s">
        <v>32</v>
      </c>
      <c r="AC1834">
        <v>4.27</v>
      </c>
    </row>
    <row r="1835" spans="1:29">
      <c r="A1835" t="str">
        <f>"300466"</f>
        <v>300466</v>
      </c>
      <c r="B1835" t="s">
        <v>2004</v>
      </c>
      <c r="C1835">
        <v>1.8</v>
      </c>
      <c r="D1835">
        <v>7.9</v>
      </c>
      <c r="E1835">
        <v>0.14</v>
      </c>
      <c r="F1835">
        <v>7.9</v>
      </c>
      <c r="G1835">
        <v>7.91</v>
      </c>
      <c r="H1835">
        <v>89520</v>
      </c>
      <c r="I1835">
        <v>1368</v>
      </c>
      <c r="J1835">
        <v>-0.24</v>
      </c>
      <c r="K1835">
        <v>3.25</v>
      </c>
      <c r="L1835">
        <v>7.77</v>
      </c>
      <c r="M1835">
        <v>8.2</v>
      </c>
      <c r="N1835">
        <v>7.7</v>
      </c>
      <c r="O1835">
        <v>7.76</v>
      </c>
      <c r="P1835">
        <v>191.66</v>
      </c>
      <c r="Q1835">
        <v>70797464</v>
      </c>
      <c r="R1835">
        <v>1.6</v>
      </c>
      <c r="S1835" t="s">
        <v>606</v>
      </c>
      <c r="T1835" t="s">
        <v>87</v>
      </c>
      <c r="U1835">
        <v>6.44</v>
      </c>
      <c r="V1835">
        <v>7.91</v>
      </c>
      <c r="W1835">
        <v>41939</v>
      </c>
      <c r="X1835">
        <v>47581</v>
      </c>
      <c r="Y1835">
        <v>0.88</v>
      </c>
      <c r="Z1835">
        <v>147</v>
      </c>
      <c r="AA1835">
        <v>59</v>
      </c>
      <c r="AB1835" t="s">
        <v>32</v>
      </c>
      <c r="AC1835">
        <v>2.76</v>
      </c>
    </row>
    <row r="1836" spans="1:29">
      <c r="A1836" t="str">
        <f>"300467"</f>
        <v>300467</v>
      </c>
      <c r="B1836" t="s">
        <v>2005</v>
      </c>
      <c r="C1836">
        <v>0.64</v>
      </c>
      <c r="D1836">
        <v>33.17</v>
      </c>
      <c r="E1836">
        <v>0.21</v>
      </c>
      <c r="F1836">
        <v>33.17</v>
      </c>
      <c r="G1836">
        <v>33.19</v>
      </c>
      <c r="H1836">
        <v>16175</v>
      </c>
      <c r="I1836">
        <v>252</v>
      </c>
      <c r="J1836">
        <v>-0.17</v>
      </c>
      <c r="K1836">
        <v>1.39</v>
      </c>
      <c r="L1836">
        <v>32.95</v>
      </c>
      <c r="M1836">
        <v>33.45</v>
      </c>
      <c r="N1836">
        <v>32.71</v>
      </c>
      <c r="O1836">
        <v>32.96</v>
      </c>
      <c r="P1836">
        <v>36.25</v>
      </c>
      <c r="Q1836">
        <v>53632936</v>
      </c>
      <c r="R1836">
        <v>1.02</v>
      </c>
      <c r="S1836" t="s">
        <v>316</v>
      </c>
      <c r="T1836" t="s">
        <v>146</v>
      </c>
      <c r="U1836">
        <v>2.25</v>
      </c>
      <c r="V1836">
        <v>33.16</v>
      </c>
      <c r="W1836">
        <v>7206</v>
      </c>
      <c r="X1836">
        <v>8969</v>
      </c>
      <c r="Y1836">
        <v>0.8</v>
      </c>
      <c r="Z1836">
        <v>116</v>
      </c>
      <c r="AA1836">
        <v>1</v>
      </c>
      <c r="AB1836" t="s">
        <v>32</v>
      </c>
      <c r="AC1836">
        <v>1.16</v>
      </c>
    </row>
    <row r="1837" spans="1:29">
      <c r="A1837" t="str">
        <f>"300468"</f>
        <v>300468</v>
      </c>
      <c r="B1837" t="s">
        <v>2006</v>
      </c>
      <c r="C1837">
        <v>0.49</v>
      </c>
      <c r="D1837">
        <v>18.34</v>
      </c>
      <c r="E1837">
        <v>0.09</v>
      </c>
      <c r="F1837">
        <v>18.33</v>
      </c>
      <c r="G1837">
        <v>18.34</v>
      </c>
      <c r="H1837">
        <v>25278</v>
      </c>
      <c r="I1837">
        <v>823</v>
      </c>
      <c r="J1837">
        <v>-0.04</v>
      </c>
      <c r="K1837">
        <v>1.37</v>
      </c>
      <c r="L1837">
        <v>18.18</v>
      </c>
      <c r="M1837">
        <v>18.58</v>
      </c>
      <c r="N1837">
        <v>18.11</v>
      </c>
      <c r="O1837">
        <v>18.25</v>
      </c>
      <c r="P1837">
        <v>67.75</v>
      </c>
      <c r="Q1837">
        <v>46322192</v>
      </c>
      <c r="R1837">
        <v>1.04</v>
      </c>
      <c r="S1837" t="s">
        <v>270</v>
      </c>
      <c r="T1837" t="s">
        <v>31</v>
      </c>
      <c r="U1837">
        <v>2.58</v>
      </c>
      <c r="V1837">
        <v>18.33</v>
      </c>
      <c r="W1837">
        <v>12265</v>
      </c>
      <c r="X1837">
        <v>13012</v>
      </c>
      <c r="Y1837">
        <v>0.94</v>
      </c>
      <c r="Z1837">
        <v>69</v>
      </c>
      <c r="AA1837">
        <v>417</v>
      </c>
      <c r="AB1837" t="s">
        <v>32</v>
      </c>
      <c r="AC1837">
        <v>1.85</v>
      </c>
    </row>
    <row r="1838" spans="1:29">
      <c r="A1838" t="str">
        <f>"300469"</f>
        <v>300469</v>
      </c>
      <c r="B1838" t="s">
        <v>2007</v>
      </c>
      <c r="C1838">
        <v>10</v>
      </c>
      <c r="D1838">
        <v>27.72</v>
      </c>
      <c r="E1838">
        <v>2.52</v>
      </c>
      <c r="F1838">
        <v>27.72</v>
      </c>
      <c r="G1838" t="s">
        <v>32</v>
      </c>
      <c r="H1838">
        <v>98998</v>
      </c>
      <c r="I1838">
        <v>242</v>
      </c>
      <c r="J1838">
        <v>0</v>
      </c>
      <c r="K1838">
        <v>10.19</v>
      </c>
      <c r="L1838">
        <v>25.28</v>
      </c>
      <c r="M1838">
        <v>27.72</v>
      </c>
      <c r="N1838">
        <v>25.14</v>
      </c>
      <c r="O1838">
        <v>25.2</v>
      </c>
      <c r="P1838" t="s">
        <v>32</v>
      </c>
      <c r="Q1838">
        <v>260153120</v>
      </c>
      <c r="R1838">
        <v>1.7</v>
      </c>
      <c r="S1838" t="s">
        <v>270</v>
      </c>
      <c r="T1838" t="s">
        <v>366</v>
      </c>
      <c r="U1838">
        <v>10.24</v>
      </c>
      <c r="V1838">
        <v>26.28</v>
      </c>
      <c r="W1838">
        <v>46742</v>
      </c>
      <c r="X1838">
        <v>52256</v>
      </c>
      <c r="Y1838">
        <v>0.89</v>
      </c>
      <c r="Z1838">
        <v>8167</v>
      </c>
      <c r="AA1838">
        <v>0</v>
      </c>
      <c r="AB1838" t="s">
        <v>32</v>
      </c>
      <c r="AC1838">
        <v>0.97</v>
      </c>
    </row>
    <row r="1839" spans="1:29">
      <c r="A1839" t="str">
        <f>"300470"</f>
        <v>300470</v>
      </c>
      <c r="B1839" t="s">
        <v>2008</v>
      </c>
      <c r="C1839">
        <v>3.88</v>
      </c>
      <c r="D1839">
        <v>51.35</v>
      </c>
      <c r="E1839">
        <v>1.92</v>
      </c>
      <c r="F1839">
        <v>51.33</v>
      </c>
      <c r="G1839">
        <v>51.35</v>
      </c>
      <c r="H1839">
        <v>20334</v>
      </c>
      <c r="I1839">
        <v>341</v>
      </c>
      <c r="J1839">
        <v>0.1</v>
      </c>
      <c r="K1839">
        <v>2.11</v>
      </c>
      <c r="L1839">
        <v>49.55</v>
      </c>
      <c r="M1839">
        <v>51.65</v>
      </c>
      <c r="N1839">
        <v>49.3</v>
      </c>
      <c r="O1839">
        <v>49.43</v>
      </c>
      <c r="P1839">
        <v>44.67</v>
      </c>
      <c r="Q1839">
        <v>103131552</v>
      </c>
      <c r="R1839">
        <v>1.54</v>
      </c>
      <c r="S1839" t="s">
        <v>241</v>
      </c>
      <c r="T1839" t="s">
        <v>146</v>
      </c>
      <c r="U1839">
        <v>4.75</v>
      </c>
      <c r="V1839">
        <v>50.72</v>
      </c>
      <c r="W1839">
        <v>6987</v>
      </c>
      <c r="X1839">
        <v>13347</v>
      </c>
      <c r="Y1839">
        <v>0.52</v>
      </c>
      <c r="Z1839">
        <v>13</v>
      </c>
      <c r="AA1839">
        <v>33</v>
      </c>
      <c r="AB1839" t="s">
        <v>32</v>
      </c>
      <c r="AC1839">
        <v>0.96</v>
      </c>
    </row>
    <row r="1840" spans="1:29">
      <c r="A1840" t="str">
        <f>"300471"</f>
        <v>300471</v>
      </c>
      <c r="B1840" t="s">
        <v>2009</v>
      </c>
      <c r="C1840">
        <v>2.83</v>
      </c>
      <c r="D1840">
        <v>6.91</v>
      </c>
      <c r="E1840">
        <v>0.19</v>
      </c>
      <c r="F1840">
        <v>6.91</v>
      </c>
      <c r="G1840">
        <v>6.92</v>
      </c>
      <c r="H1840">
        <v>61214</v>
      </c>
      <c r="I1840">
        <v>714</v>
      </c>
      <c r="J1840">
        <v>0.44</v>
      </c>
      <c r="K1840">
        <v>2.24</v>
      </c>
      <c r="L1840">
        <v>6.74</v>
      </c>
      <c r="M1840">
        <v>6.95</v>
      </c>
      <c r="N1840">
        <v>6.71</v>
      </c>
      <c r="O1840">
        <v>6.72</v>
      </c>
      <c r="P1840" t="s">
        <v>32</v>
      </c>
      <c r="Q1840">
        <v>41940552</v>
      </c>
      <c r="R1840">
        <v>1.68</v>
      </c>
      <c r="S1840" t="s">
        <v>171</v>
      </c>
      <c r="T1840" t="s">
        <v>146</v>
      </c>
      <c r="U1840">
        <v>3.57</v>
      </c>
      <c r="V1840">
        <v>6.85</v>
      </c>
      <c r="W1840">
        <v>23512</v>
      </c>
      <c r="X1840">
        <v>37701</v>
      </c>
      <c r="Y1840">
        <v>0.62</v>
      </c>
      <c r="Z1840">
        <v>651</v>
      </c>
      <c r="AA1840">
        <v>981</v>
      </c>
      <c r="AB1840" t="s">
        <v>32</v>
      </c>
      <c r="AC1840">
        <v>2.74</v>
      </c>
    </row>
    <row r="1841" spans="1:29">
      <c r="A1841" t="str">
        <f>"300472"</f>
        <v>300472</v>
      </c>
      <c r="B1841" t="s">
        <v>2010</v>
      </c>
      <c r="C1841">
        <v>0.2</v>
      </c>
      <c r="D1841">
        <v>20.14</v>
      </c>
      <c r="E1841">
        <v>0.04</v>
      </c>
      <c r="F1841">
        <v>20.11</v>
      </c>
      <c r="G1841">
        <v>20.14</v>
      </c>
      <c r="H1841">
        <v>5029</v>
      </c>
      <c r="I1841">
        <v>89</v>
      </c>
      <c r="J1841">
        <v>-0.04</v>
      </c>
      <c r="K1841">
        <v>0.71</v>
      </c>
      <c r="L1841">
        <v>20.21</v>
      </c>
      <c r="M1841">
        <v>20.21</v>
      </c>
      <c r="N1841">
        <v>19.8</v>
      </c>
      <c r="O1841">
        <v>20.1</v>
      </c>
      <c r="P1841">
        <v>67.15</v>
      </c>
      <c r="Q1841">
        <v>10081577</v>
      </c>
      <c r="R1841">
        <v>1.5</v>
      </c>
      <c r="S1841" t="s">
        <v>171</v>
      </c>
      <c r="T1841" t="s">
        <v>45</v>
      </c>
      <c r="U1841">
        <v>2.04</v>
      </c>
      <c r="V1841">
        <v>20.05</v>
      </c>
      <c r="W1841">
        <v>2516</v>
      </c>
      <c r="X1841">
        <v>2512</v>
      </c>
      <c r="Y1841">
        <v>1</v>
      </c>
      <c r="Z1841">
        <v>14</v>
      </c>
      <c r="AA1841">
        <v>45</v>
      </c>
      <c r="AB1841" t="s">
        <v>32</v>
      </c>
      <c r="AC1841">
        <v>0.71</v>
      </c>
    </row>
    <row r="1842" spans="1:29">
      <c r="A1842" t="str">
        <f>"300473"</f>
        <v>300473</v>
      </c>
      <c r="B1842" t="s">
        <v>2011</v>
      </c>
      <c r="C1842">
        <v>0.8</v>
      </c>
      <c r="D1842">
        <v>35.38</v>
      </c>
      <c r="E1842">
        <v>0.28</v>
      </c>
      <c r="F1842">
        <v>35.35</v>
      </c>
      <c r="G1842">
        <v>35.38</v>
      </c>
      <c r="H1842">
        <v>7450</v>
      </c>
      <c r="I1842">
        <v>86</v>
      </c>
      <c r="J1842">
        <v>0.08</v>
      </c>
      <c r="K1842">
        <v>0.75</v>
      </c>
      <c r="L1842">
        <v>35.15</v>
      </c>
      <c r="M1842">
        <v>35.45</v>
      </c>
      <c r="N1842">
        <v>34.74</v>
      </c>
      <c r="O1842">
        <v>35.1</v>
      </c>
      <c r="P1842">
        <v>20.37</v>
      </c>
      <c r="Q1842">
        <v>26249312</v>
      </c>
      <c r="R1842">
        <v>1.24</v>
      </c>
      <c r="S1842" t="s">
        <v>80</v>
      </c>
      <c r="T1842" t="s">
        <v>111</v>
      </c>
      <c r="U1842">
        <v>2.02</v>
      </c>
      <c r="V1842">
        <v>35.23</v>
      </c>
      <c r="W1842">
        <v>3974</v>
      </c>
      <c r="X1842">
        <v>3476</v>
      </c>
      <c r="Y1842">
        <v>1.14</v>
      </c>
      <c r="Z1842">
        <v>31</v>
      </c>
      <c r="AA1842">
        <v>49</v>
      </c>
      <c r="AB1842" t="s">
        <v>32</v>
      </c>
      <c r="AC1842">
        <v>1</v>
      </c>
    </row>
    <row r="1843" spans="1:29">
      <c r="A1843" t="str">
        <f>"300474"</f>
        <v>300474</v>
      </c>
      <c r="B1843" t="s">
        <v>2012</v>
      </c>
      <c r="C1843">
        <v>0.13</v>
      </c>
      <c r="D1843">
        <v>52.02</v>
      </c>
      <c r="E1843">
        <v>0.07</v>
      </c>
      <c r="F1843">
        <v>52.02</v>
      </c>
      <c r="G1843">
        <v>52.03</v>
      </c>
      <c r="H1843">
        <v>33725</v>
      </c>
      <c r="I1843">
        <v>636</v>
      </c>
      <c r="J1843">
        <v>-0.33</v>
      </c>
      <c r="K1843">
        <v>5.03</v>
      </c>
      <c r="L1843">
        <v>52.3</v>
      </c>
      <c r="M1843">
        <v>52.9</v>
      </c>
      <c r="N1843">
        <v>51.47</v>
      </c>
      <c r="O1843">
        <v>51.95</v>
      </c>
      <c r="P1843">
        <v>250.5</v>
      </c>
      <c r="Q1843">
        <v>175985008</v>
      </c>
      <c r="R1843">
        <v>1</v>
      </c>
      <c r="S1843" t="s">
        <v>63</v>
      </c>
      <c r="T1843" t="s">
        <v>152</v>
      </c>
      <c r="U1843">
        <v>2.75</v>
      </c>
      <c r="V1843">
        <v>52.18</v>
      </c>
      <c r="W1843">
        <v>16916</v>
      </c>
      <c r="X1843">
        <v>16808</v>
      </c>
      <c r="Y1843">
        <v>1.01</v>
      </c>
      <c r="Z1843">
        <v>180</v>
      </c>
      <c r="AA1843">
        <v>5</v>
      </c>
      <c r="AB1843" t="s">
        <v>32</v>
      </c>
      <c r="AC1843">
        <v>0.67</v>
      </c>
    </row>
    <row r="1844" spans="1:29">
      <c r="A1844" t="str">
        <f>"300475"</f>
        <v>300475</v>
      </c>
      <c r="B1844" t="s">
        <v>2013</v>
      </c>
      <c r="C1844">
        <v>1.73</v>
      </c>
      <c r="D1844">
        <v>9.99</v>
      </c>
      <c r="E1844">
        <v>0.17</v>
      </c>
      <c r="F1844">
        <v>9.98</v>
      </c>
      <c r="G1844">
        <v>9.99</v>
      </c>
      <c r="H1844">
        <v>6938</v>
      </c>
      <c r="I1844">
        <v>306</v>
      </c>
      <c r="J1844">
        <v>0.3</v>
      </c>
      <c r="K1844">
        <v>0.35</v>
      </c>
      <c r="L1844">
        <v>9.81</v>
      </c>
      <c r="M1844">
        <v>9.99</v>
      </c>
      <c r="N1844">
        <v>9.72</v>
      </c>
      <c r="O1844">
        <v>9.82</v>
      </c>
      <c r="P1844" t="s">
        <v>32</v>
      </c>
      <c r="Q1844">
        <v>6867550</v>
      </c>
      <c r="R1844">
        <v>0.8</v>
      </c>
      <c r="S1844" t="s">
        <v>171</v>
      </c>
      <c r="T1844" t="s">
        <v>143</v>
      </c>
      <c r="U1844">
        <v>2.75</v>
      </c>
      <c r="V1844">
        <v>9.9</v>
      </c>
      <c r="W1844">
        <v>3570</v>
      </c>
      <c r="X1844">
        <v>3367</v>
      </c>
      <c r="Y1844">
        <v>1.06</v>
      </c>
      <c r="Z1844">
        <v>34</v>
      </c>
      <c r="AA1844">
        <v>257</v>
      </c>
      <c r="AB1844" t="s">
        <v>32</v>
      </c>
      <c r="AC1844">
        <v>2</v>
      </c>
    </row>
    <row r="1845" spans="1:29">
      <c r="A1845" t="str">
        <f>"300476"</f>
        <v>300476</v>
      </c>
      <c r="B1845" t="s">
        <v>2014</v>
      </c>
      <c r="C1845">
        <v>0</v>
      </c>
      <c r="D1845">
        <v>16.6</v>
      </c>
      <c r="E1845">
        <v>0</v>
      </c>
      <c r="F1845">
        <v>16.6</v>
      </c>
      <c r="G1845">
        <v>16.61</v>
      </c>
      <c r="H1845">
        <v>80661</v>
      </c>
      <c r="I1845">
        <v>846</v>
      </c>
      <c r="J1845">
        <v>0.24</v>
      </c>
      <c r="K1845">
        <v>1.21</v>
      </c>
      <c r="L1845">
        <v>16.54</v>
      </c>
      <c r="M1845">
        <v>16.77</v>
      </c>
      <c r="N1845">
        <v>16.23</v>
      </c>
      <c r="O1845">
        <v>16.6</v>
      </c>
      <c r="P1845">
        <v>36.24</v>
      </c>
      <c r="Q1845">
        <v>133488312</v>
      </c>
      <c r="R1845">
        <v>1.02</v>
      </c>
      <c r="S1845" t="s">
        <v>63</v>
      </c>
      <c r="T1845" t="s">
        <v>136</v>
      </c>
      <c r="U1845">
        <v>3.25</v>
      </c>
      <c r="V1845">
        <v>16.55</v>
      </c>
      <c r="W1845">
        <v>33416</v>
      </c>
      <c r="X1845">
        <v>47244</v>
      </c>
      <c r="Y1845">
        <v>0.71</v>
      </c>
      <c r="Z1845">
        <v>65</v>
      </c>
      <c r="AA1845">
        <v>1050</v>
      </c>
      <c r="AB1845" t="s">
        <v>32</v>
      </c>
      <c r="AC1845">
        <v>6.66</v>
      </c>
    </row>
    <row r="1846" spans="1:29">
      <c r="A1846" t="str">
        <f>"300477"</f>
        <v>300477</v>
      </c>
      <c r="B1846" t="s">
        <v>2015</v>
      </c>
      <c r="C1846">
        <v>-1.8</v>
      </c>
      <c r="D1846">
        <v>13.65</v>
      </c>
      <c r="E1846">
        <v>-0.25</v>
      </c>
      <c r="F1846">
        <v>13.64</v>
      </c>
      <c r="G1846">
        <v>13.65</v>
      </c>
      <c r="H1846">
        <v>248677</v>
      </c>
      <c r="I1846">
        <v>3537</v>
      </c>
      <c r="J1846">
        <v>-0.21</v>
      </c>
      <c r="K1846">
        <v>8.73</v>
      </c>
      <c r="L1846">
        <v>13.93</v>
      </c>
      <c r="M1846">
        <v>14.09</v>
      </c>
      <c r="N1846">
        <v>13.19</v>
      </c>
      <c r="O1846">
        <v>13.9</v>
      </c>
      <c r="P1846">
        <v>396.04</v>
      </c>
      <c r="Q1846">
        <v>336453376</v>
      </c>
      <c r="R1846">
        <v>0.71</v>
      </c>
      <c r="S1846" t="s">
        <v>104</v>
      </c>
      <c r="T1846" t="s">
        <v>45</v>
      </c>
      <c r="U1846">
        <v>6.47</v>
      </c>
      <c r="V1846">
        <v>13.53</v>
      </c>
      <c r="W1846">
        <v>131847</v>
      </c>
      <c r="X1846">
        <v>116830</v>
      </c>
      <c r="Y1846">
        <v>1.13</v>
      </c>
      <c r="Z1846">
        <v>151</v>
      </c>
      <c r="AA1846">
        <v>112</v>
      </c>
      <c r="AB1846" t="s">
        <v>32</v>
      </c>
      <c r="AC1846">
        <v>2.85</v>
      </c>
    </row>
    <row r="1847" spans="1:29">
      <c r="A1847" t="str">
        <f>"300478"</f>
        <v>300478</v>
      </c>
      <c r="B1847" t="s">
        <v>2016</v>
      </c>
      <c r="C1847">
        <v>0.85</v>
      </c>
      <c r="D1847">
        <v>17.85</v>
      </c>
      <c r="E1847">
        <v>0.15</v>
      </c>
      <c r="F1847">
        <v>17.83</v>
      </c>
      <c r="G1847">
        <v>17.85</v>
      </c>
      <c r="H1847">
        <v>8084</v>
      </c>
      <c r="I1847">
        <v>188</v>
      </c>
      <c r="J1847">
        <v>-0.05</v>
      </c>
      <c r="K1847">
        <v>0.64</v>
      </c>
      <c r="L1847">
        <v>17.73</v>
      </c>
      <c r="M1847">
        <v>17.93</v>
      </c>
      <c r="N1847">
        <v>17.47</v>
      </c>
      <c r="O1847">
        <v>17.7</v>
      </c>
      <c r="P1847">
        <v>50.08</v>
      </c>
      <c r="Q1847">
        <v>14345083</v>
      </c>
      <c r="R1847">
        <v>1.53</v>
      </c>
      <c r="S1847" t="s">
        <v>526</v>
      </c>
      <c r="T1847" t="s">
        <v>149</v>
      </c>
      <c r="U1847">
        <v>2.6</v>
      </c>
      <c r="V1847">
        <v>17.74</v>
      </c>
      <c r="W1847">
        <v>1963</v>
      </c>
      <c r="X1847">
        <v>6121</v>
      </c>
      <c r="Y1847">
        <v>0.32</v>
      </c>
      <c r="Z1847">
        <v>2</v>
      </c>
      <c r="AA1847">
        <v>11</v>
      </c>
      <c r="AB1847" t="s">
        <v>32</v>
      </c>
      <c r="AC1847">
        <v>1.27</v>
      </c>
    </row>
    <row r="1848" spans="1:29">
      <c r="A1848" t="str">
        <f>"300479"</f>
        <v>300479</v>
      </c>
      <c r="B1848" t="s">
        <v>2017</v>
      </c>
      <c r="C1848">
        <v>-0.12</v>
      </c>
      <c r="D1848">
        <v>16.1</v>
      </c>
      <c r="E1848">
        <v>-0.02</v>
      </c>
      <c r="F1848">
        <v>16.09</v>
      </c>
      <c r="G1848">
        <v>16.1</v>
      </c>
      <c r="H1848">
        <v>25788</v>
      </c>
      <c r="I1848">
        <v>469</v>
      </c>
      <c r="J1848">
        <v>0.06</v>
      </c>
      <c r="K1848">
        <v>1.61</v>
      </c>
      <c r="L1848">
        <v>16.18</v>
      </c>
      <c r="M1848">
        <v>16.24</v>
      </c>
      <c r="N1848">
        <v>15.9</v>
      </c>
      <c r="O1848">
        <v>16.12</v>
      </c>
      <c r="P1848">
        <v>453.08</v>
      </c>
      <c r="Q1848">
        <v>41491148</v>
      </c>
      <c r="R1848">
        <v>0.65</v>
      </c>
      <c r="S1848" t="s">
        <v>270</v>
      </c>
      <c r="T1848" t="s">
        <v>162</v>
      </c>
      <c r="U1848">
        <v>2.11</v>
      </c>
      <c r="V1848">
        <v>16.09</v>
      </c>
      <c r="W1848">
        <v>14459</v>
      </c>
      <c r="X1848">
        <v>11328</v>
      </c>
      <c r="Y1848">
        <v>1.28</v>
      </c>
      <c r="Z1848">
        <v>253</v>
      </c>
      <c r="AA1848">
        <v>164</v>
      </c>
      <c r="AB1848" t="s">
        <v>32</v>
      </c>
      <c r="AC1848">
        <v>1.6</v>
      </c>
    </row>
    <row r="1849" spans="1:29">
      <c r="A1849" t="str">
        <f>"300480"</f>
        <v>300480</v>
      </c>
      <c r="B1849" t="s">
        <v>2018</v>
      </c>
      <c r="C1849">
        <v>0.73</v>
      </c>
      <c r="D1849">
        <v>12.47</v>
      </c>
      <c r="E1849">
        <v>0.09</v>
      </c>
      <c r="F1849">
        <v>12.47</v>
      </c>
      <c r="G1849">
        <v>12.48</v>
      </c>
      <c r="H1849">
        <v>16109</v>
      </c>
      <c r="I1849">
        <v>401</v>
      </c>
      <c r="J1849">
        <v>0</v>
      </c>
      <c r="K1849">
        <v>1.44</v>
      </c>
      <c r="L1849">
        <v>12.38</v>
      </c>
      <c r="M1849">
        <v>12.52</v>
      </c>
      <c r="N1849">
        <v>12.2</v>
      </c>
      <c r="O1849">
        <v>12.38</v>
      </c>
      <c r="P1849">
        <v>150.44</v>
      </c>
      <c r="Q1849">
        <v>19993240</v>
      </c>
      <c r="R1849">
        <v>1.07</v>
      </c>
      <c r="S1849" t="s">
        <v>606</v>
      </c>
      <c r="T1849" t="s">
        <v>164</v>
      </c>
      <c r="U1849">
        <v>2.58</v>
      </c>
      <c r="V1849">
        <v>12.41</v>
      </c>
      <c r="W1849">
        <v>7031</v>
      </c>
      <c r="X1849">
        <v>9078</v>
      </c>
      <c r="Y1849">
        <v>0.77</v>
      </c>
      <c r="Z1849">
        <v>27</v>
      </c>
      <c r="AA1849">
        <v>115</v>
      </c>
      <c r="AB1849" t="s">
        <v>32</v>
      </c>
      <c r="AC1849">
        <v>1.12</v>
      </c>
    </row>
    <row r="1850" spans="1:29">
      <c r="A1850" t="str">
        <f>"300481"</f>
        <v>300481</v>
      </c>
      <c r="B1850" t="s">
        <v>2019</v>
      </c>
      <c r="C1850">
        <v>0.87</v>
      </c>
      <c r="D1850">
        <v>12.79</v>
      </c>
      <c r="E1850">
        <v>0.11</v>
      </c>
      <c r="F1850">
        <v>12.78</v>
      </c>
      <c r="G1850">
        <v>12.79</v>
      </c>
      <c r="H1850">
        <v>32410</v>
      </c>
      <c r="I1850">
        <v>347</v>
      </c>
      <c r="J1850">
        <v>0.08</v>
      </c>
      <c r="K1850">
        <v>2.7</v>
      </c>
      <c r="L1850">
        <v>12.65</v>
      </c>
      <c r="M1850">
        <v>12.94</v>
      </c>
      <c r="N1850">
        <v>12.6</v>
      </c>
      <c r="O1850">
        <v>12.68</v>
      </c>
      <c r="P1850">
        <v>38.34</v>
      </c>
      <c r="Q1850">
        <v>41379416</v>
      </c>
      <c r="R1850">
        <v>0.92</v>
      </c>
      <c r="S1850" t="s">
        <v>218</v>
      </c>
      <c r="T1850" t="s">
        <v>164</v>
      </c>
      <c r="U1850">
        <v>2.68</v>
      </c>
      <c r="V1850">
        <v>12.77</v>
      </c>
      <c r="W1850">
        <v>15335</v>
      </c>
      <c r="X1850">
        <v>17074</v>
      </c>
      <c r="Y1850">
        <v>0.9</v>
      </c>
      <c r="Z1850">
        <v>352</v>
      </c>
      <c r="AA1850">
        <v>60</v>
      </c>
      <c r="AB1850" t="s">
        <v>32</v>
      </c>
      <c r="AC1850">
        <v>1.2</v>
      </c>
    </row>
    <row r="1851" spans="1:29">
      <c r="A1851" t="str">
        <f>"300482"</f>
        <v>300482</v>
      </c>
      <c r="B1851" t="s">
        <v>2020</v>
      </c>
      <c r="C1851">
        <v>0.92</v>
      </c>
      <c r="D1851">
        <v>40.63</v>
      </c>
      <c r="E1851">
        <v>0.37</v>
      </c>
      <c r="F1851">
        <v>40.63</v>
      </c>
      <c r="G1851">
        <v>40.64</v>
      </c>
      <c r="H1851">
        <v>22449</v>
      </c>
      <c r="I1851">
        <v>177</v>
      </c>
      <c r="J1851">
        <v>-0.04</v>
      </c>
      <c r="K1851">
        <v>1.01</v>
      </c>
      <c r="L1851">
        <v>39.91</v>
      </c>
      <c r="M1851">
        <v>41.04</v>
      </c>
      <c r="N1851">
        <v>38.78</v>
      </c>
      <c r="O1851">
        <v>40.26</v>
      </c>
      <c r="P1851">
        <v>63.11</v>
      </c>
      <c r="Q1851">
        <v>89892920</v>
      </c>
      <c r="R1851">
        <v>0.83</v>
      </c>
      <c r="S1851" t="s">
        <v>36</v>
      </c>
      <c r="T1851" t="s">
        <v>136</v>
      </c>
      <c r="U1851">
        <v>5.61</v>
      </c>
      <c r="V1851">
        <v>40.04</v>
      </c>
      <c r="W1851">
        <v>11604</v>
      </c>
      <c r="X1851">
        <v>10845</v>
      </c>
      <c r="Y1851">
        <v>1.07</v>
      </c>
      <c r="Z1851">
        <v>44</v>
      </c>
      <c r="AA1851">
        <v>2</v>
      </c>
      <c r="AB1851" t="s">
        <v>32</v>
      </c>
      <c r="AC1851">
        <v>2.22</v>
      </c>
    </row>
    <row r="1852" spans="1:29">
      <c r="A1852" t="str">
        <f>"300483"</f>
        <v>300483</v>
      </c>
      <c r="B1852" t="s">
        <v>2021</v>
      </c>
      <c r="C1852">
        <v>1.85</v>
      </c>
      <c r="D1852">
        <v>26.49</v>
      </c>
      <c r="E1852">
        <v>0.48</v>
      </c>
      <c r="F1852">
        <v>26.3</v>
      </c>
      <c r="G1852">
        <v>26.49</v>
      </c>
      <c r="H1852">
        <v>3437</v>
      </c>
      <c r="I1852">
        <v>274</v>
      </c>
      <c r="J1852">
        <v>0.88</v>
      </c>
      <c r="K1852">
        <v>0.56</v>
      </c>
      <c r="L1852">
        <v>26.01</v>
      </c>
      <c r="M1852">
        <v>26.49</v>
      </c>
      <c r="N1852">
        <v>26.01</v>
      </c>
      <c r="O1852">
        <v>26.01</v>
      </c>
      <c r="P1852">
        <v>70.27</v>
      </c>
      <c r="Q1852">
        <v>9020273</v>
      </c>
      <c r="R1852">
        <v>1.43</v>
      </c>
      <c r="S1852" t="s">
        <v>171</v>
      </c>
      <c r="T1852" t="s">
        <v>366</v>
      </c>
      <c r="U1852">
        <v>1.85</v>
      </c>
      <c r="V1852">
        <v>26.24</v>
      </c>
      <c r="W1852">
        <v>1462</v>
      </c>
      <c r="X1852">
        <v>1975</v>
      </c>
      <c r="Y1852">
        <v>0.74</v>
      </c>
      <c r="Z1852">
        <v>14</v>
      </c>
      <c r="AA1852">
        <v>21</v>
      </c>
      <c r="AB1852" t="s">
        <v>32</v>
      </c>
      <c r="AC1852">
        <v>0.61</v>
      </c>
    </row>
    <row r="1853" spans="1:29">
      <c r="A1853" t="str">
        <f>"300484"</f>
        <v>300484</v>
      </c>
      <c r="B1853" t="s">
        <v>2022</v>
      </c>
      <c r="C1853">
        <v>2.09</v>
      </c>
      <c r="D1853">
        <v>13.7</v>
      </c>
      <c r="E1853">
        <v>0.28</v>
      </c>
      <c r="F1853">
        <v>13.7</v>
      </c>
      <c r="G1853">
        <v>13.71</v>
      </c>
      <c r="H1853">
        <v>36065</v>
      </c>
      <c r="I1853">
        <v>1086</v>
      </c>
      <c r="J1853">
        <v>-0.28</v>
      </c>
      <c r="K1853">
        <v>3.84</v>
      </c>
      <c r="L1853">
        <v>13.48</v>
      </c>
      <c r="M1853">
        <v>13.77</v>
      </c>
      <c r="N1853">
        <v>13.31</v>
      </c>
      <c r="O1853">
        <v>13.42</v>
      </c>
      <c r="P1853">
        <v>194.84</v>
      </c>
      <c r="Q1853">
        <v>49007460</v>
      </c>
      <c r="R1853">
        <v>0.87</v>
      </c>
      <c r="S1853" t="s">
        <v>104</v>
      </c>
      <c r="T1853" t="s">
        <v>31</v>
      </c>
      <c r="U1853">
        <v>3.43</v>
      </c>
      <c r="V1853">
        <v>13.59</v>
      </c>
      <c r="W1853">
        <v>17942</v>
      </c>
      <c r="X1853">
        <v>18122</v>
      </c>
      <c r="Y1853">
        <v>0.99</v>
      </c>
      <c r="Z1853">
        <v>389</v>
      </c>
      <c r="AA1853">
        <v>42</v>
      </c>
      <c r="AB1853" t="s">
        <v>32</v>
      </c>
      <c r="AC1853">
        <v>0.94</v>
      </c>
    </row>
    <row r="1854" spans="1:29">
      <c r="A1854" t="str">
        <f>"300485"</f>
        <v>300485</v>
      </c>
      <c r="B1854" t="s">
        <v>2023</v>
      </c>
      <c r="C1854">
        <v>-0.07</v>
      </c>
      <c r="D1854">
        <v>13.8</v>
      </c>
      <c r="E1854">
        <v>-0.01</v>
      </c>
      <c r="F1854">
        <v>13.8</v>
      </c>
      <c r="G1854">
        <v>13.81</v>
      </c>
      <c r="H1854">
        <v>37590</v>
      </c>
      <c r="I1854">
        <v>494</v>
      </c>
      <c r="J1854">
        <v>0.07</v>
      </c>
      <c r="K1854">
        <v>1.78</v>
      </c>
      <c r="L1854">
        <v>13.71</v>
      </c>
      <c r="M1854">
        <v>13.94</v>
      </c>
      <c r="N1854">
        <v>13.5</v>
      </c>
      <c r="O1854">
        <v>13.81</v>
      </c>
      <c r="P1854">
        <v>27.66</v>
      </c>
      <c r="Q1854">
        <v>51695476</v>
      </c>
      <c r="R1854">
        <v>0.93</v>
      </c>
      <c r="S1854" t="s">
        <v>36</v>
      </c>
      <c r="T1854" t="s">
        <v>45</v>
      </c>
      <c r="U1854">
        <v>3.19</v>
      </c>
      <c r="V1854">
        <v>13.75</v>
      </c>
      <c r="W1854">
        <v>19200</v>
      </c>
      <c r="X1854">
        <v>18390</v>
      </c>
      <c r="Y1854">
        <v>1.04</v>
      </c>
      <c r="Z1854">
        <v>512</v>
      </c>
      <c r="AA1854">
        <v>80</v>
      </c>
      <c r="AB1854" t="s">
        <v>32</v>
      </c>
      <c r="AC1854">
        <v>2.11</v>
      </c>
    </row>
    <row r="1855" spans="1:29">
      <c r="A1855" t="str">
        <f>"300486"</f>
        <v>300486</v>
      </c>
      <c r="B1855" t="s">
        <v>2024</v>
      </c>
      <c r="C1855">
        <v>0</v>
      </c>
      <c r="D1855">
        <v>16.8</v>
      </c>
      <c r="E1855">
        <v>0</v>
      </c>
      <c r="F1855">
        <v>16.79</v>
      </c>
      <c r="G1855">
        <v>16.8</v>
      </c>
      <c r="H1855">
        <v>28964</v>
      </c>
      <c r="I1855">
        <v>503</v>
      </c>
      <c r="J1855">
        <v>0.24</v>
      </c>
      <c r="K1855">
        <v>2.17</v>
      </c>
      <c r="L1855">
        <v>16.64</v>
      </c>
      <c r="M1855">
        <v>16.91</v>
      </c>
      <c r="N1855">
        <v>16.42</v>
      </c>
      <c r="O1855">
        <v>16.8</v>
      </c>
      <c r="P1855">
        <v>70.6</v>
      </c>
      <c r="Q1855">
        <v>48221588</v>
      </c>
      <c r="R1855">
        <v>1.12</v>
      </c>
      <c r="S1855" t="s">
        <v>171</v>
      </c>
      <c r="T1855" t="s">
        <v>169</v>
      </c>
      <c r="U1855">
        <v>2.92</v>
      </c>
      <c r="V1855">
        <v>16.65</v>
      </c>
      <c r="W1855">
        <v>16106</v>
      </c>
      <c r="X1855">
        <v>12857</v>
      </c>
      <c r="Y1855">
        <v>1.25</v>
      </c>
      <c r="Z1855">
        <v>450</v>
      </c>
      <c r="AA1855">
        <v>287</v>
      </c>
      <c r="AB1855" t="s">
        <v>32</v>
      </c>
      <c r="AC1855">
        <v>1.34</v>
      </c>
    </row>
    <row r="1856" spans="1:29">
      <c r="A1856" t="str">
        <f>"300487"</f>
        <v>300487</v>
      </c>
      <c r="B1856" t="s">
        <v>2025</v>
      </c>
      <c r="C1856">
        <v>0</v>
      </c>
      <c r="D1856">
        <v>35.84</v>
      </c>
      <c r="E1856">
        <v>0</v>
      </c>
      <c r="F1856">
        <v>35.84</v>
      </c>
      <c r="G1856">
        <v>35.85</v>
      </c>
      <c r="H1856">
        <v>29803</v>
      </c>
      <c r="I1856">
        <v>578</v>
      </c>
      <c r="J1856">
        <v>-0.1</v>
      </c>
      <c r="K1856">
        <v>2.75</v>
      </c>
      <c r="L1856">
        <v>35.52</v>
      </c>
      <c r="M1856">
        <v>36.5</v>
      </c>
      <c r="N1856">
        <v>35.4</v>
      </c>
      <c r="O1856">
        <v>35.84</v>
      </c>
      <c r="P1856">
        <v>90.13</v>
      </c>
      <c r="Q1856">
        <v>107018216</v>
      </c>
      <c r="R1856">
        <v>0.67</v>
      </c>
      <c r="S1856" t="s">
        <v>218</v>
      </c>
      <c r="T1856" t="s">
        <v>223</v>
      </c>
      <c r="U1856">
        <v>3.07</v>
      </c>
      <c r="V1856">
        <v>35.91</v>
      </c>
      <c r="W1856">
        <v>14924</v>
      </c>
      <c r="X1856">
        <v>14878</v>
      </c>
      <c r="Y1856">
        <v>1</v>
      </c>
      <c r="Z1856">
        <v>692</v>
      </c>
      <c r="AA1856">
        <v>74</v>
      </c>
      <c r="AB1856" t="s">
        <v>32</v>
      </c>
      <c r="AC1856">
        <v>1.08</v>
      </c>
    </row>
    <row r="1857" spans="1:29">
      <c r="A1857" t="str">
        <f>"300488"</f>
        <v>300488</v>
      </c>
      <c r="B1857" t="s">
        <v>2026</v>
      </c>
      <c r="C1857">
        <v>-0.16</v>
      </c>
      <c r="D1857">
        <v>31.63</v>
      </c>
      <c r="E1857">
        <v>-0.05</v>
      </c>
      <c r="F1857">
        <v>31.63</v>
      </c>
      <c r="G1857">
        <v>31.69</v>
      </c>
      <c r="H1857">
        <v>4246</v>
      </c>
      <c r="I1857">
        <v>4</v>
      </c>
      <c r="J1857">
        <v>-0.02</v>
      </c>
      <c r="K1857">
        <v>1.4</v>
      </c>
      <c r="L1857">
        <v>31.95</v>
      </c>
      <c r="M1857">
        <v>32.03</v>
      </c>
      <c r="N1857">
        <v>31.21</v>
      </c>
      <c r="O1857">
        <v>31.68</v>
      </c>
      <c r="P1857">
        <v>37.22</v>
      </c>
      <c r="Q1857">
        <v>13465318</v>
      </c>
      <c r="R1857">
        <v>2.95</v>
      </c>
      <c r="S1857" t="s">
        <v>241</v>
      </c>
      <c r="T1857" t="s">
        <v>149</v>
      </c>
      <c r="U1857">
        <v>2.59</v>
      </c>
      <c r="V1857">
        <v>31.71</v>
      </c>
      <c r="W1857">
        <v>2306</v>
      </c>
      <c r="X1857">
        <v>1940</v>
      </c>
      <c r="Y1857">
        <v>1.19</v>
      </c>
      <c r="Z1857">
        <v>6</v>
      </c>
      <c r="AA1857">
        <v>104</v>
      </c>
      <c r="AB1857" t="s">
        <v>32</v>
      </c>
      <c r="AC1857">
        <v>0.3</v>
      </c>
    </row>
    <row r="1858" spans="1:29">
      <c r="A1858" t="str">
        <f>"300489"</f>
        <v>300489</v>
      </c>
      <c r="B1858" t="s">
        <v>2027</v>
      </c>
      <c r="C1858">
        <v>1.25</v>
      </c>
      <c r="D1858">
        <v>14.57</v>
      </c>
      <c r="E1858">
        <v>0.18</v>
      </c>
      <c r="F1858">
        <v>14.56</v>
      </c>
      <c r="G1858">
        <v>14.57</v>
      </c>
      <c r="H1858">
        <v>8337</v>
      </c>
      <c r="I1858">
        <v>60</v>
      </c>
      <c r="J1858">
        <v>0.07</v>
      </c>
      <c r="K1858">
        <v>1.17</v>
      </c>
      <c r="L1858">
        <v>14.45</v>
      </c>
      <c r="M1858">
        <v>14.64</v>
      </c>
      <c r="N1858">
        <v>14.24</v>
      </c>
      <c r="O1858">
        <v>14.39</v>
      </c>
      <c r="P1858">
        <v>105.68</v>
      </c>
      <c r="Q1858">
        <v>12108485</v>
      </c>
      <c r="R1858">
        <v>1.16</v>
      </c>
      <c r="S1858" t="s">
        <v>324</v>
      </c>
      <c r="T1858" t="s">
        <v>297</v>
      </c>
      <c r="U1858">
        <v>2.78</v>
      </c>
      <c r="V1858">
        <v>14.52</v>
      </c>
      <c r="W1858">
        <v>4648</v>
      </c>
      <c r="X1858">
        <v>3689</v>
      </c>
      <c r="Y1858">
        <v>1.26</v>
      </c>
      <c r="Z1858">
        <v>18</v>
      </c>
      <c r="AA1858">
        <v>39</v>
      </c>
      <c r="AB1858" t="s">
        <v>32</v>
      </c>
      <c r="AC1858">
        <v>0.72</v>
      </c>
    </row>
    <row r="1859" spans="1:29">
      <c r="A1859" t="str">
        <f>"300490"</f>
        <v>300490</v>
      </c>
      <c r="B1859" t="s">
        <v>2028</v>
      </c>
      <c r="C1859">
        <v>1.98</v>
      </c>
      <c r="D1859">
        <v>17.54</v>
      </c>
      <c r="E1859">
        <v>0.34</v>
      </c>
      <c r="F1859">
        <v>17.54</v>
      </c>
      <c r="G1859">
        <v>17.55</v>
      </c>
      <c r="H1859">
        <v>55271</v>
      </c>
      <c r="I1859">
        <v>1542</v>
      </c>
      <c r="J1859">
        <v>0.63</v>
      </c>
      <c r="K1859">
        <v>6.08</v>
      </c>
      <c r="L1859">
        <v>17.46</v>
      </c>
      <c r="M1859">
        <v>17.55</v>
      </c>
      <c r="N1859">
        <v>17.18</v>
      </c>
      <c r="O1859">
        <v>17.2</v>
      </c>
      <c r="P1859">
        <v>108.8</v>
      </c>
      <c r="Q1859">
        <v>95981576</v>
      </c>
      <c r="R1859">
        <v>0.77</v>
      </c>
      <c r="S1859" t="s">
        <v>104</v>
      </c>
      <c r="T1859" t="s">
        <v>152</v>
      </c>
      <c r="U1859">
        <v>2.15</v>
      </c>
      <c r="V1859">
        <v>17.37</v>
      </c>
      <c r="W1859">
        <v>25696</v>
      </c>
      <c r="X1859">
        <v>29575</v>
      </c>
      <c r="Y1859">
        <v>0.87</v>
      </c>
      <c r="Z1859">
        <v>469</v>
      </c>
      <c r="AA1859">
        <v>273</v>
      </c>
      <c r="AB1859" t="s">
        <v>32</v>
      </c>
      <c r="AC1859">
        <v>0.91</v>
      </c>
    </row>
    <row r="1860" spans="1:29">
      <c r="A1860" t="str">
        <f>"300491"</f>
        <v>300491</v>
      </c>
      <c r="B1860" t="s">
        <v>2029</v>
      </c>
      <c r="C1860">
        <v>-5.28</v>
      </c>
      <c r="D1860">
        <v>19.56</v>
      </c>
      <c r="E1860">
        <v>-1.09</v>
      </c>
      <c r="F1860">
        <v>19.55</v>
      </c>
      <c r="G1860">
        <v>19.56</v>
      </c>
      <c r="H1860">
        <v>104159</v>
      </c>
      <c r="I1860">
        <v>1916</v>
      </c>
      <c r="J1860">
        <v>-0.55</v>
      </c>
      <c r="K1860">
        <v>20.33</v>
      </c>
      <c r="L1860">
        <v>20.01</v>
      </c>
      <c r="M1860">
        <v>20.87</v>
      </c>
      <c r="N1860">
        <v>19.08</v>
      </c>
      <c r="O1860">
        <v>20.65</v>
      </c>
      <c r="P1860" t="s">
        <v>32</v>
      </c>
      <c r="Q1860">
        <v>204721696</v>
      </c>
      <c r="R1860">
        <v>1.39</v>
      </c>
      <c r="S1860" t="s">
        <v>104</v>
      </c>
      <c r="T1860" t="s">
        <v>154</v>
      </c>
      <c r="U1860">
        <v>8.67</v>
      </c>
      <c r="V1860">
        <v>19.65</v>
      </c>
      <c r="W1860">
        <v>59983</v>
      </c>
      <c r="X1860">
        <v>44176</v>
      </c>
      <c r="Y1860">
        <v>1.36</v>
      </c>
      <c r="Z1860">
        <v>181</v>
      </c>
      <c r="AA1860">
        <v>213</v>
      </c>
      <c r="AB1860" t="s">
        <v>32</v>
      </c>
      <c r="AC1860">
        <v>0.51</v>
      </c>
    </row>
    <row r="1861" spans="1:29">
      <c r="A1861" t="str">
        <f>"300492"</f>
        <v>300492</v>
      </c>
      <c r="B1861" t="s">
        <v>2030</v>
      </c>
      <c r="C1861">
        <v>10.02</v>
      </c>
      <c r="D1861">
        <v>25.47</v>
      </c>
      <c r="E1861">
        <v>2.32</v>
      </c>
      <c r="F1861">
        <v>25.47</v>
      </c>
      <c r="G1861" t="s">
        <v>32</v>
      </c>
      <c r="H1861">
        <v>26981</v>
      </c>
      <c r="I1861">
        <v>39</v>
      </c>
      <c r="J1861">
        <v>0</v>
      </c>
      <c r="K1861">
        <v>10.92</v>
      </c>
      <c r="L1861">
        <v>23.16</v>
      </c>
      <c r="M1861">
        <v>25.47</v>
      </c>
      <c r="N1861">
        <v>23.02</v>
      </c>
      <c r="O1861">
        <v>23.15</v>
      </c>
      <c r="P1861">
        <v>274.61</v>
      </c>
      <c r="Q1861">
        <v>66477196</v>
      </c>
      <c r="R1861">
        <v>4.5</v>
      </c>
      <c r="S1861" t="s">
        <v>49</v>
      </c>
      <c r="T1861" t="s">
        <v>146</v>
      </c>
      <c r="U1861">
        <v>10.58</v>
      </c>
      <c r="V1861">
        <v>24.64</v>
      </c>
      <c r="W1861">
        <v>15094</v>
      </c>
      <c r="X1861">
        <v>11886</v>
      </c>
      <c r="Y1861">
        <v>1.27</v>
      </c>
      <c r="Z1861">
        <v>7487</v>
      </c>
      <c r="AA1861">
        <v>0</v>
      </c>
      <c r="AB1861" t="s">
        <v>32</v>
      </c>
      <c r="AC1861">
        <v>0.25</v>
      </c>
    </row>
    <row r="1862" spans="1:29">
      <c r="A1862" t="str">
        <f>"300493"</f>
        <v>300493</v>
      </c>
      <c r="B1862" t="s">
        <v>2031</v>
      </c>
      <c r="C1862">
        <v>-3.43</v>
      </c>
      <c r="D1862">
        <v>12.1</v>
      </c>
      <c r="E1862">
        <v>-0.43</v>
      </c>
      <c r="F1862">
        <v>12.1</v>
      </c>
      <c r="G1862">
        <v>12.11</v>
      </c>
      <c r="H1862">
        <v>93049</v>
      </c>
      <c r="I1862">
        <v>1836</v>
      </c>
      <c r="J1862">
        <v>0.33</v>
      </c>
      <c r="K1862">
        <v>6.02</v>
      </c>
      <c r="L1862">
        <v>11.99</v>
      </c>
      <c r="M1862">
        <v>12.15</v>
      </c>
      <c r="N1862">
        <v>11.51</v>
      </c>
      <c r="O1862">
        <v>12.53</v>
      </c>
      <c r="P1862">
        <v>72.35</v>
      </c>
      <c r="Q1862">
        <v>110089248</v>
      </c>
      <c r="R1862">
        <v>1.77</v>
      </c>
      <c r="S1862" t="s">
        <v>119</v>
      </c>
      <c r="T1862" t="s">
        <v>366</v>
      </c>
      <c r="U1862">
        <v>5.11</v>
      </c>
      <c r="V1862">
        <v>11.83</v>
      </c>
      <c r="W1862">
        <v>47546</v>
      </c>
      <c r="X1862">
        <v>45502</v>
      </c>
      <c r="Y1862">
        <v>1.04</v>
      </c>
      <c r="Z1862">
        <v>788</v>
      </c>
      <c r="AA1862">
        <v>30</v>
      </c>
      <c r="AB1862" t="s">
        <v>32</v>
      </c>
      <c r="AC1862">
        <v>1.55</v>
      </c>
    </row>
    <row r="1863" spans="1:29">
      <c r="A1863" t="str">
        <f>"300494"</f>
        <v>300494</v>
      </c>
      <c r="B1863" t="s">
        <v>2032</v>
      </c>
      <c r="C1863">
        <v>1.38</v>
      </c>
      <c r="D1863">
        <v>12.5</v>
      </c>
      <c r="E1863">
        <v>0.17</v>
      </c>
      <c r="F1863">
        <v>12.5</v>
      </c>
      <c r="G1863">
        <v>12.51</v>
      </c>
      <c r="H1863">
        <v>24497</v>
      </c>
      <c r="I1863">
        <v>1226</v>
      </c>
      <c r="J1863">
        <v>0.16</v>
      </c>
      <c r="K1863">
        <v>2.8</v>
      </c>
      <c r="L1863">
        <v>12.33</v>
      </c>
      <c r="M1863">
        <v>12.54</v>
      </c>
      <c r="N1863">
        <v>12.23</v>
      </c>
      <c r="O1863">
        <v>12.33</v>
      </c>
      <c r="P1863">
        <v>37.39</v>
      </c>
      <c r="Q1863">
        <v>30484514</v>
      </c>
      <c r="R1863">
        <v>1.33</v>
      </c>
      <c r="S1863" t="s">
        <v>316</v>
      </c>
      <c r="T1863" t="s">
        <v>193</v>
      </c>
      <c r="U1863">
        <v>2.51</v>
      </c>
      <c r="V1863">
        <v>12.44</v>
      </c>
      <c r="W1863">
        <v>11970</v>
      </c>
      <c r="X1863">
        <v>12526</v>
      </c>
      <c r="Y1863">
        <v>0.96</v>
      </c>
      <c r="Z1863">
        <v>60</v>
      </c>
      <c r="AA1863">
        <v>168</v>
      </c>
      <c r="AB1863" t="s">
        <v>32</v>
      </c>
      <c r="AC1863">
        <v>0.88</v>
      </c>
    </row>
    <row r="1864" spans="1:29">
      <c r="A1864" t="str">
        <f>"300495"</f>
        <v>300495</v>
      </c>
      <c r="B1864" t="s">
        <v>2033</v>
      </c>
      <c r="C1864">
        <v>1.79</v>
      </c>
      <c r="D1864">
        <v>12.53</v>
      </c>
      <c r="E1864">
        <v>0.22</v>
      </c>
      <c r="F1864">
        <v>12.52</v>
      </c>
      <c r="G1864">
        <v>12.53</v>
      </c>
      <c r="H1864">
        <v>146806</v>
      </c>
      <c r="I1864">
        <v>1054</v>
      </c>
      <c r="J1864">
        <v>0.24</v>
      </c>
      <c r="K1864">
        <v>6.01</v>
      </c>
      <c r="L1864">
        <v>12.35</v>
      </c>
      <c r="M1864">
        <v>12.89</v>
      </c>
      <c r="N1864">
        <v>12.26</v>
      </c>
      <c r="O1864">
        <v>12.31</v>
      </c>
      <c r="P1864">
        <v>159.27</v>
      </c>
      <c r="Q1864">
        <v>184094992</v>
      </c>
      <c r="R1864">
        <v>2.12</v>
      </c>
      <c r="S1864" t="s">
        <v>86</v>
      </c>
      <c r="T1864" t="s">
        <v>87</v>
      </c>
      <c r="U1864">
        <v>5.12</v>
      </c>
      <c r="V1864">
        <v>12.54</v>
      </c>
      <c r="W1864">
        <v>82277</v>
      </c>
      <c r="X1864">
        <v>64529</v>
      </c>
      <c r="Y1864">
        <v>1.28</v>
      </c>
      <c r="Z1864">
        <v>273</v>
      </c>
      <c r="AA1864">
        <v>154</v>
      </c>
      <c r="AB1864" t="s">
        <v>32</v>
      </c>
      <c r="AC1864">
        <v>2.44</v>
      </c>
    </row>
    <row r="1865" spans="1:29">
      <c r="A1865" t="str">
        <f>"300496"</f>
        <v>300496</v>
      </c>
      <c r="B1865" t="s">
        <v>2034</v>
      </c>
      <c r="C1865">
        <v>-0.27</v>
      </c>
      <c r="D1865">
        <v>30.1</v>
      </c>
      <c r="E1865">
        <v>-0.08</v>
      </c>
      <c r="F1865">
        <v>30.1</v>
      </c>
      <c r="G1865">
        <v>30.11</v>
      </c>
      <c r="H1865">
        <v>73304</v>
      </c>
      <c r="I1865">
        <v>1092</v>
      </c>
      <c r="J1865">
        <v>0.17</v>
      </c>
      <c r="K1865">
        <v>3.2</v>
      </c>
      <c r="L1865">
        <v>30.04</v>
      </c>
      <c r="M1865">
        <v>30.35</v>
      </c>
      <c r="N1865">
        <v>29.71</v>
      </c>
      <c r="O1865">
        <v>30.18</v>
      </c>
      <c r="P1865">
        <v>80</v>
      </c>
      <c r="Q1865">
        <v>220370176</v>
      </c>
      <c r="R1865">
        <v>0.99</v>
      </c>
      <c r="S1865" t="s">
        <v>270</v>
      </c>
      <c r="T1865" t="s">
        <v>45</v>
      </c>
      <c r="U1865">
        <v>2.12</v>
      </c>
      <c r="V1865">
        <v>30.06</v>
      </c>
      <c r="W1865">
        <v>37966</v>
      </c>
      <c r="X1865">
        <v>35338</v>
      </c>
      <c r="Y1865">
        <v>1.07</v>
      </c>
      <c r="Z1865">
        <v>63</v>
      </c>
      <c r="AA1865">
        <v>122</v>
      </c>
      <c r="AB1865" t="s">
        <v>32</v>
      </c>
      <c r="AC1865">
        <v>2.29</v>
      </c>
    </row>
    <row r="1866" spans="1:29">
      <c r="A1866" t="str">
        <f>"300497"</f>
        <v>300497</v>
      </c>
      <c r="B1866" t="s">
        <v>2035</v>
      </c>
      <c r="C1866">
        <v>2.17</v>
      </c>
      <c r="D1866">
        <v>19.28</v>
      </c>
      <c r="E1866">
        <v>0.41</v>
      </c>
      <c r="F1866">
        <v>19.25</v>
      </c>
      <c r="G1866">
        <v>19.28</v>
      </c>
      <c r="H1866">
        <v>23463</v>
      </c>
      <c r="I1866">
        <v>213</v>
      </c>
      <c r="J1866">
        <v>0.26</v>
      </c>
      <c r="K1866">
        <v>1.9</v>
      </c>
      <c r="L1866">
        <v>18.64</v>
      </c>
      <c r="M1866">
        <v>19.46</v>
      </c>
      <c r="N1866">
        <v>18.57</v>
      </c>
      <c r="O1866">
        <v>18.87</v>
      </c>
      <c r="P1866">
        <v>17.52</v>
      </c>
      <c r="Q1866">
        <v>44978468</v>
      </c>
      <c r="R1866">
        <v>0.82</v>
      </c>
      <c r="S1866" t="s">
        <v>142</v>
      </c>
      <c r="T1866" t="s">
        <v>172</v>
      </c>
      <c r="U1866">
        <v>4.72</v>
      </c>
      <c r="V1866">
        <v>19.17</v>
      </c>
      <c r="W1866">
        <v>10378</v>
      </c>
      <c r="X1866">
        <v>13084</v>
      </c>
      <c r="Y1866">
        <v>0.79</v>
      </c>
      <c r="Z1866">
        <v>20</v>
      </c>
      <c r="AA1866">
        <v>112</v>
      </c>
      <c r="AB1866" t="s">
        <v>32</v>
      </c>
      <c r="AC1866">
        <v>1.23</v>
      </c>
    </row>
    <row r="1867" spans="1:29">
      <c r="A1867" t="str">
        <f>"300498"</f>
        <v>300498</v>
      </c>
      <c r="B1867" t="s">
        <v>2036</v>
      </c>
      <c r="C1867">
        <v>-0.72</v>
      </c>
      <c r="D1867">
        <v>23.33</v>
      </c>
      <c r="E1867">
        <v>-0.17</v>
      </c>
      <c r="F1867">
        <v>23.33</v>
      </c>
      <c r="G1867">
        <v>23.34</v>
      </c>
      <c r="H1867">
        <v>88468</v>
      </c>
      <c r="I1867">
        <v>1933</v>
      </c>
      <c r="J1867">
        <v>0.13</v>
      </c>
      <c r="K1867">
        <v>0.25</v>
      </c>
      <c r="L1867">
        <v>23.4</v>
      </c>
      <c r="M1867">
        <v>23.62</v>
      </c>
      <c r="N1867">
        <v>23.2</v>
      </c>
      <c r="O1867">
        <v>23.5</v>
      </c>
      <c r="P1867">
        <v>22.01</v>
      </c>
      <c r="Q1867">
        <v>206771520</v>
      </c>
      <c r="R1867">
        <v>0.94</v>
      </c>
      <c r="S1867" t="s">
        <v>115</v>
      </c>
      <c r="T1867" t="s">
        <v>136</v>
      </c>
      <c r="U1867">
        <v>1.79</v>
      </c>
      <c r="V1867">
        <v>23.37</v>
      </c>
      <c r="W1867">
        <v>46825</v>
      </c>
      <c r="X1867">
        <v>41643</v>
      </c>
      <c r="Y1867">
        <v>1.12</v>
      </c>
      <c r="Z1867">
        <v>1305</v>
      </c>
      <c r="AA1867">
        <v>186</v>
      </c>
      <c r="AB1867" t="s">
        <v>32</v>
      </c>
      <c r="AC1867">
        <v>35.73</v>
      </c>
    </row>
    <row r="1868" spans="1:29">
      <c r="A1868" t="str">
        <f>"300499"</f>
        <v>300499</v>
      </c>
      <c r="B1868" t="s">
        <v>2037</v>
      </c>
      <c r="C1868">
        <v>1.97</v>
      </c>
      <c r="D1868">
        <v>14.99</v>
      </c>
      <c r="E1868">
        <v>0.29</v>
      </c>
      <c r="F1868">
        <v>14.98</v>
      </c>
      <c r="G1868">
        <v>14.99</v>
      </c>
      <c r="H1868">
        <v>7889</v>
      </c>
      <c r="I1868">
        <v>206</v>
      </c>
      <c r="J1868">
        <v>0.27</v>
      </c>
      <c r="K1868">
        <v>1.17</v>
      </c>
      <c r="L1868">
        <v>14.72</v>
      </c>
      <c r="M1868">
        <v>15.11</v>
      </c>
      <c r="N1868">
        <v>14.71</v>
      </c>
      <c r="O1868">
        <v>14.7</v>
      </c>
      <c r="P1868" t="s">
        <v>32</v>
      </c>
      <c r="Q1868">
        <v>11795267</v>
      </c>
      <c r="R1868">
        <v>1.64</v>
      </c>
      <c r="S1868" t="s">
        <v>171</v>
      </c>
      <c r="T1868" t="s">
        <v>136</v>
      </c>
      <c r="U1868">
        <v>2.72</v>
      </c>
      <c r="V1868">
        <v>14.95</v>
      </c>
      <c r="W1868">
        <v>3318</v>
      </c>
      <c r="X1868">
        <v>4571</v>
      </c>
      <c r="Y1868">
        <v>0.73</v>
      </c>
      <c r="Z1868">
        <v>10</v>
      </c>
      <c r="AA1868">
        <v>181</v>
      </c>
      <c r="AB1868" t="s">
        <v>32</v>
      </c>
      <c r="AC1868">
        <v>0.68</v>
      </c>
    </row>
    <row r="1869" spans="1:29">
      <c r="A1869" t="str">
        <f>"300500"</f>
        <v>300500</v>
      </c>
      <c r="B1869" t="s">
        <v>2038</v>
      </c>
      <c r="C1869">
        <v>3.36</v>
      </c>
      <c r="D1869">
        <v>25.86</v>
      </c>
      <c r="E1869">
        <v>0.84</v>
      </c>
      <c r="F1869">
        <v>25.86</v>
      </c>
      <c r="G1869">
        <v>25.87</v>
      </c>
      <c r="H1869">
        <v>25777</v>
      </c>
      <c r="I1869">
        <v>521</v>
      </c>
      <c r="J1869">
        <v>0.23</v>
      </c>
      <c r="K1869">
        <v>5.94</v>
      </c>
      <c r="L1869">
        <v>25</v>
      </c>
      <c r="M1869">
        <v>27.18</v>
      </c>
      <c r="N1869">
        <v>24.86</v>
      </c>
      <c r="O1869">
        <v>25.02</v>
      </c>
      <c r="P1869">
        <v>70.09</v>
      </c>
      <c r="Q1869">
        <v>67342296</v>
      </c>
      <c r="R1869">
        <v>2.19</v>
      </c>
      <c r="S1869" t="s">
        <v>49</v>
      </c>
      <c r="T1869" t="s">
        <v>87</v>
      </c>
      <c r="U1869">
        <v>9.27</v>
      </c>
      <c r="V1869">
        <v>26.13</v>
      </c>
      <c r="W1869">
        <v>12868</v>
      </c>
      <c r="X1869">
        <v>12908</v>
      </c>
      <c r="Y1869">
        <v>1</v>
      </c>
      <c r="Z1869">
        <v>252</v>
      </c>
      <c r="AA1869">
        <v>7</v>
      </c>
      <c r="AB1869" t="s">
        <v>32</v>
      </c>
      <c r="AC1869">
        <v>0.43</v>
      </c>
    </row>
    <row r="1870" spans="1:29">
      <c r="A1870" t="str">
        <f>"300501"</f>
        <v>300501</v>
      </c>
      <c r="B1870" t="s">
        <v>2039</v>
      </c>
      <c r="C1870">
        <v>0.05</v>
      </c>
      <c r="D1870">
        <v>21.66</v>
      </c>
      <c r="E1870">
        <v>0.01</v>
      </c>
      <c r="F1870">
        <v>21.66</v>
      </c>
      <c r="G1870">
        <v>21.67</v>
      </c>
      <c r="H1870">
        <v>8385</v>
      </c>
      <c r="I1870">
        <v>158</v>
      </c>
      <c r="J1870">
        <v>0.23</v>
      </c>
      <c r="K1870">
        <v>2.33</v>
      </c>
      <c r="L1870">
        <v>21.61</v>
      </c>
      <c r="M1870">
        <v>21.86</v>
      </c>
      <c r="N1870">
        <v>21.44</v>
      </c>
      <c r="O1870">
        <v>21.65</v>
      </c>
      <c r="P1870">
        <v>34.54</v>
      </c>
      <c r="Q1870">
        <v>18177222</v>
      </c>
      <c r="R1870">
        <v>1.4</v>
      </c>
      <c r="S1870" t="s">
        <v>91</v>
      </c>
      <c r="T1870" t="s">
        <v>366</v>
      </c>
      <c r="U1870">
        <v>1.94</v>
      </c>
      <c r="V1870">
        <v>21.68</v>
      </c>
      <c r="W1870">
        <v>4759</v>
      </c>
      <c r="X1870">
        <v>3625</v>
      </c>
      <c r="Y1870">
        <v>1.31</v>
      </c>
      <c r="Z1870">
        <v>82</v>
      </c>
      <c r="AA1870">
        <v>22</v>
      </c>
      <c r="AB1870" t="s">
        <v>32</v>
      </c>
      <c r="AC1870">
        <v>0.36</v>
      </c>
    </row>
    <row r="1871" spans="1:29">
      <c r="A1871" t="str">
        <f>"300502"</f>
        <v>300502</v>
      </c>
      <c r="B1871" t="s">
        <v>2040</v>
      </c>
      <c r="C1871">
        <v>-0.93</v>
      </c>
      <c r="D1871">
        <v>14.92</v>
      </c>
      <c r="E1871">
        <v>-0.14</v>
      </c>
      <c r="F1871">
        <v>14.91</v>
      </c>
      <c r="G1871">
        <v>14.92</v>
      </c>
      <c r="H1871">
        <v>34130</v>
      </c>
      <c r="I1871">
        <v>442</v>
      </c>
      <c r="J1871">
        <v>0.2</v>
      </c>
      <c r="K1871">
        <v>2.69</v>
      </c>
      <c r="L1871">
        <v>14.45</v>
      </c>
      <c r="M1871">
        <v>15</v>
      </c>
      <c r="N1871">
        <v>14.45</v>
      </c>
      <c r="O1871">
        <v>15.06</v>
      </c>
      <c r="P1871" t="s">
        <v>32</v>
      </c>
      <c r="Q1871">
        <v>50506984</v>
      </c>
      <c r="R1871">
        <v>0.99</v>
      </c>
      <c r="S1871" t="s">
        <v>119</v>
      </c>
      <c r="T1871" t="s">
        <v>146</v>
      </c>
      <c r="U1871">
        <v>3.65</v>
      </c>
      <c r="V1871">
        <v>14.8</v>
      </c>
      <c r="W1871">
        <v>18452</v>
      </c>
      <c r="X1871">
        <v>15678</v>
      </c>
      <c r="Y1871">
        <v>1.18</v>
      </c>
      <c r="Z1871">
        <v>85</v>
      </c>
      <c r="AA1871">
        <v>80</v>
      </c>
      <c r="AB1871" t="s">
        <v>32</v>
      </c>
      <c r="AC1871">
        <v>1.27</v>
      </c>
    </row>
    <row r="1872" spans="1:29">
      <c r="A1872" t="str">
        <f>"300503"</f>
        <v>300503</v>
      </c>
      <c r="B1872" t="s">
        <v>2041</v>
      </c>
      <c r="C1872">
        <v>1.77</v>
      </c>
      <c r="D1872">
        <v>11.5</v>
      </c>
      <c r="E1872">
        <v>0.2</v>
      </c>
      <c r="F1872">
        <v>11.49</v>
      </c>
      <c r="G1872">
        <v>11.5</v>
      </c>
      <c r="H1872">
        <v>34863</v>
      </c>
      <c r="I1872">
        <v>778</v>
      </c>
      <c r="J1872">
        <v>-0.16</v>
      </c>
      <c r="K1872">
        <v>3.38</v>
      </c>
      <c r="L1872">
        <v>11.27</v>
      </c>
      <c r="M1872">
        <v>11.58</v>
      </c>
      <c r="N1872">
        <v>11.12</v>
      </c>
      <c r="O1872">
        <v>11.3</v>
      </c>
      <c r="P1872">
        <v>56.71</v>
      </c>
      <c r="Q1872">
        <v>39864584</v>
      </c>
      <c r="R1872">
        <v>1.08</v>
      </c>
      <c r="S1872" t="s">
        <v>241</v>
      </c>
      <c r="T1872" t="s">
        <v>136</v>
      </c>
      <c r="U1872">
        <v>4.07</v>
      </c>
      <c r="V1872">
        <v>11.43</v>
      </c>
      <c r="W1872">
        <v>15219</v>
      </c>
      <c r="X1872">
        <v>19644</v>
      </c>
      <c r="Y1872">
        <v>0.77</v>
      </c>
      <c r="Z1872">
        <v>157</v>
      </c>
      <c r="AA1872">
        <v>323</v>
      </c>
      <c r="AB1872" t="s">
        <v>32</v>
      </c>
      <c r="AC1872">
        <v>1.03</v>
      </c>
    </row>
    <row r="1873" spans="1:29">
      <c r="A1873" t="str">
        <f>"300504"</f>
        <v>300504</v>
      </c>
      <c r="B1873" t="s">
        <v>2042</v>
      </c>
      <c r="C1873">
        <v>1.75</v>
      </c>
      <c r="D1873">
        <v>38.98</v>
      </c>
      <c r="E1873">
        <v>0.67</v>
      </c>
      <c r="F1873">
        <v>38.98</v>
      </c>
      <c r="G1873">
        <v>38.99</v>
      </c>
      <c r="H1873">
        <v>66674</v>
      </c>
      <c r="I1873">
        <v>1781</v>
      </c>
      <c r="J1873">
        <v>0.1</v>
      </c>
      <c r="K1873">
        <v>9.97</v>
      </c>
      <c r="L1873">
        <v>38.7</v>
      </c>
      <c r="M1873">
        <v>38.99</v>
      </c>
      <c r="N1873">
        <v>37.87</v>
      </c>
      <c r="O1873">
        <v>38.31</v>
      </c>
      <c r="P1873">
        <v>49.8</v>
      </c>
      <c r="Q1873">
        <v>256702320</v>
      </c>
      <c r="R1873">
        <v>0.93</v>
      </c>
      <c r="S1873" t="s">
        <v>119</v>
      </c>
      <c r="T1873" t="s">
        <v>146</v>
      </c>
      <c r="U1873">
        <v>2.92</v>
      </c>
      <c r="V1873">
        <v>38.5</v>
      </c>
      <c r="W1873">
        <v>30828</v>
      </c>
      <c r="X1873">
        <v>35845</v>
      </c>
      <c r="Y1873">
        <v>0.86</v>
      </c>
      <c r="Z1873">
        <v>181</v>
      </c>
      <c r="AA1873">
        <v>382</v>
      </c>
      <c r="AB1873" t="s">
        <v>32</v>
      </c>
      <c r="AC1873">
        <v>0.67</v>
      </c>
    </row>
    <row r="1874" spans="1:29">
      <c r="A1874" t="str">
        <f>"300505"</f>
        <v>300505</v>
      </c>
      <c r="B1874" t="s">
        <v>2043</v>
      </c>
      <c r="C1874">
        <v>-0.91</v>
      </c>
      <c r="D1874">
        <v>31.51</v>
      </c>
      <c r="E1874">
        <v>-0.29</v>
      </c>
      <c r="F1874">
        <v>31.51</v>
      </c>
      <c r="G1874">
        <v>31.52</v>
      </c>
      <c r="H1874">
        <v>30386</v>
      </c>
      <c r="I1874">
        <v>627</v>
      </c>
      <c r="J1874">
        <v>-0.02</v>
      </c>
      <c r="K1874">
        <v>8.01</v>
      </c>
      <c r="L1874">
        <v>32.56</v>
      </c>
      <c r="M1874">
        <v>32.9</v>
      </c>
      <c r="N1874">
        <v>31.4</v>
      </c>
      <c r="O1874">
        <v>31.8</v>
      </c>
      <c r="P1874">
        <v>88.56</v>
      </c>
      <c r="Q1874">
        <v>96971752</v>
      </c>
      <c r="R1874">
        <v>0.94</v>
      </c>
      <c r="S1874" t="s">
        <v>218</v>
      </c>
      <c r="T1874" t="s">
        <v>250</v>
      </c>
      <c r="U1874">
        <v>4.72</v>
      </c>
      <c r="V1874">
        <v>31.91</v>
      </c>
      <c r="W1874">
        <v>17861</v>
      </c>
      <c r="X1874">
        <v>12524</v>
      </c>
      <c r="Y1874">
        <v>1.43</v>
      </c>
      <c r="Z1874">
        <v>213</v>
      </c>
      <c r="AA1874">
        <v>68</v>
      </c>
      <c r="AB1874" t="s">
        <v>32</v>
      </c>
      <c r="AC1874">
        <v>0.38</v>
      </c>
    </row>
    <row r="1875" spans="1:29">
      <c r="A1875" t="str">
        <f>"300506"</f>
        <v>300506</v>
      </c>
      <c r="B1875" t="s">
        <v>2044</v>
      </c>
      <c r="C1875">
        <v>-0.14</v>
      </c>
      <c r="D1875">
        <v>21.23</v>
      </c>
      <c r="E1875">
        <v>-0.03</v>
      </c>
      <c r="F1875">
        <v>21.22</v>
      </c>
      <c r="G1875">
        <v>21.23</v>
      </c>
      <c r="H1875">
        <v>51525</v>
      </c>
      <c r="I1875">
        <v>572</v>
      </c>
      <c r="J1875">
        <v>-0.13</v>
      </c>
      <c r="K1875">
        <v>3.85</v>
      </c>
      <c r="L1875">
        <v>21.58</v>
      </c>
      <c r="M1875">
        <v>22.18</v>
      </c>
      <c r="N1875">
        <v>21.2</v>
      </c>
      <c r="O1875">
        <v>21.26</v>
      </c>
      <c r="P1875">
        <v>53.49</v>
      </c>
      <c r="Q1875">
        <v>111637416</v>
      </c>
      <c r="R1875">
        <v>1.39</v>
      </c>
      <c r="S1875" t="s">
        <v>49</v>
      </c>
      <c r="T1875" t="s">
        <v>31</v>
      </c>
      <c r="U1875">
        <v>4.61</v>
      </c>
      <c r="V1875">
        <v>21.67</v>
      </c>
      <c r="W1875">
        <v>27596</v>
      </c>
      <c r="X1875">
        <v>23929</v>
      </c>
      <c r="Y1875">
        <v>1.15</v>
      </c>
      <c r="Z1875">
        <v>205</v>
      </c>
      <c r="AA1875">
        <v>153</v>
      </c>
      <c r="AB1875" t="s">
        <v>32</v>
      </c>
      <c r="AC1875">
        <v>1.34</v>
      </c>
    </row>
    <row r="1876" spans="1:29">
      <c r="A1876" t="str">
        <f>"300507"</f>
        <v>300507</v>
      </c>
      <c r="B1876" t="s">
        <v>2045</v>
      </c>
      <c r="C1876">
        <v>1.2</v>
      </c>
      <c r="D1876">
        <v>25.36</v>
      </c>
      <c r="E1876">
        <v>0.3</v>
      </c>
      <c r="F1876">
        <v>25.36</v>
      </c>
      <c r="G1876">
        <v>25.37</v>
      </c>
      <c r="H1876">
        <v>54506</v>
      </c>
      <c r="I1876">
        <v>464</v>
      </c>
      <c r="J1876">
        <v>0.28</v>
      </c>
      <c r="K1876">
        <v>9.49</v>
      </c>
      <c r="L1876">
        <v>26</v>
      </c>
      <c r="M1876">
        <v>26.5</v>
      </c>
      <c r="N1876">
        <v>25.16</v>
      </c>
      <c r="O1876">
        <v>25.06</v>
      </c>
      <c r="P1876">
        <v>25.54</v>
      </c>
      <c r="Q1876">
        <v>140395584</v>
      </c>
      <c r="R1876">
        <v>5.98</v>
      </c>
      <c r="S1876" t="s">
        <v>80</v>
      </c>
      <c r="T1876" t="s">
        <v>87</v>
      </c>
      <c r="U1876">
        <v>5.35</v>
      </c>
      <c r="V1876">
        <v>25.76</v>
      </c>
      <c r="W1876">
        <v>30411</v>
      </c>
      <c r="X1876">
        <v>24094</v>
      </c>
      <c r="Y1876">
        <v>1.26</v>
      </c>
      <c r="Z1876">
        <v>327</v>
      </c>
      <c r="AA1876">
        <v>38</v>
      </c>
      <c r="AB1876" t="s">
        <v>32</v>
      </c>
      <c r="AC1876">
        <v>0.57</v>
      </c>
    </row>
    <row r="1877" spans="1:29">
      <c r="A1877" t="str">
        <f>"300508"</f>
        <v>300508</v>
      </c>
      <c r="B1877" t="s">
        <v>2046</v>
      </c>
      <c r="C1877">
        <v>0.28</v>
      </c>
      <c r="D1877">
        <v>28.87</v>
      </c>
      <c r="E1877">
        <v>0.08</v>
      </c>
      <c r="F1877">
        <v>28.87</v>
      </c>
      <c r="G1877">
        <v>28.9</v>
      </c>
      <c r="H1877">
        <v>6881</v>
      </c>
      <c r="I1877">
        <v>36</v>
      </c>
      <c r="J1877">
        <v>-0.02</v>
      </c>
      <c r="K1877">
        <v>2.6</v>
      </c>
      <c r="L1877">
        <v>28.88</v>
      </c>
      <c r="M1877">
        <v>28.98</v>
      </c>
      <c r="N1877">
        <v>28.5</v>
      </c>
      <c r="O1877">
        <v>28.79</v>
      </c>
      <c r="P1877">
        <v>83.59</v>
      </c>
      <c r="Q1877">
        <v>19800774</v>
      </c>
      <c r="R1877">
        <v>0.8</v>
      </c>
      <c r="S1877" t="s">
        <v>270</v>
      </c>
      <c r="T1877" t="s">
        <v>366</v>
      </c>
      <c r="U1877">
        <v>1.67</v>
      </c>
      <c r="V1877">
        <v>28.78</v>
      </c>
      <c r="W1877">
        <v>3945</v>
      </c>
      <c r="X1877">
        <v>2935</v>
      </c>
      <c r="Y1877">
        <v>1.34</v>
      </c>
      <c r="Z1877">
        <v>6</v>
      </c>
      <c r="AA1877">
        <v>28</v>
      </c>
      <c r="AB1877" t="s">
        <v>32</v>
      </c>
      <c r="AC1877">
        <v>0.26</v>
      </c>
    </row>
    <row r="1878" spans="1:29">
      <c r="A1878" t="str">
        <f>"300509"</f>
        <v>300509</v>
      </c>
      <c r="B1878" t="s">
        <v>2047</v>
      </c>
      <c r="C1878">
        <v>1.85</v>
      </c>
      <c r="D1878">
        <v>12.69</v>
      </c>
      <c r="E1878">
        <v>0.23</v>
      </c>
      <c r="F1878">
        <v>12.65</v>
      </c>
      <c r="G1878">
        <v>12.69</v>
      </c>
      <c r="H1878">
        <v>15006</v>
      </c>
      <c r="I1878">
        <v>243</v>
      </c>
      <c r="J1878">
        <v>0.24</v>
      </c>
      <c r="K1878">
        <v>3</v>
      </c>
      <c r="L1878">
        <v>12.44</v>
      </c>
      <c r="M1878">
        <v>12.74</v>
      </c>
      <c r="N1878">
        <v>12.43</v>
      </c>
      <c r="O1878">
        <v>12.46</v>
      </c>
      <c r="P1878">
        <v>40.68</v>
      </c>
      <c r="Q1878">
        <v>18973580</v>
      </c>
      <c r="R1878">
        <v>1.23</v>
      </c>
      <c r="S1878" t="s">
        <v>171</v>
      </c>
      <c r="T1878" t="s">
        <v>87</v>
      </c>
      <c r="U1878">
        <v>2.49</v>
      </c>
      <c r="V1878">
        <v>12.64</v>
      </c>
      <c r="W1878">
        <v>7390</v>
      </c>
      <c r="X1878">
        <v>7615</v>
      </c>
      <c r="Y1878">
        <v>0.97</v>
      </c>
      <c r="Z1878">
        <v>32</v>
      </c>
      <c r="AA1878">
        <v>357</v>
      </c>
      <c r="AB1878" t="s">
        <v>32</v>
      </c>
      <c r="AC1878">
        <v>0.5</v>
      </c>
    </row>
    <row r="1879" spans="1:29">
      <c r="A1879" t="str">
        <f>"300510"</f>
        <v>300510</v>
      </c>
      <c r="B1879" t="s">
        <v>2048</v>
      </c>
      <c r="C1879" t="s">
        <v>32</v>
      </c>
      <c r="D1879">
        <v>24.48</v>
      </c>
      <c r="E1879" t="s">
        <v>32</v>
      </c>
      <c r="F1879" t="s">
        <v>32</v>
      </c>
      <c r="G1879" t="s">
        <v>32</v>
      </c>
      <c r="H1879">
        <v>0</v>
      </c>
      <c r="I1879">
        <v>0</v>
      </c>
      <c r="J1879" t="s">
        <v>32</v>
      </c>
      <c r="K1879">
        <v>0</v>
      </c>
      <c r="L1879" t="s">
        <v>32</v>
      </c>
      <c r="M1879" t="s">
        <v>32</v>
      </c>
      <c r="N1879" t="s">
        <v>32</v>
      </c>
      <c r="O1879">
        <v>24.48</v>
      </c>
      <c r="P1879">
        <v>103.85</v>
      </c>
      <c r="Q1879">
        <v>0</v>
      </c>
      <c r="R1879">
        <v>0</v>
      </c>
      <c r="S1879" t="s">
        <v>104</v>
      </c>
      <c r="T1879" t="s">
        <v>81</v>
      </c>
      <c r="U1879">
        <v>0</v>
      </c>
      <c r="V1879">
        <v>24.48</v>
      </c>
      <c r="W1879">
        <v>0</v>
      </c>
      <c r="X1879">
        <v>0</v>
      </c>
      <c r="Y1879" t="s">
        <v>32</v>
      </c>
      <c r="Z1879">
        <v>0</v>
      </c>
      <c r="AA1879">
        <v>0</v>
      </c>
      <c r="AB1879" t="s">
        <v>32</v>
      </c>
      <c r="AC1879">
        <v>0.78</v>
      </c>
    </row>
    <row r="1880" spans="1:29">
      <c r="A1880" t="str">
        <f>"300511"</f>
        <v>300511</v>
      </c>
      <c r="B1880" t="s">
        <v>2049</v>
      </c>
      <c r="C1880">
        <v>2.39</v>
      </c>
      <c r="D1880">
        <v>8.13</v>
      </c>
      <c r="E1880">
        <v>0.19</v>
      </c>
      <c r="F1880">
        <v>8.12</v>
      </c>
      <c r="G1880">
        <v>8.13</v>
      </c>
      <c r="H1880">
        <v>58358</v>
      </c>
      <c r="I1880">
        <v>930</v>
      </c>
      <c r="J1880">
        <v>0.37</v>
      </c>
      <c r="K1880">
        <v>2.51</v>
      </c>
      <c r="L1880">
        <v>7.91</v>
      </c>
      <c r="M1880">
        <v>8.14</v>
      </c>
      <c r="N1880">
        <v>7.91</v>
      </c>
      <c r="O1880">
        <v>7.94</v>
      </c>
      <c r="P1880">
        <v>7.87</v>
      </c>
      <c r="Q1880">
        <v>47124284</v>
      </c>
      <c r="R1880">
        <v>1.03</v>
      </c>
      <c r="S1880" t="s">
        <v>404</v>
      </c>
      <c r="T1880" t="s">
        <v>366</v>
      </c>
      <c r="U1880">
        <v>2.9</v>
      </c>
      <c r="V1880">
        <v>8.08</v>
      </c>
      <c r="W1880">
        <v>27326</v>
      </c>
      <c r="X1880">
        <v>31032</v>
      </c>
      <c r="Y1880">
        <v>0.88</v>
      </c>
      <c r="Z1880">
        <v>447</v>
      </c>
      <c r="AA1880">
        <v>662</v>
      </c>
      <c r="AB1880" t="s">
        <v>32</v>
      </c>
      <c r="AC1880">
        <v>2.32</v>
      </c>
    </row>
    <row r="1881" spans="1:29">
      <c r="A1881" t="str">
        <f>"300512"</f>
        <v>300512</v>
      </c>
      <c r="B1881" t="s">
        <v>2050</v>
      </c>
      <c r="C1881">
        <v>2</v>
      </c>
      <c r="D1881">
        <v>16.3</v>
      </c>
      <c r="E1881">
        <v>0.32</v>
      </c>
      <c r="F1881">
        <v>16.3</v>
      </c>
      <c r="G1881">
        <v>16.32</v>
      </c>
      <c r="H1881">
        <v>15589</v>
      </c>
      <c r="I1881">
        <v>274</v>
      </c>
      <c r="J1881">
        <v>-0.23</v>
      </c>
      <c r="K1881">
        <v>2</v>
      </c>
      <c r="L1881">
        <v>15.99</v>
      </c>
      <c r="M1881">
        <v>16.42</v>
      </c>
      <c r="N1881">
        <v>15.94</v>
      </c>
      <c r="O1881">
        <v>15.98</v>
      </c>
      <c r="P1881">
        <v>26.58</v>
      </c>
      <c r="Q1881">
        <v>25244790</v>
      </c>
      <c r="R1881">
        <v>1.86</v>
      </c>
      <c r="S1881" t="s">
        <v>171</v>
      </c>
      <c r="T1881" t="s">
        <v>149</v>
      </c>
      <c r="U1881">
        <v>3</v>
      </c>
      <c r="V1881">
        <v>16.19</v>
      </c>
      <c r="W1881">
        <v>6668</v>
      </c>
      <c r="X1881">
        <v>8921</v>
      </c>
      <c r="Y1881">
        <v>0.75</v>
      </c>
      <c r="Z1881">
        <v>103</v>
      </c>
      <c r="AA1881">
        <v>22</v>
      </c>
      <c r="AB1881" t="s">
        <v>32</v>
      </c>
      <c r="AC1881">
        <v>0.78</v>
      </c>
    </row>
    <row r="1882" spans="1:29">
      <c r="A1882" t="str">
        <f>"300513"</f>
        <v>300513</v>
      </c>
      <c r="B1882" t="s">
        <v>2051</v>
      </c>
      <c r="C1882">
        <v>-1.79</v>
      </c>
      <c r="D1882">
        <v>28.61</v>
      </c>
      <c r="E1882">
        <v>-0.52</v>
      </c>
      <c r="F1882">
        <v>28.61</v>
      </c>
      <c r="G1882">
        <v>28.64</v>
      </c>
      <c r="H1882">
        <v>18451</v>
      </c>
      <c r="I1882">
        <v>291</v>
      </c>
      <c r="J1882">
        <v>0.11</v>
      </c>
      <c r="K1882">
        <v>3.02</v>
      </c>
      <c r="L1882">
        <v>28</v>
      </c>
      <c r="M1882">
        <v>28.85</v>
      </c>
      <c r="N1882">
        <v>27.55</v>
      </c>
      <c r="O1882">
        <v>29.13</v>
      </c>
      <c r="P1882">
        <v>920.45</v>
      </c>
      <c r="Q1882">
        <v>51923504</v>
      </c>
      <c r="R1882">
        <v>0.71</v>
      </c>
      <c r="S1882" t="s">
        <v>270</v>
      </c>
      <c r="T1882" t="s">
        <v>45</v>
      </c>
      <c r="U1882">
        <v>4.46</v>
      </c>
      <c r="V1882">
        <v>28.14</v>
      </c>
      <c r="W1882">
        <v>9871</v>
      </c>
      <c r="X1882">
        <v>8579</v>
      </c>
      <c r="Y1882">
        <v>1.15</v>
      </c>
      <c r="Z1882">
        <v>280</v>
      </c>
      <c r="AA1882">
        <v>5</v>
      </c>
      <c r="AB1882" t="s">
        <v>32</v>
      </c>
      <c r="AC1882">
        <v>0.61</v>
      </c>
    </row>
    <row r="1883" spans="1:29">
      <c r="A1883" t="str">
        <f>"300514"</f>
        <v>300514</v>
      </c>
      <c r="B1883" t="s">
        <v>2052</v>
      </c>
      <c r="C1883">
        <v>0.06</v>
      </c>
      <c r="D1883">
        <v>17.35</v>
      </c>
      <c r="E1883">
        <v>0.01</v>
      </c>
      <c r="F1883">
        <v>17.34</v>
      </c>
      <c r="G1883">
        <v>17.35</v>
      </c>
      <c r="H1883">
        <v>41925</v>
      </c>
      <c r="I1883">
        <v>1312</v>
      </c>
      <c r="J1883">
        <v>0.06</v>
      </c>
      <c r="K1883">
        <v>4.64</v>
      </c>
      <c r="L1883">
        <v>17.34</v>
      </c>
      <c r="M1883">
        <v>17.5</v>
      </c>
      <c r="N1883">
        <v>16.88</v>
      </c>
      <c r="O1883">
        <v>17.34</v>
      </c>
      <c r="P1883">
        <v>105.27</v>
      </c>
      <c r="Q1883">
        <v>72277688</v>
      </c>
      <c r="R1883">
        <v>0.67</v>
      </c>
      <c r="S1883" t="s">
        <v>119</v>
      </c>
      <c r="T1883" t="s">
        <v>31</v>
      </c>
      <c r="U1883">
        <v>3.58</v>
      </c>
      <c r="V1883">
        <v>17.24</v>
      </c>
      <c r="W1883">
        <v>20667</v>
      </c>
      <c r="X1883">
        <v>21257</v>
      </c>
      <c r="Y1883">
        <v>0.97</v>
      </c>
      <c r="Z1883">
        <v>219</v>
      </c>
      <c r="AA1883">
        <v>188</v>
      </c>
      <c r="AB1883" t="s">
        <v>32</v>
      </c>
      <c r="AC1883">
        <v>0.9</v>
      </c>
    </row>
    <row r="1884" spans="1:29">
      <c r="A1884" t="str">
        <f>"300515"</f>
        <v>300515</v>
      </c>
      <c r="B1884" t="s">
        <v>2053</v>
      </c>
      <c r="C1884">
        <v>1.14</v>
      </c>
      <c r="D1884">
        <v>10.61</v>
      </c>
      <c r="E1884">
        <v>0.12</v>
      </c>
      <c r="F1884">
        <v>10.61</v>
      </c>
      <c r="G1884">
        <v>10.62</v>
      </c>
      <c r="H1884">
        <v>24593</v>
      </c>
      <c r="I1884">
        <v>852</v>
      </c>
      <c r="J1884">
        <v>0</v>
      </c>
      <c r="K1884">
        <v>2.7</v>
      </c>
      <c r="L1884">
        <v>10.54</v>
      </c>
      <c r="M1884">
        <v>10.67</v>
      </c>
      <c r="N1884">
        <v>10.39</v>
      </c>
      <c r="O1884">
        <v>10.49</v>
      </c>
      <c r="P1884">
        <v>90.57</v>
      </c>
      <c r="Q1884">
        <v>26020562</v>
      </c>
      <c r="R1884">
        <v>0.99</v>
      </c>
      <c r="S1884" t="s">
        <v>606</v>
      </c>
      <c r="T1884" t="s">
        <v>152</v>
      </c>
      <c r="U1884">
        <v>2.67</v>
      </c>
      <c r="V1884">
        <v>10.58</v>
      </c>
      <c r="W1884">
        <v>12381</v>
      </c>
      <c r="X1884">
        <v>12212</v>
      </c>
      <c r="Y1884">
        <v>1.01</v>
      </c>
      <c r="Z1884">
        <v>158</v>
      </c>
      <c r="AA1884">
        <v>295</v>
      </c>
      <c r="AB1884" t="s">
        <v>32</v>
      </c>
      <c r="AC1884">
        <v>0.91</v>
      </c>
    </row>
    <row r="1885" spans="1:29">
      <c r="A1885" t="str">
        <f>"300516"</f>
        <v>300516</v>
      </c>
      <c r="B1885" t="s">
        <v>2054</v>
      </c>
      <c r="C1885">
        <v>0.56</v>
      </c>
      <c r="D1885">
        <v>35.9</v>
      </c>
      <c r="E1885">
        <v>0.2</v>
      </c>
      <c r="F1885">
        <v>35.89</v>
      </c>
      <c r="G1885">
        <v>35.9</v>
      </c>
      <c r="H1885">
        <v>4071</v>
      </c>
      <c r="I1885">
        <v>39</v>
      </c>
      <c r="J1885">
        <v>-0.16</v>
      </c>
      <c r="K1885">
        <v>0.86</v>
      </c>
      <c r="L1885">
        <v>35.44</v>
      </c>
      <c r="M1885">
        <v>36.07</v>
      </c>
      <c r="N1885">
        <v>35.32</v>
      </c>
      <c r="O1885">
        <v>35.7</v>
      </c>
      <c r="P1885">
        <v>152.2</v>
      </c>
      <c r="Q1885">
        <v>14562257</v>
      </c>
      <c r="R1885">
        <v>1.3</v>
      </c>
      <c r="S1885" t="s">
        <v>606</v>
      </c>
      <c r="T1885" t="s">
        <v>193</v>
      </c>
      <c r="U1885">
        <v>2.1</v>
      </c>
      <c r="V1885">
        <v>35.77</v>
      </c>
      <c r="W1885">
        <v>2018</v>
      </c>
      <c r="X1885">
        <v>2053</v>
      </c>
      <c r="Y1885">
        <v>0.98</v>
      </c>
      <c r="Z1885">
        <v>31</v>
      </c>
      <c r="AA1885">
        <v>82</v>
      </c>
      <c r="AB1885" t="s">
        <v>32</v>
      </c>
      <c r="AC1885">
        <v>0.47</v>
      </c>
    </row>
    <row r="1886" spans="1:29">
      <c r="A1886" t="str">
        <f>"300517"</f>
        <v>300517</v>
      </c>
      <c r="B1886" t="s">
        <v>2055</v>
      </c>
      <c r="C1886">
        <v>-0.17</v>
      </c>
      <c r="D1886">
        <v>23.53</v>
      </c>
      <c r="E1886">
        <v>-0.04</v>
      </c>
      <c r="F1886">
        <v>23.52</v>
      </c>
      <c r="G1886">
        <v>23.53</v>
      </c>
      <c r="H1886">
        <v>8712</v>
      </c>
      <c r="I1886">
        <v>127</v>
      </c>
      <c r="J1886">
        <v>-0.12</v>
      </c>
      <c r="K1886">
        <v>2.13</v>
      </c>
      <c r="L1886">
        <v>23.65</v>
      </c>
      <c r="M1886">
        <v>23.8</v>
      </c>
      <c r="N1886">
        <v>23.49</v>
      </c>
      <c r="O1886">
        <v>23.57</v>
      </c>
      <c r="P1886">
        <v>158.13</v>
      </c>
      <c r="Q1886">
        <v>20546952</v>
      </c>
      <c r="R1886">
        <v>1.73</v>
      </c>
      <c r="S1886" t="s">
        <v>49</v>
      </c>
      <c r="T1886" t="s">
        <v>193</v>
      </c>
      <c r="U1886">
        <v>1.32</v>
      </c>
      <c r="V1886">
        <v>23.58</v>
      </c>
      <c r="W1886">
        <v>3677</v>
      </c>
      <c r="X1886">
        <v>5035</v>
      </c>
      <c r="Y1886">
        <v>0.73</v>
      </c>
      <c r="Z1886">
        <v>3</v>
      </c>
      <c r="AA1886">
        <v>50</v>
      </c>
      <c r="AB1886" t="s">
        <v>32</v>
      </c>
      <c r="AC1886">
        <v>0.41</v>
      </c>
    </row>
    <row r="1887" spans="1:29">
      <c r="A1887" t="str">
        <f>"300518"</f>
        <v>300518</v>
      </c>
      <c r="B1887" t="s">
        <v>2056</v>
      </c>
      <c r="C1887">
        <v>-0.4</v>
      </c>
      <c r="D1887">
        <v>47.01</v>
      </c>
      <c r="E1887">
        <v>-0.19</v>
      </c>
      <c r="F1887">
        <v>47.01</v>
      </c>
      <c r="G1887">
        <v>47.09</v>
      </c>
      <c r="H1887">
        <v>1485</v>
      </c>
      <c r="I1887">
        <v>89</v>
      </c>
      <c r="J1887">
        <v>-0.03</v>
      </c>
      <c r="K1887">
        <v>0.32</v>
      </c>
      <c r="L1887">
        <v>47.19</v>
      </c>
      <c r="M1887">
        <v>47.2</v>
      </c>
      <c r="N1887">
        <v>46.83</v>
      </c>
      <c r="O1887">
        <v>47.2</v>
      </c>
      <c r="P1887">
        <v>296.44</v>
      </c>
      <c r="Q1887">
        <v>6978590</v>
      </c>
      <c r="R1887">
        <v>2.06</v>
      </c>
      <c r="S1887" t="s">
        <v>270</v>
      </c>
      <c r="T1887" t="s">
        <v>31</v>
      </c>
      <c r="U1887">
        <v>0.78</v>
      </c>
      <c r="V1887">
        <v>46.99</v>
      </c>
      <c r="W1887">
        <v>854</v>
      </c>
      <c r="X1887">
        <v>631</v>
      </c>
      <c r="Y1887">
        <v>1.35</v>
      </c>
      <c r="Z1887">
        <v>12</v>
      </c>
      <c r="AA1887">
        <v>17</v>
      </c>
      <c r="AB1887" t="s">
        <v>32</v>
      </c>
      <c r="AC1887">
        <v>0.47</v>
      </c>
    </row>
    <row r="1888" spans="1:29">
      <c r="A1888" t="str">
        <f>"300519"</f>
        <v>300519</v>
      </c>
      <c r="B1888" t="s">
        <v>2057</v>
      </c>
      <c r="C1888">
        <v>1.58</v>
      </c>
      <c r="D1888">
        <v>20.61</v>
      </c>
      <c r="E1888">
        <v>0.32</v>
      </c>
      <c r="F1888">
        <v>20.61</v>
      </c>
      <c r="G1888">
        <v>20.62</v>
      </c>
      <c r="H1888">
        <v>33511</v>
      </c>
      <c r="I1888">
        <v>565</v>
      </c>
      <c r="J1888">
        <v>0</v>
      </c>
      <c r="K1888">
        <v>3.39</v>
      </c>
      <c r="L1888">
        <v>20.06</v>
      </c>
      <c r="M1888">
        <v>20.63</v>
      </c>
      <c r="N1888">
        <v>19.95</v>
      </c>
      <c r="O1888">
        <v>20.29</v>
      </c>
      <c r="P1888">
        <v>25.02</v>
      </c>
      <c r="Q1888">
        <v>68213248</v>
      </c>
      <c r="R1888">
        <v>0.93</v>
      </c>
      <c r="S1888" t="s">
        <v>195</v>
      </c>
      <c r="T1888" t="s">
        <v>149</v>
      </c>
      <c r="U1888">
        <v>3.35</v>
      </c>
      <c r="V1888">
        <v>20.36</v>
      </c>
      <c r="W1888">
        <v>15737</v>
      </c>
      <c r="X1888">
        <v>17774</v>
      </c>
      <c r="Y1888">
        <v>0.89</v>
      </c>
      <c r="Z1888">
        <v>229</v>
      </c>
      <c r="AA1888">
        <v>8</v>
      </c>
      <c r="AB1888" t="s">
        <v>32</v>
      </c>
      <c r="AC1888">
        <v>0.99</v>
      </c>
    </row>
    <row r="1889" spans="1:29">
      <c r="A1889" t="str">
        <f>"300520"</f>
        <v>300520</v>
      </c>
      <c r="B1889" t="s">
        <v>2058</v>
      </c>
      <c r="C1889" t="s">
        <v>32</v>
      </c>
      <c r="D1889">
        <v>21.21</v>
      </c>
      <c r="E1889" t="s">
        <v>32</v>
      </c>
      <c r="F1889" t="s">
        <v>32</v>
      </c>
      <c r="G1889" t="s">
        <v>32</v>
      </c>
      <c r="H1889">
        <v>0</v>
      </c>
      <c r="I1889">
        <v>0</v>
      </c>
      <c r="J1889" t="s">
        <v>32</v>
      </c>
      <c r="K1889">
        <v>0</v>
      </c>
      <c r="L1889" t="s">
        <v>32</v>
      </c>
      <c r="M1889" t="s">
        <v>32</v>
      </c>
      <c r="N1889" t="s">
        <v>32</v>
      </c>
      <c r="O1889">
        <v>21.21</v>
      </c>
      <c r="P1889">
        <v>2057.17</v>
      </c>
      <c r="Q1889">
        <v>0</v>
      </c>
      <c r="R1889">
        <v>0</v>
      </c>
      <c r="S1889" t="s">
        <v>270</v>
      </c>
      <c r="T1889" t="s">
        <v>143</v>
      </c>
      <c r="U1889">
        <v>0</v>
      </c>
      <c r="V1889">
        <v>21.21</v>
      </c>
      <c r="W1889">
        <v>0</v>
      </c>
      <c r="X1889">
        <v>0</v>
      </c>
      <c r="Y1889" t="s">
        <v>32</v>
      </c>
      <c r="Z1889">
        <v>0</v>
      </c>
      <c r="AA1889">
        <v>0</v>
      </c>
      <c r="AB1889" t="s">
        <v>32</v>
      </c>
      <c r="AC1889">
        <v>1.13</v>
      </c>
    </row>
    <row r="1890" spans="1:29">
      <c r="A1890" t="str">
        <f>"300521"</f>
        <v>300521</v>
      </c>
      <c r="B1890" t="s">
        <v>2059</v>
      </c>
      <c r="C1890">
        <v>3.56</v>
      </c>
      <c r="D1890">
        <v>12.21</v>
      </c>
      <c r="E1890">
        <v>0.42</v>
      </c>
      <c r="F1890">
        <v>12.21</v>
      </c>
      <c r="G1890">
        <v>12.22</v>
      </c>
      <c r="H1890">
        <v>19251</v>
      </c>
      <c r="I1890">
        <v>428</v>
      </c>
      <c r="J1890">
        <v>0</v>
      </c>
      <c r="K1890">
        <v>2.03</v>
      </c>
      <c r="L1890">
        <v>11.79</v>
      </c>
      <c r="M1890">
        <v>12.36</v>
      </c>
      <c r="N1890">
        <v>11.71</v>
      </c>
      <c r="O1890">
        <v>11.79</v>
      </c>
      <c r="P1890">
        <v>177.13</v>
      </c>
      <c r="Q1890">
        <v>23235074</v>
      </c>
      <c r="R1890">
        <v>1.15</v>
      </c>
      <c r="S1890" t="s">
        <v>171</v>
      </c>
      <c r="T1890" t="s">
        <v>136</v>
      </c>
      <c r="U1890">
        <v>5.51</v>
      </c>
      <c r="V1890">
        <v>12.07</v>
      </c>
      <c r="W1890">
        <v>7731</v>
      </c>
      <c r="X1890">
        <v>11520</v>
      </c>
      <c r="Y1890">
        <v>0.67</v>
      </c>
      <c r="Z1890">
        <v>91</v>
      </c>
      <c r="AA1890">
        <v>65</v>
      </c>
      <c r="AB1890" t="s">
        <v>32</v>
      </c>
      <c r="AC1890">
        <v>0.95</v>
      </c>
    </row>
    <row r="1891" spans="1:29">
      <c r="A1891" t="str">
        <f>"300522"</f>
        <v>300522</v>
      </c>
      <c r="B1891" t="s">
        <v>2060</v>
      </c>
      <c r="C1891">
        <v>1.73</v>
      </c>
      <c r="D1891">
        <v>27.06</v>
      </c>
      <c r="E1891">
        <v>0.46</v>
      </c>
      <c r="F1891">
        <v>27.05</v>
      </c>
      <c r="G1891">
        <v>27.06</v>
      </c>
      <c r="H1891">
        <v>32124</v>
      </c>
      <c r="I1891">
        <v>778</v>
      </c>
      <c r="J1891">
        <v>0.04</v>
      </c>
      <c r="K1891">
        <v>6.31</v>
      </c>
      <c r="L1891">
        <v>27</v>
      </c>
      <c r="M1891">
        <v>27.09</v>
      </c>
      <c r="N1891">
        <v>26.38</v>
      </c>
      <c r="O1891">
        <v>26.6</v>
      </c>
      <c r="P1891">
        <v>51.32</v>
      </c>
      <c r="Q1891">
        <v>86106704</v>
      </c>
      <c r="R1891">
        <v>0.94</v>
      </c>
      <c r="S1891" t="s">
        <v>281</v>
      </c>
      <c r="T1891" t="s">
        <v>87</v>
      </c>
      <c r="U1891">
        <v>2.67</v>
      </c>
      <c r="V1891">
        <v>26.8</v>
      </c>
      <c r="W1891">
        <v>15710</v>
      </c>
      <c r="X1891">
        <v>16414</v>
      </c>
      <c r="Y1891">
        <v>0.96</v>
      </c>
      <c r="Z1891">
        <v>363</v>
      </c>
      <c r="AA1891">
        <v>65</v>
      </c>
      <c r="AB1891" t="s">
        <v>32</v>
      </c>
      <c r="AC1891">
        <v>0.51</v>
      </c>
    </row>
    <row r="1892" spans="1:29">
      <c r="A1892" t="str">
        <f>"300523"</f>
        <v>300523</v>
      </c>
      <c r="B1892" t="s">
        <v>2061</v>
      </c>
      <c r="C1892">
        <v>-1</v>
      </c>
      <c r="D1892">
        <v>64.6</v>
      </c>
      <c r="E1892">
        <v>-0.65</v>
      </c>
      <c r="F1892">
        <v>64.59</v>
      </c>
      <c r="G1892">
        <v>64.6</v>
      </c>
      <c r="H1892">
        <v>8890</v>
      </c>
      <c r="I1892">
        <v>53</v>
      </c>
      <c r="J1892">
        <v>0.05</v>
      </c>
      <c r="K1892">
        <v>0.87</v>
      </c>
      <c r="L1892">
        <v>65.31</v>
      </c>
      <c r="M1892">
        <v>65.7</v>
      </c>
      <c r="N1892">
        <v>63.51</v>
      </c>
      <c r="O1892">
        <v>65.25</v>
      </c>
      <c r="P1892">
        <v>252.58</v>
      </c>
      <c r="Q1892">
        <v>57423800</v>
      </c>
      <c r="R1892">
        <v>1.28</v>
      </c>
      <c r="S1892" t="s">
        <v>270</v>
      </c>
      <c r="T1892" t="s">
        <v>45</v>
      </c>
      <c r="U1892">
        <v>3.36</v>
      </c>
      <c r="V1892">
        <v>64.6</v>
      </c>
      <c r="W1892">
        <v>4591</v>
      </c>
      <c r="X1892">
        <v>4298</v>
      </c>
      <c r="Y1892">
        <v>1.07</v>
      </c>
      <c r="Z1892">
        <v>26</v>
      </c>
      <c r="AA1892">
        <v>7</v>
      </c>
      <c r="AB1892" t="s">
        <v>32</v>
      </c>
      <c r="AC1892">
        <v>1.03</v>
      </c>
    </row>
    <row r="1893" spans="1:29">
      <c r="A1893" t="str">
        <f>"300525"</f>
        <v>300525</v>
      </c>
      <c r="B1893" t="s">
        <v>2062</v>
      </c>
      <c r="C1893">
        <v>1.14</v>
      </c>
      <c r="D1893">
        <v>21.34</v>
      </c>
      <c r="E1893">
        <v>0.24</v>
      </c>
      <c r="F1893">
        <v>21.23</v>
      </c>
      <c r="G1893">
        <v>21.34</v>
      </c>
      <c r="H1893">
        <v>5863</v>
      </c>
      <c r="I1893">
        <v>400</v>
      </c>
      <c r="J1893">
        <v>0.76</v>
      </c>
      <c r="K1893">
        <v>0.75</v>
      </c>
      <c r="L1893">
        <v>21.1</v>
      </c>
      <c r="M1893">
        <v>21.4</v>
      </c>
      <c r="N1893">
        <v>20.75</v>
      </c>
      <c r="O1893">
        <v>21.1</v>
      </c>
      <c r="P1893" t="s">
        <v>32</v>
      </c>
      <c r="Q1893">
        <v>12415114</v>
      </c>
      <c r="R1893">
        <v>1.22</v>
      </c>
      <c r="S1893" t="s">
        <v>270</v>
      </c>
      <c r="T1893" t="s">
        <v>236</v>
      </c>
      <c r="U1893">
        <v>3.08</v>
      </c>
      <c r="V1893">
        <v>21.17</v>
      </c>
      <c r="W1893">
        <v>3526</v>
      </c>
      <c r="X1893">
        <v>2337</v>
      </c>
      <c r="Y1893">
        <v>1.51</v>
      </c>
      <c r="Z1893">
        <v>7</v>
      </c>
      <c r="AA1893">
        <v>12</v>
      </c>
      <c r="AB1893" t="s">
        <v>32</v>
      </c>
      <c r="AC1893">
        <v>0.78</v>
      </c>
    </row>
    <row r="1894" spans="1:29">
      <c r="A1894" t="str">
        <f>"300526"</f>
        <v>300526</v>
      </c>
      <c r="B1894" t="s">
        <v>2063</v>
      </c>
      <c r="C1894">
        <v>4.89</v>
      </c>
      <c r="D1894">
        <v>14.79</v>
      </c>
      <c r="E1894">
        <v>0.69</v>
      </c>
      <c r="F1894">
        <v>14.78</v>
      </c>
      <c r="G1894">
        <v>14.79</v>
      </c>
      <c r="H1894">
        <v>42877</v>
      </c>
      <c r="I1894">
        <v>602</v>
      </c>
      <c r="J1894">
        <v>0.61</v>
      </c>
      <c r="K1894">
        <v>7.17</v>
      </c>
      <c r="L1894">
        <v>14.02</v>
      </c>
      <c r="M1894">
        <v>15.22</v>
      </c>
      <c r="N1894">
        <v>13.92</v>
      </c>
      <c r="O1894">
        <v>14.1</v>
      </c>
      <c r="P1894">
        <v>80.01</v>
      </c>
      <c r="Q1894">
        <v>62579104</v>
      </c>
      <c r="R1894">
        <v>3.08</v>
      </c>
      <c r="S1894" t="s">
        <v>171</v>
      </c>
      <c r="T1894" t="s">
        <v>136</v>
      </c>
      <c r="U1894">
        <v>9.22</v>
      </c>
      <c r="V1894">
        <v>14.6</v>
      </c>
      <c r="W1894">
        <v>18816</v>
      </c>
      <c r="X1894">
        <v>24060</v>
      </c>
      <c r="Y1894">
        <v>0.78</v>
      </c>
      <c r="Z1894">
        <v>21</v>
      </c>
      <c r="AA1894">
        <v>265</v>
      </c>
      <c r="AB1894" t="s">
        <v>32</v>
      </c>
      <c r="AC1894">
        <v>0.6</v>
      </c>
    </row>
    <row r="1895" spans="1:29">
      <c r="A1895" t="str">
        <f>"300527"</f>
        <v>300527</v>
      </c>
      <c r="B1895" t="s">
        <v>2064</v>
      </c>
      <c r="C1895">
        <v>1.78</v>
      </c>
      <c r="D1895">
        <v>9.72</v>
      </c>
      <c r="E1895">
        <v>0.17</v>
      </c>
      <c r="F1895">
        <v>9.72</v>
      </c>
      <c r="G1895">
        <v>9.73</v>
      </c>
      <c r="H1895">
        <v>47374</v>
      </c>
      <c r="I1895">
        <v>507</v>
      </c>
      <c r="J1895">
        <v>0.1</v>
      </c>
      <c r="K1895">
        <v>1.84</v>
      </c>
      <c r="L1895">
        <v>9.54</v>
      </c>
      <c r="M1895">
        <v>9.74</v>
      </c>
      <c r="N1895">
        <v>9.39</v>
      </c>
      <c r="O1895">
        <v>9.55</v>
      </c>
      <c r="P1895">
        <v>284.71</v>
      </c>
      <c r="Q1895">
        <v>45716204</v>
      </c>
      <c r="R1895">
        <v>1.3</v>
      </c>
      <c r="S1895" t="s">
        <v>171</v>
      </c>
      <c r="T1895" t="s">
        <v>193</v>
      </c>
      <c r="U1895">
        <v>3.66</v>
      </c>
      <c r="V1895">
        <v>9.65</v>
      </c>
      <c r="W1895">
        <v>16523</v>
      </c>
      <c r="X1895">
        <v>30851</v>
      </c>
      <c r="Y1895">
        <v>0.54</v>
      </c>
      <c r="Z1895">
        <v>244</v>
      </c>
      <c r="AA1895">
        <v>321</v>
      </c>
      <c r="AB1895" t="s">
        <v>32</v>
      </c>
      <c r="AC1895">
        <v>2.58</v>
      </c>
    </row>
    <row r="1896" spans="1:29">
      <c r="A1896" t="str">
        <f>"300528"</f>
        <v>300528</v>
      </c>
      <c r="B1896" t="s">
        <v>2065</v>
      </c>
      <c r="C1896">
        <v>1.97</v>
      </c>
      <c r="D1896">
        <v>11.39</v>
      </c>
      <c r="E1896">
        <v>0.22</v>
      </c>
      <c r="F1896">
        <v>11.39</v>
      </c>
      <c r="G1896">
        <v>11.4</v>
      </c>
      <c r="H1896">
        <v>52398</v>
      </c>
      <c r="I1896">
        <v>581</v>
      </c>
      <c r="J1896">
        <v>0</v>
      </c>
      <c r="K1896">
        <v>3.45</v>
      </c>
      <c r="L1896">
        <v>11.15</v>
      </c>
      <c r="M1896">
        <v>11.44</v>
      </c>
      <c r="N1896">
        <v>11.1</v>
      </c>
      <c r="O1896">
        <v>11.17</v>
      </c>
      <c r="P1896">
        <v>23.56</v>
      </c>
      <c r="Q1896">
        <v>59360124</v>
      </c>
      <c r="R1896">
        <v>1.53</v>
      </c>
      <c r="S1896" t="s">
        <v>148</v>
      </c>
      <c r="T1896" t="s">
        <v>87</v>
      </c>
      <c r="U1896">
        <v>3.04</v>
      </c>
      <c r="V1896">
        <v>11.33</v>
      </c>
      <c r="W1896">
        <v>22964</v>
      </c>
      <c r="X1896">
        <v>29434</v>
      </c>
      <c r="Y1896">
        <v>0.78</v>
      </c>
      <c r="Z1896">
        <v>424</v>
      </c>
      <c r="AA1896">
        <v>693</v>
      </c>
      <c r="AB1896" t="s">
        <v>32</v>
      </c>
      <c r="AC1896">
        <v>1.52</v>
      </c>
    </row>
    <row r="1897" spans="1:29">
      <c r="A1897" t="str">
        <f>"300529"</f>
        <v>300529</v>
      </c>
      <c r="B1897" t="s">
        <v>2066</v>
      </c>
      <c r="C1897">
        <v>1.63</v>
      </c>
      <c r="D1897">
        <v>45.6</v>
      </c>
      <c r="E1897">
        <v>0.73</v>
      </c>
      <c r="F1897">
        <v>45.59</v>
      </c>
      <c r="G1897">
        <v>45.6</v>
      </c>
      <c r="H1897">
        <v>21917</v>
      </c>
      <c r="I1897">
        <v>119</v>
      </c>
      <c r="J1897">
        <v>-0.06</v>
      </c>
      <c r="K1897">
        <v>2.05</v>
      </c>
      <c r="L1897">
        <v>44.95</v>
      </c>
      <c r="M1897">
        <v>46.17</v>
      </c>
      <c r="N1897">
        <v>43.22</v>
      </c>
      <c r="O1897">
        <v>44.87</v>
      </c>
      <c r="P1897">
        <v>52.91</v>
      </c>
      <c r="Q1897">
        <v>98653720</v>
      </c>
      <c r="R1897">
        <v>1.13</v>
      </c>
      <c r="S1897" t="s">
        <v>138</v>
      </c>
      <c r="T1897" t="s">
        <v>136</v>
      </c>
      <c r="U1897">
        <v>6.57</v>
      </c>
      <c r="V1897">
        <v>45.01</v>
      </c>
      <c r="W1897">
        <v>9837</v>
      </c>
      <c r="X1897">
        <v>12080</v>
      </c>
      <c r="Y1897">
        <v>0.81</v>
      </c>
      <c r="Z1897">
        <v>6</v>
      </c>
      <c r="AA1897">
        <v>42</v>
      </c>
      <c r="AB1897" t="s">
        <v>32</v>
      </c>
      <c r="AC1897">
        <v>1.07</v>
      </c>
    </row>
    <row r="1898" spans="1:29">
      <c r="A1898" t="str">
        <f>"300530"</f>
        <v>300530</v>
      </c>
      <c r="B1898" t="s">
        <v>2067</v>
      </c>
      <c r="C1898">
        <v>1.4</v>
      </c>
      <c r="D1898">
        <v>30.41</v>
      </c>
      <c r="E1898">
        <v>0.42</v>
      </c>
      <c r="F1898">
        <v>30.4</v>
      </c>
      <c r="G1898">
        <v>30.41</v>
      </c>
      <c r="H1898">
        <v>3293</v>
      </c>
      <c r="I1898">
        <v>28</v>
      </c>
      <c r="J1898">
        <v>-0.02</v>
      </c>
      <c r="K1898">
        <v>1.56</v>
      </c>
      <c r="L1898">
        <v>29.99</v>
      </c>
      <c r="M1898">
        <v>30.46</v>
      </c>
      <c r="N1898">
        <v>29.98</v>
      </c>
      <c r="O1898">
        <v>29.99</v>
      </c>
      <c r="P1898">
        <v>54.06</v>
      </c>
      <c r="Q1898">
        <v>9963859</v>
      </c>
      <c r="R1898">
        <v>1.14</v>
      </c>
      <c r="S1898" t="s">
        <v>218</v>
      </c>
      <c r="T1898" t="s">
        <v>136</v>
      </c>
      <c r="U1898">
        <v>1.6</v>
      </c>
      <c r="V1898">
        <v>30.26</v>
      </c>
      <c r="W1898">
        <v>1453</v>
      </c>
      <c r="X1898">
        <v>1840</v>
      </c>
      <c r="Y1898">
        <v>0.79</v>
      </c>
      <c r="Z1898">
        <v>2</v>
      </c>
      <c r="AA1898">
        <v>40</v>
      </c>
      <c r="AB1898" t="s">
        <v>32</v>
      </c>
      <c r="AC1898">
        <v>0.21</v>
      </c>
    </row>
    <row r="1899" spans="1:29">
      <c r="A1899" t="str">
        <f>"300531"</f>
        <v>300531</v>
      </c>
      <c r="B1899" t="s">
        <v>2068</v>
      </c>
      <c r="C1899">
        <v>5.25</v>
      </c>
      <c r="D1899">
        <v>16.83</v>
      </c>
      <c r="E1899">
        <v>0.84</v>
      </c>
      <c r="F1899">
        <v>16.83</v>
      </c>
      <c r="G1899">
        <v>16.85</v>
      </c>
      <c r="H1899">
        <v>131546</v>
      </c>
      <c r="I1899">
        <v>2768</v>
      </c>
      <c r="J1899">
        <v>2.06</v>
      </c>
      <c r="K1899">
        <v>10.78</v>
      </c>
      <c r="L1899">
        <v>16.4</v>
      </c>
      <c r="M1899">
        <v>16.83</v>
      </c>
      <c r="N1899">
        <v>15.7</v>
      </c>
      <c r="O1899">
        <v>15.99</v>
      </c>
      <c r="P1899">
        <v>45.14</v>
      </c>
      <c r="Q1899">
        <v>212256528</v>
      </c>
      <c r="R1899">
        <v>2.75</v>
      </c>
      <c r="S1899" t="s">
        <v>270</v>
      </c>
      <c r="T1899" t="s">
        <v>31</v>
      </c>
      <c r="U1899">
        <v>7.07</v>
      </c>
      <c r="V1899">
        <v>16.14</v>
      </c>
      <c r="W1899">
        <v>63125</v>
      </c>
      <c r="X1899">
        <v>68420</v>
      </c>
      <c r="Y1899">
        <v>0.92</v>
      </c>
      <c r="Z1899">
        <v>24</v>
      </c>
      <c r="AA1899">
        <v>24</v>
      </c>
      <c r="AB1899" t="s">
        <v>32</v>
      </c>
      <c r="AC1899">
        <v>1.22</v>
      </c>
    </row>
    <row r="1900" spans="1:29">
      <c r="A1900" t="str">
        <f>"300532"</f>
        <v>300532</v>
      </c>
      <c r="B1900" t="s">
        <v>2069</v>
      </c>
      <c r="C1900">
        <v>0.3</v>
      </c>
      <c r="D1900">
        <v>16.89</v>
      </c>
      <c r="E1900">
        <v>0.05</v>
      </c>
      <c r="F1900">
        <v>16.88</v>
      </c>
      <c r="G1900">
        <v>16.89</v>
      </c>
      <c r="H1900">
        <v>52628</v>
      </c>
      <c r="I1900">
        <v>287</v>
      </c>
      <c r="J1900">
        <v>0.18</v>
      </c>
      <c r="K1900">
        <v>4.4</v>
      </c>
      <c r="L1900">
        <v>16.85</v>
      </c>
      <c r="M1900">
        <v>17.19</v>
      </c>
      <c r="N1900">
        <v>16.71</v>
      </c>
      <c r="O1900">
        <v>16.84</v>
      </c>
      <c r="P1900">
        <v>47</v>
      </c>
      <c r="Q1900">
        <v>89172656</v>
      </c>
      <c r="R1900">
        <v>1.4</v>
      </c>
      <c r="S1900" t="s">
        <v>270</v>
      </c>
      <c r="T1900" t="s">
        <v>31</v>
      </c>
      <c r="U1900">
        <v>2.85</v>
      </c>
      <c r="V1900">
        <v>16.94</v>
      </c>
      <c r="W1900">
        <v>24855</v>
      </c>
      <c r="X1900">
        <v>27772</v>
      </c>
      <c r="Y1900">
        <v>0.89</v>
      </c>
      <c r="Z1900">
        <v>168</v>
      </c>
      <c r="AA1900">
        <v>312</v>
      </c>
      <c r="AB1900" t="s">
        <v>32</v>
      </c>
      <c r="AC1900">
        <v>1.2</v>
      </c>
    </row>
    <row r="1901" spans="1:29">
      <c r="A1901" t="str">
        <f>"300533"</f>
        <v>300533</v>
      </c>
      <c r="B1901" t="s">
        <v>2070</v>
      </c>
      <c r="C1901">
        <v>1.8</v>
      </c>
      <c r="D1901">
        <v>37.37</v>
      </c>
      <c r="E1901">
        <v>0.66</v>
      </c>
      <c r="F1901">
        <v>37.37</v>
      </c>
      <c r="G1901">
        <v>37.38</v>
      </c>
      <c r="H1901">
        <v>7044</v>
      </c>
      <c r="I1901">
        <v>94</v>
      </c>
      <c r="J1901">
        <v>-0.02</v>
      </c>
      <c r="K1901">
        <v>1.96</v>
      </c>
      <c r="L1901">
        <v>36.77</v>
      </c>
      <c r="M1901">
        <v>37.54</v>
      </c>
      <c r="N1901">
        <v>36.5</v>
      </c>
      <c r="O1901">
        <v>36.71</v>
      </c>
      <c r="P1901">
        <v>50.64</v>
      </c>
      <c r="Q1901">
        <v>26157518</v>
      </c>
      <c r="R1901">
        <v>1.73</v>
      </c>
      <c r="S1901" t="s">
        <v>270</v>
      </c>
      <c r="T1901" t="s">
        <v>31</v>
      </c>
      <c r="U1901">
        <v>2.83</v>
      </c>
      <c r="V1901">
        <v>37.14</v>
      </c>
      <c r="W1901">
        <v>3333</v>
      </c>
      <c r="X1901">
        <v>3710</v>
      </c>
      <c r="Y1901">
        <v>0.9</v>
      </c>
      <c r="Z1901">
        <v>77</v>
      </c>
      <c r="AA1901">
        <v>96</v>
      </c>
      <c r="AB1901" t="s">
        <v>32</v>
      </c>
      <c r="AC1901">
        <v>0.36</v>
      </c>
    </row>
    <row r="1902" spans="1:29">
      <c r="A1902" t="str">
        <f>"300534"</f>
        <v>300534</v>
      </c>
      <c r="B1902" t="s">
        <v>2071</v>
      </c>
      <c r="C1902">
        <v>1.63</v>
      </c>
      <c r="D1902">
        <v>8.71</v>
      </c>
      <c r="E1902">
        <v>0.14</v>
      </c>
      <c r="F1902">
        <v>8.7</v>
      </c>
      <c r="G1902">
        <v>8.71</v>
      </c>
      <c r="H1902">
        <v>77864</v>
      </c>
      <c r="I1902">
        <v>1952</v>
      </c>
      <c r="J1902">
        <v>0.11</v>
      </c>
      <c r="K1902">
        <v>4.22</v>
      </c>
      <c r="L1902">
        <v>8.37</v>
      </c>
      <c r="M1902">
        <v>8.76</v>
      </c>
      <c r="N1902">
        <v>8.34</v>
      </c>
      <c r="O1902">
        <v>8.57</v>
      </c>
      <c r="P1902">
        <v>102.91</v>
      </c>
      <c r="Q1902">
        <v>67223576</v>
      </c>
      <c r="R1902">
        <v>0.65</v>
      </c>
      <c r="S1902" t="s">
        <v>195</v>
      </c>
      <c r="T1902" t="s">
        <v>266</v>
      </c>
      <c r="U1902">
        <v>4.9</v>
      </c>
      <c r="V1902">
        <v>8.63</v>
      </c>
      <c r="W1902">
        <v>37929</v>
      </c>
      <c r="X1902">
        <v>39934</v>
      </c>
      <c r="Y1902">
        <v>0.95</v>
      </c>
      <c r="Z1902">
        <v>495</v>
      </c>
      <c r="AA1902">
        <v>219</v>
      </c>
      <c r="AB1902" t="s">
        <v>32</v>
      </c>
      <c r="AC1902">
        <v>1.84</v>
      </c>
    </row>
    <row r="1903" spans="1:29">
      <c r="A1903" t="str">
        <f>"300535"</f>
        <v>300535</v>
      </c>
      <c r="B1903" t="s">
        <v>2072</v>
      </c>
      <c r="C1903">
        <v>1.9</v>
      </c>
      <c r="D1903">
        <v>16.66</v>
      </c>
      <c r="E1903">
        <v>0.31</v>
      </c>
      <c r="F1903">
        <v>16.66</v>
      </c>
      <c r="G1903">
        <v>16.67</v>
      </c>
      <c r="H1903">
        <v>15780</v>
      </c>
      <c r="I1903">
        <v>566</v>
      </c>
      <c r="J1903">
        <v>0</v>
      </c>
      <c r="K1903">
        <v>2.98</v>
      </c>
      <c r="L1903">
        <v>16.33</v>
      </c>
      <c r="M1903">
        <v>16.79</v>
      </c>
      <c r="N1903">
        <v>16.16</v>
      </c>
      <c r="O1903">
        <v>16.35</v>
      </c>
      <c r="P1903">
        <v>53.88</v>
      </c>
      <c r="Q1903">
        <v>26132986</v>
      </c>
      <c r="R1903">
        <v>1.99</v>
      </c>
      <c r="S1903" t="s">
        <v>218</v>
      </c>
      <c r="T1903" t="s">
        <v>146</v>
      </c>
      <c r="U1903">
        <v>3.85</v>
      </c>
      <c r="V1903">
        <v>16.56</v>
      </c>
      <c r="W1903">
        <v>6909</v>
      </c>
      <c r="X1903">
        <v>8870</v>
      </c>
      <c r="Y1903">
        <v>0.78</v>
      </c>
      <c r="Z1903">
        <v>2</v>
      </c>
      <c r="AA1903">
        <v>10</v>
      </c>
      <c r="AB1903" t="s">
        <v>32</v>
      </c>
      <c r="AC1903">
        <v>0.53</v>
      </c>
    </row>
    <row r="1904" spans="1:29">
      <c r="A1904" t="str">
        <f>"300536"</f>
        <v>300536</v>
      </c>
      <c r="B1904" t="s">
        <v>2073</v>
      </c>
      <c r="C1904">
        <v>2.44</v>
      </c>
      <c r="D1904">
        <v>11.34</v>
      </c>
      <c r="E1904">
        <v>0.27</v>
      </c>
      <c r="F1904">
        <v>11.33</v>
      </c>
      <c r="G1904">
        <v>11.34</v>
      </c>
      <c r="H1904">
        <v>28689</v>
      </c>
      <c r="I1904">
        <v>185</v>
      </c>
      <c r="J1904">
        <v>-0.08</v>
      </c>
      <c r="K1904">
        <v>4.69</v>
      </c>
      <c r="L1904">
        <v>11.18</v>
      </c>
      <c r="M1904">
        <v>11.49</v>
      </c>
      <c r="N1904">
        <v>11.06</v>
      </c>
      <c r="O1904">
        <v>11.07</v>
      </c>
      <c r="P1904">
        <v>103.95</v>
      </c>
      <c r="Q1904">
        <v>32451090</v>
      </c>
      <c r="R1904">
        <v>2.03</v>
      </c>
      <c r="S1904" t="s">
        <v>49</v>
      </c>
      <c r="T1904" t="s">
        <v>193</v>
      </c>
      <c r="U1904">
        <v>3.88</v>
      </c>
      <c r="V1904">
        <v>11.31</v>
      </c>
      <c r="W1904">
        <v>11862</v>
      </c>
      <c r="X1904">
        <v>16827</v>
      </c>
      <c r="Y1904">
        <v>0.7</v>
      </c>
      <c r="Z1904">
        <v>151</v>
      </c>
      <c r="AA1904">
        <v>184</v>
      </c>
      <c r="AB1904" t="s">
        <v>32</v>
      </c>
      <c r="AC1904">
        <v>0.61</v>
      </c>
    </row>
    <row r="1905" spans="1:29">
      <c r="A1905" t="str">
        <f>"300537"</f>
        <v>300537</v>
      </c>
      <c r="B1905" t="s">
        <v>2074</v>
      </c>
      <c r="C1905">
        <v>0.76</v>
      </c>
      <c r="D1905">
        <v>14.66</v>
      </c>
      <c r="E1905">
        <v>0.11</v>
      </c>
      <c r="F1905">
        <v>14.66</v>
      </c>
      <c r="G1905">
        <v>14.67</v>
      </c>
      <c r="H1905">
        <v>41858</v>
      </c>
      <c r="I1905">
        <v>1400</v>
      </c>
      <c r="J1905">
        <v>0.34</v>
      </c>
      <c r="K1905">
        <v>5.63</v>
      </c>
      <c r="L1905">
        <v>14.48</v>
      </c>
      <c r="M1905">
        <v>14.79</v>
      </c>
      <c r="N1905">
        <v>14.23</v>
      </c>
      <c r="O1905">
        <v>14.55</v>
      </c>
      <c r="P1905">
        <v>38.7</v>
      </c>
      <c r="Q1905">
        <v>61010088</v>
      </c>
      <c r="R1905">
        <v>0.79</v>
      </c>
      <c r="S1905" t="s">
        <v>281</v>
      </c>
      <c r="T1905" t="s">
        <v>87</v>
      </c>
      <c r="U1905">
        <v>3.85</v>
      </c>
      <c r="V1905">
        <v>14.58</v>
      </c>
      <c r="W1905">
        <v>21997</v>
      </c>
      <c r="X1905">
        <v>19861</v>
      </c>
      <c r="Y1905">
        <v>1.11</v>
      </c>
      <c r="Z1905">
        <v>345</v>
      </c>
      <c r="AA1905">
        <v>114</v>
      </c>
      <c r="AB1905" t="s">
        <v>32</v>
      </c>
      <c r="AC1905">
        <v>0.74</v>
      </c>
    </row>
    <row r="1906" spans="1:29">
      <c r="A1906" t="str">
        <f>"300538"</f>
        <v>300538</v>
      </c>
      <c r="B1906" t="s">
        <v>2075</v>
      </c>
      <c r="C1906">
        <v>1.45</v>
      </c>
      <c r="D1906">
        <v>23.72</v>
      </c>
      <c r="E1906">
        <v>0.34</v>
      </c>
      <c r="F1906">
        <v>23.71</v>
      </c>
      <c r="G1906">
        <v>23.72</v>
      </c>
      <c r="H1906">
        <v>9571</v>
      </c>
      <c r="I1906">
        <v>215</v>
      </c>
      <c r="J1906">
        <v>0.38</v>
      </c>
      <c r="K1906">
        <v>3.99</v>
      </c>
      <c r="L1906">
        <v>23.44</v>
      </c>
      <c r="M1906">
        <v>23.74</v>
      </c>
      <c r="N1906">
        <v>23.3</v>
      </c>
      <c r="O1906">
        <v>23.38</v>
      </c>
      <c r="P1906">
        <v>63.98</v>
      </c>
      <c r="Q1906">
        <v>22558512</v>
      </c>
      <c r="R1906">
        <v>0.81</v>
      </c>
      <c r="S1906" t="s">
        <v>117</v>
      </c>
      <c r="T1906" t="s">
        <v>31</v>
      </c>
      <c r="U1906">
        <v>1.88</v>
      </c>
      <c r="V1906">
        <v>23.57</v>
      </c>
      <c r="W1906">
        <v>4718</v>
      </c>
      <c r="X1906">
        <v>4853</v>
      </c>
      <c r="Y1906">
        <v>0.97</v>
      </c>
      <c r="Z1906">
        <v>43</v>
      </c>
      <c r="AA1906">
        <v>36</v>
      </c>
      <c r="AB1906" t="s">
        <v>32</v>
      </c>
      <c r="AC1906">
        <v>0.24</v>
      </c>
    </row>
    <row r="1907" spans="1:29">
      <c r="A1907" t="str">
        <f>"300539"</f>
        <v>300539</v>
      </c>
      <c r="B1907" t="s">
        <v>2076</v>
      </c>
      <c r="C1907">
        <v>0.65</v>
      </c>
      <c r="D1907">
        <v>9.33</v>
      </c>
      <c r="E1907">
        <v>0.06</v>
      </c>
      <c r="F1907">
        <v>9.32</v>
      </c>
      <c r="G1907">
        <v>9.33</v>
      </c>
      <c r="H1907">
        <v>27271</v>
      </c>
      <c r="I1907">
        <v>897</v>
      </c>
      <c r="J1907">
        <v>-0.2</v>
      </c>
      <c r="K1907">
        <v>4.48</v>
      </c>
      <c r="L1907">
        <v>9.24</v>
      </c>
      <c r="M1907">
        <v>9.38</v>
      </c>
      <c r="N1907">
        <v>9.1</v>
      </c>
      <c r="O1907">
        <v>9.27</v>
      </c>
      <c r="P1907">
        <v>141.99</v>
      </c>
      <c r="Q1907">
        <v>25301408</v>
      </c>
      <c r="R1907">
        <v>1.08</v>
      </c>
      <c r="S1907" t="s">
        <v>508</v>
      </c>
      <c r="T1907" t="s">
        <v>149</v>
      </c>
      <c r="U1907">
        <v>3.02</v>
      </c>
      <c r="V1907">
        <v>9.28</v>
      </c>
      <c r="W1907">
        <v>15499</v>
      </c>
      <c r="X1907">
        <v>11772</v>
      </c>
      <c r="Y1907">
        <v>1.32</v>
      </c>
      <c r="Z1907">
        <v>500</v>
      </c>
      <c r="AA1907">
        <v>321</v>
      </c>
      <c r="AB1907" t="s">
        <v>32</v>
      </c>
      <c r="AC1907">
        <v>0.61</v>
      </c>
    </row>
    <row r="1908" spans="1:29">
      <c r="A1908" t="str">
        <f>"300540"</f>
        <v>300540</v>
      </c>
      <c r="B1908" t="s">
        <v>2077</v>
      </c>
      <c r="C1908">
        <v>0.58</v>
      </c>
      <c r="D1908">
        <v>17.2</v>
      </c>
      <c r="E1908">
        <v>0.1</v>
      </c>
      <c r="F1908">
        <v>17.2</v>
      </c>
      <c r="G1908">
        <v>17.21</v>
      </c>
      <c r="H1908">
        <v>43724</v>
      </c>
      <c r="I1908">
        <v>2719</v>
      </c>
      <c r="J1908">
        <v>0.88</v>
      </c>
      <c r="K1908">
        <v>6.83</v>
      </c>
      <c r="L1908">
        <v>16.99</v>
      </c>
      <c r="M1908">
        <v>17.2</v>
      </c>
      <c r="N1908">
        <v>16.55</v>
      </c>
      <c r="O1908">
        <v>17.1</v>
      </c>
      <c r="P1908" t="s">
        <v>32</v>
      </c>
      <c r="Q1908">
        <v>74021712</v>
      </c>
      <c r="R1908">
        <v>0.77</v>
      </c>
      <c r="S1908" t="s">
        <v>171</v>
      </c>
      <c r="T1908" t="s">
        <v>146</v>
      </c>
      <c r="U1908">
        <v>3.8</v>
      </c>
      <c r="V1908">
        <v>16.93</v>
      </c>
      <c r="W1908">
        <v>23461</v>
      </c>
      <c r="X1908">
        <v>20263</v>
      </c>
      <c r="Y1908">
        <v>1.16</v>
      </c>
      <c r="Z1908">
        <v>92</v>
      </c>
      <c r="AA1908">
        <v>13</v>
      </c>
      <c r="AB1908" t="s">
        <v>32</v>
      </c>
      <c r="AC1908">
        <v>0.64</v>
      </c>
    </row>
    <row r="1909" spans="1:29">
      <c r="A1909" t="str">
        <f>"300541"</f>
        <v>300541</v>
      </c>
      <c r="B1909" t="s">
        <v>2078</v>
      </c>
      <c r="C1909">
        <v>0.55</v>
      </c>
      <c r="D1909">
        <v>14.5</v>
      </c>
      <c r="E1909">
        <v>0.08</v>
      </c>
      <c r="F1909">
        <v>14.5</v>
      </c>
      <c r="G1909">
        <v>14.51</v>
      </c>
      <c r="H1909">
        <v>18751</v>
      </c>
      <c r="I1909">
        <v>98</v>
      </c>
      <c r="J1909">
        <v>0</v>
      </c>
      <c r="K1909">
        <v>2.48</v>
      </c>
      <c r="L1909">
        <v>14.26</v>
      </c>
      <c r="M1909">
        <v>14.81</v>
      </c>
      <c r="N1909">
        <v>14.25</v>
      </c>
      <c r="O1909">
        <v>14.42</v>
      </c>
      <c r="P1909" t="s">
        <v>32</v>
      </c>
      <c r="Q1909">
        <v>27253170</v>
      </c>
      <c r="R1909">
        <v>1.17</v>
      </c>
      <c r="S1909" t="s">
        <v>270</v>
      </c>
      <c r="T1909" t="s">
        <v>45</v>
      </c>
      <c r="U1909">
        <v>3.88</v>
      </c>
      <c r="V1909">
        <v>14.53</v>
      </c>
      <c r="W1909">
        <v>8591</v>
      </c>
      <c r="X1909">
        <v>10159</v>
      </c>
      <c r="Y1909">
        <v>0.85</v>
      </c>
      <c r="Z1909">
        <v>10</v>
      </c>
      <c r="AA1909">
        <v>7</v>
      </c>
      <c r="AB1909" t="s">
        <v>32</v>
      </c>
      <c r="AC1909">
        <v>0.76</v>
      </c>
    </row>
    <row r="1910" spans="1:29">
      <c r="A1910" t="str">
        <f>"300542"</f>
        <v>300542</v>
      </c>
      <c r="B1910" t="s">
        <v>2079</v>
      </c>
      <c r="C1910">
        <v>2.2</v>
      </c>
      <c r="D1910">
        <v>17.63</v>
      </c>
      <c r="E1910">
        <v>0.38</v>
      </c>
      <c r="F1910">
        <v>17.63</v>
      </c>
      <c r="G1910">
        <v>17.64</v>
      </c>
      <c r="H1910">
        <v>47359</v>
      </c>
      <c r="I1910">
        <v>853</v>
      </c>
      <c r="J1910">
        <v>0.28</v>
      </c>
      <c r="K1910">
        <v>8.5</v>
      </c>
      <c r="L1910">
        <v>17.15</v>
      </c>
      <c r="M1910">
        <v>17.66</v>
      </c>
      <c r="N1910">
        <v>16.92</v>
      </c>
      <c r="O1910">
        <v>17.25</v>
      </c>
      <c r="P1910" t="s">
        <v>32</v>
      </c>
      <c r="Q1910">
        <v>82302824</v>
      </c>
      <c r="R1910">
        <v>1.42</v>
      </c>
      <c r="S1910" t="s">
        <v>270</v>
      </c>
      <c r="T1910" t="s">
        <v>45</v>
      </c>
      <c r="U1910">
        <v>4.29</v>
      </c>
      <c r="V1910">
        <v>17.38</v>
      </c>
      <c r="W1910">
        <v>23403</v>
      </c>
      <c r="X1910">
        <v>23955</v>
      </c>
      <c r="Y1910">
        <v>0.98</v>
      </c>
      <c r="Z1910">
        <v>468</v>
      </c>
      <c r="AA1910">
        <v>87</v>
      </c>
      <c r="AB1910" t="s">
        <v>32</v>
      </c>
      <c r="AC1910">
        <v>0.56</v>
      </c>
    </row>
    <row r="1911" spans="1:29">
      <c r="A1911" t="str">
        <f>"300543"</f>
        <v>300543</v>
      </c>
      <c r="B1911" t="s">
        <v>2080</v>
      </c>
      <c r="C1911">
        <v>1.09</v>
      </c>
      <c r="D1911">
        <v>22.17</v>
      </c>
      <c r="E1911">
        <v>0.24</v>
      </c>
      <c r="F1911">
        <v>22.16</v>
      </c>
      <c r="G1911">
        <v>22.17</v>
      </c>
      <c r="H1911">
        <v>13768</v>
      </c>
      <c r="I1911">
        <v>361</v>
      </c>
      <c r="J1911">
        <v>0.05</v>
      </c>
      <c r="K1911">
        <v>3.23</v>
      </c>
      <c r="L1911">
        <v>21.93</v>
      </c>
      <c r="M1911">
        <v>22.28</v>
      </c>
      <c r="N1911">
        <v>21.62</v>
      </c>
      <c r="O1911">
        <v>21.93</v>
      </c>
      <c r="P1911">
        <v>100.39</v>
      </c>
      <c r="Q1911">
        <v>30354756</v>
      </c>
      <c r="R1911">
        <v>1.06</v>
      </c>
      <c r="S1911" t="s">
        <v>104</v>
      </c>
      <c r="T1911" t="s">
        <v>31</v>
      </c>
      <c r="U1911">
        <v>3.01</v>
      </c>
      <c r="V1911">
        <v>22.05</v>
      </c>
      <c r="W1911">
        <v>6583</v>
      </c>
      <c r="X1911">
        <v>7184</v>
      </c>
      <c r="Y1911">
        <v>0.92</v>
      </c>
      <c r="Z1911">
        <v>145</v>
      </c>
      <c r="AA1911">
        <v>13</v>
      </c>
      <c r="AB1911" t="s">
        <v>32</v>
      </c>
      <c r="AC1911">
        <v>0.43</v>
      </c>
    </row>
    <row r="1912" spans="1:29">
      <c r="A1912" t="str">
        <f>"300545"</f>
        <v>300545</v>
      </c>
      <c r="B1912" t="s">
        <v>2081</v>
      </c>
      <c r="C1912">
        <v>-0.24</v>
      </c>
      <c r="D1912">
        <v>24.61</v>
      </c>
      <c r="E1912">
        <v>-0.06</v>
      </c>
      <c r="F1912">
        <v>24.61</v>
      </c>
      <c r="G1912">
        <v>24.62</v>
      </c>
      <c r="H1912">
        <v>13934</v>
      </c>
      <c r="I1912">
        <v>181</v>
      </c>
      <c r="J1912">
        <v>-0.03</v>
      </c>
      <c r="K1912">
        <v>3.01</v>
      </c>
      <c r="L1912">
        <v>24.46</v>
      </c>
      <c r="M1912">
        <v>25</v>
      </c>
      <c r="N1912">
        <v>24.28</v>
      </c>
      <c r="O1912">
        <v>24.67</v>
      </c>
      <c r="P1912">
        <v>75.6</v>
      </c>
      <c r="Q1912">
        <v>34333632</v>
      </c>
      <c r="R1912">
        <v>1</v>
      </c>
      <c r="S1912" t="s">
        <v>171</v>
      </c>
      <c r="T1912" t="s">
        <v>31</v>
      </c>
      <c r="U1912">
        <v>2.92</v>
      </c>
      <c r="V1912">
        <v>24.64</v>
      </c>
      <c r="W1912">
        <v>7233</v>
      </c>
      <c r="X1912">
        <v>6700</v>
      </c>
      <c r="Y1912">
        <v>1.08</v>
      </c>
      <c r="Z1912">
        <v>21</v>
      </c>
      <c r="AA1912">
        <v>22</v>
      </c>
      <c r="AB1912" t="s">
        <v>32</v>
      </c>
      <c r="AC1912">
        <v>0.46</v>
      </c>
    </row>
    <row r="1913" spans="1:29">
      <c r="A1913" t="str">
        <f>"300546"</f>
        <v>300546</v>
      </c>
      <c r="B1913" t="s">
        <v>2082</v>
      </c>
      <c r="C1913">
        <v>0.18</v>
      </c>
      <c r="D1913">
        <v>22.79</v>
      </c>
      <c r="E1913">
        <v>0.04</v>
      </c>
      <c r="F1913">
        <v>22.78</v>
      </c>
      <c r="G1913">
        <v>22.79</v>
      </c>
      <c r="H1913">
        <v>18970</v>
      </c>
      <c r="I1913">
        <v>338</v>
      </c>
      <c r="J1913">
        <v>0.09</v>
      </c>
      <c r="K1913">
        <v>2.95</v>
      </c>
      <c r="L1913">
        <v>22.66</v>
      </c>
      <c r="M1913">
        <v>22.89</v>
      </c>
      <c r="N1913">
        <v>22.41</v>
      </c>
      <c r="O1913">
        <v>22.75</v>
      </c>
      <c r="P1913" t="s">
        <v>32</v>
      </c>
      <c r="Q1913">
        <v>42944636</v>
      </c>
      <c r="R1913">
        <v>0.85</v>
      </c>
      <c r="S1913" t="s">
        <v>63</v>
      </c>
      <c r="T1913" t="s">
        <v>31</v>
      </c>
      <c r="U1913">
        <v>2.11</v>
      </c>
      <c r="V1913">
        <v>22.64</v>
      </c>
      <c r="W1913">
        <v>10156</v>
      </c>
      <c r="X1913">
        <v>8814</v>
      </c>
      <c r="Y1913">
        <v>1.15</v>
      </c>
      <c r="Z1913">
        <v>2</v>
      </c>
      <c r="AA1913">
        <v>99</v>
      </c>
      <c r="AB1913" t="s">
        <v>32</v>
      </c>
      <c r="AC1913">
        <v>0.64</v>
      </c>
    </row>
    <row r="1914" spans="1:29">
      <c r="A1914" t="str">
        <f>"300547"</f>
        <v>300547</v>
      </c>
      <c r="B1914" t="s">
        <v>2083</v>
      </c>
      <c r="C1914">
        <v>0.64</v>
      </c>
      <c r="D1914">
        <v>21.86</v>
      </c>
      <c r="E1914">
        <v>0.14</v>
      </c>
      <c r="F1914">
        <v>21.86</v>
      </c>
      <c r="G1914">
        <v>21.87</v>
      </c>
      <c r="H1914">
        <v>14078</v>
      </c>
      <c r="I1914">
        <v>295</v>
      </c>
      <c r="J1914">
        <v>0.14</v>
      </c>
      <c r="K1914">
        <v>2.25</v>
      </c>
      <c r="L1914">
        <v>21.74</v>
      </c>
      <c r="M1914">
        <v>21.9</v>
      </c>
      <c r="N1914">
        <v>21.55</v>
      </c>
      <c r="O1914">
        <v>21.72</v>
      </c>
      <c r="P1914">
        <v>24.66</v>
      </c>
      <c r="Q1914">
        <v>30651886</v>
      </c>
      <c r="R1914">
        <v>0.67</v>
      </c>
      <c r="S1914" t="s">
        <v>526</v>
      </c>
      <c r="T1914" t="s">
        <v>146</v>
      </c>
      <c r="U1914">
        <v>1.61</v>
      </c>
      <c r="V1914">
        <v>21.77</v>
      </c>
      <c r="W1914">
        <v>7198</v>
      </c>
      <c r="X1914">
        <v>6880</v>
      </c>
      <c r="Y1914">
        <v>1.05</v>
      </c>
      <c r="Z1914">
        <v>54</v>
      </c>
      <c r="AA1914">
        <v>71</v>
      </c>
      <c r="AB1914" t="s">
        <v>32</v>
      </c>
      <c r="AC1914">
        <v>0.63</v>
      </c>
    </row>
    <row r="1915" spans="1:29">
      <c r="A1915" t="str">
        <f>"300548"</f>
        <v>300548</v>
      </c>
      <c r="B1915" t="s">
        <v>2084</v>
      </c>
      <c r="C1915">
        <v>0.08</v>
      </c>
      <c r="D1915">
        <v>37.86</v>
      </c>
      <c r="E1915">
        <v>0.03</v>
      </c>
      <c r="F1915">
        <v>37.85</v>
      </c>
      <c r="G1915">
        <v>37.86</v>
      </c>
      <c r="H1915">
        <v>10870</v>
      </c>
      <c r="I1915">
        <v>140</v>
      </c>
      <c r="J1915">
        <v>0.05</v>
      </c>
      <c r="K1915">
        <v>3.19</v>
      </c>
      <c r="L1915">
        <v>37.56</v>
      </c>
      <c r="M1915">
        <v>38.1</v>
      </c>
      <c r="N1915">
        <v>37.18</v>
      </c>
      <c r="O1915">
        <v>37.83</v>
      </c>
      <c r="P1915">
        <v>55.72</v>
      </c>
      <c r="Q1915">
        <v>41069064</v>
      </c>
      <c r="R1915">
        <v>0.82</v>
      </c>
      <c r="S1915" t="s">
        <v>63</v>
      </c>
      <c r="T1915" t="s">
        <v>149</v>
      </c>
      <c r="U1915">
        <v>2.43</v>
      </c>
      <c r="V1915">
        <v>37.78</v>
      </c>
      <c r="W1915">
        <v>5770</v>
      </c>
      <c r="X1915">
        <v>5100</v>
      </c>
      <c r="Y1915">
        <v>1.13</v>
      </c>
      <c r="Z1915">
        <v>25</v>
      </c>
      <c r="AA1915">
        <v>28</v>
      </c>
      <c r="AB1915" t="s">
        <v>32</v>
      </c>
      <c r="AC1915">
        <v>0.34</v>
      </c>
    </row>
    <row r="1916" spans="1:29">
      <c r="A1916" t="str">
        <f>"300549"</f>
        <v>300549</v>
      </c>
      <c r="B1916" t="s">
        <v>2085</v>
      </c>
      <c r="C1916">
        <v>1.3</v>
      </c>
      <c r="D1916">
        <v>17.1</v>
      </c>
      <c r="E1916">
        <v>0.22</v>
      </c>
      <c r="F1916">
        <v>17.1</v>
      </c>
      <c r="G1916">
        <v>17.11</v>
      </c>
      <c r="H1916">
        <v>10612</v>
      </c>
      <c r="I1916">
        <v>120</v>
      </c>
      <c r="J1916">
        <v>0.12</v>
      </c>
      <c r="K1916">
        <v>1.74</v>
      </c>
      <c r="L1916">
        <v>16.75</v>
      </c>
      <c r="M1916">
        <v>17.26</v>
      </c>
      <c r="N1916">
        <v>16.75</v>
      </c>
      <c r="O1916">
        <v>16.88</v>
      </c>
      <c r="P1916">
        <v>35.57</v>
      </c>
      <c r="Q1916">
        <v>18109738</v>
      </c>
      <c r="R1916">
        <v>1.2</v>
      </c>
      <c r="S1916" t="s">
        <v>171</v>
      </c>
      <c r="T1916" t="s">
        <v>87</v>
      </c>
      <c r="U1916">
        <v>3.02</v>
      </c>
      <c r="V1916">
        <v>17.07</v>
      </c>
      <c r="W1916">
        <v>5748</v>
      </c>
      <c r="X1916">
        <v>4863</v>
      </c>
      <c r="Y1916">
        <v>1.18</v>
      </c>
      <c r="Z1916">
        <v>146</v>
      </c>
      <c r="AA1916">
        <v>26</v>
      </c>
      <c r="AB1916" t="s">
        <v>32</v>
      </c>
      <c r="AC1916">
        <v>0.61</v>
      </c>
    </row>
    <row r="1917" spans="1:29">
      <c r="A1917" t="str">
        <f>"300550"</f>
        <v>300550</v>
      </c>
      <c r="B1917" t="s">
        <v>2086</v>
      </c>
      <c r="C1917">
        <v>-0.53</v>
      </c>
      <c r="D1917">
        <v>37.71</v>
      </c>
      <c r="E1917">
        <v>-0.2</v>
      </c>
      <c r="F1917">
        <v>37.71</v>
      </c>
      <c r="G1917">
        <v>37.75</v>
      </c>
      <c r="H1917">
        <v>5376</v>
      </c>
      <c r="I1917">
        <v>73</v>
      </c>
      <c r="J1917">
        <v>-0.15</v>
      </c>
      <c r="K1917">
        <v>1.84</v>
      </c>
      <c r="L1917">
        <v>37.96</v>
      </c>
      <c r="M1917">
        <v>38.13</v>
      </c>
      <c r="N1917">
        <v>37.2</v>
      </c>
      <c r="O1917">
        <v>37.91</v>
      </c>
      <c r="P1917">
        <v>260.37</v>
      </c>
      <c r="Q1917">
        <v>20236916</v>
      </c>
      <c r="R1917">
        <v>0.53</v>
      </c>
      <c r="S1917" t="s">
        <v>270</v>
      </c>
      <c r="T1917" t="s">
        <v>149</v>
      </c>
      <c r="U1917">
        <v>2.45</v>
      </c>
      <c r="V1917">
        <v>37.64</v>
      </c>
      <c r="W1917">
        <v>3337</v>
      </c>
      <c r="X1917">
        <v>2039</v>
      </c>
      <c r="Y1917">
        <v>1.64</v>
      </c>
      <c r="Z1917">
        <v>76</v>
      </c>
      <c r="AA1917">
        <v>49</v>
      </c>
      <c r="AB1917" t="s">
        <v>32</v>
      </c>
      <c r="AC1917">
        <v>0.29</v>
      </c>
    </row>
    <row r="1918" spans="1:29">
      <c r="A1918" t="str">
        <f>"300551"</f>
        <v>300551</v>
      </c>
      <c r="B1918" t="s">
        <v>2087</v>
      </c>
      <c r="C1918">
        <v>-0.39</v>
      </c>
      <c r="D1918">
        <v>15.31</v>
      </c>
      <c r="E1918">
        <v>-0.06</v>
      </c>
      <c r="F1918">
        <v>15.31</v>
      </c>
      <c r="G1918">
        <v>15.32</v>
      </c>
      <c r="H1918">
        <v>117264</v>
      </c>
      <c r="I1918">
        <v>940</v>
      </c>
      <c r="J1918">
        <v>0.2</v>
      </c>
      <c r="K1918">
        <v>18.07</v>
      </c>
      <c r="L1918">
        <v>16.1</v>
      </c>
      <c r="M1918">
        <v>16.38</v>
      </c>
      <c r="N1918">
        <v>15.23</v>
      </c>
      <c r="O1918">
        <v>15.37</v>
      </c>
      <c r="P1918" t="s">
        <v>32</v>
      </c>
      <c r="Q1918">
        <v>186673760</v>
      </c>
      <c r="R1918">
        <v>10.4</v>
      </c>
      <c r="S1918" t="s">
        <v>171</v>
      </c>
      <c r="T1918" t="s">
        <v>366</v>
      </c>
      <c r="U1918">
        <v>7.48</v>
      </c>
      <c r="V1918">
        <v>15.92</v>
      </c>
      <c r="W1918">
        <v>49053</v>
      </c>
      <c r="X1918">
        <v>68210</v>
      </c>
      <c r="Y1918">
        <v>0.72</v>
      </c>
      <c r="Z1918">
        <v>332</v>
      </c>
      <c r="AA1918">
        <v>417</v>
      </c>
      <c r="AB1918" t="s">
        <v>32</v>
      </c>
      <c r="AC1918">
        <v>0.65</v>
      </c>
    </row>
    <row r="1919" spans="1:29">
      <c r="A1919" t="str">
        <f>"300552"</f>
        <v>300552</v>
      </c>
      <c r="B1919" t="s">
        <v>2088</v>
      </c>
      <c r="C1919">
        <v>1.57</v>
      </c>
      <c r="D1919">
        <v>20</v>
      </c>
      <c r="E1919">
        <v>0.31</v>
      </c>
      <c r="F1919">
        <v>19.99</v>
      </c>
      <c r="G1919">
        <v>20</v>
      </c>
      <c r="H1919">
        <v>9683</v>
      </c>
      <c r="I1919">
        <v>350</v>
      </c>
      <c r="J1919">
        <v>0.3</v>
      </c>
      <c r="K1919">
        <v>2.44</v>
      </c>
      <c r="L1919">
        <v>19.79</v>
      </c>
      <c r="M1919">
        <v>20.08</v>
      </c>
      <c r="N1919">
        <v>19.51</v>
      </c>
      <c r="O1919">
        <v>19.69</v>
      </c>
      <c r="P1919" t="s">
        <v>32</v>
      </c>
      <c r="Q1919">
        <v>19228994</v>
      </c>
      <c r="R1919">
        <v>1.19</v>
      </c>
      <c r="S1919" t="s">
        <v>270</v>
      </c>
      <c r="T1919" t="s">
        <v>45</v>
      </c>
      <c r="U1919">
        <v>2.89</v>
      </c>
      <c r="V1919">
        <v>19.86</v>
      </c>
      <c r="W1919">
        <v>5351</v>
      </c>
      <c r="X1919">
        <v>4331</v>
      </c>
      <c r="Y1919">
        <v>1.24</v>
      </c>
      <c r="Z1919">
        <v>10</v>
      </c>
      <c r="AA1919">
        <v>23</v>
      </c>
      <c r="AB1919" t="s">
        <v>32</v>
      </c>
      <c r="AC1919">
        <v>0.4</v>
      </c>
    </row>
    <row r="1920" spans="1:29">
      <c r="A1920" t="str">
        <f>"300553"</f>
        <v>300553</v>
      </c>
      <c r="B1920" t="s">
        <v>2089</v>
      </c>
      <c r="C1920">
        <v>1.77</v>
      </c>
      <c r="D1920">
        <v>36.14</v>
      </c>
      <c r="E1920">
        <v>0.63</v>
      </c>
      <c r="F1920">
        <v>36.14</v>
      </c>
      <c r="G1920">
        <v>36.19</v>
      </c>
      <c r="H1920">
        <v>3026</v>
      </c>
      <c r="I1920">
        <v>68</v>
      </c>
      <c r="J1920">
        <v>-0.1</v>
      </c>
      <c r="K1920">
        <v>1.81</v>
      </c>
      <c r="L1920">
        <v>35.5</v>
      </c>
      <c r="M1920">
        <v>36.46</v>
      </c>
      <c r="N1920">
        <v>35.45</v>
      </c>
      <c r="O1920">
        <v>35.51</v>
      </c>
      <c r="P1920">
        <v>194.78</v>
      </c>
      <c r="Q1920">
        <v>10931642</v>
      </c>
      <c r="R1920">
        <v>0.97</v>
      </c>
      <c r="S1920" t="s">
        <v>606</v>
      </c>
      <c r="T1920" t="s">
        <v>149</v>
      </c>
      <c r="U1920">
        <v>2.84</v>
      </c>
      <c r="V1920">
        <v>36.13</v>
      </c>
      <c r="W1920">
        <v>1524</v>
      </c>
      <c r="X1920">
        <v>1502</v>
      </c>
      <c r="Y1920">
        <v>1.01</v>
      </c>
      <c r="Z1920">
        <v>48</v>
      </c>
      <c r="AA1920">
        <v>4</v>
      </c>
      <c r="AB1920" t="s">
        <v>32</v>
      </c>
      <c r="AC1920">
        <v>0.17</v>
      </c>
    </row>
    <row r="1921" spans="1:29">
      <c r="A1921" t="str">
        <f>"300554"</f>
        <v>300554</v>
      </c>
      <c r="B1921" t="s">
        <v>2090</v>
      </c>
      <c r="C1921">
        <v>2.07</v>
      </c>
      <c r="D1921">
        <v>31.1</v>
      </c>
      <c r="E1921">
        <v>0.63</v>
      </c>
      <c r="F1921">
        <v>31.1</v>
      </c>
      <c r="G1921">
        <v>31.11</v>
      </c>
      <c r="H1921">
        <v>33746</v>
      </c>
      <c r="I1921">
        <v>263</v>
      </c>
      <c r="J1921">
        <v>0.03</v>
      </c>
      <c r="K1921">
        <v>5.98</v>
      </c>
      <c r="L1921">
        <v>30.48</v>
      </c>
      <c r="M1921">
        <v>31.4</v>
      </c>
      <c r="N1921">
        <v>30.1</v>
      </c>
      <c r="O1921">
        <v>30.47</v>
      </c>
      <c r="P1921">
        <v>13.86</v>
      </c>
      <c r="Q1921">
        <v>104369896</v>
      </c>
      <c r="R1921">
        <v>0.73</v>
      </c>
      <c r="S1921" t="s">
        <v>227</v>
      </c>
      <c r="T1921" t="s">
        <v>87</v>
      </c>
      <c r="U1921">
        <v>4.27</v>
      </c>
      <c r="V1921">
        <v>30.93</v>
      </c>
      <c r="W1921">
        <v>16387</v>
      </c>
      <c r="X1921">
        <v>17358</v>
      </c>
      <c r="Y1921">
        <v>0.94</v>
      </c>
      <c r="Z1921">
        <v>34</v>
      </c>
      <c r="AA1921">
        <v>12</v>
      </c>
      <c r="AB1921" t="s">
        <v>32</v>
      </c>
      <c r="AC1921">
        <v>0.56</v>
      </c>
    </row>
    <row r="1922" spans="1:29">
      <c r="A1922" t="str">
        <f>"300555"</f>
        <v>300555</v>
      </c>
      <c r="B1922" t="s">
        <v>2091</v>
      </c>
      <c r="C1922">
        <v>1.83</v>
      </c>
      <c r="D1922">
        <v>10.6</v>
      </c>
      <c r="E1922">
        <v>0.19</v>
      </c>
      <c r="F1922">
        <v>10.59</v>
      </c>
      <c r="G1922">
        <v>10.6</v>
      </c>
      <c r="H1922">
        <v>29735</v>
      </c>
      <c r="I1922">
        <v>573</v>
      </c>
      <c r="J1922">
        <v>-0.08</v>
      </c>
      <c r="K1922">
        <v>3.21</v>
      </c>
      <c r="L1922">
        <v>10.34</v>
      </c>
      <c r="M1922">
        <v>10.68</v>
      </c>
      <c r="N1922">
        <v>10.29</v>
      </c>
      <c r="O1922">
        <v>10.41</v>
      </c>
      <c r="P1922">
        <v>98.96</v>
      </c>
      <c r="Q1922">
        <v>31313412</v>
      </c>
      <c r="R1922">
        <v>1.46</v>
      </c>
      <c r="S1922" t="s">
        <v>119</v>
      </c>
      <c r="T1922" t="s">
        <v>87</v>
      </c>
      <c r="U1922">
        <v>3.75</v>
      </c>
      <c r="V1922">
        <v>10.53</v>
      </c>
      <c r="W1922">
        <v>13474</v>
      </c>
      <c r="X1922">
        <v>16261</v>
      </c>
      <c r="Y1922">
        <v>0.83</v>
      </c>
      <c r="Z1922">
        <v>102</v>
      </c>
      <c r="AA1922">
        <v>144</v>
      </c>
      <c r="AB1922" t="s">
        <v>32</v>
      </c>
      <c r="AC1922">
        <v>0.93</v>
      </c>
    </row>
    <row r="1923" spans="1:29">
      <c r="A1923" t="str">
        <f>"300556"</f>
        <v>300556</v>
      </c>
      <c r="B1923" t="s">
        <v>2092</v>
      </c>
      <c r="C1923">
        <v>-0.09</v>
      </c>
      <c r="D1923">
        <v>22.4</v>
      </c>
      <c r="E1923">
        <v>-0.02</v>
      </c>
      <c r="F1923">
        <v>22.4</v>
      </c>
      <c r="G1923">
        <v>22.42</v>
      </c>
      <c r="H1923">
        <v>41852</v>
      </c>
      <c r="I1923">
        <v>509</v>
      </c>
      <c r="J1923">
        <v>0.04</v>
      </c>
      <c r="K1923">
        <v>6.72</v>
      </c>
      <c r="L1923">
        <v>22.35</v>
      </c>
      <c r="M1923">
        <v>22.84</v>
      </c>
      <c r="N1923">
        <v>22.25</v>
      </c>
      <c r="O1923">
        <v>22.42</v>
      </c>
      <c r="P1923" t="s">
        <v>32</v>
      </c>
      <c r="Q1923">
        <v>94386632</v>
      </c>
      <c r="R1923">
        <v>0.81</v>
      </c>
      <c r="S1923" t="s">
        <v>270</v>
      </c>
      <c r="T1923" t="s">
        <v>31</v>
      </c>
      <c r="U1923">
        <v>2.63</v>
      </c>
      <c r="V1923">
        <v>22.55</v>
      </c>
      <c r="W1923">
        <v>22389</v>
      </c>
      <c r="X1923">
        <v>19463</v>
      </c>
      <c r="Y1923">
        <v>1.15</v>
      </c>
      <c r="Z1923">
        <v>96</v>
      </c>
      <c r="AA1923">
        <v>29</v>
      </c>
      <c r="AB1923" t="s">
        <v>32</v>
      </c>
      <c r="AC1923">
        <v>0.62</v>
      </c>
    </row>
    <row r="1924" spans="1:29">
      <c r="A1924" t="str">
        <f>"300557"</f>
        <v>300557</v>
      </c>
      <c r="B1924" t="s">
        <v>2093</v>
      </c>
      <c r="C1924">
        <v>0.96</v>
      </c>
      <c r="D1924">
        <v>29.35</v>
      </c>
      <c r="E1924">
        <v>0.28</v>
      </c>
      <c r="F1924">
        <v>29.35</v>
      </c>
      <c r="G1924">
        <v>29.36</v>
      </c>
      <c r="H1924">
        <v>5580</v>
      </c>
      <c r="I1924">
        <v>74</v>
      </c>
      <c r="J1924">
        <v>-0.33</v>
      </c>
      <c r="K1924">
        <v>1.63</v>
      </c>
      <c r="L1924">
        <v>29.14</v>
      </c>
      <c r="M1924">
        <v>29.66</v>
      </c>
      <c r="N1924">
        <v>28.79</v>
      </c>
      <c r="O1924">
        <v>29.07</v>
      </c>
      <c r="P1924" t="s">
        <v>32</v>
      </c>
      <c r="Q1924">
        <v>16307735</v>
      </c>
      <c r="R1924">
        <v>1.55</v>
      </c>
      <c r="S1924" t="s">
        <v>606</v>
      </c>
      <c r="T1924" t="s">
        <v>193</v>
      </c>
      <c r="U1924">
        <v>2.99</v>
      </c>
      <c r="V1924">
        <v>29.23</v>
      </c>
      <c r="W1924">
        <v>1944</v>
      </c>
      <c r="X1924">
        <v>3636</v>
      </c>
      <c r="Y1924">
        <v>0.53</v>
      </c>
      <c r="Z1924">
        <v>9</v>
      </c>
      <c r="AA1924">
        <v>10</v>
      </c>
      <c r="AB1924" t="s">
        <v>32</v>
      </c>
      <c r="AC1924">
        <v>0.34</v>
      </c>
    </row>
    <row r="1925" spans="1:29">
      <c r="A1925" t="str">
        <f>"300558"</f>
        <v>300558</v>
      </c>
      <c r="B1925" t="s">
        <v>2094</v>
      </c>
      <c r="C1925">
        <v>-0.13</v>
      </c>
      <c r="D1925">
        <v>53.01</v>
      </c>
      <c r="E1925">
        <v>-0.07</v>
      </c>
      <c r="F1925">
        <v>53</v>
      </c>
      <c r="G1925">
        <v>53.01</v>
      </c>
      <c r="H1925">
        <v>28697</v>
      </c>
      <c r="I1925">
        <v>174</v>
      </c>
      <c r="J1925">
        <v>0.11</v>
      </c>
      <c r="K1925">
        <v>1.69</v>
      </c>
      <c r="L1925">
        <v>53.08</v>
      </c>
      <c r="M1925">
        <v>53.49</v>
      </c>
      <c r="N1925">
        <v>51.48</v>
      </c>
      <c r="O1925">
        <v>53.08</v>
      </c>
      <c r="P1925">
        <v>124.2</v>
      </c>
      <c r="Q1925">
        <v>151306352</v>
      </c>
      <c r="R1925">
        <v>0.91</v>
      </c>
      <c r="S1925" t="s">
        <v>142</v>
      </c>
      <c r="T1925" t="s">
        <v>149</v>
      </c>
      <c r="U1925">
        <v>3.79</v>
      </c>
      <c r="V1925">
        <v>52.73</v>
      </c>
      <c r="W1925">
        <v>15221</v>
      </c>
      <c r="X1925">
        <v>13475</v>
      </c>
      <c r="Y1925">
        <v>1.13</v>
      </c>
      <c r="Z1925">
        <v>22</v>
      </c>
      <c r="AA1925">
        <v>105</v>
      </c>
      <c r="AB1925" t="s">
        <v>32</v>
      </c>
      <c r="AC1925">
        <v>1.7</v>
      </c>
    </row>
    <row r="1926" spans="1:29">
      <c r="A1926" t="str">
        <f>"300559"</f>
        <v>300559</v>
      </c>
      <c r="B1926" t="s">
        <v>2095</v>
      </c>
      <c r="C1926">
        <v>-3.64</v>
      </c>
      <c r="D1926">
        <v>37.87</v>
      </c>
      <c r="E1926">
        <v>-1.43</v>
      </c>
      <c r="F1926">
        <v>37.86</v>
      </c>
      <c r="G1926">
        <v>37.87</v>
      </c>
      <c r="H1926">
        <v>26312</v>
      </c>
      <c r="I1926">
        <v>371</v>
      </c>
      <c r="J1926">
        <v>0.26</v>
      </c>
      <c r="K1926">
        <v>3.45</v>
      </c>
      <c r="L1926">
        <v>39</v>
      </c>
      <c r="M1926">
        <v>39.26</v>
      </c>
      <c r="N1926">
        <v>37</v>
      </c>
      <c r="O1926">
        <v>39.3</v>
      </c>
      <c r="P1926">
        <v>177.68</v>
      </c>
      <c r="Q1926">
        <v>100388896</v>
      </c>
      <c r="R1926">
        <v>0.84</v>
      </c>
      <c r="S1926" t="s">
        <v>270</v>
      </c>
      <c r="T1926" t="s">
        <v>146</v>
      </c>
      <c r="U1926">
        <v>5.75</v>
      </c>
      <c r="V1926">
        <v>38.15</v>
      </c>
      <c r="W1926">
        <v>16936</v>
      </c>
      <c r="X1926">
        <v>9375</v>
      </c>
      <c r="Y1926">
        <v>1.81</v>
      </c>
      <c r="Z1926">
        <v>11</v>
      </c>
      <c r="AA1926">
        <v>1</v>
      </c>
      <c r="AB1926" t="s">
        <v>32</v>
      </c>
      <c r="AC1926">
        <v>0.76</v>
      </c>
    </row>
    <row r="1927" spans="1:29">
      <c r="A1927" t="str">
        <f>"300560"</f>
        <v>300560</v>
      </c>
      <c r="B1927" t="s">
        <v>2096</v>
      </c>
      <c r="C1927">
        <v>0.36</v>
      </c>
      <c r="D1927">
        <v>22.56</v>
      </c>
      <c r="E1927">
        <v>0.08</v>
      </c>
      <c r="F1927">
        <v>22.56</v>
      </c>
      <c r="G1927">
        <v>22.57</v>
      </c>
      <c r="H1927">
        <v>25931</v>
      </c>
      <c r="I1927">
        <v>414</v>
      </c>
      <c r="J1927">
        <v>0.04</v>
      </c>
      <c r="K1927">
        <v>4.27</v>
      </c>
      <c r="L1927">
        <v>22.39</v>
      </c>
      <c r="M1927">
        <v>22.76</v>
      </c>
      <c r="N1927">
        <v>22.2</v>
      </c>
      <c r="O1927">
        <v>22.48</v>
      </c>
      <c r="P1927">
        <v>97.13</v>
      </c>
      <c r="Q1927">
        <v>58350908</v>
      </c>
      <c r="R1927">
        <v>0.76</v>
      </c>
      <c r="S1927" t="s">
        <v>119</v>
      </c>
      <c r="T1927" t="s">
        <v>236</v>
      </c>
      <c r="U1927">
        <v>2.49</v>
      </c>
      <c r="V1927">
        <v>22.5</v>
      </c>
      <c r="W1927">
        <v>14408</v>
      </c>
      <c r="X1927">
        <v>11523</v>
      </c>
      <c r="Y1927">
        <v>1.25</v>
      </c>
      <c r="Z1927">
        <v>162</v>
      </c>
      <c r="AA1927">
        <v>230</v>
      </c>
      <c r="AB1927" t="s">
        <v>32</v>
      </c>
      <c r="AC1927">
        <v>0.61</v>
      </c>
    </row>
    <row r="1928" spans="1:29">
      <c r="A1928" t="str">
        <f>"300561"</f>
        <v>300561</v>
      </c>
      <c r="B1928" t="s">
        <v>2097</v>
      </c>
      <c r="C1928" t="s">
        <v>32</v>
      </c>
      <c r="D1928">
        <v>23.13</v>
      </c>
      <c r="E1928" t="s">
        <v>32</v>
      </c>
      <c r="F1928" t="s">
        <v>32</v>
      </c>
      <c r="G1928" t="s">
        <v>32</v>
      </c>
      <c r="H1928">
        <v>0</v>
      </c>
      <c r="I1928">
        <v>0</v>
      </c>
      <c r="J1928" t="s">
        <v>32</v>
      </c>
      <c r="K1928">
        <v>0</v>
      </c>
      <c r="L1928" t="s">
        <v>32</v>
      </c>
      <c r="M1928" t="s">
        <v>32</v>
      </c>
      <c r="N1928" t="s">
        <v>32</v>
      </c>
      <c r="O1928">
        <v>23.13</v>
      </c>
      <c r="P1928">
        <v>103.81</v>
      </c>
      <c r="Q1928">
        <v>0</v>
      </c>
      <c r="R1928">
        <v>0</v>
      </c>
      <c r="S1928" t="s">
        <v>270</v>
      </c>
      <c r="T1928" t="s">
        <v>136</v>
      </c>
      <c r="U1928">
        <v>0</v>
      </c>
      <c r="V1928">
        <v>23.13</v>
      </c>
      <c r="W1928">
        <v>0</v>
      </c>
      <c r="X1928">
        <v>0</v>
      </c>
      <c r="Y1928" t="s">
        <v>32</v>
      </c>
      <c r="Z1928">
        <v>0</v>
      </c>
      <c r="AA1928">
        <v>0</v>
      </c>
      <c r="AB1928" t="s">
        <v>32</v>
      </c>
      <c r="AC1928">
        <v>0.67</v>
      </c>
    </row>
    <row r="1929" spans="1:29">
      <c r="A1929" t="str">
        <f>"300562"</f>
        <v>300562</v>
      </c>
      <c r="B1929" t="s">
        <v>2098</v>
      </c>
      <c r="C1929">
        <v>4.02</v>
      </c>
      <c r="D1929">
        <v>16.31</v>
      </c>
      <c r="E1929">
        <v>0.63</v>
      </c>
      <c r="F1929">
        <v>16.31</v>
      </c>
      <c r="G1929">
        <v>16.32</v>
      </c>
      <c r="H1929">
        <v>23512</v>
      </c>
      <c r="I1929">
        <v>2336</v>
      </c>
      <c r="J1929">
        <v>1.18</v>
      </c>
      <c r="K1929">
        <v>2.81</v>
      </c>
      <c r="L1929">
        <v>15.48</v>
      </c>
      <c r="M1929">
        <v>16.31</v>
      </c>
      <c r="N1929">
        <v>15.48</v>
      </c>
      <c r="O1929">
        <v>15.68</v>
      </c>
      <c r="P1929">
        <v>245.33</v>
      </c>
      <c r="Q1929">
        <v>37473828</v>
      </c>
      <c r="R1929">
        <v>1.02</v>
      </c>
      <c r="S1929" t="s">
        <v>138</v>
      </c>
      <c r="T1929" t="s">
        <v>136</v>
      </c>
      <c r="U1929">
        <v>5.29</v>
      </c>
      <c r="V1929">
        <v>15.94</v>
      </c>
      <c r="W1929">
        <v>11483</v>
      </c>
      <c r="X1929">
        <v>12029</v>
      </c>
      <c r="Y1929">
        <v>0.95</v>
      </c>
      <c r="Z1929">
        <v>1</v>
      </c>
      <c r="AA1929">
        <v>3</v>
      </c>
      <c r="AB1929" t="s">
        <v>32</v>
      </c>
      <c r="AC1929">
        <v>0.84</v>
      </c>
    </row>
    <row r="1930" spans="1:29">
      <c r="A1930" t="str">
        <f>"300563"</f>
        <v>300563</v>
      </c>
      <c r="B1930" t="s">
        <v>2099</v>
      </c>
      <c r="C1930">
        <v>0.26</v>
      </c>
      <c r="D1930">
        <v>27.06</v>
      </c>
      <c r="E1930">
        <v>0.07</v>
      </c>
      <c r="F1930">
        <v>27.06</v>
      </c>
      <c r="G1930">
        <v>27.07</v>
      </c>
      <c r="H1930">
        <v>7901</v>
      </c>
      <c r="I1930">
        <v>102</v>
      </c>
      <c r="J1930">
        <v>0</v>
      </c>
      <c r="K1930">
        <v>2.46</v>
      </c>
      <c r="L1930">
        <v>26.99</v>
      </c>
      <c r="M1930">
        <v>27.25</v>
      </c>
      <c r="N1930">
        <v>26.6</v>
      </c>
      <c r="O1930">
        <v>26.99</v>
      </c>
      <c r="P1930">
        <v>38.61</v>
      </c>
      <c r="Q1930">
        <v>21372238</v>
      </c>
      <c r="R1930">
        <v>1.18</v>
      </c>
      <c r="S1930" t="s">
        <v>119</v>
      </c>
      <c r="T1930" t="s">
        <v>87</v>
      </c>
      <c r="U1930">
        <v>2.41</v>
      </c>
      <c r="V1930">
        <v>27.05</v>
      </c>
      <c r="W1930">
        <v>4504</v>
      </c>
      <c r="X1930">
        <v>3396</v>
      </c>
      <c r="Y1930">
        <v>1.33</v>
      </c>
      <c r="Z1930">
        <v>99</v>
      </c>
      <c r="AA1930">
        <v>10</v>
      </c>
      <c r="AB1930" t="s">
        <v>32</v>
      </c>
      <c r="AC1930">
        <v>0.32</v>
      </c>
    </row>
    <row r="1931" spans="1:29">
      <c r="A1931" t="str">
        <f>"300565"</f>
        <v>300565</v>
      </c>
      <c r="B1931" t="s">
        <v>2100</v>
      </c>
      <c r="C1931">
        <v>1.18</v>
      </c>
      <c r="D1931">
        <v>15.44</v>
      </c>
      <c r="E1931">
        <v>0.18</v>
      </c>
      <c r="F1931">
        <v>15.44</v>
      </c>
      <c r="G1931">
        <v>15.45</v>
      </c>
      <c r="H1931">
        <v>31952</v>
      </c>
      <c r="I1931">
        <v>773</v>
      </c>
      <c r="J1931">
        <v>0.32</v>
      </c>
      <c r="K1931">
        <v>4.5</v>
      </c>
      <c r="L1931">
        <v>15.27</v>
      </c>
      <c r="M1931">
        <v>15.44</v>
      </c>
      <c r="N1931">
        <v>15.02</v>
      </c>
      <c r="O1931">
        <v>15.26</v>
      </c>
      <c r="P1931">
        <v>99.13</v>
      </c>
      <c r="Q1931">
        <v>48855284</v>
      </c>
      <c r="R1931">
        <v>0.97</v>
      </c>
      <c r="S1931" t="s">
        <v>119</v>
      </c>
      <c r="T1931" t="s">
        <v>31</v>
      </c>
      <c r="U1931">
        <v>2.75</v>
      </c>
      <c r="V1931">
        <v>15.29</v>
      </c>
      <c r="W1931">
        <v>14817</v>
      </c>
      <c r="X1931">
        <v>17135</v>
      </c>
      <c r="Y1931">
        <v>0.86</v>
      </c>
      <c r="Z1931">
        <v>902</v>
      </c>
      <c r="AA1931">
        <v>329</v>
      </c>
      <c r="AB1931" t="s">
        <v>32</v>
      </c>
      <c r="AC1931">
        <v>0.71</v>
      </c>
    </row>
    <row r="1932" spans="1:29">
      <c r="A1932" t="str">
        <f>"300566"</f>
        <v>300566</v>
      </c>
      <c r="B1932" t="s">
        <v>2101</v>
      </c>
      <c r="C1932">
        <v>1.55</v>
      </c>
      <c r="D1932">
        <v>18.38</v>
      </c>
      <c r="E1932">
        <v>0.28</v>
      </c>
      <c r="F1932">
        <v>18.38</v>
      </c>
      <c r="G1932">
        <v>18.39</v>
      </c>
      <c r="H1932">
        <v>13266</v>
      </c>
      <c r="I1932">
        <v>299</v>
      </c>
      <c r="J1932">
        <v>0.44</v>
      </c>
      <c r="K1932">
        <v>1.4</v>
      </c>
      <c r="L1932">
        <v>18.17</v>
      </c>
      <c r="M1932">
        <v>18.45</v>
      </c>
      <c r="N1932">
        <v>18</v>
      </c>
      <c r="O1932">
        <v>18.1</v>
      </c>
      <c r="P1932">
        <v>51.78</v>
      </c>
      <c r="Q1932">
        <v>24280286</v>
      </c>
      <c r="R1932">
        <v>0.95</v>
      </c>
      <c r="S1932" t="s">
        <v>63</v>
      </c>
      <c r="T1932" t="s">
        <v>149</v>
      </c>
      <c r="U1932">
        <v>2.49</v>
      </c>
      <c r="V1932">
        <v>18.3</v>
      </c>
      <c r="W1932">
        <v>6128</v>
      </c>
      <c r="X1932">
        <v>7137</v>
      </c>
      <c r="Y1932">
        <v>0.86</v>
      </c>
      <c r="Z1932">
        <v>256</v>
      </c>
      <c r="AA1932">
        <v>60</v>
      </c>
      <c r="AB1932" t="s">
        <v>32</v>
      </c>
      <c r="AC1932">
        <v>0.95</v>
      </c>
    </row>
    <row r="1933" spans="1:29">
      <c r="A1933" t="str">
        <f>"300567"</f>
        <v>300567</v>
      </c>
      <c r="B1933" t="s">
        <v>2102</v>
      </c>
      <c r="C1933">
        <v>0.4</v>
      </c>
      <c r="D1933">
        <v>86.9</v>
      </c>
      <c r="E1933">
        <v>0.35</v>
      </c>
      <c r="F1933">
        <v>86.9</v>
      </c>
      <c r="G1933">
        <v>86.98</v>
      </c>
      <c r="H1933">
        <v>16308</v>
      </c>
      <c r="I1933">
        <v>167</v>
      </c>
      <c r="J1933">
        <v>0.52</v>
      </c>
      <c r="K1933">
        <v>1.98</v>
      </c>
      <c r="L1933">
        <v>87.17</v>
      </c>
      <c r="M1933">
        <v>87.5</v>
      </c>
      <c r="N1933">
        <v>83.51</v>
      </c>
      <c r="O1933">
        <v>86.55</v>
      </c>
      <c r="P1933">
        <v>72.77</v>
      </c>
      <c r="Q1933">
        <v>140325504</v>
      </c>
      <c r="R1933">
        <v>0.7</v>
      </c>
      <c r="S1933" t="s">
        <v>606</v>
      </c>
      <c r="T1933" t="s">
        <v>193</v>
      </c>
      <c r="U1933">
        <v>4.61</v>
      </c>
      <c r="V1933">
        <v>86.05</v>
      </c>
      <c r="W1933">
        <v>8856</v>
      </c>
      <c r="X1933">
        <v>7451</v>
      </c>
      <c r="Y1933">
        <v>1.19</v>
      </c>
      <c r="Z1933">
        <v>107</v>
      </c>
      <c r="AA1933">
        <v>4</v>
      </c>
      <c r="AB1933" t="s">
        <v>32</v>
      </c>
      <c r="AC1933">
        <v>0.82</v>
      </c>
    </row>
    <row r="1934" spans="1:29">
      <c r="A1934" t="str">
        <f>"300568"</f>
        <v>300568</v>
      </c>
      <c r="B1934" t="s">
        <v>2103</v>
      </c>
      <c r="C1934">
        <v>0.43</v>
      </c>
      <c r="D1934">
        <v>42.21</v>
      </c>
      <c r="E1934">
        <v>0.18</v>
      </c>
      <c r="F1934">
        <v>42.2</v>
      </c>
      <c r="G1934">
        <v>42.21</v>
      </c>
      <c r="H1934">
        <v>53116</v>
      </c>
      <c r="I1934">
        <v>1361</v>
      </c>
      <c r="J1934">
        <v>-0.16</v>
      </c>
      <c r="K1934">
        <v>4.15</v>
      </c>
      <c r="L1934">
        <v>42.08</v>
      </c>
      <c r="M1934">
        <v>42.94</v>
      </c>
      <c r="N1934">
        <v>41.31</v>
      </c>
      <c r="O1934">
        <v>42.03</v>
      </c>
      <c r="P1934">
        <v>22.65</v>
      </c>
      <c r="Q1934">
        <v>224095312</v>
      </c>
      <c r="R1934">
        <v>0.83</v>
      </c>
      <c r="S1934" t="s">
        <v>218</v>
      </c>
      <c r="T1934" t="s">
        <v>31</v>
      </c>
      <c r="U1934">
        <v>3.88</v>
      </c>
      <c r="V1934">
        <v>42.19</v>
      </c>
      <c r="W1934">
        <v>26011</v>
      </c>
      <c r="X1934">
        <v>27105</v>
      </c>
      <c r="Y1934">
        <v>0.96</v>
      </c>
      <c r="Z1934">
        <v>152</v>
      </c>
      <c r="AA1934">
        <v>611</v>
      </c>
      <c r="AB1934" t="s">
        <v>32</v>
      </c>
      <c r="AC1934">
        <v>1.28</v>
      </c>
    </row>
    <row r="1935" spans="1:29">
      <c r="A1935" t="str">
        <f>"300569"</f>
        <v>300569</v>
      </c>
      <c r="B1935" t="s">
        <v>2104</v>
      </c>
      <c r="C1935">
        <v>3.19</v>
      </c>
      <c r="D1935">
        <v>14.9</v>
      </c>
      <c r="E1935">
        <v>0.46</v>
      </c>
      <c r="F1935">
        <v>14.89</v>
      </c>
      <c r="G1935">
        <v>14.9</v>
      </c>
      <c r="H1935">
        <v>25229</v>
      </c>
      <c r="I1935">
        <v>610</v>
      </c>
      <c r="J1935">
        <v>0.13</v>
      </c>
      <c r="K1935">
        <v>2.4</v>
      </c>
      <c r="L1935">
        <v>14.44</v>
      </c>
      <c r="M1935">
        <v>14.96</v>
      </c>
      <c r="N1935">
        <v>14.43</v>
      </c>
      <c r="O1935">
        <v>14.44</v>
      </c>
      <c r="P1935">
        <v>29.79</v>
      </c>
      <c r="Q1935">
        <v>37247204</v>
      </c>
      <c r="R1935">
        <v>1.57</v>
      </c>
      <c r="S1935" t="s">
        <v>171</v>
      </c>
      <c r="T1935" t="s">
        <v>162</v>
      </c>
      <c r="U1935">
        <v>3.67</v>
      </c>
      <c r="V1935">
        <v>14.76</v>
      </c>
      <c r="W1935">
        <v>11556</v>
      </c>
      <c r="X1935">
        <v>13673</v>
      </c>
      <c r="Y1935">
        <v>0.85</v>
      </c>
      <c r="Z1935">
        <v>82</v>
      </c>
      <c r="AA1935">
        <v>122</v>
      </c>
      <c r="AB1935" t="s">
        <v>32</v>
      </c>
      <c r="AC1935">
        <v>1.05</v>
      </c>
    </row>
    <row r="1936" spans="1:29">
      <c r="A1936" t="str">
        <f>"300570"</f>
        <v>300570</v>
      </c>
      <c r="B1936" t="s">
        <v>2105</v>
      </c>
      <c r="C1936">
        <v>0.34</v>
      </c>
      <c r="D1936">
        <v>17.93</v>
      </c>
      <c r="E1936">
        <v>0.06</v>
      </c>
      <c r="F1936">
        <v>17.93</v>
      </c>
      <c r="G1936">
        <v>17.94</v>
      </c>
      <c r="H1936">
        <v>54878</v>
      </c>
      <c r="I1936">
        <v>911</v>
      </c>
      <c r="J1936">
        <v>0.06</v>
      </c>
      <c r="K1936">
        <v>5.78</v>
      </c>
      <c r="L1936">
        <v>17.8</v>
      </c>
      <c r="M1936">
        <v>18.09</v>
      </c>
      <c r="N1936">
        <v>17.65</v>
      </c>
      <c r="O1936">
        <v>17.87</v>
      </c>
      <c r="P1936">
        <v>47.89</v>
      </c>
      <c r="Q1936">
        <v>98082488</v>
      </c>
      <c r="R1936">
        <v>0.75</v>
      </c>
      <c r="S1936" t="s">
        <v>63</v>
      </c>
      <c r="T1936" t="s">
        <v>31</v>
      </c>
      <c r="U1936">
        <v>2.46</v>
      </c>
      <c r="V1936">
        <v>17.87</v>
      </c>
      <c r="W1936">
        <v>28719</v>
      </c>
      <c r="X1936">
        <v>26159</v>
      </c>
      <c r="Y1936">
        <v>1.1</v>
      </c>
      <c r="Z1936">
        <v>423</v>
      </c>
      <c r="AA1936">
        <v>301</v>
      </c>
      <c r="AB1936" t="s">
        <v>32</v>
      </c>
      <c r="AC1936">
        <v>0.95</v>
      </c>
    </row>
    <row r="1937" spans="1:29">
      <c r="A1937" t="str">
        <f>"300571"</f>
        <v>300571</v>
      </c>
      <c r="B1937" t="s">
        <v>2106</v>
      </c>
      <c r="C1937">
        <v>0.51</v>
      </c>
      <c r="D1937">
        <v>65.05</v>
      </c>
      <c r="E1937">
        <v>0.33</v>
      </c>
      <c r="F1937">
        <v>65.05</v>
      </c>
      <c r="G1937">
        <v>65.06</v>
      </c>
      <c r="H1937">
        <v>15317</v>
      </c>
      <c r="I1937">
        <v>205</v>
      </c>
      <c r="J1937">
        <v>-0.17</v>
      </c>
      <c r="K1937">
        <v>2.22</v>
      </c>
      <c r="L1937">
        <v>65.08</v>
      </c>
      <c r="M1937">
        <v>65.88</v>
      </c>
      <c r="N1937">
        <v>63.6</v>
      </c>
      <c r="O1937">
        <v>64.72</v>
      </c>
      <c r="P1937">
        <v>41.02</v>
      </c>
      <c r="Q1937">
        <v>99371920</v>
      </c>
      <c r="R1937">
        <v>0.7</v>
      </c>
      <c r="S1937" t="s">
        <v>316</v>
      </c>
      <c r="T1937" t="s">
        <v>149</v>
      </c>
      <c r="U1937">
        <v>3.52</v>
      </c>
      <c r="V1937">
        <v>64.88</v>
      </c>
      <c r="W1937">
        <v>7468</v>
      </c>
      <c r="X1937">
        <v>7849</v>
      </c>
      <c r="Y1937">
        <v>0.95</v>
      </c>
      <c r="Z1937">
        <v>22</v>
      </c>
      <c r="AA1937">
        <v>6</v>
      </c>
      <c r="AB1937" t="s">
        <v>32</v>
      </c>
      <c r="AC1937">
        <v>0.69</v>
      </c>
    </row>
    <row r="1938" spans="1:29">
      <c r="A1938" t="str">
        <f>"300572"</f>
        <v>300572</v>
      </c>
      <c r="B1938" t="s">
        <v>2107</v>
      </c>
      <c r="C1938">
        <v>0.12</v>
      </c>
      <c r="D1938">
        <v>48.89</v>
      </c>
      <c r="E1938">
        <v>0.06</v>
      </c>
      <c r="F1938">
        <v>48.89</v>
      </c>
      <c r="G1938">
        <v>48.99</v>
      </c>
      <c r="H1938">
        <v>9181</v>
      </c>
      <c r="I1938">
        <v>113</v>
      </c>
      <c r="J1938">
        <v>0.16</v>
      </c>
      <c r="K1938">
        <v>1.64</v>
      </c>
      <c r="L1938">
        <v>49.95</v>
      </c>
      <c r="M1938">
        <v>50</v>
      </c>
      <c r="N1938">
        <v>48.62</v>
      </c>
      <c r="O1938">
        <v>48.83</v>
      </c>
      <c r="P1938">
        <v>100.32</v>
      </c>
      <c r="Q1938">
        <v>45278472</v>
      </c>
      <c r="R1938">
        <v>0.83</v>
      </c>
      <c r="S1938" t="s">
        <v>606</v>
      </c>
      <c r="T1938" t="s">
        <v>31</v>
      </c>
      <c r="U1938">
        <v>2.83</v>
      </c>
      <c r="V1938">
        <v>49.32</v>
      </c>
      <c r="W1938">
        <v>4330</v>
      </c>
      <c r="X1938">
        <v>4851</v>
      </c>
      <c r="Y1938">
        <v>0.89</v>
      </c>
      <c r="Z1938">
        <v>30</v>
      </c>
      <c r="AA1938">
        <v>5</v>
      </c>
      <c r="AB1938" t="s">
        <v>32</v>
      </c>
      <c r="AC1938">
        <v>0.56</v>
      </c>
    </row>
    <row r="1939" spans="1:29">
      <c r="A1939" t="str">
        <f>"300573"</f>
        <v>300573</v>
      </c>
      <c r="B1939" t="s">
        <v>2108</v>
      </c>
      <c r="C1939">
        <v>2.3</v>
      </c>
      <c r="D1939">
        <v>18.72</v>
      </c>
      <c r="E1939">
        <v>0.42</v>
      </c>
      <c r="F1939">
        <v>18.71</v>
      </c>
      <c r="G1939">
        <v>18.72</v>
      </c>
      <c r="H1939">
        <v>6364</v>
      </c>
      <c r="I1939">
        <v>251</v>
      </c>
      <c r="J1939">
        <v>0</v>
      </c>
      <c r="K1939">
        <v>1.21</v>
      </c>
      <c r="L1939">
        <v>18.38</v>
      </c>
      <c r="M1939">
        <v>18.82</v>
      </c>
      <c r="N1939">
        <v>18.3</v>
      </c>
      <c r="O1939">
        <v>18.3</v>
      </c>
      <c r="P1939" t="s">
        <v>32</v>
      </c>
      <c r="Q1939">
        <v>11851885</v>
      </c>
      <c r="R1939">
        <v>1.47</v>
      </c>
      <c r="S1939" t="s">
        <v>142</v>
      </c>
      <c r="T1939" t="s">
        <v>111</v>
      </c>
      <c r="U1939">
        <v>2.84</v>
      </c>
      <c r="V1939">
        <v>18.62</v>
      </c>
      <c r="W1939">
        <v>2639</v>
      </c>
      <c r="X1939">
        <v>3725</v>
      </c>
      <c r="Y1939">
        <v>0.71</v>
      </c>
      <c r="Z1939">
        <v>12</v>
      </c>
      <c r="AA1939">
        <v>94</v>
      </c>
      <c r="AB1939" t="s">
        <v>32</v>
      </c>
      <c r="AC1939">
        <v>0.53</v>
      </c>
    </row>
    <row r="1940" spans="1:29">
      <c r="A1940" t="str">
        <f>"300575"</f>
        <v>300575</v>
      </c>
      <c r="B1940" t="s">
        <v>2109</v>
      </c>
      <c r="C1940">
        <v>1.4</v>
      </c>
      <c r="D1940">
        <v>39.17</v>
      </c>
      <c r="E1940">
        <v>0.54</v>
      </c>
      <c r="F1940">
        <v>39.17</v>
      </c>
      <c r="G1940">
        <v>39.18</v>
      </c>
      <c r="H1940">
        <v>4063</v>
      </c>
      <c r="I1940">
        <v>71</v>
      </c>
      <c r="J1940">
        <v>0.03</v>
      </c>
      <c r="K1940">
        <v>1.18</v>
      </c>
      <c r="L1940">
        <v>38.63</v>
      </c>
      <c r="M1940">
        <v>39.29</v>
      </c>
      <c r="N1940">
        <v>38.53</v>
      </c>
      <c r="O1940">
        <v>38.63</v>
      </c>
      <c r="P1940">
        <v>21.27</v>
      </c>
      <c r="Q1940">
        <v>15871263</v>
      </c>
      <c r="R1940">
        <v>1.3</v>
      </c>
      <c r="S1940" t="s">
        <v>145</v>
      </c>
      <c r="T1940" t="s">
        <v>87</v>
      </c>
      <c r="U1940">
        <v>1.97</v>
      </c>
      <c r="V1940">
        <v>39.06</v>
      </c>
      <c r="W1940">
        <v>2008</v>
      </c>
      <c r="X1940">
        <v>2054</v>
      </c>
      <c r="Y1940">
        <v>0.98</v>
      </c>
      <c r="Z1940">
        <v>23</v>
      </c>
      <c r="AA1940">
        <v>10</v>
      </c>
      <c r="AB1940" t="s">
        <v>32</v>
      </c>
      <c r="AC1940">
        <v>0.34</v>
      </c>
    </row>
    <row r="1941" spans="1:29">
      <c r="A1941" t="str">
        <f>"300576"</f>
        <v>300576</v>
      </c>
      <c r="B1941" t="s">
        <v>2110</v>
      </c>
      <c r="C1941">
        <v>-3.36</v>
      </c>
      <c r="D1941">
        <v>17.57</v>
      </c>
      <c r="E1941">
        <v>-0.61</v>
      </c>
      <c r="F1941">
        <v>17.57</v>
      </c>
      <c r="G1941">
        <v>17.58</v>
      </c>
      <c r="H1941">
        <v>61018</v>
      </c>
      <c r="I1941">
        <v>1937</v>
      </c>
      <c r="J1941">
        <v>-0.16</v>
      </c>
      <c r="K1941">
        <v>15.29</v>
      </c>
      <c r="L1941">
        <v>17.65</v>
      </c>
      <c r="M1941">
        <v>18.15</v>
      </c>
      <c r="N1941">
        <v>17.18</v>
      </c>
      <c r="O1941">
        <v>18.18</v>
      </c>
      <c r="P1941">
        <v>60.7</v>
      </c>
      <c r="Q1941">
        <v>107476880</v>
      </c>
      <c r="R1941">
        <v>0.99</v>
      </c>
      <c r="S1941" t="s">
        <v>281</v>
      </c>
      <c r="T1941" t="s">
        <v>31</v>
      </c>
      <c r="U1941">
        <v>5.34</v>
      </c>
      <c r="V1941">
        <v>17.61</v>
      </c>
      <c r="W1941">
        <v>35825</v>
      </c>
      <c r="X1941">
        <v>25192</v>
      </c>
      <c r="Y1941">
        <v>1.42</v>
      </c>
      <c r="Z1941">
        <v>8</v>
      </c>
      <c r="AA1941">
        <v>140</v>
      </c>
      <c r="AB1941" t="s">
        <v>32</v>
      </c>
      <c r="AC1941">
        <v>0.4</v>
      </c>
    </row>
    <row r="1942" spans="1:29">
      <c r="A1942" t="str">
        <f>"300577"</f>
        <v>300577</v>
      </c>
      <c r="B1942" t="s">
        <v>2111</v>
      </c>
      <c r="C1942">
        <v>0.07</v>
      </c>
      <c r="D1942">
        <v>40.03</v>
      </c>
      <c r="E1942">
        <v>0.03</v>
      </c>
      <c r="F1942">
        <v>40.01</v>
      </c>
      <c r="G1942">
        <v>40.03</v>
      </c>
      <c r="H1942">
        <v>4662</v>
      </c>
      <c r="I1942">
        <v>32</v>
      </c>
      <c r="J1942">
        <v>0.08</v>
      </c>
      <c r="K1942">
        <v>0.73</v>
      </c>
      <c r="L1942">
        <v>40</v>
      </c>
      <c r="M1942">
        <v>40.46</v>
      </c>
      <c r="N1942">
        <v>39.6</v>
      </c>
      <c r="O1942">
        <v>40</v>
      </c>
      <c r="P1942">
        <v>63.09</v>
      </c>
      <c r="Q1942">
        <v>18646242</v>
      </c>
      <c r="R1942">
        <v>0.72</v>
      </c>
      <c r="S1942" t="s">
        <v>99</v>
      </c>
      <c r="T1942" t="s">
        <v>143</v>
      </c>
      <c r="U1942">
        <v>2.15</v>
      </c>
      <c r="V1942">
        <v>39.99</v>
      </c>
      <c r="W1942">
        <v>2147</v>
      </c>
      <c r="X1942">
        <v>2515</v>
      </c>
      <c r="Y1942">
        <v>0.85</v>
      </c>
      <c r="Z1942">
        <v>54</v>
      </c>
      <c r="AA1942">
        <v>4</v>
      </c>
      <c r="AB1942" t="s">
        <v>32</v>
      </c>
      <c r="AC1942">
        <v>0.64</v>
      </c>
    </row>
    <row r="1943" spans="1:29">
      <c r="A1943" t="str">
        <f>"300578"</f>
        <v>300578</v>
      </c>
      <c r="B1943" t="s">
        <v>2112</v>
      </c>
      <c r="C1943">
        <v>6.02</v>
      </c>
      <c r="D1943">
        <v>23.79</v>
      </c>
      <c r="E1943">
        <v>1.35</v>
      </c>
      <c r="F1943">
        <v>23.79</v>
      </c>
      <c r="G1943">
        <v>23.8</v>
      </c>
      <c r="H1943">
        <v>62554</v>
      </c>
      <c r="I1943">
        <v>1169</v>
      </c>
      <c r="J1943">
        <v>0.51</v>
      </c>
      <c r="K1943">
        <v>11.8</v>
      </c>
      <c r="L1943">
        <v>22.48</v>
      </c>
      <c r="M1943">
        <v>23.87</v>
      </c>
      <c r="N1943">
        <v>22.2</v>
      </c>
      <c r="O1943">
        <v>22.44</v>
      </c>
      <c r="P1943">
        <v>132.94</v>
      </c>
      <c r="Q1943">
        <v>144014944</v>
      </c>
      <c r="R1943">
        <v>1.13</v>
      </c>
      <c r="S1943" t="s">
        <v>119</v>
      </c>
      <c r="T1943" t="s">
        <v>366</v>
      </c>
      <c r="U1943">
        <v>7.44</v>
      </c>
      <c r="V1943">
        <v>23.02</v>
      </c>
      <c r="W1943">
        <v>28682</v>
      </c>
      <c r="X1943">
        <v>33871</v>
      </c>
      <c r="Y1943">
        <v>0.85</v>
      </c>
      <c r="Z1943">
        <v>1478</v>
      </c>
      <c r="AA1943">
        <v>68</v>
      </c>
      <c r="AB1943" t="s">
        <v>32</v>
      </c>
      <c r="AC1943">
        <v>0.53</v>
      </c>
    </row>
    <row r="1944" spans="1:29">
      <c r="A1944" t="str">
        <f>"300579"</f>
        <v>300579</v>
      </c>
      <c r="B1944" t="s">
        <v>2113</v>
      </c>
      <c r="C1944">
        <v>0.28</v>
      </c>
      <c r="D1944">
        <v>28.68</v>
      </c>
      <c r="E1944">
        <v>0.08</v>
      </c>
      <c r="F1944">
        <v>28.68</v>
      </c>
      <c r="G1944">
        <v>28.69</v>
      </c>
      <c r="H1944">
        <v>14170</v>
      </c>
      <c r="I1944">
        <v>308</v>
      </c>
      <c r="J1944">
        <v>0.21</v>
      </c>
      <c r="K1944">
        <v>3.29</v>
      </c>
      <c r="L1944">
        <v>28.57</v>
      </c>
      <c r="M1944">
        <v>28.68</v>
      </c>
      <c r="N1944">
        <v>28.12</v>
      </c>
      <c r="O1944">
        <v>28.6</v>
      </c>
      <c r="P1944">
        <v>141.37</v>
      </c>
      <c r="Q1944">
        <v>40311452</v>
      </c>
      <c r="R1944">
        <v>0.94</v>
      </c>
      <c r="S1944" t="s">
        <v>270</v>
      </c>
      <c r="T1944" t="s">
        <v>45</v>
      </c>
      <c r="U1944">
        <v>1.96</v>
      </c>
      <c r="V1944">
        <v>28.45</v>
      </c>
      <c r="W1944">
        <v>8180</v>
      </c>
      <c r="X1944">
        <v>5989</v>
      </c>
      <c r="Y1944">
        <v>1.37</v>
      </c>
      <c r="Z1944">
        <v>134</v>
      </c>
      <c r="AA1944">
        <v>30</v>
      </c>
      <c r="AB1944" t="s">
        <v>32</v>
      </c>
      <c r="AC1944">
        <v>0.43</v>
      </c>
    </row>
    <row r="1945" spans="1:29">
      <c r="A1945" t="str">
        <f>"300580"</f>
        <v>300580</v>
      </c>
      <c r="B1945" t="s">
        <v>2114</v>
      </c>
      <c r="C1945">
        <v>1.22</v>
      </c>
      <c r="D1945">
        <v>16.58</v>
      </c>
      <c r="E1945">
        <v>0.2</v>
      </c>
      <c r="F1945">
        <v>16.57</v>
      </c>
      <c r="G1945">
        <v>16.58</v>
      </c>
      <c r="H1945">
        <v>25327</v>
      </c>
      <c r="I1945">
        <v>564</v>
      </c>
      <c r="J1945">
        <v>0.42</v>
      </c>
      <c r="K1945">
        <v>3.83</v>
      </c>
      <c r="L1945">
        <v>16.43</v>
      </c>
      <c r="M1945">
        <v>16.65</v>
      </c>
      <c r="N1945">
        <v>16.21</v>
      </c>
      <c r="O1945">
        <v>16.38</v>
      </c>
      <c r="P1945">
        <v>26.33</v>
      </c>
      <c r="Q1945">
        <v>41785596</v>
      </c>
      <c r="R1945">
        <v>1.45</v>
      </c>
      <c r="S1945" t="s">
        <v>80</v>
      </c>
      <c r="T1945" t="s">
        <v>87</v>
      </c>
      <c r="U1945">
        <v>2.69</v>
      </c>
      <c r="V1945">
        <v>16.5</v>
      </c>
      <c r="W1945">
        <v>12303</v>
      </c>
      <c r="X1945">
        <v>13024</v>
      </c>
      <c r="Y1945">
        <v>0.94</v>
      </c>
      <c r="Z1945">
        <v>6</v>
      </c>
      <c r="AA1945">
        <v>29</v>
      </c>
      <c r="AB1945" t="s">
        <v>32</v>
      </c>
      <c r="AC1945">
        <v>0.66</v>
      </c>
    </row>
    <row r="1946" spans="1:29">
      <c r="A1946" t="str">
        <f>"300581"</f>
        <v>300581</v>
      </c>
      <c r="B1946" t="s">
        <v>2115</v>
      </c>
      <c r="C1946">
        <v>0.79</v>
      </c>
      <c r="D1946">
        <v>13.96</v>
      </c>
      <c r="E1946">
        <v>0.11</v>
      </c>
      <c r="F1946">
        <v>13.96</v>
      </c>
      <c r="G1946">
        <v>13.97</v>
      </c>
      <c r="H1946">
        <v>15852</v>
      </c>
      <c r="I1946">
        <v>148</v>
      </c>
      <c r="J1946">
        <v>0.14</v>
      </c>
      <c r="K1946">
        <v>2.66</v>
      </c>
      <c r="L1946">
        <v>14.18</v>
      </c>
      <c r="M1946">
        <v>14.18</v>
      </c>
      <c r="N1946">
        <v>13.8</v>
      </c>
      <c r="O1946">
        <v>13.85</v>
      </c>
      <c r="P1946" t="s">
        <v>32</v>
      </c>
      <c r="Q1946">
        <v>22096338</v>
      </c>
      <c r="R1946">
        <v>1.14</v>
      </c>
      <c r="S1946" t="s">
        <v>389</v>
      </c>
      <c r="T1946" t="s">
        <v>223</v>
      </c>
      <c r="U1946">
        <v>2.74</v>
      </c>
      <c r="V1946">
        <v>13.94</v>
      </c>
      <c r="W1946">
        <v>9160</v>
      </c>
      <c r="X1946">
        <v>6692</v>
      </c>
      <c r="Y1946">
        <v>1.37</v>
      </c>
      <c r="Z1946">
        <v>16</v>
      </c>
      <c r="AA1946">
        <v>20</v>
      </c>
      <c r="AB1946" t="s">
        <v>32</v>
      </c>
      <c r="AC1946">
        <v>0.6</v>
      </c>
    </row>
    <row r="1947" spans="1:29">
      <c r="A1947" t="str">
        <f>"300582"</f>
        <v>300582</v>
      </c>
      <c r="B1947" t="s">
        <v>2116</v>
      </c>
      <c r="C1947">
        <v>1.49</v>
      </c>
      <c r="D1947">
        <v>12.91</v>
      </c>
      <c r="E1947">
        <v>0.19</v>
      </c>
      <c r="F1947">
        <v>12.9</v>
      </c>
      <c r="G1947">
        <v>12.91</v>
      </c>
      <c r="H1947">
        <v>20251</v>
      </c>
      <c r="I1947">
        <v>427</v>
      </c>
      <c r="J1947">
        <v>0.08</v>
      </c>
      <c r="K1947">
        <v>1.7</v>
      </c>
      <c r="L1947">
        <v>12.72</v>
      </c>
      <c r="M1947">
        <v>12.91</v>
      </c>
      <c r="N1947">
        <v>12.52</v>
      </c>
      <c r="O1947">
        <v>12.72</v>
      </c>
      <c r="P1947">
        <v>44.42</v>
      </c>
      <c r="Q1947">
        <v>25864840</v>
      </c>
      <c r="R1947">
        <v>1.13</v>
      </c>
      <c r="S1947" t="s">
        <v>699</v>
      </c>
      <c r="T1947" t="s">
        <v>149</v>
      </c>
      <c r="U1947">
        <v>3.07</v>
      </c>
      <c r="V1947">
        <v>12.77</v>
      </c>
      <c r="W1947">
        <v>9974</v>
      </c>
      <c r="X1947">
        <v>10277</v>
      </c>
      <c r="Y1947">
        <v>0.97</v>
      </c>
      <c r="Z1947">
        <v>253</v>
      </c>
      <c r="AA1947">
        <v>79</v>
      </c>
      <c r="AB1947" t="s">
        <v>32</v>
      </c>
      <c r="AC1947">
        <v>1.19</v>
      </c>
    </row>
    <row r="1948" spans="1:29">
      <c r="A1948" t="str">
        <f>"300583"</f>
        <v>300583</v>
      </c>
      <c r="B1948" t="s">
        <v>2117</v>
      </c>
      <c r="C1948">
        <v>1.66</v>
      </c>
      <c r="D1948">
        <v>44</v>
      </c>
      <c r="E1948">
        <v>0.72</v>
      </c>
      <c r="F1948">
        <v>43.99</v>
      </c>
      <c r="G1948">
        <v>44</v>
      </c>
      <c r="H1948">
        <v>15210</v>
      </c>
      <c r="I1948">
        <v>115</v>
      </c>
      <c r="J1948">
        <v>0</v>
      </c>
      <c r="K1948">
        <v>4.44</v>
      </c>
      <c r="L1948">
        <v>42.68</v>
      </c>
      <c r="M1948">
        <v>44.26</v>
      </c>
      <c r="N1948">
        <v>42.68</v>
      </c>
      <c r="O1948">
        <v>43.28</v>
      </c>
      <c r="P1948">
        <v>40.16</v>
      </c>
      <c r="Q1948">
        <v>66380744</v>
      </c>
      <c r="R1948">
        <v>0.78</v>
      </c>
      <c r="S1948" t="s">
        <v>36</v>
      </c>
      <c r="T1948" t="s">
        <v>162</v>
      </c>
      <c r="U1948">
        <v>3.65</v>
      </c>
      <c r="V1948">
        <v>43.64</v>
      </c>
      <c r="W1948">
        <v>7742</v>
      </c>
      <c r="X1948">
        <v>7467</v>
      </c>
      <c r="Y1948">
        <v>1.04</v>
      </c>
      <c r="Z1948">
        <v>68</v>
      </c>
      <c r="AA1948">
        <v>115</v>
      </c>
      <c r="AB1948" t="s">
        <v>32</v>
      </c>
      <c r="AC1948">
        <v>0.34</v>
      </c>
    </row>
    <row r="1949" spans="1:29">
      <c r="A1949" t="str">
        <f>"300584"</f>
        <v>300584</v>
      </c>
      <c r="B1949" t="s">
        <v>2118</v>
      </c>
      <c r="C1949">
        <v>3.59</v>
      </c>
      <c r="D1949">
        <v>39.26</v>
      </c>
      <c r="E1949">
        <v>1.36</v>
      </c>
      <c r="F1949">
        <v>39.2</v>
      </c>
      <c r="G1949">
        <v>39.26</v>
      </c>
      <c r="H1949">
        <v>11884</v>
      </c>
      <c r="I1949">
        <v>95</v>
      </c>
      <c r="J1949">
        <v>-0.17</v>
      </c>
      <c r="K1949">
        <v>2.51</v>
      </c>
      <c r="L1949">
        <v>38.47</v>
      </c>
      <c r="M1949">
        <v>40.08</v>
      </c>
      <c r="N1949">
        <v>37.87</v>
      </c>
      <c r="O1949">
        <v>37.9</v>
      </c>
      <c r="P1949">
        <v>69.34</v>
      </c>
      <c r="Q1949">
        <v>46375384</v>
      </c>
      <c r="R1949">
        <v>0.95</v>
      </c>
      <c r="S1949" t="s">
        <v>142</v>
      </c>
      <c r="T1949" t="s">
        <v>87</v>
      </c>
      <c r="U1949">
        <v>5.83</v>
      </c>
      <c r="V1949">
        <v>39.02</v>
      </c>
      <c r="W1949">
        <v>5773</v>
      </c>
      <c r="X1949">
        <v>6111</v>
      </c>
      <c r="Y1949">
        <v>0.94</v>
      </c>
      <c r="Z1949">
        <v>102</v>
      </c>
      <c r="AA1949">
        <v>4</v>
      </c>
      <c r="AB1949" t="s">
        <v>32</v>
      </c>
      <c r="AC1949">
        <v>0.47</v>
      </c>
    </row>
    <row r="1950" spans="1:29">
      <c r="A1950" t="str">
        <f>"300585"</f>
        <v>300585</v>
      </c>
      <c r="B1950" t="s">
        <v>2119</v>
      </c>
      <c r="C1950">
        <v>0.94</v>
      </c>
      <c r="D1950">
        <v>13.99</v>
      </c>
      <c r="E1950">
        <v>0.13</v>
      </c>
      <c r="F1950">
        <v>13.98</v>
      </c>
      <c r="G1950">
        <v>13.99</v>
      </c>
      <c r="H1950">
        <v>27732</v>
      </c>
      <c r="I1950">
        <v>375</v>
      </c>
      <c r="J1950">
        <v>0</v>
      </c>
      <c r="K1950">
        <v>3.31</v>
      </c>
      <c r="L1950">
        <v>13.8</v>
      </c>
      <c r="M1950">
        <v>14.29</v>
      </c>
      <c r="N1950">
        <v>13.77</v>
      </c>
      <c r="O1950">
        <v>13.86</v>
      </c>
      <c r="P1950">
        <v>37.4</v>
      </c>
      <c r="Q1950">
        <v>38846536</v>
      </c>
      <c r="R1950">
        <v>1.13</v>
      </c>
      <c r="S1950" t="s">
        <v>80</v>
      </c>
      <c r="T1950" t="s">
        <v>87</v>
      </c>
      <c r="U1950">
        <v>3.75</v>
      </c>
      <c r="V1950">
        <v>14.01</v>
      </c>
      <c r="W1950">
        <v>13797</v>
      </c>
      <c r="X1950">
        <v>13935</v>
      </c>
      <c r="Y1950">
        <v>0.99</v>
      </c>
      <c r="Z1950">
        <v>209</v>
      </c>
      <c r="AA1950">
        <v>108</v>
      </c>
      <c r="AB1950" t="s">
        <v>32</v>
      </c>
      <c r="AC1950">
        <v>0.84</v>
      </c>
    </row>
    <row r="1951" spans="1:29">
      <c r="A1951" t="str">
        <f>"300586"</f>
        <v>300586</v>
      </c>
      <c r="B1951" t="s">
        <v>2120</v>
      </c>
      <c r="C1951">
        <v>-2.44</v>
      </c>
      <c r="D1951">
        <v>18.42</v>
      </c>
      <c r="E1951">
        <v>-0.46</v>
      </c>
      <c r="F1951">
        <v>18.42</v>
      </c>
      <c r="G1951">
        <v>18.43</v>
      </c>
      <c r="H1951">
        <v>267891</v>
      </c>
      <c r="I1951">
        <v>5298</v>
      </c>
      <c r="J1951">
        <v>-0.26</v>
      </c>
      <c r="K1951">
        <v>43.76</v>
      </c>
      <c r="L1951">
        <v>18.5</v>
      </c>
      <c r="M1951">
        <v>19.49</v>
      </c>
      <c r="N1951">
        <v>18.06</v>
      </c>
      <c r="O1951">
        <v>18.88</v>
      </c>
      <c r="P1951">
        <v>93.98</v>
      </c>
      <c r="Q1951">
        <v>499669984</v>
      </c>
      <c r="R1951">
        <v>1.63</v>
      </c>
      <c r="S1951" t="s">
        <v>218</v>
      </c>
      <c r="T1951" t="s">
        <v>136</v>
      </c>
      <c r="U1951">
        <v>7.57</v>
      </c>
      <c r="V1951">
        <v>18.65</v>
      </c>
      <c r="W1951">
        <v>144761</v>
      </c>
      <c r="X1951">
        <v>123130</v>
      </c>
      <c r="Y1951">
        <v>1.18</v>
      </c>
      <c r="Z1951">
        <v>120</v>
      </c>
      <c r="AA1951">
        <v>20</v>
      </c>
      <c r="AB1951" t="s">
        <v>32</v>
      </c>
      <c r="AC1951">
        <v>0.61</v>
      </c>
    </row>
    <row r="1952" spans="1:29">
      <c r="A1952" t="str">
        <f>"300587"</f>
        <v>300587</v>
      </c>
      <c r="B1952" t="s">
        <v>2121</v>
      </c>
      <c r="C1952">
        <v>1.43</v>
      </c>
      <c r="D1952">
        <v>18.38</v>
      </c>
      <c r="E1952">
        <v>0.26</v>
      </c>
      <c r="F1952">
        <v>18.37</v>
      </c>
      <c r="G1952">
        <v>18.38</v>
      </c>
      <c r="H1952">
        <v>6742</v>
      </c>
      <c r="I1952">
        <v>73</v>
      </c>
      <c r="J1952">
        <v>0.05</v>
      </c>
      <c r="K1952">
        <v>1.62</v>
      </c>
      <c r="L1952">
        <v>18.12</v>
      </c>
      <c r="M1952">
        <v>18.53</v>
      </c>
      <c r="N1952">
        <v>17.92</v>
      </c>
      <c r="O1952">
        <v>18.12</v>
      </c>
      <c r="P1952">
        <v>751.72</v>
      </c>
      <c r="Q1952">
        <v>12339219</v>
      </c>
      <c r="R1952">
        <v>1.65</v>
      </c>
      <c r="S1952" t="s">
        <v>526</v>
      </c>
      <c r="T1952" t="s">
        <v>149</v>
      </c>
      <c r="U1952">
        <v>3.37</v>
      </c>
      <c r="V1952">
        <v>18.3</v>
      </c>
      <c r="W1952">
        <v>2805</v>
      </c>
      <c r="X1952">
        <v>3937</v>
      </c>
      <c r="Y1952">
        <v>0.71</v>
      </c>
      <c r="Z1952">
        <v>32</v>
      </c>
      <c r="AA1952">
        <v>25</v>
      </c>
      <c r="AB1952" t="s">
        <v>32</v>
      </c>
      <c r="AC1952">
        <v>0.42</v>
      </c>
    </row>
    <row r="1953" spans="1:29">
      <c r="A1953" t="str">
        <f>"300588"</f>
        <v>300588</v>
      </c>
      <c r="B1953" t="s">
        <v>2122</v>
      </c>
      <c r="C1953">
        <v>1.06</v>
      </c>
      <c r="D1953">
        <v>13.38</v>
      </c>
      <c r="E1953">
        <v>0.14</v>
      </c>
      <c r="F1953">
        <v>13.37</v>
      </c>
      <c r="G1953">
        <v>13.38</v>
      </c>
      <c r="H1953">
        <v>16666</v>
      </c>
      <c r="I1953">
        <v>195</v>
      </c>
      <c r="J1953">
        <v>0.22</v>
      </c>
      <c r="K1953">
        <v>2.23</v>
      </c>
      <c r="L1953">
        <v>13.35</v>
      </c>
      <c r="M1953">
        <v>13.48</v>
      </c>
      <c r="N1953">
        <v>13.1</v>
      </c>
      <c r="O1953">
        <v>13.24</v>
      </c>
      <c r="P1953" t="s">
        <v>32</v>
      </c>
      <c r="Q1953">
        <v>22173322</v>
      </c>
      <c r="R1953">
        <v>0.86</v>
      </c>
      <c r="S1953" t="s">
        <v>270</v>
      </c>
      <c r="T1953" t="s">
        <v>156</v>
      </c>
      <c r="U1953">
        <v>2.87</v>
      </c>
      <c r="V1953">
        <v>13.3</v>
      </c>
      <c r="W1953">
        <v>8555</v>
      </c>
      <c r="X1953">
        <v>8110</v>
      </c>
      <c r="Y1953">
        <v>1.05</v>
      </c>
      <c r="Z1953">
        <v>51</v>
      </c>
      <c r="AA1953">
        <v>38</v>
      </c>
      <c r="AB1953" t="s">
        <v>32</v>
      </c>
      <c r="AC1953">
        <v>0.75</v>
      </c>
    </row>
    <row r="1954" spans="1:29">
      <c r="A1954" t="str">
        <f>"300589"</f>
        <v>300589</v>
      </c>
      <c r="B1954" t="s">
        <v>2123</v>
      </c>
      <c r="C1954">
        <v>1.09</v>
      </c>
      <c r="D1954">
        <v>13.86</v>
      </c>
      <c r="E1954">
        <v>0.15</v>
      </c>
      <c r="F1954">
        <v>13.85</v>
      </c>
      <c r="G1954">
        <v>13.86</v>
      </c>
      <c r="H1954">
        <v>64267</v>
      </c>
      <c r="I1954">
        <v>1062</v>
      </c>
      <c r="J1954">
        <v>0.07</v>
      </c>
      <c r="K1954">
        <v>10.71</v>
      </c>
      <c r="L1954">
        <v>13.75</v>
      </c>
      <c r="M1954">
        <v>14.17</v>
      </c>
      <c r="N1954">
        <v>13.5</v>
      </c>
      <c r="O1954">
        <v>13.71</v>
      </c>
      <c r="P1954" t="s">
        <v>32</v>
      </c>
      <c r="Q1954">
        <v>88884160</v>
      </c>
      <c r="R1954">
        <v>1.16</v>
      </c>
      <c r="S1954" t="s">
        <v>1549</v>
      </c>
      <c r="T1954" t="s">
        <v>136</v>
      </c>
      <c r="U1954">
        <v>4.89</v>
      </c>
      <c r="V1954">
        <v>13.83</v>
      </c>
      <c r="W1954">
        <v>33757</v>
      </c>
      <c r="X1954">
        <v>30510</v>
      </c>
      <c r="Y1954">
        <v>1.11</v>
      </c>
      <c r="Z1954">
        <v>129</v>
      </c>
      <c r="AA1954">
        <v>30</v>
      </c>
      <c r="AB1954" t="s">
        <v>32</v>
      </c>
      <c r="AC1954">
        <v>0.6</v>
      </c>
    </row>
    <row r="1955" spans="1:29">
      <c r="A1955" t="str">
        <f>"300590"</f>
        <v>300590</v>
      </c>
      <c r="B1955" t="s">
        <v>2124</v>
      </c>
      <c r="C1955">
        <v>0.26</v>
      </c>
      <c r="D1955">
        <v>23.01</v>
      </c>
      <c r="E1955">
        <v>0.06</v>
      </c>
      <c r="F1955">
        <v>23.01</v>
      </c>
      <c r="G1955">
        <v>23.02</v>
      </c>
      <c r="H1955">
        <v>23149</v>
      </c>
      <c r="I1955">
        <v>560</v>
      </c>
      <c r="J1955">
        <v>-0.12</v>
      </c>
      <c r="K1955">
        <v>2.39</v>
      </c>
      <c r="L1955">
        <v>23.1</v>
      </c>
      <c r="M1955">
        <v>23.15</v>
      </c>
      <c r="N1955">
        <v>22.66</v>
      </c>
      <c r="O1955">
        <v>22.95</v>
      </c>
      <c r="P1955">
        <v>160.78</v>
      </c>
      <c r="Q1955">
        <v>53108568</v>
      </c>
      <c r="R1955">
        <v>0.84</v>
      </c>
      <c r="S1955" t="s">
        <v>119</v>
      </c>
      <c r="T1955" t="s">
        <v>366</v>
      </c>
      <c r="U1955">
        <v>2.14</v>
      </c>
      <c r="V1955">
        <v>22.94</v>
      </c>
      <c r="W1955">
        <v>11507</v>
      </c>
      <c r="X1955">
        <v>11642</v>
      </c>
      <c r="Y1955">
        <v>0.99</v>
      </c>
      <c r="Z1955">
        <v>271</v>
      </c>
      <c r="AA1955">
        <v>93</v>
      </c>
      <c r="AB1955" t="s">
        <v>32</v>
      </c>
      <c r="AC1955">
        <v>0.97</v>
      </c>
    </row>
    <row r="1956" spans="1:29">
      <c r="A1956" t="str">
        <f>"300591"</f>
        <v>300591</v>
      </c>
      <c r="B1956" t="s">
        <v>2125</v>
      </c>
      <c r="C1956">
        <v>2.02</v>
      </c>
      <c r="D1956">
        <v>7.06</v>
      </c>
      <c r="E1956">
        <v>0.14</v>
      </c>
      <c r="F1956">
        <v>7.05</v>
      </c>
      <c r="G1956">
        <v>7.06</v>
      </c>
      <c r="H1956">
        <v>17150</v>
      </c>
      <c r="I1956">
        <v>143</v>
      </c>
      <c r="J1956">
        <v>-0.13</v>
      </c>
      <c r="K1956">
        <v>1.57</v>
      </c>
      <c r="L1956">
        <v>6.96</v>
      </c>
      <c r="M1956">
        <v>7.08</v>
      </c>
      <c r="N1956">
        <v>6.89</v>
      </c>
      <c r="O1956">
        <v>6.92</v>
      </c>
      <c r="P1956" t="s">
        <v>32</v>
      </c>
      <c r="Q1956">
        <v>12004268</v>
      </c>
      <c r="R1956">
        <v>1.43</v>
      </c>
      <c r="S1956" t="s">
        <v>622</v>
      </c>
      <c r="T1956" t="s">
        <v>136</v>
      </c>
      <c r="U1956">
        <v>2.75</v>
      </c>
      <c r="V1956">
        <v>7</v>
      </c>
      <c r="W1956">
        <v>5996</v>
      </c>
      <c r="X1956">
        <v>11153</v>
      </c>
      <c r="Y1956">
        <v>0.54</v>
      </c>
      <c r="Z1956">
        <v>49</v>
      </c>
      <c r="AA1956">
        <v>112</v>
      </c>
      <c r="AB1956" t="s">
        <v>32</v>
      </c>
      <c r="AC1956">
        <v>1.09</v>
      </c>
    </row>
    <row r="1957" spans="1:29">
      <c r="A1957" t="str">
        <f>"300592"</f>
        <v>300592</v>
      </c>
      <c r="B1957" t="s">
        <v>2126</v>
      </c>
      <c r="C1957">
        <v>1.23</v>
      </c>
      <c r="D1957">
        <v>12.3</v>
      </c>
      <c r="E1957">
        <v>0.15</v>
      </c>
      <c r="F1957">
        <v>12.29</v>
      </c>
      <c r="G1957">
        <v>12.3</v>
      </c>
      <c r="H1957">
        <v>27459</v>
      </c>
      <c r="I1957">
        <v>459</v>
      </c>
      <c r="J1957">
        <v>0.08</v>
      </c>
      <c r="K1957">
        <v>3.32</v>
      </c>
      <c r="L1957">
        <v>12.18</v>
      </c>
      <c r="M1957">
        <v>12.38</v>
      </c>
      <c r="N1957">
        <v>12.08</v>
      </c>
      <c r="O1957">
        <v>12.15</v>
      </c>
      <c r="P1957">
        <v>189.97</v>
      </c>
      <c r="Q1957">
        <v>33727892</v>
      </c>
      <c r="R1957">
        <v>0.6</v>
      </c>
      <c r="S1957" t="s">
        <v>270</v>
      </c>
      <c r="T1957" t="s">
        <v>152</v>
      </c>
      <c r="U1957">
        <v>2.47</v>
      </c>
      <c r="V1957">
        <v>12.28</v>
      </c>
      <c r="W1957">
        <v>11454</v>
      </c>
      <c r="X1957">
        <v>16004</v>
      </c>
      <c r="Y1957">
        <v>0.72</v>
      </c>
      <c r="Z1957">
        <v>329</v>
      </c>
      <c r="AA1957">
        <v>849</v>
      </c>
      <c r="AB1957" t="s">
        <v>32</v>
      </c>
      <c r="AC1957">
        <v>0.83</v>
      </c>
    </row>
    <row r="1958" spans="1:29">
      <c r="A1958" t="str">
        <f>"300593"</f>
        <v>300593</v>
      </c>
      <c r="B1958" t="s">
        <v>2127</v>
      </c>
      <c r="C1958">
        <v>0.66</v>
      </c>
      <c r="D1958">
        <v>18.29</v>
      </c>
      <c r="E1958">
        <v>0.12</v>
      </c>
      <c r="F1958">
        <v>18.28</v>
      </c>
      <c r="G1958">
        <v>18.29</v>
      </c>
      <c r="H1958">
        <v>10332</v>
      </c>
      <c r="I1958">
        <v>218</v>
      </c>
      <c r="J1958">
        <v>0.27</v>
      </c>
      <c r="K1958">
        <v>1.54</v>
      </c>
      <c r="L1958">
        <v>18.17</v>
      </c>
      <c r="M1958">
        <v>18.48</v>
      </c>
      <c r="N1958">
        <v>18.02</v>
      </c>
      <c r="O1958">
        <v>18.17</v>
      </c>
      <c r="P1958">
        <v>95.24</v>
      </c>
      <c r="Q1958">
        <v>18849828</v>
      </c>
      <c r="R1958">
        <v>0.98</v>
      </c>
      <c r="S1958" t="s">
        <v>104</v>
      </c>
      <c r="T1958" t="s">
        <v>45</v>
      </c>
      <c r="U1958">
        <v>2.53</v>
      </c>
      <c r="V1958">
        <v>18.24</v>
      </c>
      <c r="W1958">
        <v>6010</v>
      </c>
      <c r="X1958">
        <v>4322</v>
      </c>
      <c r="Y1958">
        <v>1.39</v>
      </c>
      <c r="Z1958">
        <v>39</v>
      </c>
      <c r="AA1958">
        <v>20</v>
      </c>
      <c r="AB1958" t="s">
        <v>32</v>
      </c>
      <c r="AC1958">
        <v>0.67</v>
      </c>
    </row>
    <row r="1959" spans="1:29">
      <c r="A1959" t="str">
        <f>"300595"</f>
        <v>300595</v>
      </c>
      <c r="B1959" t="s">
        <v>2128</v>
      </c>
      <c r="C1959">
        <v>2.09</v>
      </c>
      <c r="D1959">
        <v>38.66</v>
      </c>
      <c r="E1959">
        <v>0.79</v>
      </c>
      <c r="F1959">
        <v>38.6</v>
      </c>
      <c r="G1959">
        <v>38.66</v>
      </c>
      <c r="H1959">
        <v>20359</v>
      </c>
      <c r="I1959">
        <v>146</v>
      </c>
      <c r="J1959">
        <v>0</v>
      </c>
      <c r="K1959">
        <v>1.49</v>
      </c>
      <c r="L1959">
        <v>38.05</v>
      </c>
      <c r="M1959">
        <v>39.38</v>
      </c>
      <c r="N1959">
        <v>37.53</v>
      </c>
      <c r="O1959">
        <v>37.87</v>
      </c>
      <c r="P1959">
        <v>60.72</v>
      </c>
      <c r="Q1959">
        <v>78527320</v>
      </c>
      <c r="R1959">
        <v>0.63</v>
      </c>
      <c r="S1959" t="s">
        <v>138</v>
      </c>
      <c r="T1959" t="s">
        <v>143</v>
      </c>
      <c r="U1959">
        <v>4.89</v>
      </c>
      <c r="V1959">
        <v>38.57</v>
      </c>
      <c r="W1959">
        <v>10500</v>
      </c>
      <c r="X1959">
        <v>9859</v>
      </c>
      <c r="Y1959">
        <v>1.07</v>
      </c>
      <c r="Z1959">
        <v>5</v>
      </c>
      <c r="AA1959">
        <v>6</v>
      </c>
      <c r="AB1959" t="s">
        <v>32</v>
      </c>
      <c r="AC1959">
        <v>1.37</v>
      </c>
    </row>
    <row r="1960" spans="1:29">
      <c r="A1960" t="str">
        <f>"300596"</f>
        <v>300596</v>
      </c>
      <c r="B1960" t="s">
        <v>2129</v>
      </c>
      <c r="C1960">
        <v>0.4</v>
      </c>
      <c r="D1960">
        <v>27.75</v>
      </c>
      <c r="E1960">
        <v>0.11</v>
      </c>
      <c r="F1960">
        <v>27.74</v>
      </c>
      <c r="G1960">
        <v>27.75</v>
      </c>
      <c r="H1960">
        <v>12401</v>
      </c>
      <c r="I1960">
        <v>154</v>
      </c>
      <c r="J1960">
        <v>0.11</v>
      </c>
      <c r="K1960">
        <v>1.01</v>
      </c>
      <c r="L1960">
        <v>27.57</v>
      </c>
      <c r="M1960">
        <v>28.18</v>
      </c>
      <c r="N1960">
        <v>27.25</v>
      </c>
      <c r="O1960">
        <v>27.64</v>
      </c>
      <c r="P1960">
        <v>35.19</v>
      </c>
      <c r="Q1960">
        <v>34367008</v>
      </c>
      <c r="R1960">
        <v>0.65</v>
      </c>
      <c r="S1960" t="s">
        <v>218</v>
      </c>
      <c r="T1960" t="s">
        <v>248</v>
      </c>
      <c r="U1960">
        <v>3.36</v>
      </c>
      <c r="V1960">
        <v>27.71</v>
      </c>
      <c r="W1960">
        <v>5961</v>
      </c>
      <c r="X1960">
        <v>6439</v>
      </c>
      <c r="Y1960">
        <v>0.93</v>
      </c>
      <c r="Z1960">
        <v>7</v>
      </c>
      <c r="AA1960">
        <v>202</v>
      </c>
      <c r="AB1960" t="s">
        <v>32</v>
      </c>
      <c r="AC1960">
        <v>1.22</v>
      </c>
    </row>
    <row r="1961" spans="1:29">
      <c r="A1961" t="str">
        <f>"300597"</f>
        <v>300597</v>
      </c>
      <c r="B1961" t="s">
        <v>2130</v>
      </c>
      <c r="C1961">
        <v>0.94</v>
      </c>
      <c r="D1961">
        <v>16.14</v>
      </c>
      <c r="E1961">
        <v>0.15</v>
      </c>
      <c r="F1961">
        <v>16.14</v>
      </c>
      <c r="G1961">
        <v>16.15</v>
      </c>
      <c r="H1961">
        <v>37842</v>
      </c>
      <c r="I1961">
        <v>777</v>
      </c>
      <c r="J1961">
        <v>0.12</v>
      </c>
      <c r="K1961">
        <v>5.15</v>
      </c>
      <c r="L1961">
        <v>15.99</v>
      </c>
      <c r="M1961">
        <v>16.2</v>
      </c>
      <c r="N1961">
        <v>15.83</v>
      </c>
      <c r="O1961">
        <v>15.99</v>
      </c>
      <c r="P1961">
        <v>343.65</v>
      </c>
      <c r="Q1961">
        <v>60719356</v>
      </c>
      <c r="R1961">
        <v>1.03</v>
      </c>
      <c r="S1961" t="s">
        <v>119</v>
      </c>
      <c r="T1961" t="s">
        <v>81</v>
      </c>
      <c r="U1961">
        <v>2.31</v>
      </c>
      <c r="V1961">
        <v>16.05</v>
      </c>
      <c r="W1961">
        <v>19392</v>
      </c>
      <c r="X1961">
        <v>18449</v>
      </c>
      <c r="Y1961">
        <v>1.05</v>
      </c>
      <c r="Z1961">
        <v>26</v>
      </c>
      <c r="AA1961">
        <v>531</v>
      </c>
      <c r="AB1961" t="s">
        <v>32</v>
      </c>
      <c r="AC1961">
        <v>0.73</v>
      </c>
    </row>
    <row r="1962" spans="1:29">
      <c r="A1962" t="str">
        <f>"300598"</f>
        <v>300598</v>
      </c>
      <c r="B1962" t="s">
        <v>2131</v>
      </c>
      <c r="C1962">
        <v>0.68</v>
      </c>
      <c r="D1962">
        <v>29.6</v>
      </c>
      <c r="E1962">
        <v>0.2</v>
      </c>
      <c r="F1962">
        <v>29.59</v>
      </c>
      <c r="G1962">
        <v>29.6</v>
      </c>
      <c r="H1962">
        <v>15802</v>
      </c>
      <c r="I1962">
        <v>244</v>
      </c>
      <c r="J1962">
        <v>0.17</v>
      </c>
      <c r="K1962">
        <v>3.27</v>
      </c>
      <c r="L1962">
        <v>29.36</v>
      </c>
      <c r="M1962">
        <v>29.84</v>
      </c>
      <c r="N1962">
        <v>29.01</v>
      </c>
      <c r="O1962">
        <v>29.4</v>
      </c>
      <c r="P1962" t="s">
        <v>32</v>
      </c>
      <c r="Q1962">
        <v>46486600</v>
      </c>
      <c r="R1962">
        <v>0.74</v>
      </c>
      <c r="S1962" t="s">
        <v>270</v>
      </c>
      <c r="T1962" t="s">
        <v>87</v>
      </c>
      <c r="U1962">
        <v>2.82</v>
      </c>
      <c r="V1962">
        <v>29.42</v>
      </c>
      <c r="W1962">
        <v>8460</v>
      </c>
      <c r="X1962">
        <v>7341</v>
      </c>
      <c r="Y1962">
        <v>1.15</v>
      </c>
      <c r="Z1962">
        <v>226</v>
      </c>
      <c r="AA1962">
        <v>50</v>
      </c>
      <c r="AB1962" t="s">
        <v>32</v>
      </c>
      <c r="AC1962">
        <v>0.48</v>
      </c>
    </row>
    <row r="1963" spans="1:29">
      <c r="A1963" t="str">
        <f>"300599"</f>
        <v>300599</v>
      </c>
      <c r="B1963" t="s">
        <v>2132</v>
      </c>
      <c r="C1963">
        <v>2.35</v>
      </c>
      <c r="D1963">
        <v>12.17</v>
      </c>
      <c r="E1963">
        <v>0.28</v>
      </c>
      <c r="F1963">
        <v>12.17</v>
      </c>
      <c r="G1963">
        <v>12.18</v>
      </c>
      <c r="H1963">
        <v>32053</v>
      </c>
      <c r="I1963">
        <v>298</v>
      </c>
      <c r="J1963">
        <v>0.08</v>
      </c>
      <c r="K1963">
        <v>3.54</v>
      </c>
      <c r="L1963">
        <v>11.95</v>
      </c>
      <c r="M1963">
        <v>12.25</v>
      </c>
      <c r="N1963">
        <v>11.87</v>
      </c>
      <c r="O1963">
        <v>11.89</v>
      </c>
      <c r="P1963">
        <v>23.77</v>
      </c>
      <c r="Q1963">
        <v>38844000</v>
      </c>
      <c r="R1963">
        <v>1.39</v>
      </c>
      <c r="S1963" t="s">
        <v>508</v>
      </c>
      <c r="T1963" t="s">
        <v>136</v>
      </c>
      <c r="U1963">
        <v>3.2</v>
      </c>
      <c r="V1963">
        <v>12.12</v>
      </c>
      <c r="W1963">
        <v>14100</v>
      </c>
      <c r="X1963">
        <v>17953</v>
      </c>
      <c r="Y1963">
        <v>0.79</v>
      </c>
      <c r="Z1963">
        <v>391</v>
      </c>
      <c r="AA1963">
        <v>735</v>
      </c>
      <c r="AB1963" t="s">
        <v>32</v>
      </c>
      <c r="AC1963">
        <v>0.91</v>
      </c>
    </row>
    <row r="1964" spans="1:29">
      <c r="A1964" t="str">
        <f>"300600"</f>
        <v>300600</v>
      </c>
      <c r="B1964" t="s">
        <v>2133</v>
      </c>
      <c r="C1964">
        <v>0.14</v>
      </c>
      <c r="D1964">
        <v>21.87</v>
      </c>
      <c r="E1964">
        <v>0.03</v>
      </c>
      <c r="F1964">
        <v>21.87</v>
      </c>
      <c r="G1964">
        <v>21.88</v>
      </c>
      <c r="H1964">
        <v>10060</v>
      </c>
      <c r="I1964">
        <v>91</v>
      </c>
      <c r="J1964">
        <v>0.09</v>
      </c>
      <c r="K1964">
        <v>1.52</v>
      </c>
      <c r="L1964">
        <v>21.7</v>
      </c>
      <c r="M1964">
        <v>22.24</v>
      </c>
      <c r="N1964">
        <v>21.41</v>
      </c>
      <c r="O1964">
        <v>21.84</v>
      </c>
      <c r="P1964">
        <v>36.64</v>
      </c>
      <c r="Q1964">
        <v>21933894</v>
      </c>
      <c r="R1964">
        <v>0.95</v>
      </c>
      <c r="S1964" t="s">
        <v>104</v>
      </c>
      <c r="T1964" t="s">
        <v>87</v>
      </c>
      <c r="U1964">
        <v>3.8</v>
      </c>
      <c r="V1964">
        <v>21.8</v>
      </c>
      <c r="W1964">
        <v>5536</v>
      </c>
      <c r="X1964">
        <v>4524</v>
      </c>
      <c r="Y1964">
        <v>1.22</v>
      </c>
      <c r="Z1964">
        <v>11</v>
      </c>
      <c r="AA1964">
        <v>11</v>
      </c>
      <c r="AB1964" t="s">
        <v>32</v>
      </c>
      <c r="AC1964">
        <v>0.66</v>
      </c>
    </row>
    <row r="1965" spans="1:29">
      <c r="A1965" t="str">
        <f>"300601"</f>
        <v>300601</v>
      </c>
      <c r="B1965" t="s">
        <v>2134</v>
      </c>
      <c r="C1965">
        <v>-10.01</v>
      </c>
      <c r="D1965">
        <v>52.16</v>
      </c>
      <c r="E1965">
        <v>-5.8</v>
      </c>
      <c r="F1965" t="s">
        <v>32</v>
      </c>
      <c r="G1965">
        <v>52.16</v>
      </c>
      <c r="H1965">
        <v>12013</v>
      </c>
      <c r="I1965">
        <v>63</v>
      </c>
      <c r="J1965">
        <v>0</v>
      </c>
      <c r="K1965">
        <v>0.5</v>
      </c>
      <c r="L1965">
        <v>52.16</v>
      </c>
      <c r="M1965">
        <v>52.16</v>
      </c>
      <c r="N1965">
        <v>52.16</v>
      </c>
      <c r="O1965">
        <v>57.96</v>
      </c>
      <c r="P1965">
        <v>75.22</v>
      </c>
      <c r="Q1965">
        <v>62659808</v>
      </c>
      <c r="R1965">
        <v>0.17</v>
      </c>
      <c r="S1965" t="s">
        <v>36</v>
      </c>
      <c r="T1965" t="s">
        <v>31</v>
      </c>
      <c r="U1965">
        <v>0</v>
      </c>
      <c r="V1965">
        <v>52.16</v>
      </c>
      <c r="W1965">
        <v>104</v>
      </c>
      <c r="X1965">
        <v>11909</v>
      </c>
      <c r="Y1965">
        <v>0.01</v>
      </c>
      <c r="Z1965">
        <v>0</v>
      </c>
      <c r="AA1965">
        <v>321048</v>
      </c>
      <c r="AB1965" t="s">
        <v>32</v>
      </c>
      <c r="AC1965">
        <v>2.4</v>
      </c>
    </row>
    <row r="1966" spans="1:29">
      <c r="A1966" t="str">
        <f>"300602"</f>
        <v>300602</v>
      </c>
      <c r="B1966" t="s">
        <v>2135</v>
      </c>
      <c r="C1966">
        <v>-1.66</v>
      </c>
      <c r="D1966">
        <v>36.78</v>
      </c>
      <c r="E1966">
        <v>-0.62</v>
      </c>
      <c r="F1966">
        <v>36.77</v>
      </c>
      <c r="G1966">
        <v>36.78</v>
      </c>
      <c r="H1966">
        <v>38564</v>
      </c>
      <c r="I1966">
        <v>678</v>
      </c>
      <c r="J1966">
        <v>0</v>
      </c>
      <c r="K1966">
        <v>6.26</v>
      </c>
      <c r="L1966">
        <v>37.02</v>
      </c>
      <c r="M1966">
        <v>37.5</v>
      </c>
      <c r="N1966">
        <v>36.37</v>
      </c>
      <c r="O1966">
        <v>37.4</v>
      </c>
      <c r="P1966">
        <v>58.69</v>
      </c>
      <c r="Q1966">
        <v>142385696</v>
      </c>
      <c r="R1966">
        <v>0.46</v>
      </c>
      <c r="S1966" t="s">
        <v>63</v>
      </c>
      <c r="T1966" t="s">
        <v>31</v>
      </c>
      <c r="U1966">
        <v>3.02</v>
      </c>
      <c r="V1966">
        <v>36.92</v>
      </c>
      <c r="W1966">
        <v>21181</v>
      </c>
      <c r="X1966">
        <v>17382</v>
      </c>
      <c r="Y1966">
        <v>1.22</v>
      </c>
      <c r="Z1966">
        <v>2</v>
      </c>
      <c r="AA1966">
        <v>4</v>
      </c>
      <c r="AB1966" t="s">
        <v>32</v>
      </c>
      <c r="AC1966">
        <v>0.62</v>
      </c>
    </row>
    <row r="1967" spans="1:29">
      <c r="A1967" t="str">
        <f>"300603"</f>
        <v>300603</v>
      </c>
      <c r="B1967" t="s">
        <v>2136</v>
      </c>
      <c r="C1967" t="s">
        <v>32</v>
      </c>
      <c r="D1967">
        <v>35.63</v>
      </c>
      <c r="E1967" t="s">
        <v>32</v>
      </c>
      <c r="F1967" t="s">
        <v>32</v>
      </c>
      <c r="G1967" t="s">
        <v>32</v>
      </c>
      <c r="H1967">
        <v>0</v>
      </c>
      <c r="I1967">
        <v>0</v>
      </c>
      <c r="J1967" t="s">
        <v>32</v>
      </c>
      <c r="K1967">
        <v>0</v>
      </c>
      <c r="L1967" t="s">
        <v>32</v>
      </c>
      <c r="M1967" t="s">
        <v>32</v>
      </c>
      <c r="N1967" t="s">
        <v>32</v>
      </c>
      <c r="O1967">
        <v>35.63</v>
      </c>
      <c r="P1967" t="s">
        <v>32</v>
      </c>
      <c r="Q1967">
        <v>0</v>
      </c>
      <c r="R1967">
        <v>0</v>
      </c>
      <c r="S1967" t="s">
        <v>119</v>
      </c>
      <c r="T1967" t="s">
        <v>156</v>
      </c>
      <c r="U1967">
        <v>0</v>
      </c>
      <c r="V1967">
        <v>35.63</v>
      </c>
      <c r="W1967">
        <v>0</v>
      </c>
      <c r="X1967">
        <v>0</v>
      </c>
      <c r="Y1967" t="s">
        <v>32</v>
      </c>
      <c r="Z1967">
        <v>0</v>
      </c>
      <c r="AA1967">
        <v>0</v>
      </c>
      <c r="AB1967" t="s">
        <v>32</v>
      </c>
      <c r="AC1967">
        <v>0.57</v>
      </c>
    </row>
    <row r="1968" spans="1:29">
      <c r="A1968" t="str">
        <f>"300604"</f>
        <v>300604</v>
      </c>
      <c r="B1968" t="s">
        <v>2137</v>
      </c>
      <c r="C1968">
        <v>-1.92</v>
      </c>
      <c r="D1968">
        <v>41.38</v>
      </c>
      <c r="E1968">
        <v>-0.81</v>
      </c>
      <c r="F1968">
        <v>41.38</v>
      </c>
      <c r="G1968">
        <v>41.4</v>
      </c>
      <c r="H1968">
        <v>43152</v>
      </c>
      <c r="I1968">
        <v>581</v>
      </c>
      <c r="J1968">
        <v>-0.01</v>
      </c>
      <c r="K1968">
        <v>6.57</v>
      </c>
      <c r="L1968">
        <v>42.2</v>
      </c>
      <c r="M1968">
        <v>42.39</v>
      </c>
      <c r="N1968">
        <v>40.4</v>
      </c>
      <c r="O1968">
        <v>42.19</v>
      </c>
      <c r="P1968">
        <v>203.02</v>
      </c>
      <c r="Q1968">
        <v>177451664</v>
      </c>
      <c r="R1968">
        <v>1.42</v>
      </c>
      <c r="S1968" t="s">
        <v>171</v>
      </c>
      <c r="T1968" t="s">
        <v>149</v>
      </c>
      <c r="U1968">
        <v>4.72</v>
      </c>
      <c r="V1968">
        <v>41.12</v>
      </c>
      <c r="W1968">
        <v>22946</v>
      </c>
      <c r="X1968">
        <v>20205</v>
      </c>
      <c r="Y1968">
        <v>1.14</v>
      </c>
      <c r="Z1968">
        <v>6</v>
      </c>
      <c r="AA1968">
        <v>75</v>
      </c>
      <c r="AB1968" t="s">
        <v>32</v>
      </c>
      <c r="AC1968">
        <v>0.66</v>
      </c>
    </row>
    <row r="1969" spans="1:29">
      <c r="A1969" t="str">
        <f>"300605"</f>
        <v>300605</v>
      </c>
      <c r="B1969" t="s">
        <v>2138</v>
      </c>
      <c r="C1969">
        <v>1.03</v>
      </c>
      <c r="D1969">
        <v>18.58</v>
      </c>
      <c r="E1969">
        <v>0.19</v>
      </c>
      <c r="F1969">
        <v>18.58</v>
      </c>
      <c r="G1969">
        <v>18.59</v>
      </c>
      <c r="H1969">
        <v>10216</v>
      </c>
      <c r="I1969">
        <v>378</v>
      </c>
      <c r="J1969">
        <v>-0.1</v>
      </c>
      <c r="K1969">
        <v>2.11</v>
      </c>
      <c r="L1969">
        <v>18.35</v>
      </c>
      <c r="M1969">
        <v>18.62</v>
      </c>
      <c r="N1969">
        <v>18.2</v>
      </c>
      <c r="O1969">
        <v>18.39</v>
      </c>
      <c r="P1969">
        <v>142.89</v>
      </c>
      <c r="Q1969">
        <v>18857646</v>
      </c>
      <c r="R1969">
        <v>1.12</v>
      </c>
      <c r="S1969" t="s">
        <v>270</v>
      </c>
      <c r="T1969" t="s">
        <v>236</v>
      </c>
      <c r="U1969">
        <v>2.28</v>
      </c>
      <c r="V1969">
        <v>18.46</v>
      </c>
      <c r="W1969">
        <v>4573</v>
      </c>
      <c r="X1969">
        <v>5642</v>
      </c>
      <c r="Y1969">
        <v>0.81</v>
      </c>
      <c r="Z1969">
        <v>138</v>
      </c>
      <c r="AA1969">
        <v>16</v>
      </c>
      <c r="AB1969" t="s">
        <v>32</v>
      </c>
      <c r="AC1969">
        <v>0.48</v>
      </c>
    </row>
    <row r="1970" spans="1:29">
      <c r="A1970" t="str">
        <f>"300606"</f>
        <v>300606</v>
      </c>
      <c r="B1970" t="s">
        <v>2139</v>
      </c>
      <c r="C1970">
        <v>1.28</v>
      </c>
      <c r="D1970">
        <v>23.73</v>
      </c>
      <c r="E1970">
        <v>0.3</v>
      </c>
      <c r="F1970">
        <v>23.65</v>
      </c>
      <c r="G1970">
        <v>23.73</v>
      </c>
      <c r="H1970">
        <v>1680</v>
      </c>
      <c r="I1970">
        <v>28</v>
      </c>
      <c r="J1970">
        <v>0.47</v>
      </c>
      <c r="K1970">
        <v>0.51</v>
      </c>
      <c r="L1970">
        <v>23.58</v>
      </c>
      <c r="M1970">
        <v>23.79</v>
      </c>
      <c r="N1970">
        <v>23.25</v>
      </c>
      <c r="O1970">
        <v>23.43</v>
      </c>
      <c r="P1970">
        <v>33.55</v>
      </c>
      <c r="Q1970">
        <v>3961987</v>
      </c>
      <c r="R1970">
        <v>0.41</v>
      </c>
      <c r="S1970" t="s">
        <v>227</v>
      </c>
      <c r="T1970" t="s">
        <v>136</v>
      </c>
      <c r="U1970">
        <v>2.3</v>
      </c>
      <c r="V1970">
        <v>23.59</v>
      </c>
      <c r="W1970">
        <v>656</v>
      </c>
      <c r="X1970">
        <v>1023</v>
      </c>
      <c r="Y1970">
        <v>0.64</v>
      </c>
      <c r="Z1970">
        <v>5</v>
      </c>
      <c r="AA1970">
        <v>73</v>
      </c>
      <c r="AB1970" t="s">
        <v>32</v>
      </c>
      <c r="AC1970">
        <v>0.33</v>
      </c>
    </row>
    <row r="1971" spans="1:29">
      <c r="A1971" t="str">
        <f>"300607"</f>
        <v>300607</v>
      </c>
      <c r="B1971" t="s">
        <v>2140</v>
      </c>
      <c r="C1971">
        <v>1.43</v>
      </c>
      <c r="D1971">
        <v>49.52</v>
      </c>
      <c r="E1971">
        <v>0.7</v>
      </c>
      <c r="F1971">
        <v>49.52</v>
      </c>
      <c r="G1971">
        <v>49.54</v>
      </c>
      <c r="H1971">
        <v>16358</v>
      </c>
      <c r="I1971">
        <v>38</v>
      </c>
      <c r="J1971">
        <v>0.06</v>
      </c>
      <c r="K1971">
        <v>2.85</v>
      </c>
      <c r="L1971">
        <v>48.94</v>
      </c>
      <c r="M1971">
        <v>49.95</v>
      </c>
      <c r="N1971">
        <v>48.18</v>
      </c>
      <c r="O1971">
        <v>48.82</v>
      </c>
      <c r="P1971">
        <v>47.94</v>
      </c>
      <c r="Q1971">
        <v>80303936</v>
      </c>
      <c r="R1971">
        <v>1.62</v>
      </c>
      <c r="S1971" t="s">
        <v>171</v>
      </c>
      <c r="T1971" t="s">
        <v>136</v>
      </c>
      <c r="U1971">
        <v>3.63</v>
      </c>
      <c r="V1971">
        <v>49.09</v>
      </c>
      <c r="W1971">
        <v>9107</v>
      </c>
      <c r="X1971">
        <v>7251</v>
      </c>
      <c r="Y1971">
        <v>1.26</v>
      </c>
      <c r="Z1971">
        <v>86</v>
      </c>
      <c r="AA1971">
        <v>10</v>
      </c>
      <c r="AB1971" t="s">
        <v>32</v>
      </c>
      <c r="AC1971">
        <v>0.57</v>
      </c>
    </row>
    <row r="1972" spans="1:29">
      <c r="A1972" t="str">
        <f>"300608"</f>
        <v>300608</v>
      </c>
      <c r="B1972" t="s">
        <v>2141</v>
      </c>
      <c r="C1972">
        <v>0.24</v>
      </c>
      <c r="D1972">
        <v>20.92</v>
      </c>
      <c r="E1972">
        <v>0.05</v>
      </c>
      <c r="F1972">
        <v>20.92</v>
      </c>
      <c r="G1972">
        <v>20.93</v>
      </c>
      <c r="H1972">
        <v>4133</v>
      </c>
      <c r="I1972">
        <v>60</v>
      </c>
      <c r="J1972">
        <v>0.29</v>
      </c>
      <c r="K1972">
        <v>0.6</v>
      </c>
      <c r="L1972">
        <v>20.88</v>
      </c>
      <c r="M1972">
        <v>21.17</v>
      </c>
      <c r="N1972">
        <v>20.52</v>
      </c>
      <c r="O1972">
        <v>20.87</v>
      </c>
      <c r="P1972" t="s">
        <v>32</v>
      </c>
      <c r="Q1972">
        <v>8649601</v>
      </c>
      <c r="R1972">
        <v>0.86</v>
      </c>
      <c r="S1972" t="s">
        <v>270</v>
      </c>
      <c r="T1972" t="s">
        <v>45</v>
      </c>
      <c r="U1972">
        <v>3.11</v>
      </c>
      <c r="V1972">
        <v>20.93</v>
      </c>
      <c r="W1972">
        <v>2206</v>
      </c>
      <c r="X1972">
        <v>1926</v>
      </c>
      <c r="Y1972">
        <v>1.15</v>
      </c>
      <c r="Z1972">
        <v>16</v>
      </c>
      <c r="AA1972">
        <v>5</v>
      </c>
      <c r="AB1972" t="s">
        <v>32</v>
      </c>
      <c r="AC1972">
        <v>0.69</v>
      </c>
    </row>
    <row r="1973" spans="1:29">
      <c r="A1973" t="str">
        <f>"300609"</f>
        <v>300609</v>
      </c>
      <c r="B1973" t="s">
        <v>2142</v>
      </c>
      <c r="C1973">
        <v>0.89</v>
      </c>
      <c r="D1973">
        <v>28.21</v>
      </c>
      <c r="E1973">
        <v>0.25</v>
      </c>
      <c r="F1973">
        <v>28.21</v>
      </c>
      <c r="G1973">
        <v>28.22</v>
      </c>
      <c r="H1973">
        <v>6456</v>
      </c>
      <c r="I1973">
        <v>46</v>
      </c>
      <c r="J1973">
        <v>0</v>
      </c>
      <c r="K1973">
        <v>1.22</v>
      </c>
      <c r="L1973">
        <v>28.45</v>
      </c>
      <c r="M1973">
        <v>28.49</v>
      </c>
      <c r="N1973">
        <v>27.81</v>
      </c>
      <c r="O1973">
        <v>27.96</v>
      </c>
      <c r="P1973" t="s">
        <v>32</v>
      </c>
      <c r="Q1973">
        <v>18178850</v>
      </c>
      <c r="R1973">
        <v>1.03</v>
      </c>
      <c r="S1973" t="s">
        <v>316</v>
      </c>
      <c r="T1973" t="s">
        <v>366</v>
      </c>
      <c r="U1973">
        <v>2.43</v>
      </c>
      <c r="V1973">
        <v>28.16</v>
      </c>
      <c r="W1973">
        <v>2776</v>
      </c>
      <c r="X1973">
        <v>3679</v>
      </c>
      <c r="Y1973">
        <v>0.75</v>
      </c>
      <c r="Z1973">
        <v>68</v>
      </c>
      <c r="AA1973">
        <v>35</v>
      </c>
      <c r="AB1973" t="s">
        <v>32</v>
      </c>
      <c r="AC1973">
        <v>0.53</v>
      </c>
    </row>
    <row r="1974" spans="1:29">
      <c r="A1974" t="str">
        <f>"300610"</f>
        <v>300610</v>
      </c>
      <c r="B1974" t="s">
        <v>2143</v>
      </c>
      <c r="C1974">
        <v>0.86</v>
      </c>
      <c r="D1974">
        <v>12.9</v>
      </c>
      <c r="E1974">
        <v>0.11</v>
      </c>
      <c r="F1974">
        <v>12.89</v>
      </c>
      <c r="G1974">
        <v>12.9</v>
      </c>
      <c r="H1974">
        <v>10104</v>
      </c>
      <c r="I1974">
        <v>473</v>
      </c>
      <c r="J1974">
        <v>-0.14</v>
      </c>
      <c r="K1974">
        <v>2.03</v>
      </c>
      <c r="L1974">
        <v>12.9</v>
      </c>
      <c r="M1974">
        <v>12.97</v>
      </c>
      <c r="N1974">
        <v>12.77</v>
      </c>
      <c r="O1974">
        <v>12.79</v>
      </c>
      <c r="P1974">
        <v>40.78</v>
      </c>
      <c r="Q1974">
        <v>13034300</v>
      </c>
      <c r="R1974">
        <v>1.4</v>
      </c>
      <c r="S1974" t="s">
        <v>218</v>
      </c>
      <c r="T1974" t="s">
        <v>87</v>
      </c>
      <c r="U1974">
        <v>1.56</v>
      </c>
      <c r="V1974">
        <v>12.9</v>
      </c>
      <c r="W1974">
        <v>5627</v>
      </c>
      <c r="X1974">
        <v>4476</v>
      </c>
      <c r="Y1974">
        <v>1.26</v>
      </c>
      <c r="Z1974">
        <v>134</v>
      </c>
      <c r="AA1974">
        <v>233</v>
      </c>
      <c r="AB1974" t="s">
        <v>32</v>
      </c>
      <c r="AC1974">
        <v>0.5</v>
      </c>
    </row>
    <row r="1975" spans="1:29">
      <c r="A1975" t="str">
        <f>"300611"</f>
        <v>300611</v>
      </c>
      <c r="B1975" t="s">
        <v>2144</v>
      </c>
      <c r="C1975">
        <v>0.08</v>
      </c>
      <c r="D1975">
        <v>12.46</v>
      </c>
      <c r="E1975">
        <v>0.01</v>
      </c>
      <c r="F1975">
        <v>12.45</v>
      </c>
      <c r="G1975">
        <v>12.46</v>
      </c>
      <c r="H1975">
        <v>31826</v>
      </c>
      <c r="I1975">
        <v>639</v>
      </c>
      <c r="J1975">
        <v>0.16</v>
      </c>
      <c r="K1975">
        <v>4.7</v>
      </c>
      <c r="L1975">
        <v>12.34</v>
      </c>
      <c r="M1975">
        <v>12.62</v>
      </c>
      <c r="N1975">
        <v>12.22</v>
      </c>
      <c r="O1975">
        <v>12.45</v>
      </c>
      <c r="P1975">
        <v>65.01</v>
      </c>
      <c r="Q1975">
        <v>39596104</v>
      </c>
      <c r="R1975">
        <v>1.07</v>
      </c>
      <c r="S1975" t="s">
        <v>241</v>
      </c>
      <c r="T1975" t="s">
        <v>149</v>
      </c>
      <c r="U1975">
        <v>3.21</v>
      </c>
      <c r="V1975">
        <v>12.44</v>
      </c>
      <c r="W1975">
        <v>18840</v>
      </c>
      <c r="X1975">
        <v>12986</v>
      </c>
      <c r="Y1975">
        <v>1.45</v>
      </c>
      <c r="Z1975">
        <v>241</v>
      </c>
      <c r="AA1975">
        <v>92</v>
      </c>
      <c r="AB1975" t="s">
        <v>32</v>
      </c>
      <c r="AC1975">
        <v>0.68</v>
      </c>
    </row>
    <row r="1976" spans="1:29">
      <c r="A1976" t="str">
        <f>"300612"</f>
        <v>300612</v>
      </c>
      <c r="B1976" t="s">
        <v>2145</v>
      </c>
      <c r="C1976">
        <v>3.3</v>
      </c>
      <c r="D1976">
        <v>25.37</v>
      </c>
      <c r="E1976">
        <v>0.81</v>
      </c>
      <c r="F1976">
        <v>25.37</v>
      </c>
      <c r="G1976">
        <v>25.38</v>
      </c>
      <c r="H1976">
        <v>60665</v>
      </c>
      <c r="I1976">
        <v>1895</v>
      </c>
      <c r="J1976">
        <v>0.59</v>
      </c>
      <c r="K1976">
        <v>13.38</v>
      </c>
      <c r="L1976">
        <v>24.58</v>
      </c>
      <c r="M1976">
        <v>25.37</v>
      </c>
      <c r="N1976">
        <v>24.01</v>
      </c>
      <c r="O1976">
        <v>24.56</v>
      </c>
      <c r="P1976">
        <v>315.73</v>
      </c>
      <c r="Q1976">
        <v>150881088</v>
      </c>
      <c r="R1976">
        <v>1.29</v>
      </c>
      <c r="S1976" t="s">
        <v>91</v>
      </c>
      <c r="T1976" t="s">
        <v>45</v>
      </c>
      <c r="U1976">
        <v>5.54</v>
      </c>
      <c r="V1976">
        <v>24.87</v>
      </c>
      <c r="W1976">
        <v>29028</v>
      </c>
      <c r="X1976">
        <v>31637</v>
      </c>
      <c r="Y1976">
        <v>0.92</v>
      </c>
      <c r="Z1976">
        <v>163</v>
      </c>
      <c r="AA1976">
        <v>14</v>
      </c>
      <c r="AB1976" t="s">
        <v>32</v>
      </c>
      <c r="AC1976">
        <v>0.45</v>
      </c>
    </row>
    <row r="1977" spans="1:29">
      <c r="A1977" t="str">
        <f>"300613"</f>
        <v>300613</v>
      </c>
      <c r="B1977" t="s">
        <v>2146</v>
      </c>
      <c r="C1977">
        <v>0.03</v>
      </c>
      <c r="D1977">
        <v>141.88</v>
      </c>
      <c r="E1977">
        <v>0.04</v>
      </c>
      <c r="F1977">
        <v>141.88</v>
      </c>
      <c r="G1977">
        <v>141.9</v>
      </c>
      <c r="H1977">
        <v>5260</v>
      </c>
      <c r="I1977">
        <v>67</v>
      </c>
      <c r="J1977">
        <v>0.06</v>
      </c>
      <c r="K1977">
        <v>4.06</v>
      </c>
      <c r="L1977">
        <v>142.27</v>
      </c>
      <c r="M1977">
        <v>142.6</v>
      </c>
      <c r="N1977">
        <v>139.2</v>
      </c>
      <c r="O1977">
        <v>141.84</v>
      </c>
      <c r="P1977">
        <v>105.52</v>
      </c>
      <c r="Q1977">
        <v>74227952</v>
      </c>
      <c r="R1977">
        <v>1.04</v>
      </c>
      <c r="S1977" t="s">
        <v>699</v>
      </c>
      <c r="T1977" t="s">
        <v>366</v>
      </c>
      <c r="U1977">
        <v>2.4</v>
      </c>
      <c r="V1977">
        <v>141.12</v>
      </c>
      <c r="W1977">
        <v>2650</v>
      </c>
      <c r="X1977">
        <v>2610</v>
      </c>
      <c r="Y1977">
        <v>1.02</v>
      </c>
      <c r="Z1977">
        <v>73</v>
      </c>
      <c r="AA1977">
        <v>1</v>
      </c>
      <c r="AB1977" t="s">
        <v>32</v>
      </c>
      <c r="AC1977">
        <v>0.13</v>
      </c>
    </row>
    <row r="1978" spans="1:29">
      <c r="A1978" t="str">
        <f>"300615"</f>
        <v>300615</v>
      </c>
      <c r="B1978" t="s">
        <v>2147</v>
      </c>
      <c r="C1978">
        <v>0.88</v>
      </c>
      <c r="D1978">
        <v>19.52</v>
      </c>
      <c r="E1978">
        <v>0.17</v>
      </c>
      <c r="F1978">
        <v>19.52</v>
      </c>
      <c r="G1978">
        <v>19.53</v>
      </c>
      <c r="H1978">
        <v>47089</v>
      </c>
      <c r="I1978">
        <v>1057</v>
      </c>
      <c r="J1978">
        <v>0</v>
      </c>
      <c r="K1978">
        <v>12.17</v>
      </c>
      <c r="L1978">
        <v>19.3</v>
      </c>
      <c r="M1978">
        <v>19.63</v>
      </c>
      <c r="N1978">
        <v>19.04</v>
      </c>
      <c r="O1978">
        <v>19.35</v>
      </c>
      <c r="P1978">
        <v>258.46</v>
      </c>
      <c r="Q1978">
        <v>91009504</v>
      </c>
      <c r="R1978">
        <v>0.55</v>
      </c>
      <c r="S1978" t="s">
        <v>63</v>
      </c>
      <c r="T1978" t="s">
        <v>31</v>
      </c>
      <c r="U1978">
        <v>3.05</v>
      </c>
      <c r="V1978">
        <v>19.33</v>
      </c>
      <c r="W1978">
        <v>24329</v>
      </c>
      <c r="X1978">
        <v>22759</v>
      </c>
      <c r="Y1978">
        <v>1.07</v>
      </c>
      <c r="Z1978">
        <v>62</v>
      </c>
      <c r="AA1978">
        <v>88</v>
      </c>
      <c r="AB1978" t="s">
        <v>32</v>
      </c>
      <c r="AC1978">
        <v>0.39</v>
      </c>
    </row>
    <row r="1979" spans="1:29">
      <c r="A1979" t="str">
        <f>"300616"</f>
        <v>300616</v>
      </c>
      <c r="B1979" t="s">
        <v>2148</v>
      </c>
      <c r="C1979">
        <v>2.17</v>
      </c>
      <c r="D1979">
        <v>107.3</v>
      </c>
      <c r="E1979">
        <v>2.28</v>
      </c>
      <c r="F1979">
        <v>107.28</v>
      </c>
      <c r="G1979">
        <v>107.3</v>
      </c>
      <c r="H1979">
        <v>4567</v>
      </c>
      <c r="I1979">
        <v>8</v>
      </c>
      <c r="J1979">
        <v>0.21</v>
      </c>
      <c r="K1979">
        <v>0.68</v>
      </c>
      <c r="L1979">
        <v>104.99</v>
      </c>
      <c r="M1979">
        <v>108.87</v>
      </c>
      <c r="N1979">
        <v>104.12</v>
      </c>
      <c r="O1979">
        <v>105.02</v>
      </c>
      <c r="P1979" t="s">
        <v>32</v>
      </c>
      <c r="Q1979">
        <v>48924092</v>
      </c>
      <c r="R1979">
        <v>1.27</v>
      </c>
      <c r="S1979" t="s">
        <v>545</v>
      </c>
      <c r="T1979" t="s">
        <v>136</v>
      </c>
      <c r="U1979">
        <v>4.52</v>
      </c>
      <c r="V1979">
        <v>107.12</v>
      </c>
      <c r="W1979">
        <v>2091</v>
      </c>
      <c r="X1979">
        <v>2476</v>
      </c>
      <c r="Y1979">
        <v>0.84</v>
      </c>
      <c r="Z1979">
        <v>1</v>
      </c>
      <c r="AA1979">
        <v>4</v>
      </c>
      <c r="AB1979" t="s">
        <v>32</v>
      </c>
      <c r="AC1979">
        <v>0.67</v>
      </c>
    </row>
    <row r="1980" spans="1:29">
      <c r="A1980" t="str">
        <f>"300617"</f>
        <v>300617</v>
      </c>
      <c r="B1980" t="s">
        <v>2149</v>
      </c>
      <c r="C1980">
        <v>2.02</v>
      </c>
      <c r="D1980">
        <v>25.82</v>
      </c>
      <c r="E1980">
        <v>0.51</v>
      </c>
      <c r="F1980">
        <v>25.82</v>
      </c>
      <c r="G1980">
        <v>25.83</v>
      </c>
      <c r="H1980">
        <v>3992</v>
      </c>
      <c r="I1980">
        <v>96</v>
      </c>
      <c r="J1980">
        <v>0.08</v>
      </c>
      <c r="K1980">
        <v>1.09</v>
      </c>
      <c r="L1980">
        <v>25.18</v>
      </c>
      <c r="M1980">
        <v>25.85</v>
      </c>
      <c r="N1980">
        <v>25.18</v>
      </c>
      <c r="O1980">
        <v>25.31</v>
      </c>
      <c r="P1980">
        <v>25.37</v>
      </c>
      <c r="Q1980">
        <v>10234131</v>
      </c>
      <c r="R1980">
        <v>1.51</v>
      </c>
      <c r="S1980" t="s">
        <v>104</v>
      </c>
      <c r="T1980" t="s">
        <v>87</v>
      </c>
      <c r="U1980">
        <v>2.65</v>
      </c>
      <c r="V1980">
        <v>25.64</v>
      </c>
      <c r="W1980">
        <v>2018</v>
      </c>
      <c r="X1980">
        <v>1973</v>
      </c>
      <c r="Y1980">
        <v>1.02</v>
      </c>
      <c r="Z1980">
        <v>62</v>
      </c>
      <c r="AA1980">
        <v>6</v>
      </c>
      <c r="AB1980" t="s">
        <v>32</v>
      </c>
      <c r="AC1980">
        <v>0.37</v>
      </c>
    </row>
    <row r="1981" spans="1:29">
      <c r="A1981" t="str">
        <f>"300618"</f>
        <v>300618</v>
      </c>
      <c r="B1981" t="s">
        <v>2150</v>
      </c>
      <c r="C1981">
        <v>-0.7</v>
      </c>
      <c r="D1981">
        <v>159.16</v>
      </c>
      <c r="E1981">
        <v>-1.12</v>
      </c>
      <c r="F1981">
        <v>159.16</v>
      </c>
      <c r="G1981">
        <v>159.18</v>
      </c>
      <c r="H1981">
        <v>43511</v>
      </c>
      <c r="I1981">
        <v>625</v>
      </c>
      <c r="J1981">
        <v>0.08</v>
      </c>
      <c r="K1981">
        <v>3.82</v>
      </c>
      <c r="L1981">
        <v>160.99</v>
      </c>
      <c r="M1981">
        <v>163.38</v>
      </c>
      <c r="N1981">
        <v>157</v>
      </c>
      <c r="O1981">
        <v>160.28</v>
      </c>
      <c r="P1981">
        <v>29.98</v>
      </c>
      <c r="Q1981">
        <v>694909440</v>
      </c>
      <c r="R1981">
        <v>0.93</v>
      </c>
      <c r="S1981" t="s">
        <v>356</v>
      </c>
      <c r="T1981" t="s">
        <v>87</v>
      </c>
      <c r="U1981">
        <v>3.98</v>
      </c>
      <c r="V1981">
        <v>159.71</v>
      </c>
      <c r="W1981">
        <v>23982</v>
      </c>
      <c r="X1981">
        <v>19529</v>
      </c>
      <c r="Y1981">
        <v>1.23</v>
      </c>
      <c r="Z1981">
        <v>164</v>
      </c>
      <c r="AA1981">
        <v>1</v>
      </c>
      <c r="AB1981" t="s">
        <v>32</v>
      </c>
      <c r="AC1981">
        <v>1.14</v>
      </c>
    </row>
    <row r="1982" spans="1:29">
      <c r="A1982" t="str">
        <f>"300619"</f>
        <v>300619</v>
      </c>
      <c r="B1982" t="s">
        <v>2151</v>
      </c>
      <c r="C1982">
        <v>1.5</v>
      </c>
      <c r="D1982">
        <v>33.94</v>
      </c>
      <c r="E1982">
        <v>0.5</v>
      </c>
      <c r="F1982">
        <v>33.94</v>
      </c>
      <c r="G1982">
        <v>33.95</v>
      </c>
      <c r="H1982">
        <v>12293</v>
      </c>
      <c r="I1982">
        <v>239</v>
      </c>
      <c r="J1982">
        <v>0.09</v>
      </c>
      <c r="K1982">
        <v>3.67</v>
      </c>
      <c r="L1982">
        <v>33.38</v>
      </c>
      <c r="M1982">
        <v>34.18</v>
      </c>
      <c r="N1982">
        <v>33.05</v>
      </c>
      <c r="O1982">
        <v>33.44</v>
      </c>
      <c r="P1982">
        <v>160.75</v>
      </c>
      <c r="Q1982">
        <v>41406268</v>
      </c>
      <c r="R1982">
        <v>1.02</v>
      </c>
      <c r="S1982" t="s">
        <v>171</v>
      </c>
      <c r="T1982" t="s">
        <v>136</v>
      </c>
      <c r="U1982">
        <v>3.38</v>
      </c>
      <c r="V1982">
        <v>33.68</v>
      </c>
      <c r="W1982">
        <v>6277</v>
      </c>
      <c r="X1982">
        <v>6015</v>
      </c>
      <c r="Y1982">
        <v>1.04</v>
      </c>
      <c r="Z1982">
        <v>0</v>
      </c>
      <c r="AA1982">
        <v>11</v>
      </c>
      <c r="AB1982" t="s">
        <v>32</v>
      </c>
      <c r="AC1982">
        <v>0.33</v>
      </c>
    </row>
    <row r="1983" spans="1:29">
      <c r="A1983" t="str">
        <f>"300620"</f>
        <v>300620</v>
      </c>
      <c r="B1983" t="s">
        <v>2152</v>
      </c>
      <c r="C1983">
        <v>0.08</v>
      </c>
      <c r="D1983">
        <v>47.29</v>
      </c>
      <c r="E1983">
        <v>0.04</v>
      </c>
      <c r="F1983">
        <v>47.27</v>
      </c>
      <c r="G1983">
        <v>47.29</v>
      </c>
      <c r="H1983">
        <v>16529</v>
      </c>
      <c r="I1983">
        <v>239</v>
      </c>
      <c r="J1983">
        <v>0.15</v>
      </c>
      <c r="K1983">
        <v>7.51</v>
      </c>
      <c r="L1983">
        <v>47.35</v>
      </c>
      <c r="M1983">
        <v>47.6</v>
      </c>
      <c r="N1983">
        <v>46.23</v>
      </c>
      <c r="O1983">
        <v>47.25</v>
      </c>
      <c r="P1983">
        <v>63.88</v>
      </c>
      <c r="Q1983">
        <v>77736016</v>
      </c>
      <c r="R1983">
        <v>0.96</v>
      </c>
      <c r="S1983" t="s">
        <v>63</v>
      </c>
      <c r="T1983" t="s">
        <v>136</v>
      </c>
      <c r="U1983">
        <v>2.9</v>
      </c>
      <c r="V1983">
        <v>47.03</v>
      </c>
      <c r="W1983">
        <v>8607</v>
      </c>
      <c r="X1983">
        <v>7921</v>
      </c>
      <c r="Y1983">
        <v>1.09</v>
      </c>
      <c r="Z1983">
        <v>1</v>
      </c>
      <c r="AA1983">
        <v>84</v>
      </c>
      <c r="AB1983" t="s">
        <v>32</v>
      </c>
      <c r="AC1983">
        <v>0.22</v>
      </c>
    </row>
    <row r="1984" spans="1:29">
      <c r="A1984" t="str">
        <f>"300621"</f>
        <v>300621</v>
      </c>
      <c r="B1984" t="s">
        <v>2153</v>
      </c>
      <c r="C1984">
        <v>2.08</v>
      </c>
      <c r="D1984">
        <v>12.79</v>
      </c>
      <c r="E1984">
        <v>0.26</v>
      </c>
      <c r="F1984">
        <v>12.79</v>
      </c>
      <c r="G1984">
        <v>12.8</v>
      </c>
      <c r="H1984">
        <v>28893</v>
      </c>
      <c r="I1984">
        <v>439</v>
      </c>
      <c r="J1984">
        <v>-0.15</v>
      </c>
      <c r="K1984">
        <v>4.52</v>
      </c>
      <c r="L1984">
        <v>12.51</v>
      </c>
      <c r="M1984">
        <v>12.93</v>
      </c>
      <c r="N1984">
        <v>12.48</v>
      </c>
      <c r="O1984">
        <v>12.53</v>
      </c>
      <c r="P1984">
        <v>18.73</v>
      </c>
      <c r="Q1984">
        <v>36912116</v>
      </c>
      <c r="R1984">
        <v>2.46</v>
      </c>
      <c r="S1984" t="s">
        <v>59</v>
      </c>
      <c r="T1984" t="s">
        <v>31</v>
      </c>
      <c r="U1984">
        <v>3.59</v>
      </c>
      <c r="V1984">
        <v>12.78</v>
      </c>
      <c r="W1984">
        <v>13580</v>
      </c>
      <c r="X1984">
        <v>15313</v>
      </c>
      <c r="Y1984">
        <v>0.89</v>
      </c>
      <c r="Z1984">
        <v>365</v>
      </c>
      <c r="AA1984">
        <v>35</v>
      </c>
      <c r="AB1984" t="s">
        <v>32</v>
      </c>
      <c r="AC1984">
        <v>0.64</v>
      </c>
    </row>
    <row r="1985" spans="1:29">
      <c r="A1985" t="str">
        <f>"300622"</f>
        <v>300622</v>
      </c>
      <c r="B1985" t="s">
        <v>2154</v>
      </c>
      <c r="C1985">
        <v>1.57</v>
      </c>
      <c r="D1985">
        <v>21.36</v>
      </c>
      <c r="E1985">
        <v>0.33</v>
      </c>
      <c r="F1985">
        <v>21.35</v>
      </c>
      <c r="G1985">
        <v>21.36</v>
      </c>
      <c r="H1985">
        <v>6718</v>
      </c>
      <c r="I1985">
        <v>109</v>
      </c>
      <c r="J1985">
        <v>0.05</v>
      </c>
      <c r="K1985">
        <v>1.75</v>
      </c>
      <c r="L1985">
        <v>21.15</v>
      </c>
      <c r="M1985">
        <v>21.61</v>
      </c>
      <c r="N1985">
        <v>20.89</v>
      </c>
      <c r="O1985">
        <v>21.03</v>
      </c>
      <c r="P1985">
        <v>39.36</v>
      </c>
      <c r="Q1985">
        <v>14305277</v>
      </c>
      <c r="R1985">
        <v>1.17</v>
      </c>
      <c r="S1985" t="s">
        <v>73</v>
      </c>
      <c r="T1985" t="s">
        <v>31</v>
      </c>
      <c r="U1985">
        <v>3.42</v>
      </c>
      <c r="V1985">
        <v>21.29</v>
      </c>
      <c r="W1985">
        <v>3233</v>
      </c>
      <c r="X1985">
        <v>3485</v>
      </c>
      <c r="Y1985">
        <v>0.93</v>
      </c>
      <c r="Z1985">
        <v>1</v>
      </c>
      <c r="AA1985">
        <v>9</v>
      </c>
      <c r="AB1985" t="s">
        <v>32</v>
      </c>
      <c r="AC1985">
        <v>0.38</v>
      </c>
    </row>
    <row r="1986" spans="1:29">
      <c r="A1986" t="str">
        <f>"300623"</f>
        <v>300623</v>
      </c>
      <c r="B1986" t="s">
        <v>2155</v>
      </c>
      <c r="C1986">
        <v>1.56</v>
      </c>
      <c r="D1986">
        <v>37.72</v>
      </c>
      <c r="E1986">
        <v>0.58</v>
      </c>
      <c r="F1986">
        <v>37.72</v>
      </c>
      <c r="G1986">
        <v>37.73</v>
      </c>
      <c r="H1986">
        <v>66701</v>
      </c>
      <c r="I1986">
        <v>1433</v>
      </c>
      <c r="J1986">
        <v>0.4</v>
      </c>
      <c r="K1986">
        <v>6.8</v>
      </c>
      <c r="L1986">
        <v>36.77</v>
      </c>
      <c r="M1986">
        <v>37.72</v>
      </c>
      <c r="N1986">
        <v>36.03</v>
      </c>
      <c r="O1986">
        <v>37.14</v>
      </c>
      <c r="P1986">
        <v>50.92</v>
      </c>
      <c r="Q1986">
        <v>246056528</v>
      </c>
      <c r="R1986">
        <v>1.23</v>
      </c>
      <c r="S1986" t="s">
        <v>699</v>
      </c>
      <c r="T1986" t="s">
        <v>87</v>
      </c>
      <c r="U1986">
        <v>4.55</v>
      </c>
      <c r="V1986">
        <v>36.89</v>
      </c>
      <c r="W1986">
        <v>35703</v>
      </c>
      <c r="X1986">
        <v>30998</v>
      </c>
      <c r="Y1986">
        <v>1.15</v>
      </c>
      <c r="Z1986">
        <v>63</v>
      </c>
      <c r="AA1986">
        <v>7</v>
      </c>
      <c r="AB1986" t="s">
        <v>32</v>
      </c>
      <c r="AC1986">
        <v>0.98</v>
      </c>
    </row>
    <row r="1987" spans="1:29">
      <c r="A1987" t="str">
        <f>"300624"</f>
        <v>300624</v>
      </c>
      <c r="B1987" t="s">
        <v>2156</v>
      </c>
      <c r="C1987">
        <v>1.82</v>
      </c>
      <c r="D1987">
        <v>83.88</v>
      </c>
      <c r="E1987">
        <v>1.5</v>
      </c>
      <c r="F1987">
        <v>83.87</v>
      </c>
      <c r="G1987">
        <v>83.88</v>
      </c>
      <c r="H1987">
        <v>18780</v>
      </c>
      <c r="I1987">
        <v>531</v>
      </c>
      <c r="J1987">
        <v>0</v>
      </c>
      <c r="K1987">
        <v>9.39</v>
      </c>
      <c r="L1987">
        <v>82.8</v>
      </c>
      <c r="M1987">
        <v>84.78</v>
      </c>
      <c r="N1987">
        <v>82.48</v>
      </c>
      <c r="O1987">
        <v>82.38</v>
      </c>
      <c r="P1987">
        <v>71.44</v>
      </c>
      <c r="Q1987">
        <v>157226592</v>
      </c>
      <c r="R1987">
        <v>0.94</v>
      </c>
      <c r="S1987" t="s">
        <v>270</v>
      </c>
      <c r="T1987" t="s">
        <v>432</v>
      </c>
      <c r="U1987">
        <v>2.79</v>
      </c>
      <c r="V1987">
        <v>83.72</v>
      </c>
      <c r="W1987">
        <v>7950</v>
      </c>
      <c r="X1987">
        <v>10830</v>
      </c>
      <c r="Y1987">
        <v>0.73</v>
      </c>
      <c r="Z1987">
        <v>12</v>
      </c>
      <c r="AA1987">
        <v>13</v>
      </c>
      <c r="AB1987" t="s">
        <v>32</v>
      </c>
      <c r="AC1987">
        <v>0.2</v>
      </c>
    </row>
    <row r="1988" spans="1:29">
      <c r="A1988" t="str">
        <f>"300625"</f>
        <v>300625</v>
      </c>
      <c r="B1988" t="s">
        <v>2157</v>
      </c>
      <c r="C1988">
        <v>2.08</v>
      </c>
      <c r="D1988">
        <v>20.14</v>
      </c>
      <c r="E1988">
        <v>0.41</v>
      </c>
      <c r="F1988">
        <v>20.14</v>
      </c>
      <c r="G1988">
        <v>20.15</v>
      </c>
      <c r="H1988">
        <v>17396</v>
      </c>
      <c r="I1988">
        <v>285</v>
      </c>
      <c r="J1988">
        <v>0</v>
      </c>
      <c r="K1988">
        <v>1.91</v>
      </c>
      <c r="L1988">
        <v>19.76</v>
      </c>
      <c r="M1988">
        <v>20.25</v>
      </c>
      <c r="N1988">
        <v>19.72</v>
      </c>
      <c r="O1988">
        <v>19.73</v>
      </c>
      <c r="P1988">
        <v>38.69</v>
      </c>
      <c r="Q1988">
        <v>34793048</v>
      </c>
      <c r="R1988">
        <v>1.91</v>
      </c>
      <c r="S1988" t="s">
        <v>699</v>
      </c>
      <c r="T1988" t="s">
        <v>136</v>
      </c>
      <c r="U1988">
        <v>2.69</v>
      </c>
      <c r="V1988">
        <v>20</v>
      </c>
      <c r="W1988">
        <v>8335</v>
      </c>
      <c r="X1988">
        <v>9061</v>
      </c>
      <c r="Y1988">
        <v>0.92</v>
      </c>
      <c r="Z1988">
        <v>213</v>
      </c>
      <c r="AA1988">
        <v>67</v>
      </c>
      <c r="AB1988" t="s">
        <v>32</v>
      </c>
      <c r="AC1988">
        <v>0.91</v>
      </c>
    </row>
    <row r="1989" spans="1:29">
      <c r="A1989" t="str">
        <f>"300626"</f>
        <v>300626</v>
      </c>
      <c r="B1989" t="s">
        <v>2158</v>
      </c>
      <c r="C1989">
        <v>-0.4</v>
      </c>
      <c r="D1989">
        <v>9.92</v>
      </c>
      <c r="E1989">
        <v>-0.04</v>
      </c>
      <c r="F1989">
        <v>9.92</v>
      </c>
      <c r="G1989">
        <v>9.93</v>
      </c>
      <c r="H1989">
        <v>22128</v>
      </c>
      <c r="I1989">
        <v>641</v>
      </c>
      <c r="J1989">
        <v>-0.19</v>
      </c>
      <c r="K1989">
        <v>2.36</v>
      </c>
      <c r="L1989">
        <v>10</v>
      </c>
      <c r="M1989">
        <v>10.03</v>
      </c>
      <c r="N1989">
        <v>9.5</v>
      </c>
      <c r="O1989">
        <v>9.96</v>
      </c>
      <c r="P1989">
        <v>41.44</v>
      </c>
      <c r="Q1989">
        <v>21809110</v>
      </c>
      <c r="R1989">
        <v>0.95</v>
      </c>
      <c r="S1989" t="s">
        <v>104</v>
      </c>
      <c r="T1989" t="s">
        <v>149</v>
      </c>
      <c r="U1989">
        <v>5.32</v>
      </c>
      <c r="V1989">
        <v>9.86</v>
      </c>
      <c r="W1989">
        <v>11479</v>
      </c>
      <c r="X1989">
        <v>10649</v>
      </c>
      <c r="Y1989">
        <v>1.08</v>
      </c>
      <c r="Z1989">
        <v>147</v>
      </c>
      <c r="AA1989">
        <v>52</v>
      </c>
      <c r="AB1989" t="s">
        <v>32</v>
      </c>
      <c r="AC1989">
        <v>0.94</v>
      </c>
    </row>
    <row r="1990" spans="1:29">
      <c r="A1990" t="str">
        <f>"300627"</f>
        <v>300627</v>
      </c>
      <c r="B1990" t="s">
        <v>2159</v>
      </c>
      <c r="C1990">
        <v>2.29</v>
      </c>
      <c r="D1990">
        <v>24.6</v>
      </c>
      <c r="E1990">
        <v>0.55</v>
      </c>
      <c r="F1990">
        <v>24.59</v>
      </c>
      <c r="G1990">
        <v>24.6</v>
      </c>
      <c r="H1990">
        <v>36268</v>
      </c>
      <c r="I1990">
        <v>661</v>
      </c>
      <c r="J1990">
        <v>0</v>
      </c>
      <c r="K1990">
        <v>3.6</v>
      </c>
      <c r="L1990">
        <v>24</v>
      </c>
      <c r="M1990">
        <v>24.63</v>
      </c>
      <c r="N1990">
        <v>23.7</v>
      </c>
      <c r="O1990">
        <v>24.05</v>
      </c>
      <c r="P1990">
        <v>129.3</v>
      </c>
      <c r="Q1990">
        <v>87870936</v>
      </c>
      <c r="R1990">
        <v>1.78</v>
      </c>
      <c r="S1990" t="s">
        <v>119</v>
      </c>
      <c r="T1990" t="s">
        <v>366</v>
      </c>
      <c r="U1990">
        <v>3.87</v>
      </c>
      <c r="V1990">
        <v>24.23</v>
      </c>
      <c r="W1990">
        <v>18022</v>
      </c>
      <c r="X1990">
        <v>18245</v>
      </c>
      <c r="Y1990">
        <v>0.99</v>
      </c>
      <c r="Z1990">
        <v>2</v>
      </c>
      <c r="AA1990">
        <v>314</v>
      </c>
      <c r="AB1990" t="s">
        <v>32</v>
      </c>
      <c r="AC1990">
        <v>1.01</v>
      </c>
    </row>
    <row r="1991" spans="1:29">
      <c r="A1991" t="str">
        <f>"300628"</f>
        <v>300628</v>
      </c>
      <c r="B1991" t="s">
        <v>2160</v>
      </c>
      <c r="C1991">
        <v>-2.17</v>
      </c>
      <c r="D1991">
        <v>70.02</v>
      </c>
      <c r="E1991">
        <v>-1.55</v>
      </c>
      <c r="F1991">
        <v>70.02</v>
      </c>
      <c r="G1991">
        <v>70.1</v>
      </c>
      <c r="H1991">
        <v>20037</v>
      </c>
      <c r="I1991">
        <v>239</v>
      </c>
      <c r="J1991">
        <v>-0.18</v>
      </c>
      <c r="K1991">
        <v>2.68</v>
      </c>
      <c r="L1991">
        <v>71</v>
      </c>
      <c r="M1991">
        <v>71.48</v>
      </c>
      <c r="N1991">
        <v>69.55</v>
      </c>
      <c r="O1991">
        <v>71.57</v>
      </c>
      <c r="P1991">
        <v>26.63</v>
      </c>
      <c r="Q1991">
        <v>140697024</v>
      </c>
      <c r="R1991">
        <v>1.11</v>
      </c>
      <c r="S1991" t="s">
        <v>119</v>
      </c>
      <c r="T1991" t="s">
        <v>236</v>
      </c>
      <c r="U1991">
        <v>2.7</v>
      </c>
      <c r="V1991">
        <v>70.22</v>
      </c>
      <c r="W1991">
        <v>11362</v>
      </c>
      <c r="X1991">
        <v>8674</v>
      </c>
      <c r="Y1991">
        <v>1.31</v>
      </c>
      <c r="Z1991">
        <v>104</v>
      </c>
      <c r="AA1991">
        <v>13</v>
      </c>
      <c r="AB1991" t="s">
        <v>32</v>
      </c>
      <c r="AC1991">
        <v>0.75</v>
      </c>
    </row>
    <row r="1992" spans="1:29">
      <c r="A1992" t="str">
        <f>"300629"</f>
        <v>300629</v>
      </c>
      <c r="B1992" t="s">
        <v>2161</v>
      </c>
      <c r="C1992">
        <v>3.03</v>
      </c>
      <c r="D1992">
        <v>24.48</v>
      </c>
      <c r="E1992">
        <v>0.72</v>
      </c>
      <c r="F1992">
        <v>24.48</v>
      </c>
      <c r="G1992">
        <v>24.49</v>
      </c>
      <c r="H1992">
        <v>51816</v>
      </c>
      <c r="I1992">
        <v>795</v>
      </c>
      <c r="J1992">
        <v>0.74</v>
      </c>
      <c r="K1992">
        <v>11.98</v>
      </c>
      <c r="L1992">
        <v>25.16</v>
      </c>
      <c r="M1992">
        <v>26.14</v>
      </c>
      <c r="N1992">
        <v>24.22</v>
      </c>
      <c r="O1992">
        <v>23.76</v>
      </c>
      <c r="P1992">
        <v>221.66</v>
      </c>
      <c r="Q1992">
        <v>130314528</v>
      </c>
      <c r="R1992">
        <v>5.4</v>
      </c>
      <c r="S1992" t="s">
        <v>227</v>
      </c>
      <c r="T1992" t="s">
        <v>136</v>
      </c>
      <c r="U1992">
        <v>8.08</v>
      </c>
      <c r="V1992">
        <v>25.15</v>
      </c>
      <c r="W1992">
        <v>27827</v>
      </c>
      <c r="X1992">
        <v>23989</v>
      </c>
      <c r="Y1992">
        <v>1.16</v>
      </c>
      <c r="Z1992">
        <v>114</v>
      </c>
      <c r="AA1992">
        <v>70</v>
      </c>
      <c r="AB1992" t="s">
        <v>32</v>
      </c>
      <c r="AC1992">
        <v>0.43</v>
      </c>
    </row>
    <row r="1993" spans="1:29">
      <c r="A1993" t="str">
        <f>"300630"</f>
        <v>300630</v>
      </c>
      <c r="B1993" t="s">
        <v>2162</v>
      </c>
      <c r="C1993">
        <v>-1.28</v>
      </c>
      <c r="D1993">
        <v>68.5</v>
      </c>
      <c r="E1993">
        <v>-0.89</v>
      </c>
      <c r="F1993">
        <v>68.49</v>
      </c>
      <c r="G1993">
        <v>68.5</v>
      </c>
      <c r="H1993">
        <v>27687</v>
      </c>
      <c r="I1993">
        <v>201</v>
      </c>
      <c r="J1993">
        <v>0.66</v>
      </c>
      <c r="K1993">
        <v>2.8</v>
      </c>
      <c r="L1993">
        <v>65.77</v>
      </c>
      <c r="M1993">
        <v>69.99</v>
      </c>
      <c r="N1993">
        <v>62.5</v>
      </c>
      <c r="O1993">
        <v>69.39</v>
      </c>
      <c r="P1993">
        <v>100.86</v>
      </c>
      <c r="Q1993">
        <v>183423664</v>
      </c>
      <c r="R1993">
        <v>1.65</v>
      </c>
      <c r="S1993" t="s">
        <v>142</v>
      </c>
      <c r="T1993" t="s">
        <v>209</v>
      </c>
      <c r="U1993">
        <v>10.79</v>
      </c>
      <c r="V1993">
        <v>66.25</v>
      </c>
      <c r="W1993">
        <v>14382</v>
      </c>
      <c r="X1993">
        <v>13305</v>
      </c>
      <c r="Y1993">
        <v>1.08</v>
      </c>
      <c r="Z1993">
        <v>27</v>
      </c>
      <c r="AA1993">
        <v>13</v>
      </c>
      <c r="AB1993" t="s">
        <v>32</v>
      </c>
      <c r="AC1993">
        <v>0.99</v>
      </c>
    </row>
    <row r="1994" spans="1:29">
      <c r="A1994" t="str">
        <f>"300631"</f>
        <v>300631</v>
      </c>
      <c r="B1994" t="s">
        <v>2163</v>
      </c>
      <c r="C1994">
        <v>1.29</v>
      </c>
      <c r="D1994">
        <v>22.75</v>
      </c>
      <c r="E1994">
        <v>0.29</v>
      </c>
      <c r="F1994">
        <v>22.75</v>
      </c>
      <c r="G1994">
        <v>22.76</v>
      </c>
      <c r="H1994">
        <v>11595</v>
      </c>
      <c r="I1994">
        <v>151</v>
      </c>
      <c r="J1994">
        <v>0.13</v>
      </c>
      <c r="K1994">
        <v>1.64</v>
      </c>
      <c r="L1994">
        <v>22.46</v>
      </c>
      <c r="M1994">
        <v>22.84</v>
      </c>
      <c r="N1994">
        <v>22.35</v>
      </c>
      <c r="O1994">
        <v>22.46</v>
      </c>
      <c r="P1994">
        <v>189.44</v>
      </c>
      <c r="Q1994">
        <v>26296240</v>
      </c>
      <c r="R1994">
        <v>1.07</v>
      </c>
      <c r="S1994" t="s">
        <v>86</v>
      </c>
      <c r="T1994" t="s">
        <v>87</v>
      </c>
      <c r="U1994">
        <v>2.18</v>
      </c>
      <c r="V1994">
        <v>22.68</v>
      </c>
      <c r="W1994">
        <v>5300</v>
      </c>
      <c r="X1994">
        <v>6295</v>
      </c>
      <c r="Y1994">
        <v>0.84</v>
      </c>
      <c r="Z1994">
        <v>36</v>
      </c>
      <c r="AA1994">
        <v>36</v>
      </c>
      <c r="AB1994" t="s">
        <v>32</v>
      </c>
      <c r="AC1994">
        <v>0.71</v>
      </c>
    </row>
    <row r="1995" spans="1:29">
      <c r="A1995" t="str">
        <f>"300632"</f>
        <v>300632</v>
      </c>
      <c r="B1995" t="s">
        <v>2164</v>
      </c>
      <c r="C1995">
        <v>0.5</v>
      </c>
      <c r="D1995">
        <v>14.11</v>
      </c>
      <c r="E1995">
        <v>0.07</v>
      </c>
      <c r="F1995">
        <v>14.11</v>
      </c>
      <c r="G1995">
        <v>14.12</v>
      </c>
      <c r="H1995">
        <v>19329</v>
      </c>
      <c r="I1995">
        <v>348</v>
      </c>
      <c r="J1995">
        <v>-0.2</v>
      </c>
      <c r="K1995">
        <v>4</v>
      </c>
      <c r="L1995">
        <v>14.03</v>
      </c>
      <c r="M1995">
        <v>14.22</v>
      </c>
      <c r="N1995">
        <v>13.87</v>
      </c>
      <c r="O1995">
        <v>14.04</v>
      </c>
      <c r="P1995">
        <v>44.62</v>
      </c>
      <c r="Q1995">
        <v>27213898</v>
      </c>
      <c r="R1995">
        <v>1.17</v>
      </c>
      <c r="S1995" t="s">
        <v>699</v>
      </c>
      <c r="T1995" t="s">
        <v>236</v>
      </c>
      <c r="U1995">
        <v>2.49</v>
      </c>
      <c r="V1995">
        <v>14.08</v>
      </c>
      <c r="W1995">
        <v>9856</v>
      </c>
      <c r="X1995">
        <v>9472</v>
      </c>
      <c r="Y1995">
        <v>1.04</v>
      </c>
      <c r="Z1995">
        <v>33</v>
      </c>
      <c r="AA1995">
        <v>68</v>
      </c>
      <c r="AB1995" t="s">
        <v>32</v>
      </c>
      <c r="AC1995">
        <v>0.48</v>
      </c>
    </row>
    <row r="1996" spans="1:29">
      <c r="A1996" t="str">
        <f>"300633"</f>
        <v>300633</v>
      </c>
      <c r="B1996" t="s">
        <v>2165</v>
      </c>
      <c r="C1996">
        <v>-1.26</v>
      </c>
      <c r="D1996">
        <v>35.14</v>
      </c>
      <c r="E1996">
        <v>-0.45</v>
      </c>
      <c r="F1996">
        <v>35.14</v>
      </c>
      <c r="G1996">
        <v>35.15</v>
      </c>
      <c r="H1996">
        <v>18066</v>
      </c>
      <c r="I1996">
        <v>198</v>
      </c>
      <c r="J1996">
        <v>0</v>
      </c>
      <c r="K1996">
        <v>1.49</v>
      </c>
      <c r="L1996">
        <v>35.73</v>
      </c>
      <c r="M1996">
        <v>35.84</v>
      </c>
      <c r="N1996">
        <v>34.62</v>
      </c>
      <c r="O1996">
        <v>35.59</v>
      </c>
      <c r="P1996">
        <v>167.93</v>
      </c>
      <c r="Q1996">
        <v>63618116</v>
      </c>
      <c r="R1996">
        <v>1</v>
      </c>
      <c r="S1996" t="s">
        <v>138</v>
      </c>
      <c r="T1996" t="s">
        <v>31</v>
      </c>
      <c r="U1996">
        <v>3.43</v>
      </c>
      <c r="V1996">
        <v>35.21</v>
      </c>
      <c r="W1996">
        <v>10551</v>
      </c>
      <c r="X1996">
        <v>7515</v>
      </c>
      <c r="Y1996">
        <v>1.4</v>
      </c>
      <c r="Z1996">
        <v>64</v>
      </c>
      <c r="AA1996">
        <v>46</v>
      </c>
      <c r="AB1996" t="s">
        <v>32</v>
      </c>
      <c r="AC1996">
        <v>1.22</v>
      </c>
    </row>
    <row r="1997" spans="1:29">
      <c r="A1997" t="str">
        <f>"300634"</f>
        <v>300634</v>
      </c>
      <c r="B1997" t="s">
        <v>2166</v>
      </c>
      <c r="C1997">
        <v>3.03</v>
      </c>
      <c r="D1997">
        <v>45.55</v>
      </c>
      <c r="E1997">
        <v>1.34</v>
      </c>
      <c r="F1997">
        <v>45.55</v>
      </c>
      <c r="G1997">
        <v>45.56</v>
      </c>
      <c r="H1997">
        <v>70211</v>
      </c>
      <c r="I1997">
        <v>1988</v>
      </c>
      <c r="J1997">
        <v>0.77</v>
      </c>
      <c r="K1997">
        <v>17.55</v>
      </c>
      <c r="L1997">
        <v>43.7</v>
      </c>
      <c r="M1997">
        <v>45.55</v>
      </c>
      <c r="N1997">
        <v>43.7</v>
      </c>
      <c r="O1997">
        <v>44.21</v>
      </c>
      <c r="P1997">
        <v>198.99</v>
      </c>
      <c r="Q1997">
        <v>313484160</v>
      </c>
      <c r="R1997">
        <v>0.87</v>
      </c>
      <c r="S1997" t="s">
        <v>270</v>
      </c>
      <c r="T1997" t="s">
        <v>31</v>
      </c>
      <c r="U1997">
        <v>4.18</v>
      </c>
      <c r="V1997">
        <v>44.65</v>
      </c>
      <c r="W1997">
        <v>34450</v>
      </c>
      <c r="X1997">
        <v>35760</v>
      </c>
      <c r="Y1997">
        <v>0.96</v>
      </c>
      <c r="Z1997">
        <v>750</v>
      </c>
      <c r="AA1997">
        <v>5</v>
      </c>
      <c r="AB1997" t="s">
        <v>32</v>
      </c>
      <c r="AC1997">
        <v>0.4</v>
      </c>
    </row>
    <row r="1998" spans="1:29">
      <c r="A1998" t="str">
        <f>"300635"</f>
        <v>300635</v>
      </c>
      <c r="B1998" t="s">
        <v>2167</v>
      </c>
      <c r="C1998">
        <v>2.9</v>
      </c>
      <c r="D1998">
        <v>15.26</v>
      </c>
      <c r="E1998">
        <v>0.43</v>
      </c>
      <c r="F1998">
        <v>15.25</v>
      </c>
      <c r="G1998">
        <v>15.26</v>
      </c>
      <c r="H1998">
        <v>21489</v>
      </c>
      <c r="I1998">
        <v>366</v>
      </c>
      <c r="J1998">
        <v>-0.06</v>
      </c>
      <c r="K1998">
        <v>5.36</v>
      </c>
      <c r="L1998">
        <v>14.8</v>
      </c>
      <c r="M1998">
        <v>15.5</v>
      </c>
      <c r="N1998">
        <v>14.7</v>
      </c>
      <c r="O1998">
        <v>14.83</v>
      </c>
      <c r="P1998">
        <v>41.42</v>
      </c>
      <c r="Q1998">
        <v>32739624</v>
      </c>
      <c r="R1998">
        <v>2.13</v>
      </c>
      <c r="S1998" t="s">
        <v>49</v>
      </c>
      <c r="T1998" t="s">
        <v>136</v>
      </c>
      <c r="U1998">
        <v>5.39</v>
      </c>
      <c r="V1998">
        <v>15.24</v>
      </c>
      <c r="W1998">
        <v>9367</v>
      </c>
      <c r="X1998">
        <v>12121</v>
      </c>
      <c r="Y1998">
        <v>0.77</v>
      </c>
      <c r="Z1998">
        <v>162</v>
      </c>
      <c r="AA1998">
        <v>10</v>
      </c>
      <c r="AB1998" t="s">
        <v>32</v>
      </c>
      <c r="AC1998">
        <v>0.4</v>
      </c>
    </row>
    <row r="1999" spans="1:29">
      <c r="A1999" t="str">
        <f>"300636"</f>
        <v>300636</v>
      </c>
      <c r="B1999" t="s">
        <v>2168</v>
      </c>
      <c r="C1999">
        <v>0.39</v>
      </c>
      <c r="D1999">
        <v>23.1</v>
      </c>
      <c r="E1999">
        <v>0.09</v>
      </c>
      <c r="F1999">
        <v>23.1</v>
      </c>
      <c r="G1999">
        <v>23.11</v>
      </c>
      <c r="H1999">
        <v>9452</v>
      </c>
      <c r="I1999">
        <v>173</v>
      </c>
      <c r="J1999">
        <v>0.17</v>
      </c>
      <c r="K1999">
        <v>2.26</v>
      </c>
      <c r="L1999">
        <v>22.8</v>
      </c>
      <c r="M1999">
        <v>23.17</v>
      </c>
      <c r="N1999">
        <v>22.72</v>
      </c>
      <c r="O1999">
        <v>23.01</v>
      </c>
      <c r="P1999">
        <v>77.29</v>
      </c>
      <c r="Q1999">
        <v>21756640</v>
      </c>
      <c r="R1999">
        <v>1.23</v>
      </c>
      <c r="S1999" t="s">
        <v>142</v>
      </c>
      <c r="T1999" t="s">
        <v>172</v>
      </c>
      <c r="U1999">
        <v>1.96</v>
      </c>
      <c r="V1999">
        <v>23.02</v>
      </c>
      <c r="W1999">
        <v>5037</v>
      </c>
      <c r="X1999">
        <v>4415</v>
      </c>
      <c r="Y1999">
        <v>1.14</v>
      </c>
      <c r="Z1999">
        <v>43</v>
      </c>
      <c r="AA1999">
        <v>14</v>
      </c>
      <c r="AB1999" t="s">
        <v>32</v>
      </c>
      <c r="AC1999">
        <v>0.42</v>
      </c>
    </row>
    <row r="2000" spans="1:29">
      <c r="A2000" t="str">
        <f>"300637"</f>
        <v>300637</v>
      </c>
      <c r="B2000" t="s">
        <v>2169</v>
      </c>
      <c r="C2000">
        <v>-4.32</v>
      </c>
      <c r="D2000">
        <v>31</v>
      </c>
      <c r="E2000">
        <v>-1.4</v>
      </c>
      <c r="F2000">
        <v>31</v>
      </c>
      <c r="G2000">
        <v>31.01</v>
      </c>
      <c r="H2000">
        <v>56654</v>
      </c>
      <c r="I2000">
        <v>804</v>
      </c>
      <c r="J2000">
        <v>0.36</v>
      </c>
      <c r="K2000">
        <v>8.82</v>
      </c>
      <c r="L2000">
        <v>32.08</v>
      </c>
      <c r="M2000">
        <v>32.24</v>
      </c>
      <c r="N2000">
        <v>30.12</v>
      </c>
      <c r="O2000">
        <v>32.4</v>
      </c>
      <c r="P2000">
        <v>35.87</v>
      </c>
      <c r="Q2000">
        <v>175080480</v>
      </c>
      <c r="R2000">
        <v>1.2</v>
      </c>
      <c r="S2000" t="s">
        <v>218</v>
      </c>
      <c r="T2000" t="s">
        <v>149</v>
      </c>
      <c r="U2000">
        <v>6.54</v>
      </c>
      <c r="V2000">
        <v>30.9</v>
      </c>
      <c r="W2000">
        <v>32091</v>
      </c>
      <c r="X2000">
        <v>24563</v>
      </c>
      <c r="Y2000">
        <v>1.31</v>
      </c>
      <c r="Z2000">
        <v>85</v>
      </c>
      <c r="AA2000">
        <v>63</v>
      </c>
      <c r="AB2000" t="s">
        <v>32</v>
      </c>
      <c r="AC2000">
        <v>0.64</v>
      </c>
    </row>
    <row r="2001" spans="1:29">
      <c r="A2001" t="str">
        <f>"300638"</f>
        <v>300638</v>
      </c>
      <c r="B2001" t="s">
        <v>2170</v>
      </c>
      <c r="C2001">
        <v>0.03</v>
      </c>
      <c r="D2001">
        <v>30.34</v>
      </c>
      <c r="E2001">
        <v>0.01</v>
      </c>
      <c r="F2001">
        <v>30.33</v>
      </c>
      <c r="G2001">
        <v>30.34</v>
      </c>
      <c r="H2001">
        <v>22401</v>
      </c>
      <c r="I2001">
        <v>608</v>
      </c>
      <c r="J2001">
        <v>0.1</v>
      </c>
      <c r="K2001">
        <v>5.61</v>
      </c>
      <c r="L2001">
        <v>30.3</v>
      </c>
      <c r="M2001">
        <v>30.75</v>
      </c>
      <c r="N2001">
        <v>30.07</v>
      </c>
      <c r="O2001">
        <v>30.33</v>
      </c>
      <c r="P2001">
        <v>136.43</v>
      </c>
      <c r="Q2001">
        <v>68063808</v>
      </c>
      <c r="R2001">
        <v>0.63</v>
      </c>
      <c r="S2001" t="s">
        <v>119</v>
      </c>
      <c r="T2001" t="s">
        <v>31</v>
      </c>
      <c r="U2001">
        <v>2.24</v>
      </c>
      <c r="V2001">
        <v>30.38</v>
      </c>
      <c r="W2001">
        <v>12532</v>
      </c>
      <c r="X2001">
        <v>9869</v>
      </c>
      <c r="Y2001">
        <v>1.27</v>
      </c>
      <c r="Z2001">
        <v>74</v>
      </c>
      <c r="AA2001">
        <v>977</v>
      </c>
      <c r="AB2001" t="s">
        <v>32</v>
      </c>
      <c r="AC2001">
        <v>0.4</v>
      </c>
    </row>
    <row r="2002" spans="1:29">
      <c r="A2002" t="str">
        <f>"300639"</f>
        <v>300639</v>
      </c>
      <c r="B2002" t="s">
        <v>2171</v>
      </c>
      <c r="C2002">
        <v>0.4</v>
      </c>
      <c r="D2002">
        <v>20.12</v>
      </c>
      <c r="E2002">
        <v>0.08</v>
      </c>
      <c r="F2002">
        <v>20.11</v>
      </c>
      <c r="G2002">
        <v>20.12</v>
      </c>
      <c r="H2002">
        <v>29223</v>
      </c>
      <c r="I2002">
        <v>518</v>
      </c>
      <c r="J2002">
        <v>0.1</v>
      </c>
      <c r="K2002">
        <v>3.25</v>
      </c>
      <c r="L2002">
        <v>20.05</v>
      </c>
      <c r="M2002">
        <v>20.58</v>
      </c>
      <c r="N2002">
        <v>19.6</v>
      </c>
      <c r="O2002">
        <v>20.04</v>
      </c>
      <c r="P2002">
        <v>74.43</v>
      </c>
      <c r="Q2002">
        <v>58732456</v>
      </c>
      <c r="R2002">
        <v>1.21</v>
      </c>
      <c r="S2002" t="s">
        <v>138</v>
      </c>
      <c r="T2002" t="s">
        <v>136</v>
      </c>
      <c r="U2002">
        <v>4.89</v>
      </c>
      <c r="V2002">
        <v>20.1</v>
      </c>
      <c r="W2002">
        <v>15957</v>
      </c>
      <c r="X2002">
        <v>13266</v>
      </c>
      <c r="Y2002">
        <v>1.2</v>
      </c>
      <c r="Z2002">
        <v>85</v>
      </c>
      <c r="AA2002">
        <v>97</v>
      </c>
      <c r="AB2002" t="s">
        <v>32</v>
      </c>
      <c r="AC2002">
        <v>0.9</v>
      </c>
    </row>
    <row r="2003" spans="1:29">
      <c r="A2003" t="str">
        <f>"300640"</f>
        <v>300640</v>
      </c>
      <c r="B2003" t="s">
        <v>2172</v>
      </c>
      <c r="C2003">
        <v>1.19</v>
      </c>
      <c r="D2003">
        <v>13.56</v>
      </c>
      <c r="E2003">
        <v>0.16</v>
      </c>
      <c r="F2003">
        <v>13.56</v>
      </c>
      <c r="G2003">
        <v>13.57</v>
      </c>
      <c r="H2003">
        <v>49623</v>
      </c>
      <c r="I2003">
        <v>1087</v>
      </c>
      <c r="J2003">
        <v>0.52</v>
      </c>
      <c r="K2003">
        <v>9.59</v>
      </c>
      <c r="L2003">
        <v>13.6</v>
      </c>
      <c r="M2003">
        <v>13.7</v>
      </c>
      <c r="N2003">
        <v>13.26</v>
      </c>
      <c r="O2003">
        <v>13.4</v>
      </c>
      <c r="P2003">
        <v>66.23</v>
      </c>
      <c r="Q2003">
        <v>67205784</v>
      </c>
      <c r="R2003">
        <v>0.7</v>
      </c>
      <c r="S2003" t="s">
        <v>57</v>
      </c>
      <c r="T2003" t="s">
        <v>236</v>
      </c>
      <c r="U2003">
        <v>3.28</v>
      </c>
      <c r="V2003">
        <v>13.54</v>
      </c>
      <c r="W2003">
        <v>26832</v>
      </c>
      <c r="X2003">
        <v>22790</v>
      </c>
      <c r="Y2003">
        <v>1.18</v>
      </c>
      <c r="Z2003">
        <v>424</v>
      </c>
      <c r="AA2003">
        <v>239</v>
      </c>
      <c r="AB2003" t="s">
        <v>32</v>
      </c>
      <c r="AC2003">
        <v>0.52</v>
      </c>
    </row>
    <row r="2004" spans="1:29">
      <c r="A2004" t="str">
        <f>"300641"</f>
        <v>300641</v>
      </c>
      <c r="B2004" t="s">
        <v>2173</v>
      </c>
      <c r="C2004">
        <v>1.93</v>
      </c>
      <c r="D2004">
        <v>6.35</v>
      </c>
      <c r="E2004">
        <v>0.12</v>
      </c>
      <c r="F2004">
        <v>6.35</v>
      </c>
      <c r="G2004">
        <v>6.36</v>
      </c>
      <c r="H2004">
        <v>22423</v>
      </c>
      <c r="I2004">
        <v>371</v>
      </c>
      <c r="J2004">
        <v>0.32</v>
      </c>
      <c r="K2004">
        <v>1</v>
      </c>
      <c r="L2004">
        <v>6.22</v>
      </c>
      <c r="M2004">
        <v>6.37</v>
      </c>
      <c r="N2004">
        <v>6.22</v>
      </c>
      <c r="O2004">
        <v>6.23</v>
      </c>
      <c r="P2004">
        <v>43.62</v>
      </c>
      <c r="Q2004">
        <v>14187210</v>
      </c>
      <c r="R2004">
        <v>1.1</v>
      </c>
      <c r="S2004" t="s">
        <v>218</v>
      </c>
      <c r="T2004" t="s">
        <v>87</v>
      </c>
      <c r="U2004">
        <v>2.41</v>
      </c>
      <c r="V2004">
        <v>6.33</v>
      </c>
      <c r="W2004">
        <v>10133</v>
      </c>
      <c r="X2004">
        <v>12290</v>
      </c>
      <c r="Y2004">
        <v>0.82</v>
      </c>
      <c r="Z2004">
        <v>1</v>
      </c>
      <c r="AA2004">
        <v>577</v>
      </c>
      <c r="AB2004" t="s">
        <v>32</v>
      </c>
      <c r="AC2004">
        <v>2.23</v>
      </c>
    </row>
    <row r="2005" spans="1:29">
      <c r="A2005" t="str">
        <f>"300642"</f>
        <v>300642</v>
      </c>
      <c r="B2005" t="s">
        <v>2174</v>
      </c>
      <c r="C2005">
        <v>2.06</v>
      </c>
      <c r="D2005">
        <v>52.09</v>
      </c>
      <c r="E2005">
        <v>1.05</v>
      </c>
      <c r="F2005">
        <v>52.07</v>
      </c>
      <c r="G2005">
        <v>52.09</v>
      </c>
      <c r="H2005">
        <v>11996</v>
      </c>
      <c r="I2005">
        <v>77</v>
      </c>
      <c r="J2005">
        <v>0.08</v>
      </c>
      <c r="K2005">
        <v>2.25</v>
      </c>
      <c r="L2005">
        <v>51</v>
      </c>
      <c r="M2005">
        <v>52.18</v>
      </c>
      <c r="N2005">
        <v>50.11</v>
      </c>
      <c r="O2005">
        <v>51.04</v>
      </c>
      <c r="P2005">
        <v>91.5</v>
      </c>
      <c r="Q2005">
        <v>61535568</v>
      </c>
      <c r="R2005">
        <v>1.35</v>
      </c>
      <c r="S2005" t="s">
        <v>138</v>
      </c>
      <c r="T2005" t="s">
        <v>366</v>
      </c>
      <c r="U2005">
        <v>4.06</v>
      </c>
      <c r="V2005">
        <v>51.3</v>
      </c>
      <c r="W2005">
        <v>6226</v>
      </c>
      <c r="X2005">
        <v>5769</v>
      </c>
      <c r="Y2005">
        <v>1.08</v>
      </c>
      <c r="Z2005">
        <v>8</v>
      </c>
      <c r="AA2005">
        <v>9</v>
      </c>
      <c r="AB2005" t="s">
        <v>32</v>
      </c>
      <c r="AC2005">
        <v>0.53</v>
      </c>
    </row>
    <row r="2006" spans="1:29">
      <c r="A2006" t="str">
        <f>"300643"</f>
        <v>300643</v>
      </c>
      <c r="B2006" t="s">
        <v>2175</v>
      </c>
      <c r="C2006">
        <v>1.33</v>
      </c>
      <c r="D2006">
        <v>11.39</v>
      </c>
      <c r="E2006">
        <v>0.15</v>
      </c>
      <c r="F2006">
        <v>11.39</v>
      </c>
      <c r="G2006">
        <v>11.4</v>
      </c>
      <c r="H2006">
        <v>34884</v>
      </c>
      <c r="I2006">
        <v>723</v>
      </c>
      <c r="J2006">
        <v>0.09</v>
      </c>
      <c r="K2006">
        <v>4.94</v>
      </c>
      <c r="L2006">
        <v>11.3</v>
      </c>
      <c r="M2006">
        <v>11.45</v>
      </c>
      <c r="N2006">
        <v>11.14</v>
      </c>
      <c r="O2006">
        <v>11.24</v>
      </c>
      <c r="P2006">
        <v>1252.47</v>
      </c>
      <c r="Q2006">
        <v>39601076</v>
      </c>
      <c r="R2006">
        <v>0.88</v>
      </c>
      <c r="S2006" t="s">
        <v>80</v>
      </c>
      <c r="T2006" t="s">
        <v>149</v>
      </c>
      <c r="U2006">
        <v>2.76</v>
      </c>
      <c r="V2006">
        <v>11.35</v>
      </c>
      <c r="W2006">
        <v>17381</v>
      </c>
      <c r="X2006">
        <v>17503</v>
      </c>
      <c r="Y2006">
        <v>0.99</v>
      </c>
      <c r="Z2006">
        <v>302</v>
      </c>
      <c r="AA2006">
        <v>309</v>
      </c>
      <c r="AB2006" t="s">
        <v>32</v>
      </c>
      <c r="AC2006">
        <v>0.71</v>
      </c>
    </row>
    <row r="2007" spans="1:29">
      <c r="A2007" t="str">
        <f>"300644"</f>
        <v>300644</v>
      </c>
      <c r="B2007" t="s">
        <v>2176</v>
      </c>
      <c r="C2007">
        <v>1.51</v>
      </c>
      <c r="D2007">
        <v>48.35</v>
      </c>
      <c r="E2007">
        <v>0.72</v>
      </c>
      <c r="F2007">
        <v>48.35</v>
      </c>
      <c r="G2007">
        <v>48.36</v>
      </c>
      <c r="H2007">
        <v>18584</v>
      </c>
      <c r="I2007">
        <v>583</v>
      </c>
      <c r="J2007">
        <v>0.1</v>
      </c>
      <c r="K2007">
        <v>11.61</v>
      </c>
      <c r="L2007">
        <v>48.2</v>
      </c>
      <c r="M2007">
        <v>48.36</v>
      </c>
      <c r="N2007">
        <v>47.5</v>
      </c>
      <c r="O2007">
        <v>47.63</v>
      </c>
      <c r="P2007">
        <v>132.4</v>
      </c>
      <c r="Q2007">
        <v>89295328</v>
      </c>
      <c r="R2007">
        <v>0.63</v>
      </c>
      <c r="S2007" t="s">
        <v>508</v>
      </c>
      <c r="T2007" t="s">
        <v>87</v>
      </c>
      <c r="U2007">
        <v>1.81</v>
      </c>
      <c r="V2007">
        <v>48.05</v>
      </c>
      <c r="W2007">
        <v>9311</v>
      </c>
      <c r="X2007">
        <v>9272</v>
      </c>
      <c r="Y2007">
        <v>1</v>
      </c>
      <c r="Z2007">
        <v>14</v>
      </c>
      <c r="AA2007">
        <v>136</v>
      </c>
      <c r="AB2007" t="s">
        <v>32</v>
      </c>
      <c r="AC2007">
        <v>0.16</v>
      </c>
    </row>
    <row r="2008" spans="1:29">
      <c r="A2008" t="str">
        <f>"300645"</f>
        <v>300645</v>
      </c>
      <c r="B2008" t="s">
        <v>2177</v>
      </c>
      <c r="C2008">
        <v>0.09</v>
      </c>
      <c r="D2008">
        <v>34.04</v>
      </c>
      <c r="E2008">
        <v>0.03</v>
      </c>
      <c r="F2008">
        <v>34.03</v>
      </c>
      <c r="G2008">
        <v>34.04</v>
      </c>
      <c r="H2008">
        <v>8966</v>
      </c>
      <c r="I2008">
        <v>106</v>
      </c>
      <c r="J2008">
        <v>-0.02</v>
      </c>
      <c r="K2008">
        <v>1.97</v>
      </c>
      <c r="L2008">
        <v>33.7</v>
      </c>
      <c r="M2008">
        <v>34.25</v>
      </c>
      <c r="N2008">
        <v>33.3</v>
      </c>
      <c r="O2008">
        <v>34.01</v>
      </c>
      <c r="P2008" t="s">
        <v>32</v>
      </c>
      <c r="Q2008">
        <v>30302318</v>
      </c>
      <c r="R2008">
        <v>0.89</v>
      </c>
      <c r="S2008" t="s">
        <v>270</v>
      </c>
      <c r="T2008" t="s">
        <v>149</v>
      </c>
      <c r="U2008">
        <v>2.79</v>
      </c>
      <c r="V2008">
        <v>33.8</v>
      </c>
      <c r="W2008">
        <v>4684</v>
      </c>
      <c r="X2008">
        <v>4281</v>
      </c>
      <c r="Y2008">
        <v>1.09</v>
      </c>
      <c r="Z2008">
        <v>4</v>
      </c>
      <c r="AA2008">
        <v>126</v>
      </c>
      <c r="AB2008" t="s">
        <v>32</v>
      </c>
      <c r="AC2008">
        <v>0.45</v>
      </c>
    </row>
    <row r="2009" spans="1:29">
      <c r="A2009" t="str">
        <f>"300647"</f>
        <v>300647</v>
      </c>
      <c r="B2009" t="s">
        <v>2178</v>
      </c>
      <c r="C2009">
        <v>-0.26</v>
      </c>
      <c r="D2009">
        <v>22.83</v>
      </c>
      <c r="E2009">
        <v>-0.06</v>
      </c>
      <c r="F2009">
        <v>22.82</v>
      </c>
      <c r="G2009">
        <v>22.83</v>
      </c>
      <c r="H2009">
        <v>114672</v>
      </c>
      <c r="I2009">
        <v>3225</v>
      </c>
      <c r="J2009">
        <v>-0.08</v>
      </c>
      <c r="K2009">
        <v>21.24</v>
      </c>
      <c r="L2009">
        <v>22.62</v>
      </c>
      <c r="M2009">
        <v>23.3</v>
      </c>
      <c r="N2009">
        <v>22.31</v>
      </c>
      <c r="O2009">
        <v>22.89</v>
      </c>
      <c r="P2009">
        <v>219.5</v>
      </c>
      <c r="Q2009">
        <v>261294976</v>
      </c>
      <c r="R2009">
        <v>0.67</v>
      </c>
      <c r="S2009" t="s">
        <v>63</v>
      </c>
      <c r="T2009" t="s">
        <v>31</v>
      </c>
      <c r="U2009">
        <v>4.33</v>
      </c>
      <c r="V2009">
        <v>22.79</v>
      </c>
      <c r="W2009">
        <v>60817</v>
      </c>
      <c r="X2009">
        <v>53855</v>
      </c>
      <c r="Y2009">
        <v>1.13</v>
      </c>
      <c r="Z2009">
        <v>1520</v>
      </c>
      <c r="AA2009">
        <v>110</v>
      </c>
      <c r="AB2009" t="s">
        <v>32</v>
      </c>
      <c r="AC2009">
        <v>0.54</v>
      </c>
    </row>
    <row r="2010" spans="1:29">
      <c r="A2010" t="str">
        <f>"300648"</f>
        <v>300648</v>
      </c>
      <c r="B2010" t="s">
        <v>2179</v>
      </c>
      <c r="C2010">
        <v>0.86</v>
      </c>
      <c r="D2010">
        <v>27.03</v>
      </c>
      <c r="E2010">
        <v>0.23</v>
      </c>
      <c r="F2010">
        <v>27.03</v>
      </c>
      <c r="G2010">
        <v>27.04</v>
      </c>
      <c r="H2010">
        <v>46361</v>
      </c>
      <c r="I2010">
        <v>1005</v>
      </c>
      <c r="J2010">
        <v>0.11</v>
      </c>
      <c r="K2010">
        <v>8.66</v>
      </c>
      <c r="L2010">
        <v>26.56</v>
      </c>
      <c r="M2010">
        <v>27.25</v>
      </c>
      <c r="N2010">
        <v>26.3</v>
      </c>
      <c r="O2010">
        <v>26.8</v>
      </c>
      <c r="P2010">
        <v>556.79</v>
      </c>
      <c r="Q2010">
        <v>124606472</v>
      </c>
      <c r="R2010">
        <v>0.66</v>
      </c>
      <c r="S2010" t="s">
        <v>606</v>
      </c>
      <c r="T2010" t="s">
        <v>236</v>
      </c>
      <c r="U2010">
        <v>3.54</v>
      </c>
      <c r="V2010">
        <v>26.88</v>
      </c>
      <c r="W2010">
        <v>23057</v>
      </c>
      <c r="X2010">
        <v>23304</v>
      </c>
      <c r="Y2010">
        <v>0.99</v>
      </c>
      <c r="Z2010">
        <v>527</v>
      </c>
      <c r="AA2010">
        <v>189</v>
      </c>
      <c r="AB2010" t="s">
        <v>32</v>
      </c>
      <c r="AC2010">
        <v>0.54</v>
      </c>
    </row>
    <row r="2011" spans="1:29">
      <c r="A2011" t="str">
        <f>"300649"</f>
        <v>300649</v>
      </c>
      <c r="B2011" t="s">
        <v>2180</v>
      </c>
      <c r="C2011">
        <v>5.32</v>
      </c>
      <c r="D2011">
        <v>30.9</v>
      </c>
      <c r="E2011">
        <v>1.56</v>
      </c>
      <c r="F2011">
        <v>30.9</v>
      </c>
      <c r="G2011">
        <v>30.91</v>
      </c>
      <c r="H2011">
        <v>29600</v>
      </c>
      <c r="I2011">
        <v>528</v>
      </c>
      <c r="J2011">
        <v>0.32</v>
      </c>
      <c r="K2011">
        <v>9.25</v>
      </c>
      <c r="L2011">
        <v>29.34</v>
      </c>
      <c r="M2011">
        <v>31.58</v>
      </c>
      <c r="N2011">
        <v>29.34</v>
      </c>
      <c r="O2011">
        <v>29.34</v>
      </c>
      <c r="P2011">
        <v>63.69</v>
      </c>
      <c r="Q2011">
        <v>90923640</v>
      </c>
      <c r="R2011">
        <v>2.94</v>
      </c>
      <c r="S2011" t="s">
        <v>49</v>
      </c>
      <c r="T2011" t="s">
        <v>149</v>
      </c>
      <c r="U2011">
        <v>7.63</v>
      </c>
      <c r="V2011">
        <v>30.72</v>
      </c>
      <c r="W2011">
        <v>13228</v>
      </c>
      <c r="X2011">
        <v>16371</v>
      </c>
      <c r="Y2011">
        <v>0.81</v>
      </c>
      <c r="Z2011">
        <v>34</v>
      </c>
      <c r="AA2011">
        <v>50</v>
      </c>
      <c r="AB2011" t="s">
        <v>32</v>
      </c>
      <c r="AC2011">
        <v>0.32</v>
      </c>
    </row>
    <row r="2012" spans="1:29">
      <c r="A2012" t="str">
        <f>"300650"</f>
        <v>300650</v>
      </c>
      <c r="B2012" t="s">
        <v>2181</v>
      </c>
      <c r="C2012">
        <v>0.51</v>
      </c>
      <c r="D2012">
        <v>17.83</v>
      </c>
      <c r="E2012">
        <v>0.09</v>
      </c>
      <c r="F2012">
        <v>17.82</v>
      </c>
      <c r="G2012">
        <v>17.83</v>
      </c>
      <c r="H2012">
        <v>11004</v>
      </c>
      <c r="I2012">
        <v>232</v>
      </c>
      <c r="J2012">
        <v>0</v>
      </c>
      <c r="K2012">
        <v>1.48</v>
      </c>
      <c r="L2012">
        <v>17.78</v>
      </c>
      <c r="M2012">
        <v>17.94</v>
      </c>
      <c r="N2012">
        <v>17.6</v>
      </c>
      <c r="O2012">
        <v>17.74</v>
      </c>
      <c r="P2012">
        <v>61.54</v>
      </c>
      <c r="Q2012">
        <v>19635178</v>
      </c>
      <c r="R2012">
        <v>1.15</v>
      </c>
      <c r="S2012" t="s">
        <v>104</v>
      </c>
      <c r="T2012" t="s">
        <v>236</v>
      </c>
      <c r="U2012">
        <v>1.92</v>
      </c>
      <c r="V2012">
        <v>17.84</v>
      </c>
      <c r="W2012">
        <v>5572</v>
      </c>
      <c r="X2012">
        <v>5432</v>
      </c>
      <c r="Y2012">
        <v>1.03</v>
      </c>
      <c r="Z2012">
        <v>161</v>
      </c>
      <c r="AA2012">
        <v>212</v>
      </c>
      <c r="AB2012" t="s">
        <v>32</v>
      </c>
      <c r="AC2012">
        <v>0.74</v>
      </c>
    </row>
    <row r="2013" spans="1:29">
      <c r="A2013" t="str">
        <f>"300651"</f>
        <v>300651</v>
      </c>
      <c r="B2013" t="s">
        <v>2182</v>
      </c>
      <c r="C2013">
        <v>-0.44</v>
      </c>
      <c r="D2013">
        <v>36.59</v>
      </c>
      <c r="E2013">
        <v>-0.16</v>
      </c>
      <c r="F2013">
        <v>36.59</v>
      </c>
      <c r="G2013">
        <v>36.6</v>
      </c>
      <c r="H2013">
        <v>3825</v>
      </c>
      <c r="I2013">
        <v>87</v>
      </c>
      <c r="J2013">
        <v>0.03</v>
      </c>
      <c r="K2013">
        <v>1.54</v>
      </c>
      <c r="L2013">
        <v>36.3</v>
      </c>
      <c r="M2013">
        <v>36.86</v>
      </c>
      <c r="N2013">
        <v>36</v>
      </c>
      <c r="O2013">
        <v>36.75</v>
      </c>
      <c r="P2013">
        <v>330.03</v>
      </c>
      <c r="Q2013">
        <v>13953721</v>
      </c>
      <c r="R2013">
        <v>0.94</v>
      </c>
      <c r="S2013" t="s">
        <v>57</v>
      </c>
      <c r="T2013" t="s">
        <v>87</v>
      </c>
      <c r="U2013">
        <v>2.34</v>
      </c>
      <c r="V2013">
        <v>36.48</v>
      </c>
      <c r="W2013">
        <v>1641</v>
      </c>
      <c r="X2013">
        <v>2184</v>
      </c>
      <c r="Y2013">
        <v>0.75</v>
      </c>
      <c r="Z2013">
        <v>50</v>
      </c>
      <c r="AA2013">
        <v>77</v>
      </c>
      <c r="AB2013" t="s">
        <v>32</v>
      </c>
      <c r="AC2013">
        <v>0.25</v>
      </c>
    </row>
    <row r="2014" spans="1:29">
      <c r="A2014" t="str">
        <f>"300652"</f>
        <v>300652</v>
      </c>
      <c r="B2014" t="s">
        <v>2183</v>
      </c>
      <c r="C2014">
        <v>0.6</v>
      </c>
      <c r="D2014">
        <v>21.94</v>
      </c>
      <c r="E2014">
        <v>0.13</v>
      </c>
      <c r="F2014">
        <v>21.93</v>
      </c>
      <c r="G2014">
        <v>21.94</v>
      </c>
      <c r="H2014">
        <v>10559</v>
      </c>
      <c r="I2014">
        <v>125</v>
      </c>
      <c r="J2014">
        <v>0.41</v>
      </c>
      <c r="K2014">
        <v>3.58</v>
      </c>
      <c r="L2014">
        <v>21.8</v>
      </c>
      <c r="M2014">
        <v>22.13</v>
      </c>
      <c r="N2014">
        <v>21.66</v>
      </c>
      <c r="O2014">
        <v>21.81</v>
      </c>
      <c r="P2014">
        <v>35.81</v>
      </c>
      <c r="Q2014">
        <v>23152116</v>
      </c>
      <c r="R2014">
        <v>1.83</v>
      </c>
      <c r="S2014" t="s">
        <v>80</v>
      </c>
      <c r="T2014" t="s">
        <v>149</v>
      </c>
      <c r="U2014">
        <v>2.15</v>
      </c>
      <c r="V2014">
        <v>21.93</v>
      </c>
      <c r="W2014">
        <v>6021</v>
      </c>
      <c r="X2014">
        <v>4538</v>
      </c>
      <c r="Y2014">
        <v>1.33</v>
      </c>
      <c r="Z2014">
        <v>100</v>
      </c>
      <c r="AA2014">
        <v>234</v>
      </c>
      <c r="AB2014" t="s">
        <v>32</v>
      </c>
      <c r="AC2014">
        <v>0.3</v>
      </c>
    </row>
    <row r="2015" spans="1:29">
      <c r="A2015" t="str">
        <f>"300653"</f>
        <v>300653</v>
      </c>
      <c r="B2015" t="s">
        <v>2184</v>
      </c>
      <c r="C2015">
        <v>3.3</v>
      </c>
      <c r="D2015">
        <v>65.78</v>
      </c>
      <c r="E2015">
        <v>2.1</v>
      </c>
      <c r="F2015">
        <v>65.78</v>
      </c>
      <c r="G2015">
        <v>65.79</v>
      </c>
      <c r="H2015">
        <v>16698</v>
      </c>
      <c r="I2015">
        <v>255</v>
      </c>
      <c r="J2015">
        <v>-0.01</v>
      </c>
      <c r="K2015">
        <v>3.86</v>
      </c>
      <c r="L2015">
        <v>62.99</v>
      </c>
      <c r="M2015">
        <v>66.88</v>
      </c>
      <c r="N2015">
        <v>62.51</v>
      </c>
      <c r="O2015">
        <v>63.68</v>
      </c>
      <c r="P2015">
        <v>60.12</v>
      </c>
      <c r="Q2015">
        <v>109417944</v>
      </c>
      <c r="R2015">
        <v>0.79</v>
      </c>
      <c r="S2015" t="s">
        <v>138</v>
      </c>
      <c r="T2015" t="s">
        <v>162</v>
      </c>
      <c r="U2015">
        <v>6.86</v>
      </c>
      <c r="V2015">
        <v>65.53</v>
      </c>
      <c r="W2015">
        <v>7040</v>
      </c>
      <c r="X2015">
        <v>9658</v>
      </c>
      <c r="Y2015">
        <v>0.73</v>
      </c>
      <c r="Z2015">
        <v>69</v>
      </c>
      <c r="AA2015">
        <v>52</v>
      </c>
      <c r="AB2015" t="s">
        <v>32</v>
      </c>
      <c r="AC2015">
        <v>0.43</v>
      </c>
    </row>
    <row r="2016" spans="1:29">
      <c r="A2016" t="str">
        <f>"300654"</f>
        <v>300654</v>
      </c>
      <c r="B2016" t="s">
        <v>2185</v>
      </c>
      <c r="C2016">
        <v>-0.06</v>
      </c>
      <c r="D2016">
        <v>15.54</v>
      </c>
      <c r="E2016">
        <v>-0.01</v>
      </c>
      <c r="F2016">
        <v>15.54</v>
      </c>
      <c r="G2016">
        <v>15.56</v>
      </c>
      <c r="H2016">
        <v>32496</v>
      </c>
      <c r="I2016">
        <v>765</v>
      </c>
      <c r="J2016">
        <v>0.06</v>
      </c>
      <c r="K2016">
        <v>9.28</v>
      </c>
      <c r="L2016">
        <v>15.53</v>
      </c>
      <c r="M2016">
        <v>15.87</v>
      </c>
      <c r="N2016">
        <v>15.46</v>
      </c>
      <c r="O2016">
        <v>15.55</v>
      </c>
      <c r="P2016">
        <v>199.46</v>
      </c>
      <c r="Q2016">
        <v>50702752</v>
      </c>
      <c r="R2016">
        <v>0.78</v>
      </c>
      <c r="S2016" t="s">
        <v>211</v>
      </c>
      <c r="T2016" t="s">
        <v>162</v>
      </c>
      <c r="U2016">
        <v>2.64</v>
      </c>
      <c r="V2016">
        <v>15.6</v>
      </c>
      <c r="W2016">
        <v>18809</v>
      </c>
      <c r="X2016">
        <v>13686</v>
      </c>
      <c r="Y2016">
        <v>1.37</v>
      </c>
      <c r="Z2016">
        <v>333</v>
      </c>
      <c r="AA2016">
        <v>71</v>
      </c>
      <c r="AB2016" t="s">
        <v>32</v>
      </c>
      <c r="AC2016">
        <v>0.35</v>
      </c>
    </row>
    <row r="2017" spans="1:29">
      <c r="A2017" t="str">
        <f>"300655"</f>
        <v>300655</v>
      </c>
      <c r="B2017" t="s">
        <v>2186</v>
      </c>
      <c r="C2017">
        <v>-1.73</v>
      </c>
      <c r="D2017">
        <v>19.31</v>
      </c>
      <c r="E2017">
        <v>-0.34</v>
      </c>
      <c r="F2017">
        <v>19.31</v>
      </c>
      <c r="G2017">
        <v>19.32</v>
      </c>
      <c r="H2017">
        <v>38121</v>
      </c>
      <c r="I2017">
        <v>549</v>
      </c>
      <c r="J2017">
        <v>0.31</v>
      </c>
      <c r="K2017">
        <v>4.53</v>
      </c>
      <c r="L2017">
        <v>19.47</v>
      </c>
      <c r="M2017">
        <v>19.61</v>
      </c>
      <c r="N2017">
        <v>18.9</v>
      </c>
      <c r="O2017">
        <v>19.65</v>
      </c>
      <c r="P2017">
        <v>78.52</v>
      </c>
      <c r="Q2017">
        <v>73308400</v>
      </c>
      <c r="R2017">
        <v>0.75</v>
      </c>
      <c r="S2017" t="s">
        <v>218</v>
      </c>
      <c r="T2017" t="s">
        <v>87</v>
      </c>
      <c r="U2017">
        <v>3.61</v>
      </c>
      <c r="V2017">
        <v>19.23</v>
      </c>
      <c r="W2017">
        <v>21751</v>
      </c>
      <c r="X2017">
        <v>16369</v>
      </c>
      <c r="Y2017">
        <v>1.33</v>
      </c>
      <c r="Z2017">
        <v>112</v>
      </c>
      <c r="AA2017">
        <v>167</v>
      </c>
      <c r="AB2017" t="s">
        <v>32</v>
      </c>
      <c r="AC2017">
        <v>0.84</v>
      </c>
    </row>
    <row r="2018" spans="1:29">
      <c r="A2018" t="str">
        <f>"300656"</f>
        <v>300656</v>
      </c>
      <c r="B2018" t="s">
        <v>2187</v>
      </c>
      <c r="C2018">
        <v>0.11</v>
      </c>
      <c r="D2018">
        <v>26.36</v>
      </c>
      <c r="E2018">
        <v>0.03</v>
      </c>
      <c r="F2018">
        <v>26.35</v>
      </c>
      <c r="G2018">
        <v>26.36</v>
      </c>
      <c r="H2018">
        <v>11641</v>
      </c>
      <c r="I2018">
        <v>187</v>
      </c>
      <c r="J2018">
        <v>0.11</v>
      </c>
      <c r="K2018">
        <v>3.01</v>
      </c>
      <c r="L2018">
        <v>26.59</v>
      </c>
      <c r="M2018">
        <v>26.79</v>
      </c>
      <c r="N2018">
        <v>25.97</v>
      </c>
      <c r="O2018">
        <v>26.33</v>
      </c>
      <c r="P2018">
        <v>71.7</v>
      </c>
      <c r="Q2018">
        <v>30543504</v>
      </c>
      <c r="R2018">
        <v>0.8</v>
      </c>
      <c r="S2018" t="s">
        <v>65</v>
      </c>
      <c r="T2018" t="s">
        <v>31</v>
      </c>
      <c r="U2018">
        <v>3.11</v>
      </c>
      <c r="V2018">
        <v>26.24</v>
      </c>
      <c r="W2018">
        <v>7105</v>
      </c>
      <c r="X2018">
        <v>4536</v>
      </c>
      <c r="Y2018">
        <v>1.57</v>
      </c>
      <c r="Z2018">
        <v>62</v>
      </c>
      <c r="AA2018">
        <v>110</v>
      </c>
      <c r="AB2018" t="s">
        <v>32</v>
      </c>
      <c r="AC2018">
        <v>0.39</v>
      </c>
    </row>
    <row r="2019" spans="1:29">
      <c r="A2019" t="str">
        <f>"300657"</f>
        <v>300657</v>
      </c>
      <c r="B2019" t="s">
        <v>2188</v>
      </c>
      <c r="C2019">
        <v>-1.18</v>
      </c>
      <c r="D2019">
        <v>33.4</v>
      </c>
      <c r="E2019">
        <v>-0.4</v>
      </c>
      <c r="F2019">
        <v>33.39</v>
      </c>
      <c r="G2019">
        <v>33.4</v>
      </c>
      <c r="H2019">
        <v>11207</v>
      </c>
      <c r="I2019">
        <v>245</v>
      </c>
      <c r="J2019">
        <v>0.06</v>
      </c>
      <c r="K2019">
        <v>1.7</v>
      </c>
      <c r="L2019">
        <v>33.68</v>
      </c>
      <c r="M2019">
        <v>34.14</v>
      </c>
      <c r="N2019">
        <v>33.32</v>
      </c>
      <c r="O2019">
        <v>33.8</v>
      </c>
      <c r="P2019" t="s">
        <v>32</v>
      </c>
      <c r="Q2019">
        <v>37682284</v>
      </c>
      <c r="R2019">
        <v>0.9</v>
      </c>
      <c r="S2019" t="s">
        <v>63</v>
      </c>
      <c r="T2019" t="s">
        <v>236</v>
      </c>
      <c r="U2019">
        <v>2.43</v>
      </c>
      <c r="V2019">
        <v>33.62</v>
      </c>
      <c r="W2019">
        <v>5565</v>
      </c>
      <c r="X2019">
        <v>5642</v>
      </c>
      <c r="Y2019">
        <v>0.99</v>
      </c>
      <c r="Z2019">
        <v>7</v>
      </c>
      <c r="AA2019">
        <v>118</v>
      </c>
      <c r="AB2019" t="s">
        <v>32</v>
      </c>
      <c r="AC2019">
        <v>0.66</v>
      </c>
    </row>
    <row r="2020" spans="1:29">
      <c r="A2020" t="str">
        <f>"300658"</f>
        <v>300658</v>
      </c>
      <c r="B2020" t="s">
        <v>2189</v>
      </c>
      <c r="C2020">
        <v>3.46</v>
      </c>
      <c r="D2020">
        <v>16.45</v>
      </c>
      <c r="E2020">
        <v>0.55</v>
      </c>
      <c r="F2020">
        <v>16.45</v>
      </c>
      <c r="G2020">
        <v>16.47</v>
      </c>
      <c r="H2020">
        <v>62477</v>
      </c>
      <c r="I2020">
        <v>3371</v>
      </c>
      <c r="J2020">
        <v>0.86</v>
      </c>
      <c r="K2020">
        <v>14.88</v>
      </c>
      <c r="L2020">
        <v>16</v>
      </c>
      <c r="M2020">
        <v>16.58</v>
      </c>
      <c r="N2020">
        <v>15.85</v>
      </c>
      <c r="O2020">
        <v>15.9</v>
      </c>
      <c r="P2020">
        <v>102.57</v>
      </c>
      <c r="Q2020">
        <v>101276672</v>
      </c>
      <c r="R2020">
        <v>0.94</v>
      </c>
      <c r="S2020" t="s">
        <v>99</v>
      </c>
      <c r="T2020" t="s">
        <v>236</v>
      </c>
      <c r="U2020">
        <v>4.59</v>
      </c>
      <c r="V2020">
        <v>16.21</v>
      </c>
      <c r="W2020">
        <v>31366</v>
      </c>
      <c r="X2020">
        <v>31110</v>
      </c>
      <c r="Y2020">
        <v>1.01</v>
      </c>
      <c r="Z2020">
        <v>651</v>
      </c>
      <c r="AA2020">
        <v>20</v>
      </c>
      <c r="AB2020" t="s">
        <v>32</v>
      </c>
      <c r="AC2020">
        <v>0.42</v>
      </c>
    </row>
    <row r="2021" spans="1:29">
      <c r="A2021" t="str">
        <f>"300659"</f>
        <v>300659</v>
      </c>
      <c r="B2021" t="s">
        <v>2190</v>
      </c>
      <c r="C2021">
        <v>2.28</v>
      </c>
      <c r="D2021">
        <v>21.99</v>
      </c>
      <c r="E2021">
        <v>0.49</v>
      </c>
      <c r="F2021">
        <v>21.99</v>
      </c>
      <c r="G2021">
        <v>22</v>
      </c>
      <c r="H2021">
        <v>13350</v>
      </c>
      <c r="I2021">
        <v>1140</v>
      </c>
      <c r="J2021">
        <v>1.81</v>
      </c>
      <c r="K2021">
        <v>2.1</v>
      </c>
      <c r="L2021">
        <v>21.4</v>
      </c>
      <c r="M2021">
        <v>21.99</v>
      </c>
      <c r="N2021">
        <v>21.13</v>
      </c>
      <c r="O2021">
        <v>21.5</v>
      </c>
      <c r="P2021" t="s">
        <v>32</v>
      </c>
      <c r="Q2021">
        <v>28676510</v>
      </c>
      <c r="R2021">
        <v>0.55</v>
      </c>
      <c r="S2021" t="s">
        <v>270</v>
      </c>
      <c r="T2021" t="s">
        <v>162</v>
      </c>
      <c r="U2021">
        <v>4</v>
      </c>
      <c r="V2021">
        <v>21.48</v>
      </c>
      <c r="W2021">
        <v>6812</v>
      </c>
      <c r="X2021">
        <v>6538</v>
      </c>
      <c r="Y2021">
        <v>1.04</v>
      </c>
      <c r="Z2021">
        <v>676</v>
      </c>
      <c r="AA2021">
        <v>222</v>
      </c>
      <c r="AB2021" t="s">
        <v>32</v>
      </c>
      <c r="AC2021">
        <v>0.64</v>
      </c>
    </row>
    <row r="2022" spans="1:29">
      <c r="A2022" t="str">
        <f>"300660"</f>
        <v>300660</v>
      </c>
      <c r="B2022" t="s">
        <v>2191</v>
      </c>
      <c r="C2022">
        <v>1.66</v>
      </c>
      <c r="D2022">
        <v>25.15</v>
      </c>
      <c r="E2022">
        <v>0.41</v>
      </c>
      <c r="F2022">
        <v>25.14</v>
      </c>
      <c r="G2022">
        <v>25.15</v>
      </c>
      <c r="H2022">
        <v>8043</v>
      </c>
      <c r="I2022">
        <v>138</v>
      </c>
      <c r="J2022">
        <v>0.16</v>
      </c>
      <c r="K2022">
        <v>1.77</v>
      </c>
      <c r="L2022">
        <v>24.81</v>
      </c>
      <c r="M2022">
        <v>25.19</v>
      </c>
      <c r="N2022">
        <v>24.71</v>
      </c>
      <c r="O2022">
        <v>24.74</v>
      </c>
      <c r="P2022">
        <v>23.83</v>
      </c>
      <c r="Q2022">
        <v>20135708</v>
      </c>
      <c r="R2022">
        <v>1.24</v>
      </c>
      <c r="S2022" t="s">
        <v>104</v>
      </c>
      <c r="T2022" t="s">
        <v>87</v>
      </c>
      <c r="U2022">
        <v>1.94</v>
      </c>
      <c r="V2022">
        <v>25.04</v>
      </c>
      <c r="W2022">
        <v>3836</v>
      </c>
      <c r="X2022">
        <v>4206</v>
      </c>
      <c r="Y2022">
        <v>0.91</v>
      </c>
      <c r="Z2022">
        <v>20</v>
      </c>
      <c r="AA2022">
        <v>118</v>
      </c>
      <c r="AB2022" t="s">
        <v>32</v>
      </c>
      <c r="AC2022">
        <v>0.45</v>
      </c>
    </row>
    <row r="2023" spans="1:29">
      <c r="A2023" t="str">
        <f>"300661"</f>
        <v>300661</v>
      </c>
      <c r="B2023" t="s">
        <v>2192</v>
      </c>
      <c r="C2023">
        <v>-0.83</v>
      </c>
      <c r="D2023">
        <v>107.1</v>
      </c>
      <c r="E2023">
        <v>-0.9</v>
      </c>
      <c r="F2023">
        <v>107.1</v>
      </c>
      <c r="G2023">
        <v>107.15</v>
      </c>
      <c r="H2023">
        <v>3381</v>
      </c>
      <c r="I2023">
        <v>120</v>
      </c>
      <c r="J2023">
        <v>-0.04</v>
      </c>
      <c r="K2023">
        <v>0.8</v>
      </c>
      <c r="L2023">
        <v>108</v>
      </c>
      <c r="M2023">
        <v>109.7</v>
      </c>
      <c r="N2023">
        <v>106.61</v>
      </c>
      <c r="O2023">
        <v>108</v>
      </c>
      <c r="P2023">
        <v>121.1</v>
      </c>
      <c r="Q2023">
        <v>36390608</v>
      </c>
      <c r="R2023">
        <v>0.49</v>
      </c>
      <c r="S2023" t="s">
        <v>63</v>
      </c>
      <c r="T2023" t="s">
        <v>45</v>
      </c>
      <c r="U2023">
        <v>2.86</v>
      </c>
      <c r="V2023">
        <v>107.62</v>
      </c>
      <c r="W2023">
        <v>2063</v>
      </c>
      <c r="X2023">
        <v>1318</v>
      </c>
      <c r="Y2023">
        <v>1.57</v>
      </c>
      <c r="Z2023">
        <v>30</v>
      </c>
      <c r="AA2023">
        <v>1</v>
      </c>
      <c r="AB2023" t="s">
        <v>32</v>
      </c>
      <c r="AC2023">
        <v>0.42</v>
      </c>
    </row>
    <row r="2024" spans="1:29">
      <c r="A2024" t="str">
        <f>"300662"</f>
        <v>300662</v>
      </c>
      <c r="B2024" t="s">
        <v>2193</v>
      </c>
      <c r="C2024">
        <v>0.31</v>
      </c>
      <c r="D2024">
        <v>22.89</v>
      </c>
      <c r="E2024">
        <v>0.07</v>
      </c>
      <c r="F2024">
        <v>22.88</v>
      </c>
      <c r="G2024">
        <v>22.89</v>
      </c>
      <c r="H2024">
        <v>26266</v>
      </c>
      <c r="I2024">
        <v>406</v>
      </c>
      <c r="J2024">
        <v>0.39</v>
      </c>
      <c r="K2024">
        <v>2.9</v>
      </c>
      <c r="L2024">
        <v>22.71</v>
      </c>
      <c r="M2024">
        <v>23.59</v>
      </c>
      <c r="N2024">
        <v>22.49</v>
      </c>
      <c r="O2024">
        <v>22.82</v>
      </c>
      <c r="P2024">
        <v>67.99</v>
      </c>
      <c r="Q2024">
        <v>60986308</v>
      </c>
      <c r="R2024">
        <v>1.06</v>
      </c>
      <c r="S2024" t="s">
        <v>47</v>
      </c>
      <c r="T2024" t="s">
        <v>45</v>
      </c>
      <c r="U2024">
        <v>4.82</v>
      </c>
      <c r="V2024">
        <v>23.22</v>
      </c>
      <c r="W2024">
        <v>12820</v>
      </c>
      <c r="X2024">
        <v>13446</v>
      </c>
      <c r="Y2024">
        <v>0.95</v>
      </c>
      <c r="Z2024">
        <v>99</v>
      </c>
      <c r="AA2024">
        <v>67</v>
      </c>
      <c r="AB2024" t="s">
        <v>32</v>
      </c>
      <c r="AC2024">
        <v>0.91</v>
      </c>
    </row>
    <row r="2025" spans="1:29">
      <c r="A2025" t="str">
        <f>"300663"</f>
        <v>300663</v>
      </c>
      <c r="B2025" t="s">
        <v>2194</v>
      </c>
      <c r="C2025">
        <v>0</v>
      </c>
      <c r="D2025">
        <v>18.52</v>
      </c>
      <c r="E2025">
        <v>0</v>
      </c>
      <c r="F2025">
        <v>18.51</v>
      </c>
      <c r="G2025">
        <v>18.52</v>
      </c>
      <c r="H2025">
        <v>36813</v>
      </c>
      <c r="I2025">
        <v>802</v>
      </c>
      <c r="J2025">
        <v>0.05</v>
      </c>
      <c r="K2025">
        <v>2.99</v>
      </c>
      <c r="L2025">
        <v>18.1</v>
      </c>
      <c r="M2025">
        <v>18.72</v>
      </c>
      <c r="N2025">
        <v>18.1</v>
      </c>
      <c r="O2025">
        <v>18.52</v>
      </c>
      <c r="P2025" t="s">
        <v>32</v>
      </c>
      <c r="Q2025">
        <v>68072496</v>
      </c>
      <c r="R2025">
        <v>1.02</v>
      </c>
      <c r="S2025" t="s">
        <v>270</v>
      </c>
      <c r="T2025" t="s">
        <v>45</v>
      </c>
      <c r="U2025">
        <v>3.35</v>
      </c>
      <c r="V2025">
        <v>18.49</v>
      </c>
      <c r="W2025">
        <v>19099</v>
      </c>
      <c r="X2025">
        <v>17714</v>
      </c>
      <c r="Y2025">
        <v>1.08</v>
      </c>
      <c r="Z2025">
        <v>164</v>
      </c>
      <c r="AA2025">
        <v>201</v>
      </c>
      <c r="AB2025" t="s">
        <v>32</v>
      </c>
      <c r="AC2025">
        <v>1.23</v>
      </c>
    </row>
    <row r="2026" spans="1:29">
      <c r="A2026" t="str">
        <f>"300664"</f>
        <v>300664</v>
      </c>
      <c r="B2026" t="s">
        <v>2195</v>
      </c>
      <c r="C2026">
        <v>1.79</v>
      </c>
      <c r="D2026">
        <v>18.21</v>
      </c>
      <c r="E2026">
        <v>0.32</v>
      </c>
      <c r="F2026">
        <v>18.21</v>
      </c>
      <c r="G2026">
        <v>18.22</v>
      </c>
      <c r="H2026">
        <v>43554</v>
      </c>
      <c r="I2026">
        <v>412</v>
      </c>
      <c r="J2026">
        <v>-0.15</v>
      </c>
      <c r="K2026">
        <v>5.44</v>
      </c>
      <c r="L2026">
        <v>17.99</v>
      </c>
      <c r="M2026">
        <v>18.44</v>
      </c>
      <c r="N2026">
        <v>17.96</v>
      </c>
      <c r="O2026">
        <v>17.89</v>
      </c>
      <c r="P2026">
        <v>44.77</v>
      </c>
      <c r="Q2026">
        <v>79319056</v>
      </c>
      <c r="R2026">
        <v>1.11</v>
      </c>
      <c r="S2026" t="s">
        <v>86</v>
      </c>
      <c r="T2026" t="s">
        <v>87</v>
      </c>
      <c r="U2026">
        <v>2.68</v>
      </c>
      <c r="V2026">
        <v>18.21</v>
      </c>
      <c r="W2026">
        <v>20826</v>
      </c>
      <c r="X2026">
        <v>22728</v>
      </c>
      <c r="Y2026">
        <v>0.92</v>
      </c>
      <c r="Z2026">
        <v>768</v>
      </c>
      <c r="AA2026">
        <v>607</v>
      </c>
      <c r="AB2026" t="s">
        <v>32</v>
      </c>
      <c r="AC2026">
        <v>0.8</v>
      </c>
    </row>
    <row r="2027" spans="1:29">
      <c r="A2027" t="str">
        <f>"300665"</f>
        <v>300665</v>
      </c>
      <c r="B2027" t="s">
        <v>2196</v>
      </c>
      <c r="C2027">
        <v>2.44</v>
      </c>
      <c r="D2027">
        <v>13.84</v>
      </c>
      <c r="E2027">
        <v>0.33</v>
      </c>
      <c r="F2027">
        <v>13.83</v>
      </c>
      <c r="G2027">
        <v>13.84</v>
      </c>
      <c r="H2027">
        <v>49578</v>
      </c>
      <c r="I2027">
        <v>1324</v>
      </c>
      <c r="J2027">
        <v>0.07</v>
      </c>
      <c r="K2027">
        <v>6.85</v>
      </c>
      <c r="L2027">
        <v>13.37</v>
      </c>
      <c r="M2027">
        <v>14.86</v>
      </c>
      <c r="N2027">
        <v>13.24</v>
      </c>
      <c r="O2027">
        <v>13.51</v>
      </c>
      <c r="P2027" t="s">
        <v>32</v>
      </c>
      <c r="Q2027">
        <v>68952128</v>
      </c>
      <c r="R2027">
        <v>1.59</v>
      </c>
      <c r="S2027" t="s">
        <v>281</v>
      </c>
      <c r="T2027" t="s">
        <v>152</v>
      </c>
      <c r="U2027">
        <v>11.99</v>
      </c>
      <c r="V2027">
        <v>13.91</v>
      </c>
      <c r="W2027">
        <v>25137</v>
      </c>
      <c r="X2027">
        <v>24441</v>
      </c>
      <c r="Y2027">
        <v>1.03</v>
      </c>
      <c r="Z2027">
        <v>263</v>
      </c>
      <c r="AA2027">
        <v>694</v>
      </c>
      <c r="AB2027" t="s">
        <v>32</v>
      </c>
      <c r="AC2027">
        <v>0.72</v>
      </c>
    </row>
    <row r="2028" spans="1:29">
      <c r="A2028" t="str">
        <f>"300666"</f>
        <v>300666</v>
      </c>
      <c r="B2028" t="s">
        <v>2197</v>
      </c>
      <c r="C2028">
        <v>-0.57</v>
      </c>
      <c r="D2028">
        <v>54.42</v>
      </c>
      <c r="E2028">
        <v>-0.31</v>
      </c>
      <c r="F2028">
        <v>54.42</v>
      </c>
      <c r="G2028">
        <v>54.43</v>
      </c>
      <c r="H2028">
        <v>39195</v>
      </c>
      <c r="I2028">
        <v>808</v>
      </c>
      <c r="J2028">
        <v>-0.16</v>
      </c>
      <c r="K2028">
        <v>3.38</v>
      </c>
      <c r="L2028">
        <v>55.5</v>
      </c>
      <c r="M2028">
        <v>55.5</v>
      </c>
      <c r="N2028">
        <v>53.57</v>
      </c>
      <c r="O2028">
        <v>54.73</v>
      </c>
      <c r="P2028">
        <v>226.97</v>
      </c>
      <c r="Q2028">
        <v>213638736</v>
      </c>
      <c r="R2028">
        <v>0.79</v>
      </c>
      <c r="S2028" t="s">
        <v>63</v>
      </c>
      <c r="T2028" t="s">
        <v>149</v>
      </c>
      <c r="U2028">
        <v>3.53</v>
      </c>
      <c r="V2028">
        <v>54.51</v>
      </c>
      <c r="W2028">
        <v>21631</v>
      </c>
      <c r="X2028">
        <v>17563</v>
      </c>
      <c r="Y2028">
        <v>1.23</v>
      </c>
      <c r="Z2028">
        <v>423</v>
      </c>
      <c r="AA2028">
        <v>103</v>
      </c>
      <c r="AB2028" t="s">
        <v>32</v>
      </c>
      <c r="AC2028">
        <v>1.16</v>
      </c>
    </row>
    <row r="2029" spans="1:29">
      <c r="A2029" t="str">
        <f>"300667"</f>
        <v>300667</v>
      </c>
      <c r="B2029" t="s">
        <v>2198</v>
      </c>
      <c r="C2029">
        <v>0.35</v>
      </c>
      <c r="D2029">
        <v>33.94</v>
      </c>
      <c r="E2029">
        <v>0.12</v>
      </c>
      <c r="F2029">
        <v>33.94</v>
      </c>
      <c r="G2029">
        <v>33.95</v>
      </c>
      <c r="H2029">
        <v>27035</v>
      </c>
      <c r="I2029">
        <v>704</v>
      </c>
      <c r="J2029">
        <v>0.09</v>
      </c>
      <c r="K2029">
        <v>3.94</v>
      </c>
      <c r="L2029">
        <v>33.94</v>
      </c>
      <c r="M2029">
        <v>34</v>
      </c>
      <c r="N2029">
        <v>33.07</v>
      </c>
      <c r="O2029">
        <v>33.82</v>
      </c>
      <c r="P2029">
        <v>268.85</v>
      </c>
      <c r="Q2029">
        <v>90819048</v>
      </c>
      <c r="R2029">
        <v>0.91</v>
      </c>
      <c r="S2029" t="s">
        <v>606</v>
      </c>
      <c r="T2029" t="s">
        <v>45</v>
      </c>
      <c r="U2029">
        <v>2.75</v>
      </c>
      <c r="V2029">
        <v>33.59</v>
      </c>
      <c r="W2029">
        <v>13155</v>
      </c>
      <c r="X2029">
        <v>13880</v>
      </c>
      <c r="Y2029">
        <v>0.95</v>
      </c>
      <c r="Z2029">
        <v>178</v>
      </c>
      <c r="AA2029">
        <v>5</v>
      </c>
      <c r="AB2029" t="s">
        <v>32</v>
      </c>
      <c r="AC2029">
        <v>0.69</v>
      </c>
    </row>
    <row r="2030" spans="1:29">
      <c r="A2030" t="str">
        <f>"300668"</f>
        <v>300668</v>
      </c>
      <c r="B2030" t="s">
        <v>2199</v>
      </c>
      <c r="C2030">
        <v>4</v>
      </c>
      <c r="D2030">
        <v>23.39</v>
      </c>
      <c r="E2030">
        <v>0.9</v>
      </c>
      <c r="F2030">
        <v>23.38</v>
      </c>
      <c r="G2030">
        <v>23.39</v>
      </c>
      <c r="H2030">
        <v>29542</v>
      </c>
      <c r="I2030">
        <v>455</v>
      </c>
      <c r="J2030">
        <v>-0.37</v>
      </c>
      <c r="K2030">
        <v>5.27</v>
      </c>
      <c r="L2030">
        <v>22.22</v>
      </c>
      <c r="M2030">
        <v>23.53</v>
      </c>
      <c r="N2030">
        <v>22.13</v>
      </c>
      <c r="O2030">
        <v>22.49</v>
      </c>
      <c r="P2030">
        <v>35.92</v>
      </c>
      <c r="Q2030">
        <v>68140032</v>
      </c>
      <c r="R2030">
        <v>1.56</v>
      </c>
      <c r="S2030" t="s">
        <v>59</v>
      </c>
      <c r="T2030" t="s">
        <v>31</v>
      </c>
      <c r="U2030">
        <v>6.22</v>
      </c>
      <c r="V2030">
        <v>23.07</v>
      </c>
      <c r="W2030">
        <v>11961</v>
      </c>
      <c r="X2030">
        <v>17581</v>
      </c>
      <c r="Y2030">
        <v>0.68</v>
      </c>
      <c r="Z2030">
        <v>61</v>
      </c>
      <c r="AA2030">
        <v>36</v>
      </c>
      <c r="AB2030" t="s">
        <v>32</v>
      </c>
      <c r="AC2030">
        <v>0.56</v>
      </c>
    </row>
    <row r="2031" spans="1:29">
      <c r="A2031" t="str">
        <f>"300669"</f>
        <v>300669</v>
      </c>
      <c r="B2031" t="s">
        <v>2200</v>
      </c>
      <c r="C2031">
        <v>1.09</v>
      </c>
      <c r="D2031">
        <v>21.27</v>
      </c>
      <c r="E2031">
        <v>0.23</v>
      </c>
      <c r="F2031">
        <v>21.25</v>
      </c>
      <c r="G2031">
        <v>21.27</v>
      </c>
      <c r="H2031">
        <v>4687</v>
      </c>
      <c r="I2031">
        <v>78</v>
      </c>
      <c r="J2031">
        <v>-0.18</v>
      </c>
      <c r="K2031">
        <v>1.81</v>
      </c>
      <c r="L2031">
        <v>21.04</v>
      </c>
      <c r="M2031">
        <v>21.35</v>
      </c>
      <c r="N2031">
        <v>20.99</v>
      </c>
      <c r="O2031">
        <v>21.04</v>
      </c>
      <c r="P2031">
        <v>85.43</v>
      </c>
      <c r="Q2031">
        <v>9935762</v>
      </c>
      <c r="R2031">
        <v>1.03</v>
      </c>
      <c r="S2031" t="s">
        <v>241</v>
      </c>
      <c r="T2031" t="s">
        <v>149</v>
      </c>
      <c r="U2031">
        <v>1.71</v>
      </c>
      <c r="V2031">
        <v>21.2</v>
      </c>
      <c r="W2031">
        <v>2180</v>
      </c>
      <c r="X2031">
        <v>2507</v>
      </c>
      <c r="Y2031">
        <v>0.87</v>
      </c>
      <c r="Z2031">
        <v>11</v>
      </c>
      <c r="AA2031">
        <v>93</v>
      </c>
      <c r="AB2031" t="s">
        <v>32</v>
      </c>
      <c r="AC2031">
        <v>0.26</v>
      </c>
    </row>
    <row r="2032" spans="1:29">
      <c r="A2032" t="str">
        <f>"300670"</f>
        <v>300670</v>
      </c>
      <c r="B2032" t="s">
        <v>2201</v>
      </c>
      <c r="C2032" t="s">
        <v>32</v>
      </c>
      <c r="D2032">
        <v>19.65</v>
      </c>
      <c r="E2032" t="s">
        <v>32</v>
      </c>
      <c r="F2032" t="s">
        <v>32</v>
      </c>
      <c r="G2032" t="s">
        <v>32</v>
      </c>
      <c r="H2032">
        <v>0</v>
      </c>
      <c r="I2032">
        <v>0</v>
      </c>
      <c r="J2032" t="s">
        <v>32</v>
      </c>
      <c r="K2032">
        <v>0</v>
      </c>
      <c r="L2032" t="s">
        <v>32</v>
      </c>
      <c r="M2032" t="s">
        <v>32</v>
      </c>
      <c r="N2032" t="s">
        <v>32</v>
      </c>
      <c r="O2032">
        <v>19.65</v>
      </c>
      <c r="P2032">
        <v>166.06</v>
      </c>
      <c r="Q2032">
        <v>0</v>
      </c>
      <c r="R2032">
        <v>0</v>
      </c>
      <c r="S2032" t="s">
        <v>104</v>
      </c>
      <c r="T2032" t="s">
        <v>87</v>
      </c>
      <c r="U2032">
        <v>0</v>
      </c>
      <c r="V2032">
        <v>19.65</v>
      </c>
      <c r="W2032">
        <v>0</v>
      </c>
      <c r="X2032">
        <v>0</v>
      </c>
      <c r="Y2032" t="s">
        <v>32</v>
      </c>
      <c r="Z2032">
        <v>0</v>
      </c>
      <c r="AA2032">
        <v>0</v>
      </c>
      <c r="AB2032" t="s">
        <v>32</v>
      </c>
      <c r="AC2032">
        <v>0.49</v>
      </c>
    </row>
    <row r="2033" spans="1:29">
      <c r="A2033" t="str">
        <f>"300671"</f>
        <v>300671</v>
      </c>
      <c r="B2033" t="s">
        <v>2202</v>
      </c>
      <c r="C2033">
        <v>-5.14</v>
      </c>
      <c r="D2033">
        <v>30.83</v>
      </c>
      <c r="E2033">
        <v>-1.67</v>
      </c>
      <c r="F2033">
        <v>30.82</v>
      </c>
      <c r="G2033">
        <v>30.83</v>
      </c>
      <c r="H2033">
        <v>70041</v>
      </c>
      <c r="I2033">
        <v>742</v>
      </c>
      <c r="J2033">
        <v>0.16</v>
      </c>
      <c r="K2033">
        <v>8.91</v>
      </c>
      <c r="L2033">
        <v>30.77</v>
      </c>
      <c r="M2033">
        <v>31.25</v>
      </c>
      <c r="N2033">
        <v>29.28</v>
      </c>
      <c r="O2033">
        <v>32.5</v>
      </c>
      <c r="P2033">
        <v>60.05</v>
      </c>
      <c r="Q2033">
        <v>212444944</v>
      </c>
      <c r="R2033">
        <v>1.75</v>
      </c>
      <c r="S2033" t="s">
        <v>699</v>
      </c>
      <c r="T2033" t="s">
        <v>31</v>
      </c>
      <c r="U2033">
        <v>6.06</v>
      </c>
      <c r="V2033">
        <v>30.33</v>
      </c>
      <c r="W2033">
        <v>37844</v>
      </c>
      <c r="X2033">
        <v>32197</v>
      </c>
      <c r="Y2033">
        <v>1.18</v>
      </c>
      <c r="Z2033">
        <v>2</v>
      </c>
      <c r="AA2033">
        <v>7</v>
      </c>
      <c r="AB2033" t="s">
        <v>32</v>
      </c>
      <c r="AC2033">
        <v>0.79</v>
      </c>
    </row>
    <row r="2034" spans="1:29">
      <c r="A2034" t="str">
        <f>"300672"</f>
        <v>300672</v>
      </c>
      <c r="B2034" t="s">
        <v>2203</v>
      </c>
      <c r="C2034">
        <v>0.8</v>
      </c>
      <c r="D2034">
        <v>56.9</v>
      </c>
      <c r="E2034">
        <v>0.45</v>
      </c>
      <c r="F2034">
        <v>56.9</v>
      </c>
      <c r="G2034">
        <v>56.91</v>
      </c>
      <c r="H2034">
        <v>22158</v>
      </c>
      <c r="I2034">
        <v>281</v>
      </c>
      <c r="J2034">
        <v>0.04</v>
      </c>
      <c r="K2034">
        <v>3.94</v>
      </c>
      <c r="L2034">
        <v>56.39</v>
      </c>
      <c r="M2034">
        <v>57.35</v>
      </c>
      <c r="N2034">
        <v>55.13</v>
      </c>
      <c r="O2034">
        <v>56.45</v>
      </c>
      <c r="P2034" t="s">
        <v>32</v>
      </c>
      <c r="Q2034">
        <v>125220104</v>
      </c>
      <c r="R2034">
        <v>0.89</v>
      </c>
      <c r="S2034" t="s">
        <v>699</v>
      </c>
      <c r="T2034" t="s">
        <v>152</v>
      </c>
      <c r="U2034">
        <v>3.93</v>
      </c>
      <c r="V2034">
        <v>56.51</v>
      </c>
      <c r="W2034">
        <v>11468</v>
      </c>
      <c r="X2034">
        <v>10689</v>
      </c>
      <c r="Y2034">
        <v>1.07</v>
      </c>
      <c r="Z2034">
        <v>136</v>
      </c>
      <c r="AA2034">
        <v>66</v>
      </c>
      <c r="AB2034" t="s">
        <v>32</v>
      </c>
      <c r="AC2034">
        <v>0.56</v>
      </c>
    </row>
    <row r="2035" spans="1:29">
      <c r="A2035" t="str">
        <f>"300673"</f>
        <v>300673</v>
      </c>
      <c r="B2035" t="s">
        <v>2204</v>
      </c>
      <c r="C2035">
        <v>1.74</v>
      </c>
      <c r="D2035">
        <v>53.1</v>
      </c>
      <c r="E2035">
        <v>0.91</v>
      </c>
      <c r="F2035">
        <v>53.05</v>
      </c>
      <c r="G2035">
        <v>53.1</v>
      </c>
      <c r="H2035">
        <v>18137</v>
      </c>
      <c r="I2035">
        <v>135</v>
      </c>
      <c r="J2035">
        <v>0.17</v>
      </c>
      <c r="K2035">
        <v>5.17</v>
      </c>
      <c r="L2035">
        <v>52</v>
      </c>
      <c r="M2035">
        <v>54.2</v>
      </c>
      <c r="N2035">
        <v>50.81</v>
      </c>
      <c r="O2035">
        <v>52.19</v>
      </c>
      <c r="P2035">
        <v>53.17</v>
      </c>
      <c r="Q2035">
        <v>95544288</v>
      </c>
      <c r="R2035">
        <v>1.02</v>
      </c>
      <c r="S2035" t="s">
        <v>102</v>
      </c>
      <c r="T2035" t="s">
        <v>149</v>
      </c>
      <c r="U2035">
        <v>6.5</v>
      </c>
      <c r="V2035">
        <v>52.68</v>
      </c>
      <c r="W2035">
        <v>8942</v>
      </c>
      <c r="X2035">
        <v>9195</v>
      </c>
      <c r="Y2035">
        <v>0.97</v>
      </c>
      <c r="Z2035">
        <v>50</v>
      </c>
      <c r="AA2035">
        <v>19</v>
      </c>
      <c r="AB2035" t="s">
        <v>32</v>
      </c>
      <c r="AC2035">
        <v>0.35</v>
      </c>
    </row>
    <row r="2036" spans="1:29">
      <c r="A2036" t="str">
        <f>"300675"</f>
        <v>300675</v>
      </c>
      <c r="B2036" t="s">
        <v>2205</v>
      </c>
      <c r="C2036">
        <v>5.62</v>
      </c>
      <c r="D2036">
        <v>29.33</v>
      </c>
      <c r="E2036">
        <v>1.56</v>
      </c>
      <c r="F2036">
        <v>29.32</v>
      </c>
      <c r="G2036">
        <v>29.33</v>
      </c>
      <c r="H2036">
        <v>32146</v>
      </c>
      <c r="I2036">
        <v>439</v>
      </c>
      <c r="J2036">
        <v>0.03</v>
      </c>
      <c r="K2036">
        <v>3.99</v>
      </c>
      <c r="L2036">
        <v>27.98</v>
      </c>
      <c r="M2036">
        <v>30.5</v>
      </c>
      <c r="N2036">
        <v>27.85</v>
      </c>
      <c r="O2036">
        <v>27.77</v>
      </c>
      <c r="P2036" t="s">
        <v>32</v>
      </c>
      <c r="Q2036">
        <v>94353920</v>
      </c>
      <c r="R2036">
        <v>2.09</v>
      </c>
      <c r="S2036" t="s">
        <v>49</v>
      </c>
      <c r="T2036" t="s">
        <v>31</v>
      </c>
      <c r="U2036">
        <v>9.54</v>
      </c>
      <c r="V2036">
        <v>29.35</v>
      </c>
      <c r="W2036">
        <v>15469</v>
      </c>
      <c r="X2036">
        <v>16677</v>
      </c>
      <c r="Y2036">
        <v>0.93</v>
      </c>
      <c r="Z2036">
        <v>276</v>
      </c>
      <c r="AA2036">
        <v>102</v>
      </c>
      <c r="AB2036" t="s">
        <v>32</v>
      </c>
      <c r="AC2036">
        <v>0.81</v>
      </c>
    </row>
    <row r="2037" spans="1:29">
      <c r="A2037" t="str">
        <f>"300676"</f>
        <v>300676</v>
      </c>
      <c r="B2037" t="s">
        <v>2206</v>
      </c>
      <c r="C2037">
        <v>5.57</v>
      </c>
      <c r="D2037">
        <v>80.23</v>
      </c>
      <c r="E2037">
        <v>4.23</v>
      </c>
      <c r="F2037">
        <v>80.23</v>
      </c>
      <c r="G2037">
        <v>80.24</v>
      </c>
      <c r="H2037">
        <v>98396</v>
      </c>
      <c r="I2037">
        <v>874</v>
      </c>
      <c r="J2037">
        <v>0.06</v>
      </c>
      <c r="K2037">
        <v>3.99</v>
      </c>
      <c r="L2037">
        <v>77.81</v>
      </c>
      <c r="M2037">
        <v>81.68</v>
      </c>
      <c r="N2037">
        <v>76.83</v>
      </c>
      <c r="O2037">
        <v>76</v>
      </c>
      <c r="P2037">
        <v>79.65</v>
      </c>
      <c r="Q2037">
        <v>780407936</v>
      </c>
      <c r="R2037">
        <v>1.11</v>
      </c>
      <c r="S2037" t="s">
        <v>138</v>
      </c>
      <c r="T2037" t="s">
        <v>31</v>
      </c>
      <c r="U2037">
        <v>6.38</v>
      </c>
      <c r="V2037">
        <v>79.31</v>
      </c>
      <c r="W2037">
        <v>46328</v>
      </c>
      <c r="X2037">
        <v>52067</v>
      </c>
      <c r="Y2037">
        <v>0.89</v>
      </c>
      <c r="Z2037">
        <v>23</v>
      </c>
      <c r="AA2037">
        <v>6</v>
      </c>
      <c r="AB2037" t="s">
        <v>32</v>
      </c>
      <c r="AC2037">
        <v>2.47</v>
      </c>
    </row>
    <row r="2038" spans="1:29">
      <c r="A2038" t="str">
        <f>"300677"</f>
        <v>300677</v>
      </c>
      <c r="B2038" t="s">
        <v>2207</v>
      </c>
      <c r="C2038">
        <v>2.35</v>
      </c>
      <c r="D2038">
        <v>24.38</v>
      </c>
      <c r="E2038">
        <v>0.56</v>
      </c>
      <c r="F2038">
        <v>24.38</v>
      </c>
      <c r="G2038">
        <v>24.39</v>
      </c>
      <c r="H2038">
        <v>69430</v>
      </c>
      <c r="I2038">
        <v>1165</v>
      </c>
      <c r="J2038">
        <v>0.21</v>
      </c>
      <c r="K2038">
        <v>14.28</v>
      </c>
      <c r="L2038">
        <v>24.15</v>
      </c>
      <c r="M2038">
        <v>24.79</v>
      </c>
      <c r="N2038">
        <v>23.7</v>
      </c>
      <c r="O2038">
        <v>23.82</v>
      </c>
      <c r="P2038">
        <v>53.29</v>
      </c>
      <c r="Q2038">
        <v>168602768</v>
      </c>
      <c r="R2038">
        <v>0.6</v>
      </c>
      <c r="S2038" t="s">
        <v>138</v>
      </c>
      <c r="T2038" t="s">
        <v>162</v>
      </c>
      <c r="U2038">
        <v>4.58</v>
      </c>
      <c r="V2038">
        <v>24.28</v>
      </c>
      <c r="W2038">
        <v>33376</v>
      </c>
      <c r="X2038">
        <v>36054</v>
      </c>
      <c r="Y2038">
        <v>0.93</v>
      </c>
      <c r="Z2038">
        <v>24</v>
      </c>
      <c r="AA2038">
        <v>81</v>
      </c>
      <c r="AB2038" t="s">
        <v>32</v>
      </c>
      <c r="AC2038">
        <v>0.49</v>
      </c>
    </row>
    <row r="2039" spans="1:29">
      <c r="A2039" t="str">
        <f>"300678"</f>
        <v>300678</v>
      </c>
      <c r="B2039" t="s">
        <v>2208</v>
      </c>
      <c r="C2039">
        <v>1.58</v>
      </c>
      <c r="D2039">
        <v>25.69</v>
      </c>
      <c r="E2039">
        <v>0.4</v>
      </c>
      <c r="F2039">
        <v>25.69</v>
      </c>
      <c r="G2039">
        <v>25.7</v>
      </c>
      <c r="H2039">
        <v>25732</v>
      </c>
      <c r="I2039">
        <v>407</v>
      </c>
      <c r="J2039">
        <v>0.04</v>
      </c>
      <c r="K2039">
        <v>5.72</v>
      </c>
      <c r="L2039">
        <v>25.33</v>
      </c>
      <c r="M2039">
        <v>25.92</v>
      </c>
      <c r="N2039">
        <v>25</v>
      </c>
      <c r="O2039">
        <v>25.29</v>
      </c>
      <c r="P2039">
        <v>2052.65</v>
      </c>
      <c r="Q2039">
        <v>65560208</v>
      </c>
      <c r="R2039">
        <v>1.04</v>
      </c>
      <c r="S2039" t="s">
        <v>270</v>
      </c>
      <c r="T2039" t="s">
        <v>146</v>
      </c>
      <c r="U2039">
        <v>3.64</v>
      </c>
      <c r="V2039">
        <v>25.48</v>
      </c>
      <c r="W2039">
        <v>13340</v>
      </c>
      <c r="X2039">
        <v>12392</v>
      </c>
      <c r="Y2039">
        <v>1.08</v>
      </c>
      <c r="Z2039">
        <v>109</v>
      </c>
      <c r="AA2039">
        <v>211</v>
      </c>
      <c r="AB2039" t="s">
        <v>32</v>
      </c>
      <c r="AC2039">
        <v>0.45</v>
      </c>
    </row>
    <row r="2040" spans="1:29">
      <c r="A2040" t="str">
        <f>"300679"</f>
        <v>300679</v>
      </c>
      <c r="B2040" t="s">
        <v>2209</v>
      </c>
      <c r="C2040">
        <v>0.73</v>
      </c>
      <c r="D2040">
        <v>36.11</v>
      </c>
      <c r="E2040">
        <v>0.26</v>
      </c>
      <c r="F2040">
        <v>36.11</v>
      </c>
      <c r="G2040">
        <v>36.12</v>
      </c>
      <c r="H2040">
        <v>16035</v>
      </c>
      <c r="I2040">
        <v>296</v>
      </c>
      <c r="J2040">
        <v>0.22</v>
      </c>
      <c r="K2040">
        <v>2.97</v>
      </c>
      <c r="L2040">
        <v>35.8</v>
      </c>
      <c r="M2040">
        <v>36.26</v>
      </c>
      <c r="N2040">
        <v>35.37</v>
      </c>
      <c r="O2040">
        <v>35.85</v>
      </c>
      <c r="P2040">
        <v>30.2</v>
      </c>
      <c r="Q2040">
        <v>57586524</v>
      </c>
      <c r="R2040">
        <v>0.76</v>
      </c>
      <c r="S2040" t="s">
        <v>63</v>
      </c>
      <c r="T2040" t="s">
        <v>31</v>
      </c>
      <c r="U2040">
        <v>2.48</v>
      </c>
      <c r="V2040">
        <v>35.91</v>
      </c>
      <c r="W2040">
        <v>8528</v>
      </c>
      <c r="X2040">
        <v>7506</v>
      </c>
      <c r="Y2040">
        <v>1.14</v>
      </c>
      <c r="Z2040">
        <v>170</v>
      </c>
      <c r="AA2040">
        <v>9</v>
      </c>
      <c r="AB2040" t="s">
        <v>32</v>
      </c>
      <c r="AC2040">
        <v>0.54</v>
      </c>
    </row>
    <row r="2041" spans="1:29">
      <c r="A2041" t="str">
        <f>"300680"</f>
        <v>300680</v>
      </c>
      <c r="B2041" t="s">
        <v>2210</v>
      </c>
      <c r="C2041">
        <v>1.74</v>
      </c>
      <c r="D2041">
        <v>26.95</v>
      </c>
      <c r="E2041">
        <v>0.46</v>
      </c>
      <c r="F2041">
        <v>26.93</v>
      </c>
      <c r="G2041">
        <v>26.95</v>
      </c>
      <c r="H2041">
        <v>15360</v>
      </c>
      <c r="I2041">
        <v>422</v>
      </c>
      <c r="J2041">
        <v>0.56</v>
      </c>
      <c r="K2041">
        <v>9.04</v>
      </c>
      <c r="L2041">
        <v>26.3</v>
      </c>
      <c r="M2041">
        <v>27.24</v>
      </c>
      <c r="N2041">
        <v>26.3</v>
      </c>
      <c r="O2041">
        <v>26.49</v>
      </c>
      <c r="P2041">
        <v>275.73</v>
      </c>
      <c r="Q2041">
        <v>41188780</v>
      </c>
      <c r="R2041">
        <v>0.88</v>
      </c>
      <c r="S2041" t="s">
        <v>80</v>
      </c>
      <c r="T2041" t="s">
        <v>87</v>
      </c>
      <c r="U2041">
        <v>3.55</v>
      </c>
      <c r="V2041">
        <v>26.82</v>
      </c>
      <c r="W2041">
        <v>7499</v>
      </c>
      <c r="X2041">
        <v>7861</v>
      </c>
      <c r="Y2041">
        <v>0.95</v>
      </c>
      <c r="Z2041">
        <v>18</v>
      </c>
      <c r="AA2041">
        <v>10</v>
      </c>
      <c r="AB2041" t="s">
        <v>32</v>
      </c>
      <c r="AC2041">
        <v>0.17</v>
      </c>
    </row>
    <row r="2042" spans="1:29">
      <c r="A2042" t="str">
        <f>"300681"</f>
        <v>300681</v>
      </c>
      <c r="B2042" t="s">
        <v>2211</v>
      </c>
      <c r="C2042">
        <v>0.7</v>
      </c>
      <c r="D2042">
        <v>48.92</v>
      </c>
      <c r="E2042">
        <v>0.34</v>
      </c>
      <c r="F2042">
        <v>48.92</v>
      </c>
      <c r="G2042">
        <v>49</v>
      </c>
      <c r="H2042">
        <v>6933</v>
      </c>
      <c r="I2042">
        <v>48</v>
      </c>
      <c r="J2042">
        <v>0.02</v>
      </c>
      <c r="K2042">
        <v>3.67</v>
      </c>
      <c r="L2042">
        <v>48.01</v>
      </c>
      <c r="M2042">
        <v>50.3</v>
      </c>
      <c r="N2042">
        <v>48</v>
      </c>
      <c r="O2042">
        <v>48.58</v>
      </c>
      <c r="P2042">
        <v>38.86</v>
      </c>
      <c r="Q2042">
        <v>33851640</v>
      </c>
      <c r="R2042">
        <v>1.7</v>
      </c>
      <c r="S2042" t="s">
        <v>63</v>
      </c>
      <c r="T2042" t="s">
        <v>136</v>
      </c>
      <c r="U2042">
        <v>4.73</v>
      </c>
      <c r="V2042">
        <v>48.83</v>
      </c>
      <c r="W2042">
        <v>3149</v>
      </c>
      <c r="X2042">
        <v>3784</v>
      </c>
      <c r="Y2042">
        <v>0.83</v>
      </c>
      <c r="Z2042">
        <v>6</v>
      </c>
      <c r="AA2042">
        <v>103</v>
      </c>
      <c r="AB2042" t="s">
        <v>32</v>
      </c>
      <c r="AC2042">
        <v>0.19</v>
      </c>
    </row>
    <row r="2043" spans="1:29">
      <c r="A2043" t="str">
        <f>"300682"</f>
        <v>300682</v>
      </c>
      <c r="B2043" t="s">
        <v>2212</v>
      </c>
      <c r="C2043">
        <v>1.66</v>
      </c>
      <c r="D2043">
        <v>17.75</v>
      </c>
      <c r="E2043">
        <v>0.29</v>
      </c>
      <c r="F2043">
        <v>17.74</v>
      </c>
      <c r="G2043">
        <v>17.75</v>
      </c>
      <c r="H2043">
        <v>29676</v>
      </c>
      <c r="I2043">
        <v>459</v>
      </c>
      <c r="J2043">
        <v>0.17</v>
      </c>
      <c r="K2043">
        <v>6.59</v>
      </c>
      <c r="L2043">
        <v>17.42</v>
      </c>
      <c r="M2043">
        <v>17.78</v>
      </c>
      <c r="N2043">
        <v>17.14</v>
      </c>
      <c r="O2043">
        <v>17.46</v>
      </c>
      <c r="P2043" t="s">
        <v>32</v>
      </c>
      <c r="Q2043">
        <v>52141996</v>
      </c>
      <c r="R2043">
        <v>0.8</v>
      </c>
      <c r="S2043" t="s">
        <v>270</v>
      </c>
      <c r="T2043" t="s">
        <v>87</v>
      </c>
      <c r="U2043">
        <v>3.67</v>
      </c>
      <c r="V2043">
        <v>17.57</v>
      </c>
      <c r="W2043">
        <v>13139</v>
      </c>
      <c r="X2043">
        <v>16537</v>
      </c>
      <c r="Y2043">
        <v>0.79</v>
      </c>
      <c r="Z2043">
        <v>117</v>
      </c>
      <c r="AA2043">
        <v>878</v>
      </c>
      <c r="AB2043" t="s">
        <v>32</v>
      </c>
      <c r="AC2043">
        <v>0.45</v>
      </c>
    </row>
    <row r="2044" spans="1:29">
      <c r="A2044" t="str">
        <f>"300683"</f>
        <v>300683</v>
      </c>
      <c r="B2044" t="s">
        <v>2213</v>
      </c>
      <c r="C2044" t="s">
        <v>32</v>
      </c>
      <c r="D2044">
        <v>48.62</v>
      </c>
      <c r="E2044" t="s">
        <v>32</v>
      </c>
      <c r="F2044" t="s">
        <v>32</v>
      </c>
      <c r="G2044" t="s">
        <v>32</v>
      </c>
      <c r="H2044">
        <v>0</v>
      </c>
      <c r="I2044">
        <v>0</v>
      </c>
      <c r="J2044" t="s">
        <v>32</v>
      </c>
      <c r="K2044">
        <v>0</v>
      </c>
      <c r="L2044" t="s">
        <v>32</v>
      </c>
      <c r="M2044" t="s">
        <v>32</v>
      </c>
      <c r="N2044" t="s">
        <v>32</v>
      </c>
      <c r="O2044">
        <v>48.62</v>
      </c>
      <c r="P2044">
        <v>52.91</v>
      </c>
      <c r="Q2044">
        <v>0</v>
      </c>
      <c r="R2044">
        <v>0</v>
      </c>
      <c r="S2044" t="s">
        <v>36</v>
      </c>
      <c r="T2044" t="s">
        <v>193</v>
      </c>
      <c r="U2044">
        <v>0</v>
      </c>
      <c r="V2044">
        <v>48.62</v>
      </c>
      <c r="W2044">
        <v>0</v>
      </c>
      <c r="X2044">
        <v>0</v>
      </c>
      <c r="Y2044" t="s">
        <v>32</v>
      </c>
      <c r="Z2044">
        <v>0</v>
      </c>
      <c r="AA2044">
        <v>0</v>
      </c>
      <c r="AB2044" t="s">
        <v>32</v>
      </c>
      <c r="AC2044">
        <v>0.26</v>
      </c>
    </row>
    <row r="2045" spans="1:29">
      <c r="A2045" t="str">
        <f>"300684"</f>
        <v>300684</v>
      </c>
      <c r="B2045" t="s">
        <v>2214</v>
      </c>
      <c r="C2045">
        <v>1.48</v>
      </c>
      <c r="D2045">
        <v>82.1</v>
      </c>
      <c r="E2045">
        <v>1.2</v>
      </c>
      <c r="F2045">
        <v>82.03</v>
      </c>
      <c r="G2045">
        <v>82.1</v>
      </c>
      <c r="H2045">
        <v>23990</v>
      </c>
      <c r="I2045">
        <v>283</v>
      </c>
      <c r="J2045">
        <v>-0.35</v>
      </c>
      <c r="K2045">
        <v>11.05</v>
      </c>
      <c r="L2045">
        <v>80.32</v>
      </c>
      <c r="M2045">
        <v>82.72</v>
      </c>
      <c r="N2045">
        <v>79.5</v>
      </c>
      <c r="O2045">
        <v>80.9</v>
      </c>
      <c r="P2045">
        <v>135.18</v>
      </c>
      <c r="Q2045">
        <v>194315984</v>
      </c>
      <c r="R2045">
        <v>1.02</v>
      </c>
      <c r="S2045" t="s">
        <v>218</v>
      </c>
      <c r="T2045" t="s">
        <v>45</v>
      </c>
      <c r="U2045">
        <v>3.98</v>
      </c>
      <c r="V2045">
        <v>81</v>
      </c>
      <c r="W2045">
        <v>10899</v>
      </c>
      <c r="X2045">
        <v>13090</v>
      </c>
      <c r="Y2045">
        <v>0.83</v>
      </c>
      <c r="Z2045">
        <v>12</v>
      </c>
      <c r="AA2045">
        <v>9</v>
      </c>
      <c r="AB2045" t="s">
        <v>32</v>
      </c>
      <c r="AC2045">
        <v>0.22</v>
      </c>
    </row>
    <row r="2046" spans="1:29">
      <c r="A2046" t="str">
        <f>"300685"</f>
        <v>300685</v>
      </c>
      <c r="B2046" t="s">
        <v>2215</v>
      </c>
      <c r="C2046">
        <v>1.2</v>
      </c>
      <c r="D2046">
        <v>61.38</v>
      </c>
      <c r="E2046">
        <v>0.73</v>
      </c>
      <c r="F2046">
        <v>61.35</v>
      </c>
      <c r="G2046">
        <v>61.38</v>
      </c>
      <c r="H2046">
        <v>17639</v>
      </c>
      <c r="I2046">
        <v>94</v>
      </c>
      <c r="J2046">
        <v>-0.77</v>
      </c>
      <c r="K2046">
        <v>4.9</v>
      </c>
      <c r="L2046">
        <v>60.14</v>
      </c>
      <c r="M2046">
        <v>61.95</v>
      </c>
      <c r="N2046">
        <v>58.8</v>
      </c>
      <c r="O2046">
        <v>60.65</v>
      </c>
      <c r="P2046">
        <v>88.47</v>
      </c>
      <c r="Q2046">
        <v>106994776</v>
      </c>
      <c r="R2046">
        <v>0.95</v>
      </c>
      <c r="S2046" t="s">
        <v>36</v>
      </c>
      <c r="T2046" t="s">
        <v>236</v>
      </c>
      <c r="U2046">
        <v>5.19</v>
      </c>
      <c r="V2046">
        <v>60.66</v>
      </c>
      <c r="W2046">
        <v>7465</v>
      </c>
      <c r="X2046">
        <v>10173</v>
      </c>
      <c r="Y2046">
        <v>0.73</v>
      </c>
      <c r="Z2046">
        <v>3</v>
      </c>
      <c r="AA2046">
        <v>63</v>
      </c>
      <c r="AB2046" t="s">
        <v>32</v>
      </c>
      <c r="AC2046">
        <v>0.36</v>
      </c>
    </row>
    <row r="2047" spans="1:29">
      <c r="A2047" t="str">
        <f>"300686"</f>
        <v>300686</v>
      </c>
      <c r="B2047" t="s">
        <v>2216</v>
      </c>
      <c r="C2047">
        <v>0.88</v>
      </c>
      <c r="D2047">
        <v>20.72</v>
      </c>
      <c r="E2047">
        <v>0.18</v>
      </c>
      <c r="F2047">
        <v>20.71</v>
      </c>
      <c r="G2047">
        <v>20.72</v>
      </c>
      <c r="H2047">
        <v>92644</v>
      </c>
      <c r="I2047">
        <v>1776</v>
      </c>
      <c r="J2047">
        <v>0.1</v>
      </c>
      <c r="K2047">
        <v>18.5</v>
      </c>
      <c r="L2047">
        <v>20.49</v>
      </c>
      <c r="M2047">
        <v>20.99</v>
      </c>
      <c r="N2047">
        <v>20.15</v>
      </c>
      <c r="O2047">
        <v>20.54</v>
      </c>
      <c r="P2047">
        <v>318.16</v>
      </c>
      <c r="Q2047">
        <v>190933872</v>
      </c>
      <c r="R2047">
        <v>0.71</v>
      </c>
      <c r="S2047" t="s">
        <v>63</v>
      </c>
      <c r="T2047" t="s">
        <v>31</v>
      </c>
      <c r="U2047">
        <v>4.09</v>
      </c>
      <c r="V2047">
        <v>20.61</v>
      </c>
      <c r="W2047">
        <v>45872</v>
      </c>
      <c r="X2047">
        <v>46771</v>
      </c>
      <c r="Y2047">
        <v>0.98</v>
      </c>
      <c r="Z2047">
        <v>514</v>
      </c>
      <c r="AA2047">
        <v>678</v>
      </c>
      <c r="AB2047" t="s">
        <v>32</v>
      </c>
      <c r="AC2047">
        <v>0.5</v>
      </c>
    </row>
    <row r="2048" spans="1:29">
      <c r="A2048" t="str">
        <f>"300687"</f>
        <v>300687</v>
      </c>
      <c r="B2048" t="s">
        <v>2217</v>
      </c>
      <c r="C2048">
        <v>-0.33</v>
      </c>
      <c r="D2048">
        <v>23.89</v>
      </c>
      <c r="E2048">
        <v>-0.08</v>
      </c>
      <c r="F2048">
        <v>23.88</v>
      </c>
      <c r="G2048">
        <v>23.89</v>
      </c>
      <c r="H2048">
        <v>21117</v>
      </c>
      <c r="I2048">
        <v>575</v>
      </c>
      <c r="J2048">
        <v>-0.03</v>
      </c>
      <c r="K2048">
        <v>5.93</v>
      </c>
      <c r="L2048">
        <v>24.03</v>
      </c>
      <c r="M2048">
        <v>24.18</v>
      </c>
      <c r="N2048">
        <v>23.69</v>
      </c>
      <c r="O2048">
        <v>23.97</v>
      </c>
      <c r="P2048">
        <v>88.26</v>
      </c>
      <c r="Q2048">
        <v>50471100</v>
      </c>
      <c r="R2048">
        <v>0.55</v>
      </c>
      <c r="S2048" t="s">
        <v>270</v>
      </c>
      <c r="T2048" t="s">
        <v>136</v>
      </c>
      <c r="U2048">
        <v>2.04</v>
      </c>
      <c r="V2048">
        <v>23.9</v>
      </c>
      <c r="W2048">
        <v>11148</v>
      </c>
      <c r="X2048">
        <v>9969</v>
      </c>
      <c r="Y2048">
        <v>1.12</v>
      </c>
      <c r="Z2048">
        <v>114</v>
      </c>
      <c r="AA2048">
        <v>40</v>
      </c>
      <c r="AB2048" t="s">
        <v>32</v>
      </c>
      <c r="AC2048">
        <v>0.36</v>
      </c>
    </row>
    <row r="2049" spans="1:29">
      <c r="A2049" t="str">
        <f>"300688"</f>
        <v>300688</v>
      </c>
      <c r="B2049" t="s">
        <v>2218</v>
      </c>
      <c r="C2049">
        <v>0.59</v>
      </c>
      <c r="D2049">
        <v>59.27</v>
      </c>
      <c r="E2049">
        <v>0.35</v>
      </c>
      <c r="F2049">
        <v>59.27</v>
      </c>
      <c r="G2049">
        <v>59.28</v>
      </c>
      <c r="H2049">
        <v>13788</v>
      </c>
      <c r="I2049">
        <v>215</v>
      </c>
      <c r="J2049">
        <v>0</v>
      </c>
      <c r="K2049">
        <v>8.11</v>
      </c>
      <c r="L2049">
        <v>59.05</v>
      </c>
      <c r="M2049">
        <v>59.65</v>
      </c>
      <c r="N2049">
        <v>58.36</v>
      </c>
      <c r="O2049">
        <v>58.92</v>
      </c>
      <c r="P2049">
        <v>223.96</v>
      </c>
      <c r="Q2049">
        <v>81526976</v>
      </c>
      <c r="R2049">
        <v>0.78</v>
      </c>
      <c r="S2049" t="s">
        <v>47</v>
      </c>
      <c r="T2049" t="s">
        <v>45</v>
      </c>
      <c r="U2049">
        <v>2.19</v>
      </c>
      <c r="V2049">
        <v>59.13</v>
      </c>
      <c r="W2049">
        <v>6744</v>
      </c>
      <c r="X2049">
        <v>7043</v>
      </c>
      <c r="Y2049">
        <v>0.96</v>
      </c>
      <c r="Z2049">
        <v>3</v>
      </c>
      <c r="AA2049">
        <v>99</v>
      </c>
      <c r="AB2049" t="s">
        <v>32</v>
      </c>
      <c r="AC2049">
        <v>0.17</v>
      </c>
    </row>
    <row r="2050" spans="1:29">
      <c r="A2050" t="str">
        <f>"300689"</f>
        <v>300689</v>
      </c>
      <c r="B2050" t="s">
        <v>2219</v>
      </c>
      <c r="C2050">
        <v>4.13</v>
      </c>
      <c r="D2050">
        <v>43.16</v>
      </c>
      <c r="E2050">
        <v>1.71</v>
      </c>
      <c r="F2050">
        <v>43.15</v>
      </c>
      <c r="G2050">
        <v>43.16</v>
      </c>
      <c r="H2050">
        <v>28586</v>
      </c>
      <c r="I2050">
        <v>790</v>
      </c>
      <c r="J2050">
        <v>0.28</v>
      </c>
      <c r="K2050">
        <v>16.82</v>
      </c>
      <c r="L2050">
        <v>41.45</v>
      </c>
      <c r="M2050">
        <v>43.16</v>
      </c>
      <c r="N2050">
        <v>41.06</v>
      </c>
      <c r="O2050">
        <v>41.45</v>
      </c>
      <c r="P2050">
        <v>75.36</v>
      </c>
      <c r="Q2050">
        <v>121401704</v>
      </c>
      <c r="R2050">
        <v>1.44</v>
      </c>
      <c r="S2050" t="s">
        <v>63</v>
      </c>
      <c r="T2050" t="s">
        <v>31</v>
      </c>
      <c r="U2050">
        <v>5.07</v>
      </c>
      <c r="V2050">
        <v>42.47</v>
      </c>
      <c r="W2050">
        <v>12682</v>
      </c>
      <c r="X2050">
        <v>15903</v>
      </c>
      <c r="Y2050">
        <v>0.8</v>
      </c>
      <c r="Z2050">
        <v>111</v>
      </c>
      <c r="AA2050">
        <v>45</v>
      </c>
      <c r="AB2050" t="s">
        <v>32</v>
      </c>
      <c r="AC2050">
        <v>0.17</v>
      </c>
    </row>
    <row r="2051" spans="1:29">
      <c r="A2051" t="str">
        <f>"300690"</f>
        <v>300690</v>
      </c>
      <c r="B2051" t="s">
        <v>2220</v>
      </c>
      <c r="C2051">
        <v>1.3</v>
      </c>
      <c r="D2051">
        <v>26.54</v>
      </c>
      <c r="E2051">
        <v>0.34</v>
      </c>
      <c r="F2051">
        <v>26.53</v>
      </c>
      <c r="G2051">
        <v>26.54</v>
      </c>
      <c r="H2051">
        <v>15704</v>
      </c>
      <c r="I2051">
        <v>686</v>
      </c>
      <c r="J2051">
        <v>0</v>
      </c>
      <c r="K2051">
        <v>5.66</v>
      </c>
      <c r="L2051">
        <v>26.29</v>
      </c>
      <c r="M2051">
        <v>26.84</v>
      </c>
      <c r="N2051">
        <v>26</v>
      </c>
      <c r="O2051">
        <v>26.2</v>
      </c>
      <c r="P2051">
        <v>43.73</v>
      </c>
      <c r="Q2051">
        <v>41497476</v>
      </c>
      <c r="R2051">
        <v>0.61</v>
      </c>
      <c r="S2051" t="s">
        <v>104</v>
      </c>
      <c r="T2051" t="s">
        <v>162</v>
      </c>
      <c r="U2051">
        <v>3.21</v>
      </c>
      <c r="V2051">
        <v>26.42</v>
      </c>
      <c r="W2051">
        <v>7969</v>
      </c>
      <c r="X2051">
        <v>7735</v>
      </c>
      <c r="Y2051">
        <v>1.03</v>
      </c>
      <c r="Z2051">
        <v>115</v>
      </c>
      <c r="AA2051">
        <v>21</v>
      </c>
      <c r="AB2051" t="s">
        <v>32</v>
      </c>
      <c r="AC2051">
        <v>0.28</v>
      </c>
    </row>
    <row r="2052" spans="1:29">
      <c r="A2052" t="str">
        <f>"300691"</f>
        <v>300691</v>
      </c>
      <c r="B2052" t="s">
        <v>2221</v>
      </c>
      <c r="C2052">
        <v>1.61</v>
      </c>
      <c r="D2052">
        <v>28.35</v>
      </c>
      <c r="E2052">
        <v>0.45</v>
      </c>
      <c r="F2052">
        <v>28.35</v>
      </c>
      <c r="G2052">
        <v>28.36</v>
      </c>
      <c r="H2052">
        <v>17306</v>
      </c>
      <c r="I2052">
        <v>448</v>
      </c>
      <c r="J2052">
        <v>0.75</v>
      </c>
      <c r="K2052">
        <v>5.05</v>
      </c>
      <c r="L2052">
        <v>27.83</v>
      </c>
      <c r="M2052">
        <v>28.53</v>
      </c>
      <c r="N2052">
        <v>27.47</v>
      </c>
      <c r="O2052">
        <v>27.9</v>
      </c>
      <c r="P2052">
        <v>141.65</v>
      </c>
      <c r="Q2052">
        <v>48568632</v>
      </c>
      <c r="R2052">
        <v>1.44</v>
      </c>
      <c r="S2052" t="s">
        <v>63</v>
      </c>
      <c r="T2052" t="s">
        <v>136</v>
      </c>
      <c r="U2052">
        <v>3.8</v>
      </c>
      <c r="V2052">
        <v>28.06</v>
      </c>
      <c r="W2052">
        <v>9263</v>
      </c>
      <c r="X2052">
        <v>8043</v>
      </c>
      <c r="Y2052">
        <v>1.15</v>
      </c>
      <c r="Z2052">
        <v>49</v>
      </c>
      <c r="AA2052">
        <v>90</v>
      </c>
      <c r="AB2052" t="s">
        <v>32</v>
      </c>
      <c r="AC2052">
        <v>0.34</v>
      </c>
    </row>
    <row r="2053" spans="1:29">
      <c r="A2053" t="str">
        <f>"300692"</f>
        <v>300692</v>
      </c>
      <c r="B2053" t="s">
        <v>2222</v>
      </c>
      <c r="C2053">
        <v>1.41</v>
      </c>
      <c r="D2053">
        <v>22.23</v>
      </c>
      <c r="E2053">
        <v>0.31</v>
      </c>
      <c r="F2053">
        <v>22.23</v>
      </c>
      <c r="G2053">
        <v>22.24</v>
      </c>
      <c r="H2053">
        <v>25368</v>
      </c>
      <c r="I2053">
        <v>567</v>
      </c>
      <c r="J2053">
        <v>0.05</v>
      </c>
      <c r="K2053">
        <v>6.34</v>
      </c>
      <c r="L2053">
        <v>22.02</v>
      </c>
      <c r="M2053">
        <v>22.5</v>
      </c>
      <c r="N2053">
        <v>21.9</v>
      </c>
      <c r="O2053">
        <v>21.92</v>
      </c>
      <c r="P2053">
        <v>109.93</v>
      </c>
      <c r="Q2053">
        <v>56245276</v>
      </c>
      <c r="R2053">
        <v>1.19</v>
      </c>
      <c r="S2053" t="s">
        <v>86</v>
      </c>
      <c r="T2053" t="s">
        <v>143</v>
      </c>
      <c r="U2053">
        <v>2.74</v>
      </c>
      <c r="V2053">
        <v>22.17</v>
      </c>
      <c r="W2053">
        <v>12057</v>
      </c>
      <c r="X2053">
        <v>13311</v>
      </c>
      <c r="Y2053">
        <v>0.91</v>
      </c>
      <c r="Z2053">
        <v>203</v>
      </c>
      <c r="AA2053">
        <v>5</v>
      </c>
      <c r="AB2053" t="s">
        <v>32</v>
      </c>
      <c r="AC2053">
        <v>0.4</v>
      </c>
    </row>
    <row r="2054" spans="1:29">
      <c r="A2054" t="str">
        <f>"300693"</f>
        <v>300693</v>
      </c>
      <c r="B2054" t="s">
        <v>2223</v>
      </c>
      <c r="C2054">
        <v>1.76</v>
      </c>
      <c r="D2054">
        <v>24.26</v>
      </c>
      <c r="E2054">
        <v>0.42</v>
      </c>
      <c r="F2054">
        <v>24.26</v>
      </c>
      <c r="G2054">
        <v>24.27</v>
      </c>
      <c r="H2054">
        <v>30964</v>
      </c>
      <c r="I2054">
        <v>759</v>
      </c>
      <c r="J2054">
        <v>-0.15</v>
      </c>
      <c r="K2054">
        <v>9.05</v>
      </c>
      <c r="L2054">
        <v>23.74</v>
      </c>
      <c r="M2054">
        <v>24.38</v>
      </c>
      <c r="N2054">
        <v>23.63</v>
      </c>
      <c r="O2054">
        <v>23.84</v>
      </c>
      <c r="P2054">
        <v>66.42</v>
      </c>
      <c r="Q2054">
        <v>74718208</v>
      </c>
      <c r="R2054">
        <v>0.69</v>
      </c>
      <c r="S2054" t="s">
        <v>104</v>
      </c>
      <c r="T2054" t="s">
        <v>31</v>
      </c>
      <c r="U2054">
        <v>3.15</v>
      </c>
      <c r="V2054">
        <v>24.13</v>
      </c>
      <c r="W2054">
        <v>13487</v>
      </c>
      <c r="X2054">
        <v>17476</v>
      </c>
      <c r="Y2054">
        <v>0.77</v>
      </c>
      <c r="Z2054">
        <v>336</v>
      </c>
      <c r="AA2054">
        <v>25</v>
      </c>
      <c r="AB2054" t="s">
        <v>32</v>
      </c>
      <c r="AC2054">
        <v>0.34</v>
      </c>
    </row>
    <row r="2055" spans="1:29">
      <c r="A2055" t="str">
        <f>"300695"</f>
        <v>300695</v>
      </c>
      <c r="B2055" t="s">
        <v>2224</v>
      </c>
      <c r="C2055">
        <v>1.62</v>
      </c>
      <c r="D2055">
        <v>65.12</v>
      </c>
      <c r="E2055">
        <v>1.04</v>
      </c>
      <c r="F2055">
        <v>65.12</v>
      </c>
      <c r="G2055">
        <v>65.13</v>
      </c>
      <c r="H2055">
        <v>3812</v>
      </c>
      <c r="I2055">
        <v>53</v>
      </c>
      <c r="J2055">
        <v>0.09</v>
      </c>
      <c r="K2055">
        <v>2.29</v>
      </c>
      <c r="L2055">
        <v>63.72</v>
      </c>
      <c r="M2055">
        <v>65.2</v>
      </c>
      <c r="N2055">
        <v>63.72</v>
      </c>
      <c r="O2055">
        <v>64.08</v>
      </c>
      <c r="P2055">
        <v>37.89</v>
      </c>
      <c r="Q2055">
        <v>24686034</v>
      </c>
      <c r="R2055">
        <v>1.59</v>
      </c>
      <c r="S2055" t="s">
        <v>80</v>
      </c>
      <c r="T2055" t="s">
        <v>149</v>
      </c>
      <c r="U2055">
        <v>2.31</v>
      </c>
      <c r="V2055">
        <v>64.76</v>
      </c>
      <c r="W2055">
        <v>1655</v>
      </c>
      <c r="X2055">
        <v>2157</v>
      </c>
      <c r="Y2055">
        <v>0.77</v>
      </c>
      <c r="Z2055">
        <v>7</v>
      </c>
      <c r="AA2055">
        <v>1</v>
      </c>
      <c r="AB2055" t="s">
        <v>32</v>
      </c>
      <c r="AC2055">
        <v>0.17</v>
      </c>
    </row>
    <row r="2056" spans="1:29">
      <c r="A2056" t="str">
        <f>"300696"</f>
        <v>300696</v>
      </c>
      <c r="B2056" t="s">
        <v>2225</v>
      </c>
      <c r="C2056">
        <v>0.68</v>
      </c>
      <c r="D2056">
        <v>32.37</v>
      </c>
      <c r="E2056">
        <v>0.22</v>
      </c>
      <c r="F2056">
        <v>32.37</v>
      </c>
      <c r="G2056">
        <v>32.38</v>
      </c>
      <c r="H2056">
        <v>16137</v>
      </c>
      <c r="I2056">
        <v>237</v>
      </c>
      <c r="J2056">
        <v>-0.02</v>
      </c>
      <c r="K2056">
        <v>5.5</v>
      </c>
      <c r="L2056">
        <v>32.15</v>
      </c>
      <c r="M2056">
        <v>32.93</v>
      </c>
      <c r="N2056">
        <v>31.55</v>
      </c>
      <c r="O2056">
        <v>32.15</v>
      </c>
      <c r="P2056">
        <v>104.4</v>
      </c>
      <c r="Q2056">
        <v>51945624</v>
      </c>
      <c r="R2056">
        <v>1.18</v>
      </c>
      <c r="S2056" t="s">
        <v>389</v>
      </c>
      <c r="T2056" t="s">
        <v>146</v>
      </c>
      <c r="U2056">
        <v>4.29</v>
      </c>
      <c r="V2056">
        <v>32.19</v>
      </c>
      <c r="W2056">
        <v>8730</v>
      </c>
      <c r="X2056">
        <v>7406</v>
      </c>
      <c r="Y2056">
        <v>1.18</v>
      </c>
      <c r="Z2056">
        <v>113</v>
      </c>
      <c r="AA2056">
        <v>29</v>
      </c>
      <c r="AB2056" t="s">
        <v>32</v>
      </c>
      <c r="AC2056">
        <v>0.29</v>
      </c>
    </row>
    <row r="2057" spans="1:29">
      <c r="A2057" t="str">
        <f>"300697"</f>
        <v>300697</v>
      </c>
      <c r="B2057" t="s">
        <v>2226</v>
      </c>
      <c r="C2057">
        <v>1.33</v>
      </c>
      <c r="D2057">
        <v>15.95</v>
      </c>
      <c r="E2057">
        <v>0.21</v>
      </c>
      <c r="F2057">
        <v>15.95</v>
      </c>
      <c r="G2057">
        <v>15.96</v>
      </c>
      <c r="H2057">
        <v>102200</v>
      </c>
      <c r="I2057">
        <v>1812</v>
      </c>
      <c r="J2057">
        <v>-0.18</v>
      </c>
      <c r="K2057">
        <v>19.65</v>
      </c>
      <c r="L2057">
        <v>15.69</v>
      </c>
      <c r="M2057">
        <v>16.5</v>
      </c>
      <c r="N2057">
        <v>15.53</v>
      </c>
      <c r="O2057">
        <v>15.74</v>
      </c>
      <c r="P2057">
        <v>47.69</v>
      </c>
      <c r="Q2057">
        <v>163924784</v>
      </c>
      <c r="R2057">
        <v>2.21</v>
      </c>
      <c r="S2057" t="s">
        <v>340</v>
      </c>
      <c r="T2057" t="s">
        <v>87</v>
      </c>
      <c r="U2057">
        <v>6.16</v>
      </c>
      <c r="V2057">
        <v>16.04</v>
      </c>
      <c r="W2057">
        <v>51000</v>
      </c>
      <c r="X2057">
        <v>51199</v>
      </c>
      <c r="Y2057">
        <v>1</v>
      </c>
      <c r="Z2057">
        <v>681</v>
      </c>
      <c r="AA2057">
        <v>78</v>
      </c>
      <c r="AB2057" t="s">
        <v>32</v>
      </c>
      <c r="AC2057">
        <v>0.52</v>
      </c>
    </row>
    <row r="2058" spans="1:29">
      <c r="A2058" t="str">
        <f>"300698"</f>
        <v>300698</v>
      </c>
      <c r="B2058" t="s">
        <v>2227</v>
      </c>
      <c r="C2058">
        <v>1.66</v>
      </c>
      <c r="D2058">
        <v>21.99</v>
      </c>
      <c r="E2058">
        <v>0.36</v>
      </c>
      <c r="F2058">
        <v>21.99</v>
      </c>
      <c r="G2058">
        <v>22</v>
      </c>
      <c r="H2058">
        <v>13574</v>
      </c>
      <c r="I2058">
        <v>434</v>
      </c>
      <c r="J2058">
        <v>0.23</v>
      </c>
      <c r="K2058">
        <v>4.05</v>
      </c>
      <c r="L2058">
        <v>21.63</v>
      </c>
      <c r="M2058">
        <v>22.01</v>
      </c>
      <c r="N2058">
        <v>21.43</v>
      </c>
      <c r="O2058">
        <v>21.63</v>
      </c>
      <c r="P2058" t="s">
        <v>32</v>
      </c>
      <c r="Q2058">
        <v>29636742</v>
      </c>
      <c r="R2058">
        <v>1.07</v>
      </c>
      <c r="S2058" t="s">
        <v>119</v>
      </c>
      <c r="T2058" t="s">
        <v>149</v>
      </c>
      <c r="U2058">
        <v>2.68</v>
      </c>
      <c r="V2058">
        <v>21.83</v>
      </c>
      <c r="W2058">
        <v>5641</v>
      </c>
      <c r="X2058">
        <v>7932</v>
      </c>
      <c r="Y2058">
        <v>0.71</v>
      </c>
      <c r="Z2058">
        <v>308</v>
      </c>
      <c r="AA2058">
        <v>242</v>
      </c>
      <c r="AB2058" t="s">
        <v>32</v>
      </c>
      <c r="AC2058">
        <v>0.34</v>
      </c>
    </row>
    <row r="2059" spans="1:29">
      <c r="A2059" t="str">
        <f>"300699"</f>
        <v>300699</v>
      </c>
      <c r="B2059" t="s">
        <v>2228</v>
      </c>
      <c r="C2059">
        <v>-0.1</v>
      </c>
      <c r="D2059">
        <v>49.6</v>
      </c>
      <c r="E2059">
        <v>-0.05</v>
      </c>
      <c r="F2059">
        <v>49.59</v>
      </c>
      <c r="G2059">
        <v>49.6</v>
      </c>
      <c r="H2059">
        <v>26223</v>
      </c>
      <c r="I2059">
        <v>682</v>
      </c>
      <c r="J2059">
        <v>0</v>
      </c>
      <c r="K2059">
        <v>2.85</v>
      </c>
      <c r="L2059">
        <v>49.93</v>
      </c>
      <c r="M2059">
        <v>50</v>
      </c>
      <c r="N2059">
        <v>49.18</v>
      </c>
      <c r="O2059">
        <v>49.65</v>
      </c>
      <c r="P2059">
        <v>52.66</v>
      </c>
      <c r="Q2059">
        <v>130013360</v>
      </c>
      <c r="R2059">
        <v>1.1</v>
      </c>
      <c r="S2059" t="s">
        <v>218</v>
      </c>
      <c r="T2059" t="s">
        <v>162</v>
      </c>
      <c r="U2059">
        <v>1.65</v>
      </c>
      <c r="V2059">
        <v>49.58</v>
      </c>
      <c r="W2059">
        <v>14794</v>
      </c>
      <c r="X2059">
        <v>11429</v>
      </c>
      <c r="Y2059">
        <v>1.29</v>
      </c>
      <c r="Z2059">
        <v>13</v>
      </c>
      <c r="AA2059">
        <v>46</v>
      </c>
      <c r="AB2059" t="s">
        <v>32</v>
      </c>
      <c r="AC2059">
        <v>0.92</v>
      </c>
    </row>
    <row r="2060" spans="1:29">
      <c r="A2060" t="str">
        <f>"300700"</f>
        <v>300700</v>
      </c>
      <c r="B2060" t="s">
        <v>2229</v>
      </c>
      <c r="C2060">
        <v>3.81</v>
      </c>
      <c r="D2060">
        <v>42.74</v>
      </c>
      <c r="E2060">
        <v>1.57</v>
      </c>
      <c r="F2060">
        <v>42.74</v>
      </c>
      <c r="G2060">
        <v>42.75</v>
      </c>
      <c r="H2060">
        <v>18485</v>
      </c>
      <c r="I2060">
        <v>378</v>
      </c>
      <c r="J2060">
        <v>-0.01</v>
      </c>
      <c r="K2060">
        <v>8.97</v>
      </c>
      <c r="L2060">
        <v>40.98</v>
      </c>
      <c r="M2060">
        <v>42.86</v>
      </c>
      <c r="N2060">
        <v>40.96</v>
      </c>
      <c r="O2060">
        <v>41.17</v>
      </c>
      <c r="P2060">
        <v>22.5</v>
      </c>
      <c r="Q2060">
        <v>77885392</v>
      </c>
      <c r="R2060">
        <v>0.75</v>
      </c>
      <c r="S2060" t="s">
        <v>227</v>
      </c>
      <c r="T2060" t="s">
        <v>152</v>
      </c>
      <c r="U2060">
        <v>4.62</v>
      </c>
      <c r="V2060">
        <v>42.14</v>
      </c>
      <c r="W2060">
        <v>8205</v>
      </c>
      <c r="X2060">
        <v>10279</v>
      </c>
      <c r="Y2060">
        <v>0.8</v>
      </c>
      <c r="Z2060">
        <v>114</v>
      </c>
      <c r="AA2060">
        <v>164</v>
      </c>
      <c r="AB2060" t="s">
        <v>32</v>
      </c>
      <c r="AC2060">
        <v>0.21</v>
      </c>
    </row>
    <row r="2061" spans="1:29">
      <c r="A2061" t="str">
        <f>"300701"</f>
        <v>300701</v>
      </c>
      <c r="B2061" t="s">
        <v>2230</v>
      </c>
      <c r="C2061">
        <v>0.42</v>
      </c>
      <c r="D2061">
        <v>48.18</v>
      </c>
      <c r="E2061">
        <v>0.2</v>
      </c>
      <c r="F2061">
        <v>48.18</v>
      </c>
      <c r="G2061">
        <v>48.19</v>
      </c>
      <c r="H2061">
        <v>20710</v>
      </c>
      <c r="I2061">
        <v>618</v>
      </c>
      <c r="J2061">
        <v>0.21</v>
      </c>
      <c r="K2061">
        <v>10.35</v>
      </c>
      <c r="L2061">
        <v>48.32</v>
      </c>
      <c r="M2061">
        <v>48.38</v>
      </c>
      <c r="N2061">
        <v>47.2</v>
      </c>
      <c r="O2061">
        <v>47.98</v>
      </c>
      <c r="P2061">
        <v>79.26</v>
      </c>
      <c r="Q2061">
        <v>99227360</v>
      </c>
      <c r="R2061">
        <v>0.68</v>
      </c>
      <c r="S2061" t="s">
        <v>63</v>
      </c>
      <c r="T2061" t="s">
        <v>164</v>
      </c>
      <c r="U2061">
        <v>2.46</v>
      </c>
      <c r="V2061">
        <v>47.91</v>
      </c>
      <c r="W2061">
        <v>11697</v>
      </c>
      <c r="X2061">
        <v>9012</v>
      </c>
      <c r="Y2061">
        <v>1.3</v>
      </c>
      <c r="Z2061">
        <v>53</v>
      </c>
      <c r="AA2061">
        <v>23</v>
      </c>
      <c r="AB2061" t="s">
        <v>32</v>
      </c>
      <c r="AC2061">
        <v>0.2</v>
      </c>
    </row>
    <row r="2062" spans="1:29">
      <c r="A2062" t="str">
        <f>"300702"</f>
        <v>300702</v>
      </c>
      <c r="B2062" t="s">
        <v>2231</v>
      </c>
      <c r="C2062">
        <v>3.82</v>
      </c>
      <c r="D2062">
        <v>20.93</v>
      </c>
      <c r="E2062">
        <v>0.77</v>
      </c>
      <c r="F2062">
        <v>20.92</v>
      </c>
      <c r="G2062">
        <v>20.93</v>
      </c>
      <c r="H2062">
        <v>33077</v>
      </c>
      <c r="I2062">
        <v>678</v>
      </c>
      <c r="J2062">
        <v>0.1</v>
      </c>
      <c r="K2062">
        <v>7.39</v>
      </c>
      <c r="L2062">
        <v>20.2</v>
      </c>
      <c r="M2062">
        <v>21.18</v>
      </c>
      <c r="N2062">
        <v>20.14</v>
      </c>
      <c r="O2062">
        <v>20.16</v>
      </c>
      <c r="P2062">
        <v>46.8</v>
      </c>
      <c r="Q2062">
        <v>68575304</v>
      </c>
      <c r="R2062">
        <v>1.12</v>
      </c>
      <c r="S2062" t="s">
        <v>142</v>
      </c>
      <c r="T2062" t="s">
        <v>149</v>
      </c>
      <c r="U2062">
        <v>5.16</v>
      </c>
      <c r="V2062">
        <v>20.73</v>
      </c>
      <c r="W2062">
        <v>15291</v>
      </c>
      <c r="X2062">
        <v>17785</v>
      </c>
      <c r="Y2062">
        <v>0.86</v>
      </c>
      <c r="Z2062">
        <v>135</v>
      </c>
      <c r="AA2062">
        <v>98</v>
      </c>
      <c r="AB2062" t="s">
        <v>32</v>
      </c>
      <c r="AC2062">
        <v>0.45</v>
      </c>
    </row>
    <row r="2063" spans="1:29">
      <c r="A2063" t="str">
        <f>"300703"</f>
        <v>300703</v>
      </c>
      <c r="B2063" t="s">
        <v>2232</v>
      </c>
      <c r="C2063">
        <v>5.94</v>
      </c>
      <c r="D2063">
        <v>22.46</v>
      </c>
      <c r="E2063">
        <v>1.26</v>
      </c>
      <c r="F2063">
        <v>22.46</v>
      </c>
      <c r="G2063">
        <v>22.47</v>
      </c>
      <c r="H2063">
        <v>81287</v>
      </c>
      <c r="I2063">
        <v>1468</v>
      </c>
      <c r="J2063">
        <v>0</v>
      </c>
      <c r="K2063">
        <v>27.1</v>
      </c>
      <c r="L2063">
        <v>21.25</v>
      </c>
      <c r="M2063">
        <v>22.83</v>
      </c>
      <c r="N2063">
        <v>20.71</v>
      </c>
      <c r="O2063">
        <v>21.2</v>
      </c>
      <c r="P2063">
        <v>382.19</v>
      </c>
      <c r="Q2063">
        <v>178443440</v>
      </c>
      <c r="R2063">
        <v>1.06</v>
      </c>
      <c r="S2063" t="s">
        <v>57</v>
      </c>
      <c r="T2063" t="s">
        <v>149</v>
      </c>
      <c r="U2063">
        <v>10</v>
      </c>
      <c r="V2063">
        <v>21.95</v>
      </c>
      <c r="W2063">
        <v>36909</v>
      </c>
      <c r="X2063">
        <v>44378</v>
      </c>
      <c r="Y2063">
        <v>0.83</v>
      </c>
      <c r="Z2063">
        <v>104</v>
      </c>
      <c r="AA2063">
        <v>105</v>
      </c>
      <c r="AB2063" t="s">
        <v>32</v>
      </c>
      <c r="AC2063">
        <v>0.3</v>
      </c>
    </row>
    <row r="2064" spans="1:29">
      <c r="A2064" t="str">
        <f>"300705"</f>
        <v>300705</v>
      </c>
      <c r="B2064" t="s">
        <v>2233</v>
      </c>
      <c r="C2064">
        <v>0.68</v>
      </c>
      <c r="D2064">
        <v>22.18</v>
      </c>
      <c r="E2064">
        <v>0.15</v>
      </c>
      <c r="F2064">
        <v>22.18</v>
      </c>
      <c r="G2064">
        <v>22.19</v>
      </c>
      <c r="H2064">
        <v>82722</v>
      </c>
      <c r="I2064">
        <v>1666</v>
      </c>
      <c r="J2064">
        <v>-0.26</v>
      </c>
      <c r="K2064">
        <v>14.1</v>
      </c>
      <c r="L2064">
        <v>21.1</v>
      </c>
      <c r="M2064">
        <v>22.69</v>
      </c>
      <c r="N2064">
        <v>21.1</v>
      </c>
      <c r="O2064">
        <v>22.03</v>
      </c>
      <c r="P2064">
        <v>101.72</v>
      </c>
      <c r="Q2064">
        <v>183671744</v>
      </c>
      <c r="R2064">
        <v>1.02</v>
      </c>
      <c r="S2064" t="s">
        <v>142</v>
      </c>
      <c r="T2064" t="s">
        <v>152</v>
      </c>
      <c r="U2064">
        <v>7.22</v>
      </c>
      <c r="V2064">
        <v>22.2</v>
      </c>
      <c r="W2064">
        <v>43803</v>
      </c>
      <c r="X2064">
        <v>38918</v>
      </c>
      <c r="Y2064">
        <v>1.13</v>
      </c>
      <c r="Z2064">
        <v>55</v>
      </c>
      <c r="AA2064">
        <v>193</v>
      </c>
      <c r="AB2064" t="s">
        <v>32</v>
      </c>
      <c r="AC2064">
        <v>0.59</v>
      </c>
    </row>
    <row r="2065" spans="1:29">
      <c r="A2065" t="str">
        <f>"300706"</f>
        <v>300706</v>
      </c>
      <c r="B2065" t="s">
        <v>2234</v>
      </c>
      <c r="C2065">
        <v>-0.55</v>
      </c>
      <c r="D2065">
        <v>48.94</v>
      </c>
      <c r="E2065">
        <v>-0.27</v>
      </c>
      <c r="F2065">
        <v>48.94</v>
      </c>
      <c r="G2065">
        <v>48.95</v>
      </c>
      <c r="H2065">
        <v>41962</v>
      </c>
      <c r="I2065">
        <v>784</v>
      </c>
      <c r="J2065">
        <v>0.23</v>
      </c>
      <c r="K2065">
        <v>11.89</v>
      </c>
      <c r="L2065">
        <v>49.61</v>
      </c>
      <c r="M2065">
        <v>49.61</v>
      </c>
      <c r="N2065">
        <v>47.91</v>
      </c>
      <c r="O2065">
        <v>49.21</v>
      </c>
      <c r="P2065">
        <v>128.67</v>
      </c>
      <c r="Q2065">
        <v>204400320</v>
      </c>
      <c r="R2065">
        <v>0.83</v>
      </c>
      <c r="S2065" t="s">
        <v>63</v>
      </c>
      <c r="T2065" t="s">
        <v>236</v>
      </c>
      <c r="U2065">
        <v>3.45</v>
      </c>
      <c r="V2065">
        <v>48.71</v>
      </c>
      <c r="W2065">
        <v>20866</v>
      </c>
      <c r="X2065">
        <v>21095</v>
      </c>
      <c r="Y2065">
        <v>0.99</v>
      </c>
      <c r="Z2065">
        <v>210</v>
      </c>
      <c r="AA2065">
        <v>100</v>
      </c>
      <c r="AB2065" t="s">
        <v>32</v>
      </c>
      <c r="AC2065">
        <v>0.35</v>
      </c>
    </row>
    <row r="2066" spans="1:29">
      <c r="A2066" t="str">
        <f>"300707"</f>
        <v>300707</v>
      </c>
      <c r="B2066" t="s">
        <v>2235</v>
      </c>
      <c r="C2066">
        <v>4.05</v>
      </c>
      <c r="D2066">
        <v>31.58</v>
      </c>
      <c r="E2066">
        <v>1.23</v>
      </c>
      <c r="F2066">
        <v>31.58</v>
      </c>
      <c r="G2066">
        <v>31.59</v>
      </c>
      <c r="H2066">
        <v>84777</v>
      </c>
      <c r="I2066">
        <v>1586</v>
      </c>
      <c r="J2066">
        <v>0.22</v>
      </c>
      <c r="K2066">
        <v>21.57</v>
      </c>
      <c r="L2066">
        <v>30.39</v>
      </c>
      <c r="M2066">
        <v>31.87</v>
      </c>
      <c r="N2066">
        <v>30.17</v>
      </c>
      <c r="O2066">
        <v>30.35</v>
      </c>
      <c r="P2066">
        <v>40.18</v>
      </c>
      <c r="Q2066">
        <v>263048640</v>
      </c>
      <c r="R2066">
        <v>1.5</v>
      </c>
      <c r="S2066" t="s">
        <v>171</v>
      </c>
      <c r="T2066" t="s">
        <v>87</v>
      </c>
      <c r="U2066">
        <v>5.6</v>
      </c>
      <c r="V2066">
        <v>31.03</v>
      </c>
      <c r="W2066">
        <v>39945</v>
      </c>
      <c r="X2066">
        <v>44831</v>
      </c>
      <c r="Y2066">
        <v>0.89</v>
      </c>
      <c r="Z2066">
        <v>683</v>
      </c>
      <c r="AA2066">
        <v>81</v>
      </c>
      <c r="AB2066" t="s">
        <v>32</v>
      </c>
      <c r="AC2066">
        <v>0.39</v>
      </c>
    </row>
    <row r="2067" spans="1:29">
      <c r="A2067" t="str">
        <f>"300708"</f>
        <v>300708</v>
      </c>
      <c r="B2067" t="s">
        <v>2236</v>
      </c>
      <c r="C2067">
        <v>1.43</v>
      </c>
      <c r="D2067">
        <v>16.3</v>
      </c>
      <c r="E2067">
        <v>0.23</v>
      </c>
      <c r="F2067">
        <v>16.29</v>
      </c>
      <c r="G2067">
        <v>16.3</v>
      </c>
      <c r="H2067">
        <v>38275</v>
      </c>
      <c r="I2067">
        <v>1333</v>
      </c>
      <c r="J2067">
        <v>0.18</v>
      </c>
      <c r="K2067">
        <v>5.95</v>
      </c>
      <c r="L2067">
        <v>16.06</v>
      </c>
      <c r="M2067">
        <v>16.32</v>
      </c>
      <c r="N2067">
        <v>15.81</v>
      </c>
      <c r="O2067">
        <v>16.07</v>
      </c>
      <c r="P2067">
        <v>427.87</v>
      </c>
      <c r="Q2067">
        <v>61766184</v>
      </c>
      <c r="R2067">
        <v>1.3</v>
      </c>
      <c r="S2067" t="s">
        <v>699</v>
      </c>
      <c r="T2067" t="s">
        <v>87</v>
      </c>
      <c r="U2067">
        <v>3.17</v>
      </c>
      <c r="V2067">
        <v>16.14</v>
      </c>
      <c r="W2067">
        <v>18349</v>
      </c>
      <c r="X2067">
        <v>19926</v>
      </c>
      <c r="Y2067">
        <v>0.92</v>
      </c>
      <c r="Z2067">
        <v>155</v>
      </c>
      <c r="AA2067">
        <v>370</v>
      </c>
      <c r="AB2067" t="s">
        <v>32</v>
      </c>
      <c r="AC2067">
        <v>0.64</v>
      </c>
    </row>
    <row r="2068" spans="1:29">
      <c r="A2068" t="str">
        <f>"300709"</f>
        <v>300709</v>
      </c>
      <c r="B2068" t="s">
        <v>2237</v>
      </c>
      <c r="C2068">
        <v>3.35</v>
      </c>
      <c r="D2068">
        <v>41.65</v>
      </c>
      <c r="E2068">
        <v>1.35</v>
      </c>
      <c r="F2068">
        <v>41.64</v>
      </c>
      <c r="G2068">
        <v>41.65</v>
      </c>
      <c r="H2068">
        <v>12218</v>
      </c>
      <c r="I2068">
        <v>336</v>
      </c>
      <c r="J2068">
        <v>0.12</v>
      </c>
      <c r="K2068">
        <v>5.55</v>
      </c>
      <c r="L2068">
        <v>40.31</v>
      </c>
      <c r="M2068">
        <v>41.8</v>
      </c>
      <c r="N2068">
        <v>40.01</v>
      </c>
      <c r="O2068">
        <v>40.3</v>
      </c>
      <c r="P2068">
        <v>360.95</v>
      </c>
      <c r="Q2068">
        <v>50145768</v>
      </c>
      <c r="R2068">
        <v>1.82</v>
      </c>
      <c r="S2068" t="s">
        <v>63</v>
      </c>
      <c r="T2068" t="s">
        <v>87</v>
      </c>
      <c r="U2068">
        <v>4.44</v>
      </c>
      <c r="V2068">
        <v>41.04</v>
      </c>
      <c r="W2068">
        <v>5077</v>
      </c>
      <c r="X2068">
        <v>7141</v>
      </c>
      <c r="Y2068">
        <v>0.71</v>
      </c>
      <c r="Z2068">
        <v>9</v>
      </c>
      <c r="AA2068">
        <v>29</v>
      </c>
      <c r="AB2068" t="s">
        <v>32</v>
      </c>
      <c r="AC2068">
        <v>0.22</v>
      </c>
    </row>
    <row r="2069" spans="1:29">
      <c r="A2069" t="str">
        <f>"300710"</f>
        <v>300710</v>
      </c>
      <c r="B2069" t="s">
        <v>2238</v>
      </c>
      <c r="C2069">
        <v>1.7</v>
      </c>
      <c r="D2069">
        <v>32.29</v>
      </c>
      <c r="E2069">
        <v>0.54</v>
      </c>
      <c r="F2069">
        <v>32.28</v>
      </c>
      <c r="G2069">
        <v>32.29</v>
      </c>
      <c r="H2069">
        <v>9774</v>
      </c>
      <c r="I2069">
        <v>199</v>
      </c>
      <c r="J2069">
        <v>0.09</v>
      </c>
      <c r="K2069">
        <v>5.59</v>
      </c>
      <c r="L2069">
        <v>31.8</v>
      </c>
      <c r="M2069">
        <v>32.3</v>
      </c>
      <c r="N2069">
        <v>31.51</v>
      </c>
      <c r="O2069">
        <v>31.75</v>
      </c>
      <c r="P2069">
        <v>451.97</v>
      </c>
      <c r="Q2069">
        <v>31396624</v>
      </c>
      <c r="R2069">
        <v>0.78</v>
      </c>
      <c r="S2069" t="s">
        <v>119</v>
      </c>
      <c r="T2069" t="s">
        <v>149</v>
      </c>
      <c r="U2069">
        <v>2.49</v>
      </c>
      <c r="V2069">
        <v>32.12</v>
      </c>
      <c r="W2069">
        <v>4622</v>
      </c>
      <c r="X2069">
        <v>5152</v>
      </c>
      <c r="Y2069">
        <v>0.9</v>
      </c>
      <c r="Z2069">
        <v>99</v>
      </c>
      <c r="AA2069">
        <v>69</v>
      </c>
      <c r="AB2069" t="s">
        <v>32</v>
      </c>
      <c r="AC2069">
        <v>0.18</v>
      </c>
    </row>
    <row r="2070" spans="1:29">
      <c r="A2070" t="str">
        <f>"300711"</f>
        <v>300711</v>
      </c>
      <c r="B2070" t="s">
        <v>2239</v>
      </c>
      <c r="C2070">
        <v>1.1</v>
      </c>
      <c r="D2070">
        <v>22.14</v>
      </c>
      <c r="E2070">
        <v>0.24</v>
      </c>
      <c r="F2070">
        <v>22.13</v>
      </c>
      <c r="G2070">
        <v>22.14</v>
      </c>
      <c r="H2070">
        <v>25541</v>
      </c>
      <c r="I2070">
        <v>478</v>
      </c>
      <c r="J2070">
        <v>0</v>
      </c>
      <c r="K2070">
        <v>7.08</v>
      </c>
      <c r="L2070">
        <v>22</v>
      </c>
      <c r="M2070">
        <v>22.2</v>
      </c>
      <c r="N2070">
        <v>21.52</v>
      </c>
      <c r="O2070">
        <v>21.9</v>
      </c>
      <c r="P2070" t="s">
        <v>32</v>
      </c>
      <c r="Q2070">
        <v>56097784</v>
      </c>
      <c r="R2070">
        <v>1.13</v>
      </c>
      <c r="S2070" t="s">
        <v>119</v>
      </c>
      <c r="T2070" t="s">
        <v>136</v>
      </c>
      <c r="U2070">
        <v>3.11</v>
      </c>
      <c r="V2070">
        <v>21.96</v>
      </c>
      <c r="W2070">
        <v>11466</v>
      </c>
      <c r="X2070">
        <v>14075</v>
      </c>
      <c r="Y2070">
        <v>0.81</v>
      </c>
      <c r="Z2070">
        <v>262</v>
      </c>
      <c r="AA2070">
        <v>93</v>
      </c>
      <c r="AB2070" t="s">
        <v>32</v>
      </c>
      <c r="AC2070">
        <v>0.36</v>
      </c>
    </row>
    <row r="2071" spans="1:29">
      <c r="A2071" t="str">
        <f>"300712"</f>
        <v>300712</v>
      </c>
      <c r="B2071" t="s">
        <v>2240</v>
      </c>
      <c r="C2071">
        <v>3.06</v>
      </c>
      <c r="D2071">
        <v>20.53</v>
      </c>
      <c r="E2071">
        <v>0.61</v>
      </c>
      <c r="F2071">
        <v>20.53</v>
      </c>
      <c r="G2071">
        <v>20.54</v>
      </c>
      <c r="H2071">
        <v>40092</v>
      </c>
      <c r="I2071">
        <v>287</v>
      </c>
      <c r="J2071">
        <v>-0.14</v>
      </c>
      <c r="K2071">
        <v>11.45</v>
      </c>
      <c r="L2071">
        <v>20</v>
      </c>
      <c r="M2071">
        <v>20.82</v>
      </c>
      <c r="N2071">
        <v>19.88</v>
      </c>
      <c r="O2071">
        <v>19.92</v>
      </c>
      <c r="P2071">
        <v>40.1</v>
      </c>
      <c r="Q2071">
        <v>81993120</v>
      </c>
      <c r="R2071">
        <v>2.26</v>
      </c>
      <c r="S2071" t="s">
        <v>49</v>
      </c>
      <c r="T2071" t="s">
        <v>236</v>
      </c>
      <c r="U2071">
        <v>4.72</v>
      </c>
      <c r="V2071">
        <v>20.45</v>
      </c>
      <c r="W2071">
        <v>18451</v>
      </c>
      <c r="X2071">
        <v>21640</v>
      </c>
      <c r="Y2071">
        <v>0.85</v>
      </c>
      <c r="Z2071">
        <v>98</v>
      </c>
      <c r="AA2071">
        <v>12</v>
      </c>
      <c r="AB2071" t="s">
        <v>32</v>
      </c>
      <c r="AC2071">
        <v>0.35</v>
      </c>
    </row>
    <row r="2072" spans="1:29">
      <c r="A2072" t="str">
        <f>"300713"</f>
        <v>300713</v>
      </c>
      <c r="B2072" t="s">
        <v>2241</v>
      </c>
      <c r="C2072">
        <v>2.03</v>
      </c>
      <c r="D2072">
        <v>36.75</v>
      </c>
      <c r="E2072">
        <v>0.73</v>
      </c>
      <c r="F2072">
        <v>36.75</v>
      </c>
      <c r="G2072">
        <v>36.76</v>
      </c>
      <c r="H2072">
        <v>11824</v>
      </c>
      <c r="I2072">
        <v>169</v>
      </c>
      <c r="J2072">
        <v>0.14</v>
      </c>
      <c r="K2072">
        <v>6.18</v>
      </c>
      <c r="L2072">
        <v>36.16</v>
      </c>
      <c r="M2072">
        <v>36.83</v>
      </c>
      <c r="N2072">
        <v>35.9</v>
      </c>
      <c r="O2072">
        <v>36.02</v>
      </c>
      <c r="P2072">
        <v>60.71</v>
      </c>
      <c r="Q2072">
        <v>43171068</v>
      </c>
      <c r="R2072">
        <v>0.63</v>
      </c>
      <c r="S2072" t="s">
        <v>104</v>
      </c>
      <c r="T2072" t="s">
        <v>31</v>
      </c>
      <c r="U2072">
        <v>2.58</v>
      </c>
      <c r="V2072">
        <v>36.51</v>
      </c>
      <c r="W2072">
        <v>5588</v>
      </c>
      <c r="X2072">
        <v>6236</v>
      </c>
      <c r="Y2072">
        <v>0.9</v>
      </c>
      <c r="Z2072">
        <v>82</v>
      </c>
      <c r="AA2072">
        <v>29</v>
      </c>
      <c r="AB2072" t="s">
        <v>32</v>
      </c>
      <c r="AC2072">
        <v>0.19</v>
      </c>
    </row>
    <row r="2073" spans="1:29">
      <c r="A2073" t="str">
        <f>"300715"</f>
        <v>300715</v>
      </c>
      <c r="B2073" t="s">
        <v>2242</v>
      </c>
      <c r="C2073">
        <v>-0.54</v>
      </c>
      <c r="D2073">
        <v>25.75</v>
      </c>
      <c r="E2073">
        <v>-0.14</v>
      </c>
      <c r="F2073">
        <v>25.75</v>
      </c>
      <c r="G2073">
        <v>25.76</v>
      </c>
      <c r="H2073">
        <v>48005</v>
      </c>
      <c r="I2073">
        <v>791</v>
      </c>
      <c r="J2073">
        <v>0</v>
      </c>
      <c r="K2073">
        <v>14.82</v>
      </c>
      <c r="L2073">
        <v>25.55</v>
      </c>
      <c r="M2073">
        <v>26.2</v>
      </c>
      <c r="N2073">
        <v>25.4</v>
      </c>
      <c r="O2073">
        <v>25.89</v>
      </c>
      <c r="P2073">
        <v>81.63</v>
      </c>
      <c r="Q2073">
        <v>123751016</v>
      </c>
      <c r="R2073">
        <v>1.29</v>
      </c>
      <c r="S2073" t="s">
        <v>69</v>
      </c>
      <c r="T2073" t="s">
        <v>87</v>
      </c>
      <c r="U2073">
        <v>3.09</v>
      </c>
      <c r="V2073">
        <v>25.78</v>
      </c>
      <c r="W2073">
        <v>26626</v>
      </c>
      <c r="X2073">
        <v>21378</v>
      </c>
      <c r="Y2073">
        <v>1.25</v>
      </c>
      <c r="Z2073">
        <v>165</v>
      </c>
      <c r="AA2073">
        <v>23</v>
      </c>
      <c r="AB2073" t="s">
        <v>32</v>
      </c>
      <c r="AC2073">
        <v>0.32</v>
      </c>
    </row>
    <row r="2074" spans="1:29">
      <c r="A2074" t="str">
        <f>"300716"</f>
        <v>300716</v>
      </c>
      <c r="B2074" t="s">
        <v>2243</v>
      </c>
      <c r="C2074">
        <v>1.2</v>
      </c>
      <c r="D2074">
        <v>16.88</v>
      </c>
      <c r="E2074">
        <v>0.2</v>
      </c>
      <c r="F2074">
        <v>16.87</v>
      </c>
      <c r="G2074">
        <v>16.88</v>
      </c>
      <c r="H2074">
        <v>28857</v>
      </c>
      <c r="I2074">
        <v>571</v>
      </c>
      <c r="J2074">
        <v>0.3</v>
      </c>
      <c r="K2074">
        <v>7.21</v>
      </c>
      <c r="L2074">
        <v>16.6</v>
      </c>
      <c r="M2074">
        <v>16.95</v>
      </c>
      <c r="N2074">
        <v>16.6</v>
      </c>
      <c r="O2074">
        <v>16.68</v>
      </c>
      <c r="P2074">
        <v>32.48</v>
      </c>
      <c r="Q2074">
        <v>48520288</v>
      </c>
      <c r="R2074">
        <v>1.06</v>
      </c>
      <c r="S2074" t="s">
        <v>508</v>
      </c>
      <c r="T2074" t="s">
        <v>136</v>
      </c>
      <c r="U2074">
        <v>2.1</v>
      </c>
      <c r="V2074">
        <v>16.81</v>
      </c>
      <c r="W2074">
        <v>12924</v>
      </c>
      <c r="X2074">
        <v>15933</v>
      </c>
      <c r="Y2074">
        <v>0.81</v>
      </c>
      <c r="Z2074">
        <v>107</v>
      </c>
      <c r="AA2074">
        <v>122</v>
      </c>
      <c r="AB2074" t="s">
        <v>32</v>
      </c>
      <c r="AC2074">
        <v>0.4</v>
      </c>
    </row>
    <row r="2075" spans="1:29">
      <c r="A2075" t="str">
        <f>"300717"</f>
        <v>300717</v>
      </c>
      <c r="B2075" t="s">
        <v>2244</v>
      </c>
      <c r="C2075">
        <v>1.89</v>
      </c>
      <c r="D2075">
        <v>22.09</v>
      </c>
      <c r="E2075">
        <v>0.41</v>
      </c>
      <c r="F2075">
        <v>22.08</v>
      </c>
      <c r="G2075">
        <v>22.09</v>
      </c>
      <c r="H2075">
        <v>18250</v>
      </c>
      <c r="I2075">
        <v>444</v>
      </c>
      <c r="J2075">
        <v>0.05</v>
      </c>
      <c r="K2075">
        <v>7.13</v>
      </c>
      <c r="L2075">
        <v>21.7</v>
      </c>
      <c r="M2075">
        <v>22.09</v>
      </c>
      <c r="N2075">
        <v>21.47</v>
      </c>
      <c r="O2075">
        <v>21.68</v>
      </c>
      <c r="P2075">
        <v>45.77</v>
      </c>
      <c r="Q2075">
        <v>39986084</v>
      </c>
      <c r="R2075">
        <v>1.29</v>
      </c>
      <c r="S2075" t="s">
        <v>508</v>
      </c>
      <c r="T2075" t="s">
        <v>87</v>
      </c>
      <c r="U2075">
        <v>2.86</v>
      </c>
      <c r="V2075">
        <v>21.91</v>
      </c>
      <c r="W2075">
        <v>8163</v>
      </c>
      <c r="X2075">
        <v>10086</v>
      </c>
      <c r="Y2075">
        <v>0.81</v>
      </c>
      <c r="Z2075">
        <v>135</v>
      </c>
      <c r="AA2075">
        <v>340</v>
      </c>
      <c r="AB2075" t="s">
        <v>32</v>
      </c>
      <c r="AC2075">
        <v>0.26</v>
      </c>
    </row>
    <row r="2076" spans="1:29">
      <c r="A2076" t="str">
        <f>"300718"</f>
        <v>300718</v>
      </c>
      <c r="B2076" t="s">
        <v>2245</v>
      </c>
      <c r="C2076">
        <v>0.77</v>
      </c>
      <c r="D2076">
        <v>20.9</v>
      </c>
      <c r="E2076">
        <v>0.16</v>
      </c>
      <c r="F2076">
        <v>20.89</v>
      </c>
      <c r="G2076">
        <v>20.9</v>
      </c>
      <c r="H2076">
        <v>89816</v>
      </c>
      <c r="I2076">
        <v>1979</v>
      </c>
      <c r="J2076">
        <v>0.19</v>
      </c>
      <c r="K2076">
        <v>18.14</v>
      </c>
      <c r="L2076">
        <v>20.6</v>
      </c>
      <c r="M2076">
        <v>21.18</v>
      </c>
      <c r="N2076">
        <v>20.6</v>
      </c>
      <c r="O2076">
        <v>20.74</v>
      </c>
      <c r="P2076">
        <v>37.24</v>
      </c>
      <c r="Q2076">
        <v>187826240</v>
      </c>
      <c r="R2076">
        <v>0.71</v>
      </c>
      <c r="S2076" t="s">
        <v>241</v>
      </c>
      <c r="T2076" t="s">
        <v>149</v>
      </c>
      <c r="U2076">
        <v>2.8</v>
      </c>
      <c r="V2076">
        <v>20.91</v>
      </c>
      <c r="W2076">
        <v>49094</v>
      </c>
      <c r="X2076">
        <v>40722</v>
      </c>
      <c r="Y2076">
        <v>1.21</v>
      </c>
      <c r="Z2076">
        <v>96</v>
      </c>
      <c r="AA2076">
        <v>133</v>
      </c>
      <c r="AB2076" t="s">
        <v>32</v>
      </c>
      <c r="AC2076">
        <v>0.5</v>
      </c>
    </row>
    <row r="2077" spans="1:29">
      <c r="A2077" t="str">
        <f>"300719"</f>
        <v>300719</v>
      </c>
      <c r="B2077" t="s">
        <v>2246</v>
      </c>
      <c r="C2077">
        <v>0.38</v>
      </c>
      <c r="D2077">
        <v>15.93</v>
      </c>
      <c r="E2077">
        <v>0.06</v>
      </c>
      <c r="F2077">
        <v>15.93</v>
      </c>
      <c r="G2077">
        <v>15.94</v>
      </c>
      <c r="H2077">
        <v>50391</v>
      </c>
      <c r="I2077">
        <v>413</v>
      </c>
      <c r="J2077">
        <v>-0.05</v>
      </c>
      <c r="K2077">
        <v>8</v>
      </c>
      <c r="L2077">
        <v>15.7</v>
      </c>
      <c r="M2077">
        <v>16.1</v>
      </c>
      <c r="N2077">
        <v>15.7</v>
      </c>
      <c r="O2077">
        <v>15.87</v>
      </c>
      <c r="P2077" t="s">
        <v>32</v>
      </c>
      <c r="Q2077">
        <v>80060152</v>
      </c>
      <c r="R2077">
        <v>1.46</v>
      </c>
      <c r="S2077" t="s">
        <v>389</v>
      </c>
      <c r="T2077" t="s">
        <v>45</v>
      </c>
      <c r="U2077">
        <v>2.52</v>
      </c>
      <c r="V2077">
        <v>15.89</v>
      </c>
      <c r="W2077">
        <v>25346</v>
      </c>
      <c r="X2077">
        <v>25044</v>
      </c>
      <c r="Y2077">
        <v>1.01</v>
      </c>
      <c r="Z2077">
        <v>275</v>
      </c>
      <c r="AA2077">
        <v>46</v>
      </c>
      <c r="AB2077" t="s">
        <v>32</v>
      </c>
      <c r="AC2077">
        <v>0.63</v>
      </c>
    </row>
    <row r="2078" spans="1:29">
      <c r="A2078" t="str">
        <f>"300720"</f>
        <v>300720</v>
      </c>
      <c r="B2078" t="s">
        <v>2247</v>
      </c>
      <c r="C2078">
        <v>0.29</v>
      </c>
      <c r="D2078">
        <v>37.57</v>
      </c>
      <c r="E2078">
        <v>0.11</v>
      </c>
      <c r="F2078">
        <v>37.57</v>
      </c>
      <c r="G2078">
        <v>37.58</v>
      </c>
      <c r="H2078">
        <v>36555</v>
      </c>
      <c r="I2078">
        <v>761</v>
      </c>
      <c r="J2078">
        <v>0.03</v>
      </c>
      <c r="K2078">
        <v>20.31</v>
      </c>
      <c r="L2078">
        <v>37.46</v>
      </c>
      <c r="M2078">
        <v>37.85</v>
      </c>
      <c r="N2078">
        <v>36.6</v>
      </c>
      <c r="O2078">
        <v>37.46</v>
      </c>
      <c r="P2078">
        <v>115.98</v>
      </c>
      <c r="Q2078">
        <v>136071152</v>
      </c>
      <c r="R2078">
        <v>1.29</v>
      </c>
      <c r="S2078" t="s">
        <v>606</v>
      </c>
      <c r="T2078" t="s">
        <v>136</v>
      </c>
      <c r="U2078">
        <v>3.34</v>
      </c>
      <c r="V2078">
        <v>37.22</v>
      </c>
      <c r="W2078">
        <v>19587</v>
      </c>
      <c r="X2078">
        <v>16968</v>
      </c>
      <c r="Y2078">
        <v>1.15</v>
      </c>
      <c r="Z2078">
        <v>248</v>
      </c>
      <c r="AA2078">
        <v>251</v>
      </c>
      <c r="AB2078" t="s">
        <v>32</v>
      </c>
      <c r="AC2078">
        <v>0.18</v>
      </c>
    </row>
    <row r="2079" spans="1:29">
      <c r="A2079" t="str">
        <f>"300721"</f>
        <v>300721</v>
      </c>
      <c r="B2079" t="s">
        <v>2248</v>
      </c>
      <c r="C2079">
        <v>2.75</v>
      </c>
      <c r="D2079">
        <v>31.8</v>
      </c>
      <c r="E2079">
        <v>0.85</v>
      </c>
      <c r="F2079">
        <v>31.8</v>
      </c>
      <c r="G2079">
        <v>31.85</v>
      </c>
      <c r="H2079">
        <v>21821</v>
      </c>
      <c r="I2079">
        <v>540</v>
      </c>
      <c r="J2079">
        <v>0.13</v>
      </c>
      <c r="K2079">
        <v>10.88</v>
      </c>
      <c r="L2079">
        <v>30.97</v>
      </c>
      <c r="M2079">
        <v>31.93</v>
      </c>
      <c r="N2079">
        <v>30.91</v>
      </c>
      <c r="O2079">
        <v>30.95</v>
      </c>
      <c r="P2079">
        <v>74.18</v>
      </c>
      <c r="Q2079">
        <v>68522488</v>
      </c>
      <c r="R2079">
        <v>0.84</v>
      </c>
      <c r="S2079" t="s">
        <v>218</v>
      </c>
      <c r="T2079" t="s">
        <v>87</v>
      </c>
      <c r="U2079">
        <v>3.3</v>
      </c>
      <c r="V2079">
        <v>31.4</v>
      </c>
      <c r="W2079">
        <v>10619</v>
      </c>
      <c r="X2079">
        <v>11202</v>
      </c>
      <c r="Y2079">
        <v>0.95</v>
      </c>
      <c r="Z2079">
        <v>316</v>
      </c>
      <c r="AA2079">
        <v>1</v>
      </c>
      <c r="AB2079" t="s">
        <v>32</v>
      </c>
      <c r="AC2079">
        <v>0.2</v>
      </c>
    </row>
    <row r="2080" spans="1:29">
      <c r="A2080" t="str">
        <f>"300722"</f>
        <v>300722</v>
      </c>
      <c r="B2080" t="s">
        <v>2249</v>
      </c>
      <c r="C2080">
        <v>2.7</v>
      </c>
      <c r="D2080">
        <v>45.2</v>
      </c>
      <c r="E2080">
        <v>1.19</v>
      </c>
      <c r="F2080">
        <v>45.19</v>
      </c>
      <c r="G2080">
        <v>45.2</v>
      </c>
      <c r="H2080">
        <v>44068</v>
      </c>
      <c r="I2080">
        <v>1348</v>
      </c>
      <c r="J2080">
        <v>0.6</v>
      </c>
      <c r="K2080">
        <v>22.03</v>
      </c>
      <c r="L2080">
        <v>43.6</v>
      </c>
      <c r="M2080">
        <v>45.2</v>
      </c>
      <c r="N2080">
        <v>42.78</v>
      </c>
      <c r="O2080">
        <v>44.01</v>
      </c>
      <c r="P2080">
        <v>167.6</v>
      </c>
      <c r="Q2080">
        <v>193402128</v>
      </c>
      <c r="R2080">
        <v>1.26</v>
      </c>
      <c r="S2080" t="s">
        <v>171</v>
      </c>
      <c r="T2080" t="s">
        <v>172</v>
      </c>
      <c r="U2080">
        <v>5.5</v>
      </c>
      <c r="V2080">
        <v>43.89</v>
      </c>
      <c r="W2080">
        <v>22304</v>
      </c>
      <c r="X2080">
        <v>21764</v>
      </c>
      <c r="Y2080">
        <v>1.02</v>
      </c>
      <c r="Z2080">
        <v>6</v>
      </c>
      <c r="AA2080">
        <v>6</v>
      </c>
      <c r="AB2080" t="s">
        <v>32</v>
      </c>
      <c r="AC2080">
        <v>0.2</v>
      </c>
    </row>
    <row r="2081" spans="1:29">
      <c r="A2081" t="str">
        <f>"300723"</f>
        <v>300723</v>
      </c>
      <c r="B2081" t="s">
        <v>2250</v>
      </c>
      <c r="C2081">
        <v>1.56</v>
      </c>
      <c r="D2081">
        <v>36.35</v>
      </c>
      <c r="E2081">
        <v>0.56</v>
      </c>
      <c r="F2081">
        <v>36.35</v>
      </c>
      <c r="G2081">
        <v>36.36</v>
      </c>
      <c r="H2081">
        <v>16672</v>
      </c>
      <c r="I2081">
        <v>245</v>
      </c>
      <c r="J2081">
        <v>0.06</v>
      </c>
      <c r="K2081">
        <v>4.17</v>
      </c>
      <c r="L2081">
        <v>35.42</v>
      </c>
      <c r="M2081">
        <v>36.77</v>
      </c>
      <c r="N2081">
        <v>35.42</v>
      </c>
      <c r="O2081">
        <v>35.79</v>
      </c>
      <c r="P2081">
        <v>37.92</v>
      </c>
      <c r="Q2081">
        <v>60539284</v>
      </c>
      <c r="R2081">
        <v>0.96</v>
      </c>
      <c r="S2081" t="s">
        <v>142</v>
      </c>
      <c r="T2081" t="s">
        <v>136</v>
      </c>
      <c r="U2081">
        <v>3.77</v>
      </c>
      <c r="V2081">
        <v>36.31</v>
      </c>
      <c r="W2081">
        <v>8765</v>
      </c>
      <c r="X2081">
        <v>7906</v>
      </c>
      <c r="Y2081">
        <v>1.11</v>
      </c>
      <c r="Z2081">
        <v>21</v>
      </c>
      <c r="AA2081">
        <v>13</v>
      </c>
      <c r="AB2081" t="s">
        <v>32</v>
      </c>
      <c r="AC2081">
        <v>0.4</v>
      </c>
    </row>
    <row r="2082" spans="1:29">
      <c r="A2082" t="str">
        <f>"300725"</f>
        <v>300725</v>
      </c>
      <c r="B2082" t="s">
        <v>2251</v>
      </c>
      <c r="C2082">
        <v>1.47</v>
      </c>
      <c r="D2082">
        <v>70.2</v>
      </c>
      <c r="E2082">
        <v>1.02</v>
      </c>
      <c r="F2082">
        <v>70.2</v>
      </c>
      <c r="G2082">
        <v>70.21</v>
      </c>
      <c r="H2082">
        <v>16706</v>
      </c>
      <c r="I2082">
        <v>215</v>
      </c>
      <c r="J2082">
        <v>0.6</v>
      </c>
      <c r="K2082">
        <v>6.07</v>
      </c>
      <c r="L2082">
        <v>68.02</v>
      </c>
      <c r="M2082">
        <v>71.2</v>
      </c>
      <c r="N2082">
        <v>67.28</v>
      </c>
      <c r="O2082">
        <v>69.18</v>
      </c>
      <c r="P2082">
        <v>96.13</v>
      </c>
      <c r="Q2082">
        <v>115666272</v>
      </c>
      <c r="R2082">
        <v>0.92</v>
      </c>
      <c r="S2082" t="s">
        <v>218</v>
      </c>
      <c r="T2082" t="s">
        <v>87</v>
      </c>
      <c r="U2082">
        <v>5.67</v>
      </c>
      <c r="V2082">
        <v>69.24</v>
      </c>
      <c r="W2082">
        <v>8320</v>
      </c>
      <c r="X2082">
        <v>8385</v>
      </c>
      <c r="Y2082">
        <v>0.99</v>
      </c>
      <c r="Z2082">
        <v>243</v>
      </c>
      <c r="AA2082">
        <v>4</v>
      </c>
      <c r="AB2082" t="s">
        <v>32</v>
      </c>
      <c r="AC2082">
        <v>0.28</v>
      </c>
    </row>
    <row r="2083" spans="1:29">
      <c r="A2083" t="str">
        <f>"300726"</f>
        <v>300726</v>
      </c>
      <c r="B2083" t="s">
        <v>2252</v>
      </c>
      <c r="C2083">
        <v>-0.82</v>
      </c>
      <c r="D2083">
        <v>31.6</v>
      </c>
      <c r="E2083">
        <v>-0.26</v>
      </c>
      <c r="F2083">
        <v>31.6</v>
      </c>
      <c r="G2083">
        <v>31.61</v>
      </c>
      <c r="H2083">
        <v>41571</v>
      </c>
      <c r="I2083">
        <v>903</v>
      </c>
      <c r="J2083">
        <v>-0.08</v>
      </c>
      <c r="K2083">
        <v>10.37</v>
      </c>
      <c r="L2083">
        <v>31.94</v>
      </c>
      <c r="M2083">
        <v>31.98</v>
      </c>
      <c r="N2083">
        <v>31.15</v>
      </c>
      <c r="O2083">
        <v>31.86</v>
      </c>
      <c r="P2083">
        <v>74.57</v>
      </c>
      <c r="Q2083">
        <v>131061856</v>
      </c>
      <c r="R2083">
        <v>0.65</v>
      </c>
      <c r="S2083" t="s">
        <v>63</v>
      </c>
      <c r="T2083" t="s">
        <v>152</v>
      </c>
      <c r="U2083">
        <v>2.61</v>
      </c>
      <c r="V2083">
        <v>31.53</v>
      </c>
      <c r="W2083">
        <v>22006</v>
      </c>
      <c r="X2083">
        <v>19565</v>
      </c>
      <c r="Y2083">
        <v>1.12</v>
      </c>
      <c r="Z2083">
        <v>180</v>
      </c>
      <c r="AA2083">
        <v>407</v>
      </c>
      <c r="AB2083" t="s">
        <v>32</v>
      </c>
      <c r="AC2083">
        <v>0.4</v>
      </c>
    </row>
    <row r="2084" spans="1:29">
      <c r="A2084" t="str">
        <f>"300727"</f>
        <v>300727</v>
      </c>
      <c r="B2084" t="s">
        <v>2253</v>
      </c>
      <c r="C2084">
        <v>2.04</v>
      </c>
      <c r="D2084">
        <v>30.48</v>
      </c>
      <c r="E2084">
        <v>0.61</v>
      </c>
      <c r="F2084">
        <v>30.48</v>
      </c>
      <c r="G2084">
        <v>30.49</v>
      </c>
      <c r="H2084">
        <v>32893</v>
      </c>
      <c r="I2084">
        <v>625</v>
      </c>
      <c r="J2084">
        <v>0</v>
      </c>
      <c r="K2084">
        <v>10.37</v>
      </c>
      <c r="L2084">
        <v>29.8</v>
      </c>
      <c r="M2084">
        <v>30.65</v>
      </c>
      <c r="N2084">
        <v>29.76</v>
      </c>
      <c r="O2084">
        <v>29.87</v>
      </c>
      <c r="P2084">
        <v>92.63</v>
      </c>
      <c r="Q2084">
        <v>99670224</v>
      </c>
      <c r="R2084">
        <v>1.08</v>
      </c>
      <c r="S2084" t="s">
        <v>218</v>
      </c>
      <c r="T2084" t="s">
        <v>149</v>
      </c>
      <c r="U2084">
        <v>2.98</v>
      </c>
      <c r="V2084">
        <v>30.3</v>
      </c>
      <c r="W2084">
        <v>14976</v>
      </c>
      <c r="X2084">
        <v>17917</v>
      </c>
      <c r="Y2084">
        <v>0.84</v>
      </c>
      <c r="Z2084">
        <v>16</v>
      </c>
      <c r="AA2084">
        <v>104</v>
      </c>
      <c r="AB2084" t="s">
        <v>32</v>
      </c>
      <c r="AC2084">
        <v>0.32</v>
      </c>
    </row>
    <row r="2085" spans="1:29">
      <c r="A2085" t="str">
        <f>"300729"</f>
        <v>300729</v>
      </c>
      <c r="B2085" t="s">
        <v>2254</v>
      </c>
      <c r="C2085">
        <v>1.93</v>
      </c>
      <c r="D2085">
        <v>30.58</v>
      </c>
      <c r="E2085">
        <v>0.58</v>
      </c>
      <c r="F2085">
        <v>30.58</v>
      </c>
      <c r="G2085">
        <v>30.59</v>
      </c>
      <c r="H2085">
        <v>12030</v>
      </c>
      <c r="I2085">
        <v>151</v>
      </c>
      <c r="J2085">
        <v>-0.06</v>
      </c>
      <c r="K2085">
        <v>5.83</v>
      </c>
      <c r="L2085">
        <v>30.05</v>
      </c>
      <c r="M2085">
        <v>30.86</v>
      </c>
      <c r="N2085">
        <v>29.7</v>
      </c>
      <c r="O2085">
        <v>30</v>
      </c>
      <c r="P2085">
        <v>48.33</v>
      </c>
      <c r="Q2085">
        <v>36709964</v>
      </c>
      <c r="R2085">
        <v>1.25</v>
      </c>
      <c r="S2085" t="s">
        <v>545</v>
      </c>
      <c r="T2085" t="s">
        <v>149</v>
      </c>
      <c r="U2085">
        <v>3.87</v>
      </c>
      <c r="V2085">
        <v>30.51</v>
      </c>
      <c r="W2085">
        <v>6019</v>
      </c>
      <c r="X2085">
        <v>6011</v>
      </c>
      <c r="Y2085">
        <v>1</v>
      </c>
      <c r="Z2085">
        <v>49</v>
      </c>
      <c r="AA2085">
        <v>5</v>
      </c>
      <c r="AB2085" t="s">
        <v>32</v>
      </c>
      <c r="AC2085">
        <v>0.21</v>
      </c>
    </row>
    <row r="2086" spans="1:29">
      <c r="A2086" t="str">
        <f>"300730"</f>
        <v>300730</v>
      </c>
      <c r="B2086" t="s">
        <v>2255</v>
      </c>
      <c r="C2086">
        <v>1.99</v>
      </c>
      <c r="D2086">
        <v>25.15</v>
      </c>
      <c r="E2086">
        <v>0.49</v>
      </c>
      <c r="F2086">
        <v>25.14</v>
      </c>
      <c r="G2086">
        <v>25.15</v>
      </c>
      <c r="H2086">
        <v>33749</v>
      </c>
      <c r="I2086">
        <v>1474</v>
      </c>
      <c r="J2086">
        <v>0.48</v>
      </c>
      <c r="K2086">
        <v>8.54</v>
      </c>
      <c r="L2086">
        <v>24.66</v>
      </c>
      <c r="M2086">
        <v>25.15</v>
      </c>
      <c r="N2086">
        <v>24.56</v>
      </c>
      <c r="O2086">
        <v>24.66</v>
      </c>
      <c r="P2086" t="s">
        <v>32</v>
      </c>
      <c r="Q2086">
        <v>84123112</v>
      </c>
      <c r="R2086">
        <v>0.83</v>
      </c>
      <c r="S2086" t="s">
        <v>270</v>
      </c>
      <c r="T2086" t="s">
        <v>152</v>
      </c>
      <c r="U2086">
        <v>2.39</v>
      </c>
      <c r="V2086">
        <v>24.93</v>
      </c>
      <c r="W2086">
        <v>15852</v>
      </c>
      <c r="X2086">
        <v>17897</v>
      </c>
      <c r="Y2086">
        <v>0.89</v>
      </c>
      <c r="Z2086">
        <v>944</v>
      </c>
      <c r="AA2086">
        <v>119</v>
      </c>
      <c r="AB2086" t="s">
        <v>32</v>
      </c>
      <c r="AC2086">
        <v>0.4</v>
      </c>
    </row>
    <row r="2087" spans="1:29">
      <c r="A2087" t="str">
        <f>"300731"</f>
        <v>300731</v>
      </c>
      <c r="B2087" t="s">
        <v>2256</v>
      </c>
      <c r="C2087">
        <v>1.75</v>
      </c>
      <c r="D2087">
        <v>37.16</v>
      </c>
      <c r="E2087">
        <v>0.64</v>
      </c>
      <c r="F2087">
        <v>37.15</v>
      </c>
      <c r="G2087">
        <v>37.16</v>
      </c>
      <c r="H2087">
        <v>23769</v>
      </c>
      <c r="I2087">
        <v>657</v>
      </c>
      <c r="J2087">
        <v>0.08</v>
      </c>
      <c r="K2087">
        <v>10.8</v>
      </c>
      <c r="L2087">
        <v>36.5</v>
      </c>
      <c r="M2087">
        <v>37.4</v>
      </c>
      <c r="N2087">
        <v>36.15</v>
      </c>
      <c r="O2087">
        <v>36.52</v>
      </c>
      <c r="P2087">
        <v>57.72</v>
      </c>
      <c r="Q2087">
        <v>87876304</v>
      </c>
      <c r="R2087">
        <v>0.52</v>
      </c>
      <c r="S2087" t="s">
        <v>526</v>
      </c>
      <c r="T2087" t="s">
        <v>31</v>
      </c>
      <c r="U2087">
        <v>3.42</v>
      </c>
      <c r="V2087">
        <v>36.97</v>
      </c>
      <c r="W2087">
        <v>11370</v>
      </c>
      <c r="X2087">
        <v>12398</v>
      </c>
      <c r="Y2087">
        <v>0.92</v>
      </c>
      <c r="Z2087">
        <v>138</v>
      </c>
      <c r="AA2087">
        <v>110</v>
      </c>
      <c r="AB2087" t="s">
        <v>32</v>
      </c>
      <c r="AC2087">
        <v>0.22</v>
      </c>
    </row>
    <row r="2088" spans="1:29">
      <c r="A2088" t="str">
        <f>"300732"</f>
        <v>300732</v>
      </c>
      <c r="B2088" t="s">
        <v>2257</v>
      </c>
      <c r="C2088">
        <v>8.63</v>
      </c>
      <c r="D2088">
        <v>39.76</v>
      </c>
      <c r="E2088">
        <v>3.16</v>
      </c>
      <c r="F2088">
        <v>39.76</v>
      </c>
      <c r="G2088">
        <v>39.77</v>
      </c>
      <c r="H2088">
        <v>49830</v>
      </c>
      <c r="I2088">
        <v>563</v>
      </c>
      <c r="J2088">
        <v>0.23</v>
      </c>
      <c r="K2088">
        <v>15.38</v>
      </c>
      <c r="L2088">
        <v>36.9</v>
      </c>
      <c r="M2088">
        <v>40.22</v>
      </c>
      <c r="N2088">
        <v>36.9</v>
      </c>
      <c r="O2088">
        <v>36.6</v>
      </c>
      <c r="P2088">
        <v>28.66</v>
      </c>
      <c r="Q2088">
        <v>193948352</v>
      </c>
      <c r="R2088">
        <v>2.81</v>
      </c>
      <c r="S2088" t="s">
        <v>49</v>
      </c>
      <c r="T2088" t="s">
        <v>164</v>
      </c>
      <c r="U2088">
        <v>9.07</v>
      </c>
      <c r="V2088">
        <v>38.92</v>
      </c>
      <c r="W2088">
        <v>20885</v>
      </c>
      <c r="X2088">
        <v>28945</v>
      </c>
      <c r="Y2088">
        <v>0.72</v>
      </c>
      <c r="Z2088">
        <v>48</v>
      </c>
      <c r="AA2088">
        <v>12</v>
      </c>
      <c r="AB2088" t="s">
        <v>32</v>
      </c>
      <c r="AC2088">
        <v>0.32</v>
      </c>
    </row>
    <row r="2089" spans="1:29">
      <c r="A2089" t="str">
        <f>"300733"</f>
        <v>300733</v>
      </c>
      <c r="B2089" t="s">
        <v>2258</v>
      </c>
      <c r="C2089">
        <v>0.79</v>
      </c>
      <c r="D2089">
        <v>20.31</v>
      </c>
      <c r="E2089">
        <v>0.16</v>
      </c>
      <c r="F2089">
        <v>20.3</v>
      </c>
      <c r="G2089">
        <v>20.31</v>
      </c>
      <c r="H2089">
        <v>29390</v>
      </c>
      <c r="I2089">
        <v>471</v>
      </c>
      <c r="J2089">
        <v>0</v>
      </c>
      <c r="K2089">
        <v>7.35</v>
      </c>
      <c r="L2089">
        <v>20.14</v>
      </c>
      <c r="M2089">
        <v>20.42</v>
      </c>
      <c r="N2089">
        <v>19.92</v>
      </c>
      <c r="O2089">
        <v>20.15</v>
      </c>
      <c r="P2089">
        <v>39.94</v>
      </c>
      <c r="Q2089">
        <v>59607440</v>
      </c>
      <c r="R2089">
        <v>1.25</v>
      </c>
      <c r="S2089" t="s">
        <v>80</v>
      </c>
      <c r="T2089" t="s">
        <v>146</v>
      </c>
      <c r="U2089">
        <v>2.48</v>
      </c>
      <c r="V2089">
        <v>20.28</v>
      </c>
      <c r="W2089">
        <v>14027</v>
      </c>
      <c r="X2089">
        <v>15363</v>
      </c>
      <c r="Y2089">
        <v>0.91</v>
      </c>
      <c r="Z2089">
        <v>227</v>
      </c>
      <c r="AA2089">
        <v>18</v>
      </c>
      <c r="AB2089" t="s">
        <v>32</v>
      </c>
      <c r="AC2089">
        <v>0.4</v>
      </c>
    </row>
    <row r="2090" spans="1:29">
      <c r="A2090" t="str">
        <f>"300735"</f>
        <v>300735</v>
      </c>
      <c r="B2090" t="s">
        <v>2259</v>
      </c>
      <c r="C2090">
        <v>1.34</v>
      </c>
      <c r="D2090">
        <v>18.97</v>
      </c>
      <c r="E2090">
        <v>0.25</v>
      </c>
      <c r="F2090">
        <v>18.97</v>
      </c>
      <c r="G2090">
        <v>18.98</v>
      </c>
      <c r="H2090">
        <v>48175</v>
      </c>
      <c r="I2090">
        <v>904</v>
      </c>
      <c r="J2090">
        <v>-0.04</v>
      </c>
      <c r="K2090">
        <v>5.43</v>
      </c>
      <c r="L2090">
        <v>18.85</v>
      </c>
      <c r="M2090">
        <v>19.04</v>
      </c>
      <c r="N2090">
        <v>18.67</v>
      </c>
      <c r="O2090">
        <v>18.72</v>
      </c>
      <c r="P2090">
        <v>77.97</v>
      </c>
      <c r="Q2090">
        <v>90956032</v>
      </c>
      <c r="R2090">
        <v>0.89</v>
      </c>
      <c r="S2090" t="s">
        <v>119</v>
      </c>
      <c r="T2090" t="s">
        <v>136</v>
      </c>
      <c r="U2090">
        <v>1.98</v>
      </c>
      <c r="V2090">
        <v>18.88</v>
      </c>
      <c r="W2090">
        <v>21954</v>
      </c>
      <c r="X2090">
        <v>26221</v>
      </c>
      <c r="Y2090">
        <v>0.84</v>
      </c>
      <c r="Z2090">
        <v>4</v>
      </c>
      <c r="AA2090">
        <v>99</v>
      </c>
      <c r="AB2090" t="s">
        <v>32</v>
      </c>
      <c r="AC2090">
        <v>0.89</v>
      </c>
    </row>
    <row r="2091" spans="1:29">
      <c r="A2091" t="str">
        <f>"300736"</f>
        <v>300736</v>
      </c>
      <c r="B2091" t="s">
        <v>2260</v>
      </c>
      <c r="C2091">
        <v>1.36</v>
      </c>
      <c r="D2091">
        <v>27.58</v>
      </c>
      <c r="E2091">
        <v>0.37</v>
      </c>
      <c r="F2091">
        <v>27.57</v>
      </c>
      <c r="G2091">
        <v>27.58</v>
      </c>
      <c r="H2091">
        <v>9592</v>
      </c>
      <c r="I2091">
        <v>321</v>
      </c>
      <c r="J2091">
        <v>0.18</v>
      </c>
      <c r="K2091">
        <v>4.71</v>
      </c>
      <c r="L2091">
        <v>27.24</v>
      </c>
      <c r="M2091">
        <v>27.58</v>
      </c>
      <c r="N2091">
        <v>26.9</v>
      </c>
      <c r="O2091">
        <v>27.21</v>
      </c>
      <c r="P2091">
        <v>54.76</v>
      </c>
      <c r="Q2091">
        <v>26263166</v>
      </c>
      <c r="R2091">
        <v>0.91</v>
      </c>
      <c r="S2091" t="s">
        <v>119</v>
      </c>
      <c r="T2091" t="s">
        <v>45</v>
      </c>
      <c r="U2091">
        <v>2.5</v>
      </c>
      <c r="V2091">
        <v>27.38</v>
      </c>
      <c r="W2091">
        <v>4497</v>
      </c>
      <c r="X2091">
        <v>5095</v>
      </c>
      <c r="Y2091">
        <v>0.88</v>
      </c>
      <c r="Z2091">
        <v>46</v>
      </c>
      <c r="AA2091">
        <v>76</v>
      </c>
      <c r="AB2091" t="s">
        <v>32</v>
      </c>
      <c r="AC2091">
        <v>0.2</v>
      </c>
    </row>
    <row r="2092" spans="1:29">
      <c r="A2092" t="str">
        <f>"300737"</f>
        <v>300737</v>
      </c>
      <c r="B2092" t="s">
        <v>2261</v>
      </c>
      <c r="C2092">
        <v>2.94</v>
      </c>
      <c r="D2092">
        <v>12.27</v>
      </c>
      <c r="E2092">
        <v>0.35</v>
      </c>
      <c r="F2092">
        <v>12.27</v>
      </c>
      <c r="G2092">
        <v>12.28</v>
      </c>
      <c r="H2092">
        <v>91363</v>
      </c>
      <c r="I2092">
        <v>1314</v>
      </c>
      <c r="J2092">
        <v>0.08</v>
      </c>
      <c r="K2092">
        <v>5.98</v>
      </c>
      <c r="L2092">
        <v>11.97</v>
      </c>
      <c r="M2092">
        <v>12.37</v>
      </c>
      <c r="N2092">
        <v>11.93</v>
      </c>
      <c r="O2092">
        <v>11.92</v>
      </c>
      <c r="P2092">
        <v>81.89</v>
      </c>
      <c r="Q2092">
        <v>111758176</v>
      </c>
      <c r="R2092">
        <v>2.34</v>
      </c>
      <c r="S2092" t="s">
        <v>69</v>
      </c>
      <c r="T2092" t="s">
        <v>136</v>
      </c>
      <c r="U2092">
        <v>3.69</v>
      </c>
      <c r="V2092">
        <v>12.23</v>
      </c>
      <c r="W2092">
        <v>41038</v>
      </c>
      <c r="X2092">
        <v>50324</v>
      </c>
      <c r="Y2092">
        <v>0.82</v>
      </c>
      <c r="Z2092">
        <v>196</v>
      </c>
      <c r="AA2092">
        <v>308</v>
      </c>
      <c r="AB2092" t="s">
        <v>32</v>
      </c>
      <c r="AC2092">
        <v>1.53</v>
      </c>
    </row>
    <row r="2093" spans="1:29">
      <c r="A2093" t="str">
        <f>"300738"</f>
        <v>300738</v>
      </c>
      <c r="B2093" t="s">
        <v>2262</v>
      </c>
      <c r="C2093">
        <v>1.26</v>
      </c>
      <c r="D2093">
        <v>55.64</v>
      </c>
      <c r="E2093">
        <v>0.69</v>
      </c>
      <c r="F2093">
        <v>55.61</v>
      </c>
      <c r="G2093">
        <v>55.64</v>
      </c>
      <c r="H2093">
        <v>11740</v>
      </c>
      <c r="I2093">
        <v>167</v>
      </c>
      <c r="J2093">
        <v>0.13</v>
      </c>
      <c r="K2093">
        <v>7.19</v>
      </c>
      <c r="L2093">
        <v>55.02</v>
      </c>
      <c r="M2093">
        <v>55.9</v>
      </c>
      <c r="N2093">
        <v>54.67</v>
      </c>
      <c r="O2093">
        <v>54.95</v>
      </c>
      <c r="P2093">
        <v>104.56</v>
      </c>
      <c r="Q2093">
        <v>65141708</v>
      </c>
      <c r="R2093">
        <v>0.68</v>
      </c>
      <c r="S2093" t="s">
        <v>714</v>
      </c>
      <c r="T2093" t="s">
        <v>136</v>
      </c>
      <c r="U2093">
        <v>2.24</v>
      </c>
      <c r="V2093">
        <v>55.49</v>
      </c>
      <c r="W2093">
        <v>5726</v>
      </c>
      <c r="X2093">
        <v>6014</v>
      </c>
      <c r="Y2093">
        <v>0.95</v>
      </c>
      <c r="Z2093">
        <v>24</v>
      </c>
      <c r="AA2093">
        <v>110</v>
      </c>
      <c r="AB2093" t="s">
        <v>32</v>
      </c>
      <c r="AC2093">
        <v>0.16</v>
      </c>
    </row>
    <row r="2094" spans="1:29">
      <c r="A2094" t="str">
        <f>"300739"</f>
        <v>300739</v>
      </c>
      <c r="B2094" t="s">
        <v>2263</v>
      </c>
      <c r="C2094">
        <v>1.27</v>
      </c>
      <c r="D2094">
        <v>30.3</v>
      </c>
      <c r="E2094">
        <v>0.38</v>
      </c>
      <c r="F2094">
        <v>30.29</v>
      </c>
      <c r="G2094">
        <v>30.3</v>
      </c>
      <c r="H2094">
        <v>64363</v>
      </c>
      <c r="I2094">
        <v>1889</v>
      </c>
      <c r="J2094">
        <v>0.13</v>
      </c>
      <c r="K2094">
        <v>13.93</v>
      </c>
      <c r="L2094">
        <v>29.9</v>
      </c>
      <c r="M2094">
        <v>30.38</v>
      </c>
      <c r="N2094">
        <v>29.62</v>
      </c>
      <c r="O2094">
        <v>29.92</v>
      </c>
      <c r="P2094">
        <v>132.65</v>
      </c>
      <c r="Q2094">
        <v>193297104</v>
      </c>
      <c r="R2094">
        <v>0.76</v>
      </c>
      <c r="S2094" t="s">
        <v>63</v>
      </c>
      <c r="T2094" t="s">
        <v>31</v>
      </c>
      <c r="U2094">
        <v>2.54</v>
      </c>
      <c r="V2094">
        <v>30.03</v>
      </c>
      <c r="W2094">
        <v>30158</v>
      </c>
      <c r="X2094">
        <v>34205</v>
      </c>
      <c r="Y2094">
        <v>0.88</v>
      </c>
      <c r="Z2094">
        <v>521</v>
      </c>
      <c r="AA2094">
        <v>397</v>
      </c>
      <c r="AB2094" t="s">
        <v>32</v>
      </c>
      <c r="AC2094">
        <v>0.46</v>
      </c>
    </row>
    <row r="2095" spans="1:29">
      <c r="A2095" t="str">
        <f>"300740"</f>
        <v>300740</v>
      </c>
      <c r="B2095" t="s">
        <v>2264</v>
      </c>
      <c r="C2095" t="s">
        <v>32</v>
      </c>
      <c r="D2095">
        <v>29.91</v>
      </c>
      <c r="E2095" t="s">
        <v>32</v>
      </c>
      <c r="F2095" t="s">
        <v>32</v>
      </c>
      <c r="G2095" t="s">
        <v>32</v>
      </c>
      <c r="H2095">
        <v>0</v>
      </c>
      <c r="I2095">
        <v>0</v>
      </c>
      <c r="J2095" t="s">
        <v>32</v>
      </c>
      <c r="K2095">
        <v>0</v>
      </c>
      <c r="L2095" t="s">
        <v>32</v>
      </c>
      <c r="M2095" t="s">
        <v>32</v>
      </c>
      <c r="N2095" t="s">
        <v>32</v>
      </c>
      <c r="O2095">
        <v>29.91</v>
      </c>
      <c r="P2095">
        <v>69.33</v>
      </c>
      <c r="Q2095">
        <v>0</v>
      </c>
      <c r="R2095">
        <v>0</v>
      </c>
      <c r="S2095" t="s">
        <v>232</v>
      </c>
      <c r="T2095" t="s">
        <v>152</v>
      </c>
      <c r="U2095">
        <v>0</v>
      </c>
      <c r="V2095">
        <v>29.91</v>
      </c>
      <c r="W2095">
        <v>0</v>
      </c>
      <c r="X2095">
        <v>0</v>
      </c>
      <c r="Y2095" t="s">
        <v>32</v>
      </c>
      <c r="Z2095">
        <v>0</v>
      </c>
      <c r="AA2095">
        <v>0</v>
      </c>
      <c r="AB2095" t="s">
        <v>32</v>
      </c>
      <c r="AC2095">
        <v>0.68</v>
      </c>
    </row>
    <row r="2096" spans="1:29">
      <c r="A2096" t="str">
        <f>"300741"</f>
        <v>300741</v>
      </c>
      <c r="B2096" t="s">
        <v>2265</v>
      </c>
      <c r="C2096">
        <v>1.85</v>
      </c>
      <c r="D2096">
        <v>40.1</v>
      </c>
      <c r="E2096">
        <v>0.73</v>
      </c>
      <c r="F2096">
        <v>40.1</v>
      </c>
      <c r="G2096">
        <v>40.11</v>
      </c>
      <c r="H2096">
        <v>23057</v>
      </c>
      <c r="I2096">
        <v>403</v>
      </c>
      <c r="J2096">
        <v>-0.14</v>
      </c>
      <c r="K2096">
        <v>3.74</v>
      </c>
      <c r="L2096">
        <v>39.38</v>
      </c>
      <c r="M2096">
        <v>40.3</v>
      </c>
      <c r="N2096">
        <v>39.38</v>
      </c>
      <c r="O2096">
        <v>39.37</v>
      </c>
      <c r="P2096">
        <v>22.29</v>
      </c>
      <c r="Q2096">
        <v>92166752</v>
      </c>
      <c r="R2096">
        <v>1.57</v>
      </c>
      <c r="S2096" t="s">
        <v>213</v>
      </c>
      <c r="T2096" t="s">
        <v>432</v>
      </c>
      <c r="U2096">
        <v>2.34</v>
      </c>
      <c r="V2096">
        <v>39.97</v>
      </c>
      <c r="W2096">
        <v>10602</v>
      </c>
      <c r="X2096">
        <v>12455</v>
      </c>
      <c r="Y2096">
        <v>0.85</v>
      </c>
      <c r="Z2096">
        <v>188</v>
      </c>
      <c r="AA2096">
        <v>27</v>
      </c>
      <c r="AB2096" t="s">
        <v>32</v>
      </c>
      <c r="AC2096">
        <v>0.62</v>
      </c>
    </row>
    <row r="2097" spans="1:29">
      <c r="A2097" t="str">
        <f>"300742"</f>
        <v>300742</v>
      </c>
      <c r="B2097" t="s">
        <v>2266</v>
      </c>
      <c r="C2097">
        <v>2.39</v>
      </c>
      <c r="D2097">
        <v>71.83</v>
      </c>
      <c r="E2097">
        <v>1.68</v>
      </c>
      <c r="F2097">
        <v>71.82</v>
      </c>
      <c r="G2097">
        <v>71.83</v>
      </c>
      <c r="H2097">
        <v>25561</v>
      </c>
      <c r="I2097">
        <v>454</v>
      </c>
      <c r="J2097">
        <v>-0.03</v>
      </c>
      <c r="K2097">
        <v>13.02</v>
      </c>
      <c r="L2097">
        <v>70</v>
      </c>
      <c r="M2097">
        <v>72.5</v>
      </c>
      <c r="N2097">
        <v>69.52</v>
      </c>
      <c r="O2097">
        <v>70.15</v>
      </c>
      <c r="P2097" t="s">
        <v>32</v>
      </c>
      <c r="Q2097">
        <v>182659936</v>
      </c>
      <c r="R2097">
        <v>0.9</v>
      </c>
      <c r="S2097" t="s">
        <v>80</v>
      </c>
      <c r="T2097" t="s">
        <v>87</v>
      </c>
      <c r="U2097">
        <v>4.25</v>
      </c>
      <c r="V2097">
        <v>71.46</v>
      </c>
      <c r="W2097">
        <v>11366</v>
      </c>
      <c r="X2097">
        <v>14195</v>
      </c>
      <c r="Y2097">
        <v>0.8</v>
      </c>
      <c r="Z2097">
        <v>165</v>
      </c>
      <c r="AA2097">
        <v>69</v>
      </c>
      <c r="AB2097" t="s">
        <v>32</v>
      </c>
      <c r="AC2097">
        <v>0.2</v>
      </c>
    </row>
    <row r="2098" spans="1:29">
      <c r="A2098" t="str">
        <f>"300743"</f>
        <v>300743</v>
      </c>
      <c r="B2098" t="s">
        <v>2267</v>
      </c>
      <c r="C2098">
        <v>1.15</v>
      </c>
      <c r="D2098">
        <v>71.26</v>
      </c>
      <c r="E2098">
        <v>0.81</v>
      </c>
      <c r="F2098">
        <v>71.25</v>
      </c>
      <c r="G2098">
        <v>71.26</v>
      </c>
      <c r="H2098">
        <v>28081</v>
      </c>
      <c r="I2098">
        <v>606</v>
      </c>
      <c r="J2098">
        <v>-0.03</v>
      </c>
      <c r="K2098">
        <v>17.02</v>
      </c>
      <c r="L2098">
        <v>69.93</v>
      </c>
      <c r="M2098">
        <v>71.9</v>
      </c>
      <c r="N2098">
        <v>69.6</v>
      </c>
      <c r="O2098">
        <v>70.45</v>
      </c>
      <c r="P2098">
        <v>106.52</v>
      </c>
      <c r="Q2098">
        <v>199406976</v>
      </c>
      <c r="R2098">
        <v>0.94</v>
      </c>
      <c r="S2098" t="s">
        <v>65</v>
      </c>
      <c r="T2098" t="s">
        <v>149</v>
      </c>
      <c r="U2098">
        <v>3.26</v>
      </c>
      <c r="V2098">
        <v>71.01</v>
      </c>
      <c r="W2098">
        <v>12852</v>
      </c>
      <c r="X2098">
        <v>15229</v>
      </c>
      <c r="Y2098">
        <v>0.84</v>
      </c>
      <c r="Z2098">
        <v>40</v>
      </c>
      <c r="AA2098">
        <v>67</v>
      </c>
      <c r="AB2098" t="s">
        <v>32</v>
      </c>
      <c r="AC2098">
        <v>0.17</v>
      </c>
    </row>
    <row r="2099" spans="1:29">
      <c r="A2099" t="str">
        <f>"300745"</f>
        <v>300745</v>
      </c>
      <c r="B2099" t="s">
        <v>2268</v>
      </c>
      <c r="C2099">
        <v>1.43</v>
      </c>
      <c r="D2099">
        <v>67.5</v>
      </c>
      <c r="E2099">
        <v>0.95</v>
      </c>
      <c r="F2099">
        <v>67.49</v>
      </c>
      <c r="G2099">
        <v>67.5</v>
      </c>
      <c r="H2099">
        <v>66975</v>
      </c>
      <c r="I2099">
        <v>1391</v>
      </c>
      <c r="J2099">
        <v>0.07</v>
      </c>
      <c r="K2099">
        <v>23.39</v>
      </c>
      <c r="L2099">
        <v>66.2</v>
      </c>
      <c r="M2099">
        <v>67.99</v>
      </c>
      <c r="N2099">
        <v>65.9</v>
      </c>
      <c r="O2099">
        <v>66.55</v>
      </c>
      <c r="P2099">
        <v>68.68</v>
      </c>
      <c r="Q2099">
        <v>450627072</v>
      </c>
      <c r="R2099">
        <v>0.64</v>
      </c>
      <c r="S2099" t="s">
        <v>80</v>
      </c>
      <c r="T2099" t="s">
        <v>31</v>
      </c>
      <c r="U2099">
        <v>3.14</v>
      </c>
      <c r="V2099">
        <v>67.28</v>
      </c>
      <c r="W2099">
        <v>31127</v>
      </c>
      <c r="X2099">
        <v>35847</v>
      </c>
      <c r="Y2099">
        <v>0.87</v>
      </c>
      <c r="Z2099">
        <v>529</v>
      </c>
      <c r="AA2099">
        <v>70</v>
      </c>
      <c r="AB2099" t="s">
        <v>32</v>
      </c>
      <c r="AC2099">
        <v>0.29</v>
      </c>
    </row>
    <row r="2100" spans="1:29">
      <c r="A2100" t="str">
        <f>"300746"</f>
        <v>300746</v>
      </c>
      <c r="B2100" t="s">
        <v>2269</v>
      </c>
      <c r="C2100">
        <v>10</v>
      </c>
      <c r="D2100">
        <v>35.85</v>
      </c>
      <c r="E2100">
        <v>3.26</v>
      </c>
      <c r="F2100">
        <v>35.85</v>
      </c>
      <c r="G2100" t="s">
        <v>32</v>
      </c>
      <c r="H2100">
        <v>109248</v>
      </c>
      <c r="I2100">
        <v>263</v>
      </c>
      <c r="J2100">
        <v>0</v>
      </c>
      <c r="K2100">
        <v>20.77</v>
      </c>
      <c r="L2100">
        <v>32.61</v>
      </c>
      <c r="M2100">
        <v>35.85</v>
      </c>
      <c r="N2100">
        <v>32.61</v>
      </c>
      <c r="O2100">
        <v>32.59</v>
      </c>
      <c r="P2100">
        <v>159.52</v>
      </c>
      <c r="Q2100">
        <v>381644480</v>
      </c>
      <c r="R2100">
        <v>0.84</v>
      </c>
      <c r="S2100" t="s">
        <v>49</v>
      </c>
      <c r="T2100" t="s">
        <v>149</v>
      </c>
      <c r="U2100">
        <v>9.94</v>
      </c>
      <c r="V2100">
        <v>34.93</v>
      </c>
      <c r="W2100">
        <v>63474</v>
      </c>
      <c r="X2100">
        <v>45773</v>
      </c>
      <c r="Y2100">
        <v>1.39</v>
      </c>
      <c r="Z2100">
        <v>19612</v>
      </c>
      <c r="AA2100">
        <v>0</v>
      </c>
      <c r="AB2100" t="s">
        <v>32</v>
      </c>
      <c r="AC2100">
        <v>0.53</v>
      </c>
    </row>
    <row r="2101" spans="1:29">
      <c r="A2101" t="str">
        <f>"300747"</f>
        <v>300747</v>
      </c>
      <c r="B2101" t="s">
        <v>2270</v>
      </c>
      <c r="C2101">
        <v>3.86</v>
      </c>
      <c r="D2101">
        <v>216</v>
      </c>
      <c r="E2101">
        <v>8.03</v>
      </c>
      <c r="F2101">
        <v>216</v>
      </c>
      <c r="G2101">
        <v>216.01</v>
      </c>
      <c r="H2101">
        <v>96636</v>
      </c>
      <c r="I2101">
        <v>1844</v>
      </c>
      <c r="J2101">
        <v>0</v>
      </c>
      <c r="K2101">
        <v>30.2</v>
      </c>
      <c r="L2101">
        <v>206.66</v>
      </c>
      <c r="M2101">
        <v>225</v>
      </c>
      <c r="N2101">
        <v>205.03</v>
      </c>
      <c r="O2101">
        <v>207.97</v>
      </c>
      <c r="P2101">
        <v>61.34</v>
      </c>
      <c r="Q2101">
        <v>2062174592</v>
      </c>
      <c r="R2101">
        <v>1.2</v>
      </c>
      <c r="S2101" t="s">
        <v>63</v>
      </c>
      <c r="T2101" t="s">
        <v>193</v>
      </c>
      <c r="U2101">
        <v>9.6</v>
      </c>
      <c r="V2101">
        <v>213.4</v>
      </c>
      <c r="W2101">
        <v>44779</v>
      </c>
      <c r="X2101">
        <v>51856</v>
      </c>
      <c r="Y2101">
        <v>0.86</v>
      </c>
      <c r="Z2101">
        <v>79</v>
      </c>
      <c r="AA2101">
        <v>1</v>
      </c>
      <c r="AB2101" t="s">
        <v>32</v>
      </c>
      <c r="AC2101">
        <v>0.32</v>
      </c>
    </row>
    <row r="2102" spans="1:29">
      <c r="A2102" t="str">
        <f>"300750"</f>
        <v>300750</v>
      </c>
      <c r="B2102" t="s">
        <v>2271</v>
      </c>
      <c r="C2102">
        <v>3.55</v>
      </c>
      <c r="D2102">
        <v>91.77</v>
      </c>
      <c r="E2102">
        <v>3.15</v>
      </c>
      <c r="F2102">
        <v>91.76</v>
      </c>
      <c r="G2102">
        <v>91.77</v>
      </c>
      <c r="H2102">
        <v>265010</v>
      </c>
      <c r="I2102">
        <v>4557</v>
      </c>
      <c r="J2102">
        <v>-0.22</v>
      </c>
      <c r="K2102">
        <v>12.2</v>
      </c>
      <c r="L2102">
        <v>88.5</v>
      </c>
      <c r="M2102">
        <v>92.96</v>
      </c>
      <c r="N2102">
        <v>87.5</v>
      </c>
      <c r="O2102">
        <v>88.62</v>
      </c>
      <c r="P2102">
        <v>120.58</v>
      </c>
      <c r="Q2102">
        <v>2395962624</v>
      </c>
      <c r="R2102">
        <v>0.89</v>
      </c>
      <c r="S2102" t="s">
        <v>104</v>
      </c>
      <c r="T2102" t="s">
        <v>236</v>
      </c>
      <c r="U2102">
        <v>6.16</v>
      </c>
      <c r="V2102">
        <v>90.41</v>
      </c>
      <c r="W2102">
        <v>121565</v>
      </c>
      <c r="X2102">
        <v>143445</v>
      </c>
      <c r="Y2102">
        <v>0.85</v>
      </c>
      <c r="Z2102">
        <v>27</v>
      </c>
      <c r="AA2102">
        <v>135</v>
      </c>
      <c r="AB2102" t="s">
        <v>32</v>
      </c>
      <c r="AC2102">
        <v>2.17</v>
      </c>
    </row>
    <row r="2103" spans="1:29">
      <c r="A2103" t="str">
        <f>"000629"</f>
        <v>000629</v>
      </c>
      <c r="B2103" t="s">
        <v>2272</v>
      </c>
      <c r="C2103" t="s">
        <v>32</v>
      </c>
      <c r="D2103">
        <v>0</v>
      </c>
      <c r="E2103" t="s">
        <v>32</v>
      </c>
      <c r="F2103" t="s">
        <v>32</v>
      </c>
      <c r="G2103" t="s">
        <v>32</v>
      </c>
      <c r="H2103">
        <v>0</v>
      </c>
      <c r="I2103">
        <v>0</v>
      </c>
      <c r="J2103" t="s">
        <v>32</v>
      </c>
      <c r="K2103">
        <v>0</v>
      </c>
      <c r="L2103" t="s">
        <v>32</v>
      </c>
      <c r="M2103" t="s">
        <v>32</v>
      </c>
      <c r="N2103" t="s">
        <v>32</v>
      </c>
      <c r="O2103" t="s">
        <v>32</v>
      </c>
      <c r="P2103" t="s">
        <v>32</v>
      </c>
      <c r="Q2103">
        <v>0</v>
      </c>
      <c r="R2103">
        <v>0</v>
      </c>
      <c r="S2103" t="s">
        <v>356</v>
      </c>
      <c r="T2103" t="s">
        <v>146</v>
      </c>
      <c r="U2103" t="s">
        <v>32</v>
      </c>
      <c r="V2103">
        <v>0</v>
      </c>
      <c r="W2103">
        <v>0</v>
      </c>
      <c r="X2103">
        <v>0</v>
      </c>
      <c r="Y2103" t="s">
        <v>32</v>
      </c>
      <c r="Z2103">
        <v>0</v>
      </c>
      <c r="AA2103">
        <v>0</v>
      </c>
      <c r="AB2103" t="s">
        <v>32</v>
      </c>
      <c r="AC2103">
        <v>47.67</v>
      </c>
    </row>
    <row r="2104" spans="1:29">
      <c r="A2104" t="str">
        <f>"000693"</f>
        <v>000693</v>
      </c>
      <c r="B2104" t="s">
        <v>2273</v>
      </c>
      <c r="C2104" t="s">
        <v>32</v>
      </c>
      <c r="D2104">
        <v>0</v>
      </c>
      <c r="E2104" t="s">
        <v>32</v>
      </c>
      <c r="F2104" t="s">
        <v>32</v>
      </c>
      <c r="G2104" t="s">
        <v>32</v>
      </c>
      <c r="H2104">
        <v>0</v>
      </c>
      <c r="I2104">
        <v>0</v>
      </c>
      <c r="J2104" t="s">
        <v>32</v>
      </c>
      <c r="K2104">
        <v>0</v>
      </c>
      <c r="L2104" t="s">
        <v>32</v>
      </c>
      <c r="M2104" t="s">
        <v>32</v>
      </c>
      <c r="N2104" t="s">
        <v>32</v>
      </c>
      <c r="O2104" t="s">
        <v>32</v>
      </c>
      <c r="P2104" t="s">
        <v>32</v>
      </c>
      <c r="Q2104">
        <v>0</v>
      </c>
      <c r="R2104">
        <v>0</v>
      </c>
      <c r="S2104" t="s">
        <v>356</v>
      </c>
      <c r="T2104" t="s">
        <v>146</v>
      </c>
      <c r="U2104" t="s">
        <v>32</v>
      </c>
      <c r="V2104">
        <v>0</v>
      </c>
      <c r="W2104">
        <v>0</v>
      </c>
      <c r="X2104">
        <v>0</v>
      </c>
      <c r="Y2104" t="s">
        <v>32</v>
      </c>
      <c r="Z2104">
        <v>0</v>
      </c>
      <c r="AA2104">
        <v>0</v>
      </c>
      <c r="AB2104" t="s">
        <v>32</v>
      </c>
      <c r="AC2104">
        <v>2.58</v>
      </c>
    </row>
    <row r="2105" spans="1:29">
      <c r="A2105" t="str">
        <f>"000950"</f>
        <v>000950</v>
      </c>
      <c r="B2105" t="s">
        <v>2274</v>
      </c>
      <c r="C2105" t="s">
        <v>32</v>
      </c>
      <c r="D2105">
        <v>0</v>
      </c>
      <c r="E2105" t="s">
        <v>32</v>
      </c>
      <c r="F2105" t="s">
        <v>32</v>
      </c>
      <c r="G2105" t="s">
        <v>32</v>
      </c>
      <c r="H2105">
        <v>0</v>
      </c>
      <c r="I2105">
        <v>0</v>
      </c>
      <c r="J2105" t="s">
        <v>32</v>
      </c>
      <c r="K2105">
        <v>0</v>
      </c>
      <c r="L2105" t="s">
        <v>32</v>
      </c>
      <c r="M2105" t="s">
        <v>32</v>
      </c>
      <c r="N2105" t="s">
        <v>32</v>
      </c>
      <c r="O2105" t="s">
        <v>32</v>
      </c>
      <c r="P2105" t="s">
        <v>32</v>
      </c>
      <c r="Q2105">
        <v>0</v>
      </c>
      <c r="R2105">
        <v>0</v>
      </c>
      <c r="S2105" t="s">
        <v>145</v>
      </c>
      <c r="T2105" t="s">
        <v>221</v>
      </c>
      <c r="U2105" t="s">
        <v>32</v>
      </c>
      <c r="V2105">
        <v>0</v>
      </c>
      <c r="W2105">
        <v>0</v>
      </c>
      <c r="X2105">
        <v>0</v>
      </c>
      <c r="Y2105" t="s">
        <v>32</v>
      </c>
      <c r="Z2105">
        <v>0</v>
      </c>
      <c r="AA2105">
        <v>0</v>
      </c>
      <c r="AB2105" t="s">
        <v>32</v>
      </c>
      <c r="AC2105">
        <v>3.17</v>
      </c>
    </row>
    <row r="2106" spans="1:29">
      <c r="A2106" t="str">
        <f>"002070"</f>
        <v>002070</v>
      </c>
      <c r="B2106" t="s">
        <v>2275</v>
      </c>
      <c r="C2106" t="s">
        <v>32</v>
      </c>
      <c r="D2106">
        <v>0</v>
      </c>
      <c r="E2106" t="s">
        <v>32</v>
      </c>
      <c r="F2106" t="s">
        <v>32</v>
      </c>
      <c r="G2106" t="s">
        <v>32</v>
      </c>
      <c r="H2106">
        <v>0</v>
      </c>
      <c r="I2106">
        <v>0</v>
      </c>
      <c r="J2106" t="s">
        <v>32</v>
      </c>
      <c r="K2106">
        <v>0</v>
      </c>
      <c r="L2106" t="s">
        <v>32</v>
      </c>
      <c r="M2106" t="s">
        <v>32</v>
      </c>
      <c r="N2106" t="s">
        <v>32</v>
      </c>
      <c r="O2106" t="s">
        <v>32</v>
      </c>
      <c r="P2106" t="s">
        <v>32</v>
      </c>
      <c r="Q2106">
        <v>0</v>
      </c>
      <c r="R2106">
        <v>0</v>
      </c>
      <c r="S2106" t="s">
        <v>99</v>
      </c>
      <c r="T2106" t="s">
        <v>236</v>
      </c>
      <c r="U2106" t="s">
        <v>32</v>
      </c>
      <c r="V2106">
        <v>0</v>
      </c>
      <c r="W2106">
        <v>0</v>
      </c>
      <c r="X2106">
        <v>0</v>
      </c>
      <c r="Y2106" t="s">
        <v>32</v>
      </c>
      <c r="Z2106">
        <v>0</v>
      </c>
      <c r="AA2106">
        <v>0</v>
      </c>
      <c r="AB2106" t="s">
        <v>32</v>
      </c>
      <c r="AC2106">
        <v>5.67</v>
      </c>
    </row>
    <row r="2107" spans="1:29">
      <c r="A2107" t="str">
        <f>"300724"</f>
        <v>300724</v>
      </c>
      <c r="B2107" t="s">
        <v>2276</v>
      </c>
      <c r="C2107" t="s">
        <v>32</v>
      </c>
      <c r="D2107">
        <v>0</v>
      </c>
      <c r="E2107" t="s">
        <v>32</v>
      </c>
      <c r="F2107" t="s">
        <v>32</v>
      </c>
      <c r="G2107" t="s">
        <v>32</v>
      </c>
      <c r="H2107">
        <v>0</v>
      </c>
      <c r="I2107">
        <v>0</v>
      </c>
      <c r="J2107" t="s">
        <v>32</v>
      </c>
      <c r="K2107" t="s">
        <v>32</v>
      </c>
      <c r="L2107" t="s">
        <v>32</v>
      </c>
      <c r="M2107" t="s">
        <v>32</v>
      </c>
      <c r="N2107" t="s">
        <v>32</v>
      </c>
      <c r="O2107" t="s">
        <v>32</v>
      </c>
      <c r="P2107" t="s">
        <v>32</v>
      </c>
      <c r="Q2107">
        <v>0</v>
      </c>
      <c r="R2107" t="s">
        <v>32</v>
      </c>
      <c r="S2107" t="s">
        <v>171</v>
      </c>
      <c r="T2107" t="s">
        <v>31</v>
      </c>
      <c r="U2107" t="s">
        <v>32</v>
      </c>
      <c r="V2107">
        <v>0</v>
      </c>
      <c r="W2107">
        <v>0</v>
      </c>
      <c r="X2107">
        <v>0</v>
      </c>
      <c r="Y2107" t="s">
        <v>32</v>
      </c>
      <c r="Z2107">
        <v>0</v>
      </c>
      <c r="AA2107">
        <v>0</v>
      </c>
      <c r="AB2107" t="s">
        <v>32</v>
      </c>
      <c r="AC2107" t="s">
        <v>32</v>
      </c>
    </row>
    <row r="2108" spans="1:29">
      <c r="A2108" t="str">
        <f>"600000"</f>
        <v>600000</v>
      </c>
      <c r="B2108" t="s">
        <v>2277</v>
      </c>
      <c r="C2108">
        <v>0.6</v>
      </c>
      <c r="D2108">
        <v>10.02</v>
      </c>
      <c r="E2108">
        <v>0.06</v>
      </c>
      <c r="F2108">
        <v>10.02</v>
      </c>
      <c r="G2108">
        <v>10.03</v>
      </c>
      <c r="H2108">
        <v>364246</v>
      </c>
      <c r="I2108">
        <v>59</v>
      </c>
      <c r="J2108">
        <v>-0.09</v>
      </c>
      <c r="K2108">
        <v>0.13</v>
      </c>
      <c r="L2108">
        <v>9.98</v>
      </c>
      <c r="M2108">
        <v>10.14</v>
      </c>
      <c r="N2108">
        <v>9.97</v>
      </c>
      <c r="O2108">
        <v>9.96</v>
      </c>
      <c r="P2108">
        <v>5.14</v>
      </c>
      <c r="Q2108">
        <v>365678880</v>
      </c>
      <c r="R2108">
        <v>1.57</v>
      </c>
      <c r="S2108" t="s">
        <v>30</v>
      </c>
      <c r="T2108" t="s">
        <v>366</v>
      </c>
      <c r="U2108">
        <v>1.71</v>
      </c>
      <c r="V2108">
        <v>10.04</v>
      </c>
      <c r="W2108">
        <v>183510</v>
      </c>
      <c r="X2108">
        <v>180735</v>
      </c>
      <c r="Y2108">
        <v>1.02</v>
      </c>
      <c r="Z2108">
        <v>475</v>
      </c>
      <c r="AA2108">
        <v>679</v>
      </c>
      <c r="AB2108" t="s">
        <v>32</v>
      </c>
      <c r="AC2108">
        <v>281.04</v>
      </c>
    </row>
    <row r="2109" spans="1:29">
      <c r="A2109" t="str">
        <f>"600004"</f>
        <v>600004</v>
      </c>
      <c r="B2109" t="s">
        <v>2278</v>
      </c>
      <c r="C2109">
        <v>2.66</v>
      </c>
      <c r="D2109">
        <v>14.66</v>
      </c>
      <c r="E2109">
        <v>0.38</v>
      </c>
      <c r="F2109">
        <v>14.65</v>
      </c>
      <c r="G2109">
        <v>14.66</v>
      </c>
      <c r="H2109">
        <v>137747</v>
      </c>
      <c r="I2109">
        <v>14</v>
      </c>
      <c r="J2109">
        <v>-0.06</v>
      </c>
      <c r="K2109">
        <v>0.67</v>
      </c>
      <c r="L2109">
        <v>14.28</v>
      </c>
      <c r="M2109">
        <v>14.84</v>
      </c>
      <c r="N2109">
        <v>14.27</v>
      </c>
      <c r="O2109">
        <v>14.28</v>
      </c>
      <c r="P2109">
        <v>17.52</v>
      </c>
      <c r="Q2109">
        <v>200108608</v>
      </c>
      <c r="R2109">
        <v>1.34</v>
      </c>
      <c r="S2109" t="s">
        <v>129</v>
      </c>
      <c r="T2109" t="s">
        <v>136</v>
      </c>
      <c r="U2109">
        <v>3.99</v>
      </c>
      <c r="V2109">
        <v>14.53</v>
      </c>
      <c r="W2109">
        <v>46085</v>
      </c>
      <c r="X2109">
        <v>91661</v>
      </c>
      <c r="Y2109">
        <v>0.5</v>
      </c>
      <c r="Z2109">
        <v>36</v>
      </c>
      <c r="AA2109">
        <v>3</v>
      </c>
      <c r="AB2109" t="s">
        <v>32</v>
      </c>
      <c r="AC2109">
        <v>20.69</v>
      </c>
    </row>
    <row r="2110" spans="1:29">
      <c r="A2110" t="str">
        <f>"600006"</f>
        <v>600006</v>
      </c>
      <c r="B2110" t="s">
        <v>2279</v>
      </c>
      <c r="C2110">
        <v>2.76</v>
      </c>
      <c r="D2110">
        <v>4.09</v>
      </c>
      <c r="E2110">
        <v>0.11</v>
      </c>
      <c r="F2110">
        <v>4.08</v>
      </c>
      <c r="G2110">
        <v>4.09</v>
      </c>
      <c r="H2110">
        <v>163687</v>
      </c>
      <c r="I2110">
        <v>4</v>
      </c>
      <c r="J2110">
        <v>0.25</v>
      </c>
      <c r="K2110">
        <v>0.82</v>
      </c>
      <c r="L2110">
        <v>4</v>
      </c>
      <c r="M2110">
        <v>4.11</v>
      </c>
      <c r="N2110">
        <v>3.97</v>
      </c>
      <c r="O2110">
        <v>3.98</v>
      </c>
      <c r="P2110">
        <v>15.79</v>
      </c>
      <c r="Q2110">
        <v>66296056</v>
      </c>
      <c r="R2110">
        <v>1.76</v>
      </c>
      <c r="S2110" t="s">
        <v>262</v>
      </c>
      <c r="T2110" t="s">
        <v>193</v>
      </c>
      <c r="U2110">
        <v>3.52</v>
      </c>
      <c r="V2110">
        <v>4.05</v>
      </c>
      <c r="W2110">
        <v>68802</v>
      </c>
      <c r="X2110">
        <v>94884</v>
      </c>
      <c r="Y2110">
        <v>0.73</v>
      </c>
      <c r="Z2110">
        <v>1488</v>
      </c>
      <c r="AA2110">
        <v>408</v>
      </c>
      <c r="AB2110" t="s">
        <v>32</v>
      </c>
      <c r="AC2110">
        <v>20</v>
      </c>
    </row>
    <row r="2111" spans="1:29">
      <c r="A2111" t="str">
        <f>"600007"</f>
        <v>600007</v>
      </c>
      <c r="B2111" t="s">
        <v>2280</v>
      </c>
      <c r="C2111">
        <v>3.01</v>
      </c>
      <c r="D2111">
        <v>15.07</v>
      </c>
      <c r="E2111">
        <v>0.44</v>
      </c>
      <c r="F2111">
        <v>15.06</v>
      </c>
      <c r="G2111">
        <v>15.08</v>
      </c>
      <c r="H2111">
        <v>10527</v>
      </c>
      <c r="I2111">
        <v>7</v>
      </c>
      <c r="J2111">
        <v>-0.19</v>
      </c>
      <c r="K2111">
        <v>0.1</v>
      </c>
      <c r="L2111">
        <v>14.53</v>
      </c>
      <c r="M2111">
        <v>15.1</v>
      </c>
      <c r="N2111">
        <v>14.53</v>
      </c>
      <c r="O2111">
        <v>14.63</v>
      </c>
      <c r="P2111">
        <v>18.82</v>
      </c>
      <c r="Q2111">
        <v>15715225</v>
      </c>
      <c r="R2111">
        <v>2.31</v>
      </c>
      <c r="S2111" t="s">
        <v>338</v>
      </c>
      <c r="T2111" t="s">
        <v>45</v>
      </c>
      <c r="U2111">
        <v>3.9</v>
      </c>
      <c r="V2111">
        <v>14.93</v>
      </c>
      <c r="W2111">
        <v>4429</v>
      </c>
      <c r="X2111">
        <v>6097</v>
      </c>
      <c r="Y2111">
        <v>0.73</v>
      </c>
      <c r="Z2111">
        <v>92</v>
      </c>
      <c r="AA2111">
        <v>16</v>
      </c>
      <c r="AB2111" t="s">
        <v>32</v>
      </c>
      <c r="AC2111">
        <v>10.07</v>
      </c>
    </row>
    <row r="2112" spans="1:29">
      <c r="A2112" t="str">
        <f>"600008"</f>
        <v>600008</v>
      </c>
      <c r="B2112" t="s">
        <v>2281</v>
      </c>
      <c r="C2112">
        <v>2.63</v>
      </c>
      <c r="D2112">
        <v>4.3</v>
      </c>
      <c r="E2112">
        <v>0.11</v>
      </c>
      <c r="F2112">
        <v>4.29</v>
      </c>
      <c r="G2112">
        <v>4.3</v>
      </c>
      <c r="H2112">
        <v>333850</v>
      </c>
      <c r="I2112">
        <v>938</v>
      </c>
      <c r="J2112">
        <v>0</v>
      </c>
      <c r="K2112">
        <v>0.69</v>
      </c>
      <c r="L2112">
        <v>4.18</v>
      </c>
      <c r="M2112">
        <v>4.33</v>
      </c>
      <c r="N2112">
        <v>4.17</v>
      </c>
      <c r="O2112">
        <v>4.19</v>
      </c>
      <c r="P2112">
        <v>60.11</v>
      </c>
      <c r="Q2112">
        <v>142765024</v>
      </c>
      <c r="R2112">
        <v>3.2</v>
      </c>
      <c r="S2112" t="s">
        <v>86</v>
      </c>
      <c r="T2112" t="s">
        <v>45</v>
      </c>
      <c r="U2112">
        <v>3.82</v>
      </c>
      <c r="V2112">
        <v>4.28</v>
      </c>
      <c r="W2112">
        <v>111291</v>
      </c>
      <c r="X2112">
        <v>222559</v>
      </c>
      <c r="Y2112">
        <v>0.5</v>
      </c>
      <c r="Z2112">
        <v>2346</v>
      </c>
      <c r="AA2112">
        <v>6745</v>
      </c>
      <c r="AB2112" t="s">
        <v>32</v>
      </c>
      <c r="AC2112">
        <v>48.21</v>
      </c>
    </row>
    <row r="2113" spans="1:29">
      <c r="A2113" t="str">
        <f>"600009"</f>
        <v>600009</v>
      </c>
      <c r="B2113" t="s">
        <v>2282</v>
      </c>
      <c r="C2113">
        <v>-0.66</v>
      </c>
      <c r="D2113">
        <v>61.42</v>
      </c>
      <c r="E2113">
        <v>-0.41</v>
      </c>
      <c r="F2113">
        <v>61.5</v>
      </c>
      <c r="G2113">
        <v>61.51</v>
      </c>
      <c r="H2113">
        <v>118066</v>
      </c>
      <c r="I2113">
        <v>14</v>
      </c>
      <c r="J2113">
        <v>-0.06</v>
      </c>
      <c r="K2113">
        <v>1.08</v>
      </c>
      <c r="L2113">
        <v>62.3</v>
      </c>
      <c r="M2113">
        <v>63.3</v>
      </c>
      <c r="N2113">
        <v>60.83</v>
      </c>
      <c r="O2113">
        <v>61.83</v>
      </c>
      <c r="P2113">
        <v>29.07</v>
      </c>
      <c r="Q2113">
        <v>727622720</v>
      </c>
      <c r="R2113">
        <v>1.95</v>
      </c>
      <c r="S2113" t="s">
        <v>129</v>
      </c>
      <c r="T2113" t="s">
        <v>366</v>
      </c>
      <c r="U2113">
        <v>3.99</v>
      </c>
      <c r="V2113">
        <v>61.63</v>
      </c>
      <c r="W2113">
        <v>62961</v>
      </c>
      <c r="X2113">
        <v>55105</v>
      </c>
      <c r="Y2113">
        <v>1.14</v>
      </c>
      <c r="Z2113">
        <v>7</v>
      </c>
      <c r="AA2113">
        <v>70</v>
      </c>
      <c r="AB2113" t="s">
        <v>32</v>
      </c>
      <c r="AC2113">
        <v>10.93</v>
      </c>
    </row>
    <row r="2114" spans="1:29">
      <c r="A2114" t="str">
        <f>"600010"</f>
        <v>600010</v>
      </c>
      <c r="B2114" t="s">
        <v>2283</v>
      </c>
      <c r="C2114">
        <v>2.55</v>
      </c>
      <c r="D2114">
        <v>1.61</v>
      </c>
      <c r="E2114">
        <v>0.04</v>
      </c>
      <c r="F2114">
        <v>1.6</v>
      </c>
      <c r="G2114">
        <v>1.61</v>
      </c>
      <c r="H2114">
        <v>3248826</v>
      </c>
      <c r="I2114">
        <v>467</v>
      </c>
      <c r="J2114">
        <v>0</v>
      </c>
      <c r="K2114">
        <v>1.03</v>
      </c>
      <c r="L2114">
        <v>1.56</v>
      </c>
      <c r="M2114">
        <v>1.63</v>
      </c>
      <c r="N2114">
        <v>1.56</v>
      </c>
      <c r="O2114">
        <v>1.57</v>
      </c>
      <c r="P2114">
        <v>28.81</v>
      </c>
      <c r="Q2114">
        <v>520778752</v>
      </c>
      <c r="R2114">
        <v>2.31</v>
      </c>
      <c r="S2114" t="s">
        <v>353</v>
      </c>
      <c r="T2114" t="s">
        <v>198</v>
      </c>
      <c r="U2114">
        <v>4.46</v>
      </c>
      <c r="V2114">
        <v>1.6</v>
      </c>
      <c r="W2114">
        <v>1128239</v>
      </c>
      <c r="X2114">
        <v>2120586</v>
      </c>
      <c r="Y2114">
        <v>0.53</v>
      </c>
      <c r="Z2114">
        <v>117187</v>
      </c>
      <c r="AA2114">
        <v>49032</v>
      </c>
      <c r="AB2114" t="s">
        <v>32</v>
      </c>
      <c r="AC2114">
        <v>316.77</v>
      </c>
    </row>
    <row r="2115" spans="1:29">
      <c r="A2115" t="str">
        <f>"600011"</f>
        <v>600011</v>
      </c>
      <c r="B2115" t="s">
        <v>2284</v>
      </c>
      <c r="C2115">
        <v>-4.44</v>
      </c>
      <c r="D2115">
        <v>7.54</v>
      </c>
      <c r="E2115">
        <v>-0.35</v>
      </c>
      <c r="F2115">
        <v>7.51</v>
      </c>
      <c r="G2115">
        <v>7.52</v>
      </c>
      <c r="H2115">
        <v>581882</v>
      </c>
      <c r="I2115">
        <v>148</v>
      </c>
      <c r="J2115">
        <v>0.13</v>
      </c>
      <c r="K2115">
        <v>0.55</v>
      </c>
      <c r="L2115">
        <v>7.85</v>
      </c>
      <c r="M2115">
        <v>7.85</v>
      </c>
      <c r="N2115">
        <v>7.45</v>
      </c>
      <c r="O2115">
        <v>7.89</v>
      </c>
      <c r="P2115">
        <v>23.51</v>
      </c>
      <c r="Q2115">
        <v>438906592</v>
      </c>
      <c r="R2115">
        <v>1.83</v>
      </c>
      <c r="S2115" t="s">
        <v>75</v>
      </c>
      <c r="T2115" t="s">
        <v>45</v>
      </c>
      <c r="U2115">
        <v>5.07</v>
      </c>
      <c r="V2115">
        <v>7.54</v>
      </c>
      <c r="W2115">
        <v>339566</v>
      </c>
      <c r="X2115">
        <v>242315</v>
      </c>
      <c r="Y2115">
        <v>1.4</v>
      </c>
      <c r="Z2115">
        <v>4670</v>
      </c>
      <c r="AA2115">
        <v>104</v>
      </c>
      <c r="AB2115" t="s">
        <v>32</v>
      </c>
      <c r="AC2115">
        <v>105</v>
      </c>
    </row>
    <row r="2116" spans="1:29">
      <c r="A2116" t="str">
        <f>"600012"</f>
        <v>600012</v>
      </c>
      <c r="B2116" t="s">
        <v>2285</v>
      </c>
      <c r="C2116">
        <v>2.56</v>
      </c>
      <c r="D2116">
        <v>6.02</v>
      </c>
      <c r="E2116">
        <v>0.15</v>
      </c>
      <c r="F2116">
        <v>6.01</v>
      </c>
      <c r="G2116">
        <v>6.02</v>
      </c>
      <c r="H2116">
        <v>96026</v>
      </c>
      <c r="I2116">
        <v>37</v>
      </c>
      <c r="J2116">
        <v>-0.32</v>
      </c>
      <c r="K2116">
        <v>0.82</v>
      </c>
      <c r="L2116">
        <v>5.83</v>
      </c>
      <c r="M2116">
        <v>6.1</v>
      </c>
      <c r="N2116">
        <v>5.82</v>
      </c>
      <c r="O2116">
        <v>5.87</v>
      </c>
      <c r="P2116">
        <v>9.31</v>
      </c>
      <c r="Q2116">
        <v>57613936</v>
      </c>
      <c r="R2116">
        <v>2.96</v>
      </c>
      <c r="S2116" t="s">
        <v>201</v>
      </c>
      <c r="T2116" t="s">
        <v>143</v>
      </c>
      <c r="U2116">
        <v>4.77</v>
      </c>
      <c r="V2116">
        <v>6</v>
      </c>
      <c r="W2116">
        <v>50933</v>
      </c>
      <c r="X2116">
        <v>45092</v>
      </c>
      <c r="Y2116">
        <v>1.13</v>
      </c>
      <c r="Z2116">
        <v>73</v>
      </c>
      <c r="AA2116">
        <v>29</v>
      </c>
      <c r="AB2116" t="s">
        <v>32</v>
      </c>
      <c r="AC2116">
        <v>11.66</v>
      </c>
    </row>
    <row r="2117" spans="1:29">
      <c r="A2117" t="str">
        <f>"600015"</f>
        <v>600015</v>
      </c>
      <c r="B2117" t="s">
        <v>2286</v>
      </c>
      <c r="C2117">
        <v>0.53</v>
      </c>
      <c r="D2117">
        <v>7.64</v>
      </c>
      <c r="E2117">
        <v>0.04</v>
      </c>
      <c r="F2117">
        <v>7.64</v>
      </c>
      <c r="G2117">
        <v>7.65</v>
      </c>
      <c r="H2117">
        <v>273746</v>
      </c>
      <c r="I2117">
        <v>542</v>
      </c>
      <c r="J2117">
        <v>-0.12</v>
      </c>
      <c r="K2117">
        <v>0.21</v>
      </c>
      <c r="L2117">
        <v>7.57</v>
      </c>
      <c r="M2117">
        <v>7.71</v>
      </c>
      <c r="N2117">
        <v>7.57</v>
      </c>
      <c r="O2117">
        <v>7.6</v>
      </c>
      <c r="P2117">
        <v>5.38</v>
      </c>
      <c r="Q2117">
        <v>209584784</v>
      </c>
      <c r="R2117">
        <v>1.52</v>
      </c>
      <c r="S2117" t="s">
        <v>30</v>
      </c>
      <c r="T2117" t="s">
        <v>45</v>
      </c>
      <c r="U2117">
        <v>1.84</v>
      </c>
      <c r="V2117">
        <v>7.66</v>
      </c>
      <c r="W2117">
        <v>128824</v>
      </c>
      <c r="X2117">
        <v>144922</v>
      </c>
      <c r="Y2117">
        <v>0.89</v>
      </c>
      <c r="Z2117">
        <v>655</v>
      </c>
      <c r="AA2117">
        <v>711</v>
      </c>
      <c r="AB2117" t="s">
        <v>32</v>
      </c>
      <c r="AC2117">
        <v>128.23</v>
      </c>
    </row>
    <row r="2118" spans="1:29">
      <c r="A2118" t="str">
        <f>"600016"</f>
        <v>600016</v>
      </c>
      <c r="B2118" t="s">
        <v>2287</v>
      </c>
      <c r="C2118">
        <v>0.17</v>
      </c>
      <c r="D2118">
        <v>6.01</v>
      </c>
      <c r="E2118">
        <v>0.01</v>
      </c>
      <c r="F2118">
        <v>6.01</v>
      </c>
      <c r="G2118">
        <v>6.02</v>
      </c>
      <c r="H2118">
        <v>959314</v>
      </c>
      <c r="I2118">
        <v>189</v>
      </c>
      <c r="J2118">
        <v>0</v>
      </c>
      <c r="K2118">
        <v>0.27</v>
      </c>
      <c r="L2118">
        <v>6</v>
      </c>
      <c r="M2118">
        <v>6.07</v>
      </c>
      <c r="N2118">
        <v>5.99</v>
      </c>
      <c r="O2118">
        <v>6</v>
      </c>
      <c r="P2118">
        <v>4.4</v>
      </c>
      <c r="Q2118">
        <v>577815488</v>
      </c>
      <c r="R2118">
        <v>1.63</v>
      </c>
      <c r="S2118" t="s">
        <v>30</v>
      </c>
      <c r="T2118" t="s">
        <v>45</v>
      </c>
      <c r="U2118">
        <v>1.33</v>
      </c>
      <c r="V2118">
        <v>6.02</v>
      </c>
      <c r="W2118">
        <v>514235</v>
      </c>
      <c r="X2118">
        <v>445079</v>
      </c>
      <c r="Y2118">
        <v>1.16</v>
      </c>
      <c r="Z2118">
        <v>1286</v>
      </c>
      <c r="AA2118">
        <v>15621</v>
      </c>
      <c r="AB2118" t="s">
        <v>32</v>
      </c>
      <c r="AC2118">
        <v>354.62</v>
      </c>
    </row>
    <row r="2119" spans="1:29">
      <c r="A2119" t="str">
        <f>"600017"</f>
        <v>600017</v>
      </c>
      <c r="B2119" t="s">
        <v>2288</v>
      </c>
      <c r="C2119">
        <v>1.52</v>
      </c>
      <c r="D2119">
        <v>3.33</v>
      </c>
      <c r="E2119">
        <v>0.05</v>
      </c>
      <c r="F2119">
        <v>3.32</v>
      </c>
      <c r="G2119">
        <v>3.33</v>
      </c>
      <c r="H2119">
        <v>143250</v>
      </c>
      <c r="I2119">
        <v>20</v>
      </c>
      <c r="J2119">
        <v>0</v>
      </c>
      <c r="K2119">
        <v>0.47</v>
      </c>
      <c r="L2119">
        <v>3.27</v>
      </c>
      <c r="M2119">
        <v>3.35</v>
      </c>
      <c r="N2119">
        <v>3.26</v>
      </c>
      <c r="O2119">
        <v>3.28</v>
      </c>
      <c r="P2119">
        <v>15</v>
      </c>
      <c r="Q2119">
        <v>47548344</v>
      </c>
      <c r="R2119">
        <v>1.53</v>
      </c>
      <c r="S2119" t="s">
        <v>67</v>
      </c>
      <c r="T2119" t="s">
        <v>162</v>
      </c>
      <c r="U2119">
        <v>2.74</v>
      </c>
      <c r="V2119">
        <v>3.32</v>
      </c>
      <c r="W2119">
        <v>61859</v>
      </c>
      <c r="X2119">
        <v>81390</v>
      </c>
      <c r="Y2119">
        <v>0.76</v>
      </c>
      <c r="Z2119">
        <v>4961</v>
      </c>
      <c r="AA2119">
        <v>2275</v>
      </c>
      <c r="AB2119" t="s">
        <v>32</v>
      </c>
      <c r="AC2119">
        <v>30.76</v>
      </c>
    </row>
    <row r="2120" spans="1:29">
      <c r="A2120" t="str">
        <f>"600018"</f>
        <v>600018</v>
      </c>
      <c r="B2120" t="s">
        <v>2289</v>
      </c>
      <c r="C2120">
        <v>1.5</v>
      </c>
      <c r="D2120">
        <v>6.11</v>
      </c>
      <c r="E2120">
        <v>0.09</v>
      </c>
      <c r="F2120">
        <v>6.1</v>
      </c>
      <c r="G2120">
        <v>6.11</v>
      </c>
      <c r="H2120">
        <v>148859</v>
      </c>
      <c r="I2120">
        <v>7</v>
      </c>
      <c r="J2120">
        <v>0</v>
      </c>
      <c r="K2120">
        <v>0.06</v>
      </c>
      <c r="L2120">
        <v>6.02</v>
      </c>
      <c r="M2120">
        <v>6.14</v>
      </c>
      <c r="N2120">
        <v>6.01</v>
      </c>
      <c r="O2120">
        <v>6.02</v>
      </c>
      <c r="P2120">
        <v>21.44</v>
      </c>
      <c r="Q2120">
        <v>90847880</v>
      </c>
      <c r="R2120">
        <v>1.66</v>
      </c>
      <c r="S2120" t="s">
        <v>67</v>
      </c>
      <c r="T2120" t="s">
        <v>366</v>
      </c>
      <c r="U2120">
        <v>2.16</v>
      </c>
      <c r="V2120">
        <v>6.1</v>
      </c>
      <c r="W2120">
        <v>66033</v>
      </c>
      <c r="X2120">
        <v>82825</v>
      </c>
      <c r="Y2120">
        <v>0.8</v>
      </c>
      <c r="Z2120">
        <v>883</v>
      </c>
      <c r="AA2120">
        <v>1076</v>
      </c>
      <c r="AB2120" t="s">
        <v>32</v>
      </c>
      <c r="AC2120">
        <v>231.74</v>
      </c>
    </row>
    <row r="2121" spans="1:29">
      <c r="A2121" t="str">
        <f>"600019"</f>
        <v>600019</v>
      </c>
      <c r="B2121" t="s">
        <v>2290</v>
      </c>
      <c r="C2121">
        <v>4.4</v>
      </c>
      <c r="D2121">
        <v>8.54</v>
      </c>
      <c r="E2121">
        <v>0.36</v>
      </c>
      <c r="F2121">
        <v>8.54</v>
      </c>
      <c r="G2121">
        <v>8.55</v>
      </c>
      <c r="H2121">
        <v>1420257</v>
      </c>
      <c r="I2121">
        <v>72</v>
      </c>
      <c r="J2121">
        <v>-0.11</v>
      </c>
      <c r="K2121">
        <v>0.64</v>
      </c>
      <c r="L2121">
        <v>8.47</v>
      </c>
      <c r="M2121">
        <v>8.89</v>
      </c>
      <c r="N2121">
        <v>8.47</v>
      </c>
      <c r="O2121">
        <v>8.18</v>
      </c>
      <c r="P2121">
        <v>9.47</v>
      </c>
      <c r="Q2121">
        <v>1229196288</v>
      </c>
      <c r="R2121">
        <v>1.86</v>
      </c>
      <c r="S2121" t="s">
        <v>353</v>
      </c>
      <c r="T2121" t="s">
        <v>366</v>
      </c>
      <c r="U2121">
        <v>5.13</v>
      </c>
      <c r="V2121">
        <v>8.65</v>
      </c>
      <c r="W2121">
        <v>744556</v>
      </c>
      <c r="X2121">
        <v>675701</v>
      </c>
      <c r="Y2121">
        <v>1.1</v>
      </c>
      <c r="Z2121">
        <v>588</v>
      </c>
      <c r="AA2121">
        <v>3075</v>
      </c>
      <c r="AB2121" t="s">
        <v>32</v>
      </c>
      <c r="AC2121">
        <v>221.01</v>
      </c>
    </row>
    <row r="2122" spans="1:29">
      <c r="A2122" t="str">
        <f>"600020"</f>
        <v>600020</v>
      </c>
      <c r="B2122" t="s">
        <v>2291</v>
      </c>
      <c r="C2122">
        <v>2.41</v>
      </c>
      <c r="D2122">
        <v>3.82</v>
      </c>
      <c r="E2122">
        <v>0.09</v>
      </c>
      <c r="F2122">
        <v>3.82</v>
      </c>
      <c r="G2122">
        <v>3.83</v>
      </c>
      <c r="H2122">
        <v>126442</v>
      </c>
      <c r="I2122">
        <v>104</v>
      </c>
      <c r="J2122">
        <v>0</v>
      </c>
      <c r="K2122">
        <v>0.56</v>
      </c>
      <c r="L2122">
        <v>3.71</v>
      </c>
      <c r="M2122">
        <v>3.87</v>
      </c>
      <c r="N2122">
        <v>3.71</v>
      </c>
      <c r="O2122">
        <v>3.73</v>
      </c>
      <c r="P2122">
        <v>7.71</v>
      </c>
      <c r="Q2122">
        <v>48146640</v>
      </c>
      <c r="R2122">
        <v>2.45</v>
      </c>
      <c r="S2122" t="s">
        <v>201</v>
      </c>
      <c r="T2122" t="s">
        <v>164</v>
      </c>
      <c r="U2122">
        <v>4.29</v>
      </c>
      <c r="V2122">
        <v>3.81</v>
      </c>
      <c r="W2122">
        <v>52112</v>
      </c>
      <c r="X2122">
        <v>74330</v>
      </c>
      <c r="Y2122">
        <v>0.7</v>
      </c>
      <c r="Z2122">
        <v>29</v>
      </c>
      <c r="AA2122">
        <v>1871</v>
      </c>
      <c r="AB2122" t="s">
        <v>32</v>
      </c>
      <c r="AC2122">
        <v>22.47</v>
      </c>
    </row>
    <row r="2123" spans="1:29">
      <c r="A2123" t="str">
        <f>"600021"</f>
        <v>600021</v>
      </c>
      <c r="B2123" t="s">
        <v>2292</v>
      </c>
      <c r="C2123">
        <v>-0.51</v>
      </c>
      <c r="D2123">
        <v>7.74</v>
      </c>
      <c r="E2123">
        <v>-0.04</v>
      </c>
      <c r="F2123">
        <v>7.74</v>
      </c>
      <c r="G2123">
        <v>7.75</v>
      </c>
      <c r="H2123">
        <v>56480</v>
      </c>
      <c r="I2123">
        <v>15</v>
      </c>
      <c r="J2123">
        <v>0.13</v>
      </c>
      <c r="K2123">
        <v>0.66</v>
      </c>
      <c r="L2123">
        <v>7.69</v>
      </c>
      <c r="M2123">
        <v>7.8</v>
      </c>
      <c r="N2123">
        <v>7.69</v>
      </c>
      <c r="O2123">
        <v>7.78</v>
      </c>
      <c r="P2123">
        <v>53.53</v>
      </c>
      <c r="Q2123">
        <v>43672688</v>
      </c>
      <c r="R2123">
        <v>0.6</v>
      </c>
      <c r="S2123" t="s">
        <v>75</v>
      </c>
      <c r="T2123" t="s">
        <v>366</v>
      </c>
      <c r="U2123">
        <v>1.41</v>
      </c>
      <c r="V2123">
        <v>7.73</v>
      </c>
      <c r="W2123">
        <v>34071</v>
      </c>
      <c r="X2123">
        <v>22409</v>
      </c>
      <c r="Y2123">
        <v>1.52</v>
      </c>
      <c r="Z2123">
        <v>170</v>
      </c>
      <c r="AA2123">
        <v>172</v>
      </c>
      <c r="AB2123" t="s">
        <v>32</v>
      </c>
      <c r="AC2123">
        <v>8.56</v>
      </c>
    </row>
    <row r="2124" spans="1:29">
      <c r="A2124" t="str">
        <f>"600022"</f>
        <v>600022</v>
      </c>
      <c r="B2124" t="s">
        <v>2293</v>
      </c>
      <c r="C2124">
        <v>0</v>
      </c>
      <c r="D2124">
        <v>2.02</v>
      </c>
      <c r="E2124">
        <v>0</v>
      </c>
      <c r="F2124" t="s">
        <v>32</v>
      </c>
      <c r="G2124" t="s">
        <v>32</v>
      </c>
      <c r="H2124">
        <v>0</v>
      </c>
      <c r="I2124">
        <v>0</v>
      </c>
      <c r="J2124">
        <v>0</v>
      </c>
      <c r="K2124">
        <v>0</v>
      </c>
      <c r="L2124" t="s">
        <v>32</v>
      </c>
      <c r="M2124" t="s">
        <v>32</v>
      </c>
      <c r="N2124" t="s">
        <v>32</v>
      </c>
      <c r="O2124">
        <v>2.02</v>
      </c>
      <c r="P2124">
        <v>8.9</v>
      </c>
      <c r="Q2124">
        <v>0</v>
      </c>
      <c r="R2124">
        <v>0</v>
      </c>
      <c r="S2124" t="s">
        <v>353</v>
      </c>
      <c r="T2124" t="s">
        <v>162</v>
      </c>
      <c r="U2124">
        <v>0</v>
      </c>
      <c r="V2124">
        <v>2.02</v>
      </c>
      <c r="W2124">
        <v>0</v>
      </c>
      <c r="X2124">
        <v>0</v>
      </c>
      <c r="Y2124" t="s">
        <v>32</v>
      </c>
      <c r="Z2124">
        <v>0</v>
      </c>
      <c r="AA2124">
        <v>0</v>
      </c>
      <c r="AB2124" t="s">
        <v>32</v>
      </c>
      <c r="AC2124">
        <v>106.89</v>
      </c>
    </row>
    <row r="2125" spans="1:29">
      <c r="A2125" t="str">
        <f>"600023"</f>
        <v>600023</v>
      </c>
      <c r="B2125" t="s">
        <v>2294</v>
      </c>
      <c r="C2125">
        <v>-0.8</v>
      </c>
      <c r="D2125">
        <v>4.97</v>
      </c>
      <c r="E2125">
        <v>-0.04</v>
      </c>
      <c r="F2125">
        <v>4.96</v>
      </c>
      <c r="G2125">
        <v>4.97</v>
      </c>
      <c r="H2125">
        <v>152592</v>
      </c>
      <c r="I2125">
        <v>57</v>
      </c>
      <c r="J2125">
        <v>0.2</v>
      </c>
      <c r="K2125">
        <v>0.11</v>
      </c>
      <c r="L2125">
        <v>4.98</v>
      </c>
      <c r="M2125">
        <v>5.01</v>
      </c>
      <c r="N2125">
        <v>4.95</v>
      </c>
      <c r="O2125">
        <v>5.01</v>
      </c>
      <c r="P2125">
        <v>29.5</v>
      </c>
      <c r="Q2125">
        <v>75924976</v>
      </c>
      <c r="R2125">
        <v>0.9</v>
      </c>
      <c r="S2125" t="s">
        <v>75</v>
      </c>
      <c r="T2125" t="s">
        <v>149</v>
      </c>
      <c r="U2125">
        <v>1.2</v>
      </c>
      <c r="V2125">
        <v>4.98</v>
      </c>
      <c r="W2125">
        <v>86984</v>
      </c>
      <c r="X2125">
        <v>65608</v>
      </c>
      <c r="Y2125">
        <v>1.33</v>
      </c>
      <c r="Z2125">
        <v>2357</v>
      </c>
      <c r="AA2125">
        <v>313</v>
      </c>
      <c r="AB2125" t="s">
        <v>32</v>
      </c>
      <c r="AC2125">
        <v>136.01</v>
      </c>
    </row>
    <row r="2126" spans="1:29">
      <c r="A2126" t="str">
        <f>"600025"</f>
        <v>600025</v>
      </c>
      <c r="B2126" t="s">
        <v>2295</v>
      </c>
      <c r="C2126">
        <v>2.3</v>
      </c>
      <c r="D2126">
        <v>3.12</v>
      </c>
      <c r="E2126">
        <v>0.07</v>
      </c>
      <c r="F2126">
        <v>3.11</v>
      </c>
      <c r="G2126">
        <v>3.12</v>
      </c>
      <c r="H2126">
        <v>722948</v>
      </c>
      <c r="I2126">
        <v>40</v>
      </c>
      <c r="J2126">
        <v>0</v>
      </c>
      <c r="K2126">
        <v>4.02</v>
      </c>
      <c r="L2126">
        <v>3.03</v>
      </c>
      <c r="M2126">
        <v>3.21</v>
      </c>
      <c r="N2126">
        <v>3.03</v>
      </c>
      <c r="O2126">
        <v>3.05</v>
      </c>
      <c r="P2126">
        <v>41.42</v>
      </c>
      <c r="Q2126">
        <v>224806048</v>
      </c>
      <c r="R2126">
        <v>1.22</v>
      </c>
      <c r="S2126" t="s">
        <v>312</v>
      </c>
      <c r="T2126" t="s">
        <v>250</v>
      </c>
      <c r="U2126">
        <v>5.9</v>
      </c>
      <c r="V2126">
        <v>3.11</v>
      </c>
      <c r="W2126">
        <v>292787</v>
      </c>
      <c r="X2126">
        <v>430160</v>
      </c>
      <c r="Y2126">
        <v>0.68</v>
      </c>
      <c r="Z2126">
        <v>9647</v>
      </c>
      <c r="AA2126">
        <v>1852</v>
      </c>
      <c r="AB2126" t="s">
        <v>32</v>
      </c>
      <c r="AC2126">
        <v>18</v>
      </c>
    </row>
    <row r="2127" spans="1:29">
      <c r="A2127" t="str">
        <f>"600026"</f>
        <v>600026</v>
      </c>
      <c r="B2127" t="s">
        <v>2296</v>
      </c>
      <c r="C2127">
        <v>3.1</v>
      </c>
      <c r="D2127">
        <v>4.32</v>
      </c>
      <c r="E2127">
        <v>0.13</v>
      </c>
      <c r="F2127">
        <v>4.31</v>
      </c>
      <c r="G2127">
        <v>4.32</v>
      </c>
      <c r="H2127">
        <v>210558</v>
      </c>
      <c r="I2127">
        <v>13</v>
      </c>
      <c r="J2127">
        <v>0</v>
      </c>
      <c r="K2127">
        <v>0.77</v>
      </c>
      <c r="L2127">
        <v>4.13</v>
      </c>
      <c r="M2127">
        <v>4.4</v>
      </c>
      <c r="N2127">
        <v>4.11</v>
      </c>
      <c r="O2127">
        <v>4.19</v>
      </c>
      <c r="P2127" t="s">
        <v>32</v>
      </c>
      <c r="Q2127">
        <v>89759848</v>
      </c>
      <c r="R2127">
        <v>3.9</v>
      </c>
      <c r="S2127" t="s">
        <v>229</v>
      </c>
      <c r="T2127" t="s">
        <v>366</v>
      </c>
      <c r="U2127">
        <v>6.92</v>
      </c>
      <c r="V2127">
        <v>4.26</v>
      </c>
      <c r="W2127">
        <v>85966</v>
      </c>
      <c r="X2127">
        <v>124592</v>
      </c>
      <c r="Y2127">
        <v>0.69</v>
      </c>
      <c r="Z2127">
        <v>2245</v>
      </c>
      <c r="AA2127">
        <v>425</v>
      </c>
      <c r="AB2127" t="s">
        <v>32</v>
      </c>
      <c r="AC2127">
        <v>27.36</v>
      </c>
    </row>
    <row r="2128" spans="1:29">
      <c r="A2128" t="str">
        <f>"600027"</f>
        <v>600027</v>
      </c>
      <c r="B2128" t="s">
        <v>2297</v>
      </c>
      <c r="C2128">
        <v>-3.08</v>
      </c>
      <c r="D2128">
        <v>4.4</v>
      </c>
      <c r="E2128">
        <v>-0.14</v>
      </c>
      <c r="F2128">
        <v>4.4</v>
      </c>
      <c r="G2128">
        <v>4.41</v>
      </c>
      <c r="H2128">
        <v>887797</v>
      </c>
      <c r="I2128">
        <v>43</v>
      </c>
      <c r="J2128">
        <v>0.23</v>
      </c>
      <c r="K2128">
        <v>1.31</v>
      </c>
      <c r="L2128">
        <v>4.58</v>
      </c>
      <c r="M2128">
        <v>4.6</v>
      </c>
      <c r="N2128">
        <v>4.3</v>
      </c>
      <c r="O2128">
        <v>4.54</v>
      </c>
      <c r="P2128">
        <v>15.78</v>
      </c>
      <c r="Q2128">
        <v>388041312</v>
      </c>
      <c r="R2128">
        <v>1.55</v>
      </c>
      <c r="S2128" t="s">
        <v>75</v>
      </c>
      <c r="T2128" t="s">
        <v>162</v>
      </c>
      <c r="U2128">
        <v>6.61</v>
      </c>
      <c r="V2128">
        <v>4.37</v>
      </c>
      <c r="W2128">
        <v>529626</v>
      </c>
      <c r="X2128">
        <v>358170</v>
      </c>
      <c r="Y2128">
        <v>1.48</v>
      </c>
      <c r="Z2128">
        <v>242</v>
      </c>
      <c r="AA2128">
        <v>2256</v>
      </c>
      <c r="AB2128" t="s">
        <v>32</v>
      </c>
      <c r="AC2128">
        <v>67.85</v>
      </c>
    </row>
    <row r="2129" spans="1:29">
      <c r="A2129" t="str">
        <f>"600028"</f>
        <v>600028</v>
      </c>
      <c r="B2129" t="s">
        <v>2298</v>
      </c>
      <c r="C2129">
        <v>1.4</v>
      </c>
      <c r="D2129">
        <v>6.52</v>
      </c>
      <c r="E2129">
        <v>0.09</v>
      </c>
      <c r="F2129">
        <v>6.51</v>
      </c>
      <c r="G2129">
        <v>6.52</v>
      </c>
      <c r="H2129">
        <v>1050046</v>
      </c>
      <c r="I2129">
        <v>64</v>
      </c>
      <c r="J2129">
        <v>0.15</v>
      </c>
      <c r="K2129">
        <v>0.11</v>
      </c>
      <c r="L2129">
        <v>6.42</v>
      </c>
      <c r="M2129">
        <v>6.6</v>
      </c>
      <c r="N2129">
        <v>6.4</v>
      </c>
      <c r="O2129">
        <v>6.43</v>
      </c>
      <c r="P2129">
        <v>10.51</v>
      </c>
      <c r="Q2129">
        <v>682745984</v>
      </c>
      <c r="R2129">
        <v>1.56</v>
      </c>
      <c r="S2129" t="s">
        <v>110</v>
      </c>
      <c r="T2129" t="s">
        <v>45</v>
      </c>
      <c r="U2129">
        <v>3.11</v>
      </c>
      <c r="V2129">
        <v>6.5</v>
      </c>
      <c r="W2129">
        <v>494353</v>
      </c>
      <c r="X2129">
        <v>555693</v>
      </c>
      <c r="Y2129">
        <v>0.89</v>
      </c>
      <c r="Z2129">
        <v>1844</v>
      </c>
      <c r="AA2129">
        <v>1878</v>
      </c>
      <c r="AB2129" t="s">
        <v>32</v>
      </c>
      <c r="AC2129">
        <v>955.58</v>
      </c>
    </row>
    <row r="2130" spans="1:29">
      <c r="A2130" t="str">
        <f>"600029"</f>
        <v>600029</v>
      </c>
      <c r="B2130" t="s">
        <v>2299</v>
      </c>
      <c r="C2130">
        <v>1.39</v>
      </c>
      <c r="D2130">
        <v>7.29</v>
      </c>
      <c r="E2130">
        <v>0.1</v>
      </c>
      <c r="F2130">
        <v>7.28</v>
      </c>
      <c r="G2130">
        <v>7.29</v>
      </c>
      <c r="H2130">
        <v>1438986</v>
      </c>
      <c r="I2130">
        <v>98</v>
      </c>
      <c r="J2130">
        <v>0</v>
      </c>
      <c r="K2130">
        <v>2.05</v>
      </c>
      <c r="L2130">
        <v>7.12</v>
      </c>
      <c r="M2130">
        <v>7.35</v>
      </c>
      <c r="N2130">
        <v>7.03</v>
      </c>
      <c r="O2130">
        <v>7.19</v>
      </c>
      <c r="P2130">
        <v>7.23</v>
      </c>
      <c r="Q2130">
        <v>1040924032</v>
      </c>
      <c r="R2130">
        <v>1.16</v>
      </c>
      <c r="S2130" t="s">
        <v>134</v>
      </c>
      <c r="T2130" t="s">
        <v>136</v>
      </c>
      <c r="U2130">
        <v>4.45</v>
      </c>
      <c r="V2130">
        <v>7.23</v>
      </c>
      <c r="W2130">
        <v>596889</v>
      </c>
      <c r="X2130">
        <v>842097</v>
      </c>
      <c r="Y2130">
        <v>0.71</v>
      </c>
      <c r="Z2130">
        <v>2372</v>
      </c>
      <c r="AA2130">
        <v>226</v>
      </c>
      <c r="AB2130" t="s">
        <v>32</v>
      </c>
      <c r="AC2130">
        <v>70.23</v>
      </c>
    </row>
    <row r="2131" spans="1:29">
      <c r="A2131" t="str">
        <f>"600030"</f>
        <v>600030</v>
      </c>
      <c r="B2131" t="s">
        <v>2300</v>
      </c>
      <c r="C2131">
        <v>1.05</v>
      </c>
      <c r="D2131">
        <v>17.32</v>
      </c>
      <c r="E2131">
        <v>0.18</v>
      </c>
      <c r="F2131">
        <v>17.32</v>
      </c>
      <c r="G2131">
        <v>17.33</v>
      </c>
      <c r="H2131">
        <v>1505444</v>
      </c>
      <c r="I2131">
        <v>21</v>
      </c>
      <c r="J2131">
        <v>0</v>
      </c>
      <c r="K2131">
        <v>1.53</v>
      </c>
      <c r="L2131">
        <v>17.22</v>
      </c>
      <c r="M2131">
        <v>17.7</v>
      </c>
      <c r="N2131">
        <v>17.15</v>
      </c>
      <c r="O2131">
        <v>17.14</v>
      </c>
      <c r="P2131">
        <v>19.51</v>
      </c>
      <c r="Q2131">
        <v>2624671744</v>
      </c>
      <c r="R2131">
        <v>1.68</v>
      </c>
      <c r="S2131" t="s">
        <v>158</v>
      </c>
      <c r="T2131" t="s">
        <v>31</v>
      </c>
      <c r="U2131">
        <v>3.21</v>
      </c>
      <c r="V2131">
        <v>17.43</v>
      </c>
      <c r="W2131">
        <v>752585</v>
      </c>
      <c r="X2131">
        <v>752859</v>
      </c>
      <c r="Y2131">
        <v>1</v>
      </c>
      <c r="Z2131">
        <v>99</v>
      </c>
      <c r="AA2131">
        <v>979</v>
      </c>
      <c r="AB2131" t="s">
        <v>32</v>
      </c>
      <c r="AC2131">
        <v>98.15</v>
      </c>
    </row>
    <row r="2132" spans="1:29">
      <c r="A2132" t="str">
        <f>"600031"</f>
        <v>600031</v>
      </c>
      <c r="B2132" t="s">
        <v>2301</v>
      </c>
      <c r="C2132">
        <v>1.83</v>
      </c>
      <c r="D2132">
        <v>8.92</v>
      </c>
      <c r="E2132">
        <v>0.16</v>
      </c>
      <c r="F2132">
        <v>8.92</v>
      </c>
      <c r="G2132">
        <v>8.93</v>
      </c>
      <c r="H2132">
        <v>2290083</v>
      </c>
      <c r="I2132">
        <v>36</v>
      </c>
      <c r="J2132">
        <v>0</v>
      </c>
      <c r="K2132">
        <v>2.97</v>
      </c>
      <c r="L2132">
        <v>9</v>
      </c>
      <c r="M2132">
        <v>9.4</v>
      </c>
      <c r="N2132">
        <v>8.88</v>
      </c>
      <c r="O2132">
        <v>8.76</v>
      </c>
      <c r="P2132">
        <v>11.5</v>
      </c>
      <c r="Q2132">
        <v>2089159040</v>
      </c>
      <c r="R2132">
        <v>3.53</v>
      </c>
      <c r="S2132" t="s">
        <v>151</v>
      </c>
      <c r="T2132" t="s">
        <v>152</v>
      </c>
      <c r="U2132">
        <v>5.94</v>
      </c>
      <c r="V2132">
        <v>9.12</v>
      </c>
      <c r="W2132">
        <v>1075969</v>
      </c>
      <c r="X2132">
        <v>1214114</v>
      </c>
      <c r="Y2132">
        <v>0.89</v>
      </c>
      <c r="Z2132">
        <v>531</v>
      </c>
      <c r="AA2132">
        <v>781</v>
      </c>
      <c r="AB2132" t="s">
        <v>32</v>
      </c>
      <c r="AC2132">
        <v>77</v>
      </c>
    </row>
    <row r="2133" spans="1:29">
      <c r="A2133" t="str">
        <f>"600033"</f>
        <v>600033</v>
      </c>
      <c r="B2133" t="s">
        <v>2302</v>
      </c>
      <c r="C2133">
        <v>1.99</v>
      </c>
      <c r="D2133">
        <v>3.07</v>
      </c>
      <c r="E2133">
        <v>0.06</v>
      </c>
      <c r="F2133">
        <v>3.06</v>
      </c>
      <c r="G2133">
        <v>3.07</v>
      </c>
      <c r="H2133">
        <v>164163</v>
      </c>
      <c r="I2133">
        <v>1</v>
      </c>
      <c r="J2133">
        <v>0.33</v>
      </c>
      <c r="K2133">
        <v>0.6</v>
      </c>
      <c r="L2133">
        <v>3</v>
      </c>
      <c r="M2133">
        <v>3.09</v>
      </c>
      <c r="N2133">
        <v>3</v>
      </c>
      <c r="O2133">
        <v>3.01</v>
      </c>
      <c r="P2133">
        <v>11.46</v>
      </c>
      <c r="Q2133">
        <v>50005140</v>
      </c>
      <c r="R2133">
        <v>4.59</v>
      </c>
      <c r="S2133" t="s">
        <v>201</v>
      </c>
      <c r="T2133" t="s">
        <v>236</v>
      </c>
      <c r="U2133">
        <v>2.99</v>
      </c>
      <c r="V2133">
        <v>3.05</v>
      </c>
      <c r="W2133">
        <v>87251</v>
      </c>
      <c r="X2133">
        <v>76911</v>
      </c>
      <c r="Y2133">
        <v>1.13</v>
      </c>
      <c r="Z2133">
        <v>2242</v>
      </c>
      <c r="AA2133">
        <v>1731</v>
      </c>
      <c r="AB2133" t="s">
        <v>32</v>
      </c>
      <c r="AC2133">
        <v>27.44</v>
      </c>
    </row>
    <row r="2134" spans="1:29">
      <c r="A2134" t="str">
        <f>"600035"</f>
        <v>600035</v>
      </c>
      <c r="B2134" t="s">
        <v>2303</v>
      </c>
      <c r="C2134">
        <v>3.83</v>
      </c>
      <c r="D2134">
        <v>3.25</v>
      </c>
      <c r="E2134">
        <v>0.12</v>
      </c>
      <c r="F2134">
        <v>3.24</v>
      </c>
      <c r="G2134">
        <v>3.25</v>
      </c>
      <c r="H2134">
        <v>134973</v>
      </c>
      <c r="I2134">
        <v>10</v>
      </c>
      <c r="J2134">
        <v>0.31</v>
      </c>
      <c r="K2134">
        <v>0.91</v>
      </c>
      <c r="L2134">
        <v>3.12</v>
      </c>
      <c r="M2134">
        <v>3.3</v>
      </c>
      <c r="N2134">
        <v>3.11</v>
      </c>
      <c r="O2134">
        <v>3.13</v>
      </c>
      <c r="P2134">
        <v>8.42</v>
      </c>
      <c r="Q2134">
        <v>43395876</v>
      </c>
      <c r="R2134">
        <v>3.12</v>
      </c>
      <c r="S2134" t="s">
        <v>201</v>
      </c>
      <c r="T2134" t="s">
        <v>193</v>
      </c>
      <c r="U2134">
        <v>6.07</v>
      </c>
      <c r="V2134">
        <v>3.22</v>
      </c>
      <c r="W2134">
        <v>50830</v>
      </c>
      <c r="X2134">
        <v>84143</v>
      </c>
      <c r="Y2134">
        <v>0.6</v>
      </c>
      <c r="Z2134">
        <v>1125</v>
      </c>
      <c r="AA2134">
        <v>385</v>
      </c>
      <c r="AB2134" t="s">
        <v>32</v>
      </c>
      <c r="AC2134">
        <v>14.91</v>
      </c>
    </row>
    <row r="2135" spans="1:29">
      <c r="A2135" t="str">
        <f>"600036"</f>
        <v>600036</v>
      </c>
      <c r="B2135" t="s">
        <v>2304</v>
      </c>
      <c r="C2135">
        <v>-0.39</v>
      </c>
      <c r="D2135">
        <v>27.75</v>
      </c>
      <c r="E2135">
        <v>-0.11</v>
      </c>
      <c r="F2135">
        <v>27.74</v>
      </c>
      <c r="G2135">
        <v>27.75</v>
      </c>
      <c r="H2135">
        <v>694539</v>
      </c>
      <c r="I2135">
        <v>43</v>
      </c>
      <c r="J2135">
        <v>0.11</v>
      </c>
      <c r="K2135">
        <v>0.34</v>
      </c>
      <c r="L2135">
        <v>27.86</v>
      </c>
      <c r="M2135">
        <v>28.6</v>
      </c>
      <c r="N2135">
        <v>27.57</v>
      </c>
      <c r="O2135">
        <v>27.86</v>
      </c>
      <c r="P2135">
        <v>7.72</v>
      </c>
      <c r="Q2135">
        <v>1944728320</v>
      </c>
      <c r="R2135">
        <v>1.18</v>
      </c>
      <c r="S2135" t="s">
        <v>30</v>
      </c>
      <c r="T2135" t="s">
        <v>31</v>
      </c>
      <c r="U2135">
        <v>3.7</v>
      </c>
      <c r="V2135">
        <v>28</v>
      </c>
      <c r="W2135">
        <v>353518</v>
      </c>
      <c r="X2135">
        <v>341020</v>
      </c>
      <c r="Y2135">
        <v>1.04</v>
      </c>
      <c r="Z2135">
        <v>35</v>
      </c>
      <c r="AA2135">
        <v>4</v>
      </c>
      <c r="AB2135" t="s">
        <v>32</v>
      </c>
      <c r="AC2135">
        <v>206.29</v>
      </c>
    </row>
    <row r="2136" spans="1:29">
      <c r="A2136" t="str">
        <f>"600037"</f>
        <v>600037</v>
      </c>
      <c r="B2136" t="s">
        <v>2305</v>
      </c>
      <c r="C2136">
        <v>1.7</v>
      </c>
      <c r="D2136">
        <v>10.16</v>
      </c>
      <c r="E2136">
        <v>0.17</v>
      </c>
      <c r="F2136">
        <v>10.16</v>
      </c>
      <c r="G2136">
        <v>10.17</v>
      </c>
      <c r="H2136">
        <v>60079</v>
      </c>
      <c r="I2136">
        <v>80</v>
      </c>
      <c r="J2136">
        <v>-0.19</v>
      </c>
      <c r="K2136">
        <v>0.51</v>
      </c>
      <c r="L2136">
        <v>9.98</v>
      </c>
      <c r="M2136">
        <v>10.28</v>
      </c>
      <c r="N2136">
        <v>9.97</v>
      </c>
      <c r="O2136">
        <v>9.99</v>
      </c>
      <c r="P2136">
        <v>20.61</v>
      </c>
      <c r="Q2136">
        <v>60937848</v>
      </c>
      <c r="R2136">
        <v>2.14</v>
      </c>
      <c r="S2136" t="s">
        <v>148</v>
      </c>
      <c r="T2136" t="s">
        <v>45</v>
      </c>
      <c r="U2136">
        <v>3.1</v>
      </c>
      <c r="V2136">
        <v>10.14</v>
      </c>
      <c r="W2136">
        <v>23953</v>
      </c>
      <c r="X2136">
        <v>36126</v>
      </c>
      <c r="Y2136">
        <v>0.66</v>
      </c>
      <c r="Z2136">
        <v>24</v>
      </c>
      <c r="AA2136">
        <v>97</v>
      </c>
      <c r="AB2136" t="s">
        <v>32</v>
      </c>
      <c r="AC2136">
        <v>11.68</v>
      </c>
    </row>
    <row r="2137" spans="1:29">
      <c r="A2137" t="str">
        <f>"600038"</f>
        <v>600038</v>
      </c>
      <c r="B2137" t="s">
        <v>2306</v>
      </c>
      <c r="C2137">
        <v>0.74</v>
      </c>
      <c r="D2137">
        <v>40.91</v>
      </c>
      <c r="E2137">
        <v>0.3</v>
      </c>
      <c r="F2137">
        <v>40.94</v>
      </c>
      <c r="G2137">
        <v>40.95</v>
      </c>
      <c r="H2137">
        <v>103590</v>
      </c>
      <c r="I2137">
        <v>1</v>
      </c>
      <c r="J2137">
        <v>0.32</v>
      </c>
      <c r="K2137">
        <v>1.76</v>
      </c>
      <c r="L2137">
        <v>40.6</v>
      </c>
      <c r="M2137">
        <v>41.25</v>
      </c>
      <c r="N2137">
        <v>39.8</v>
      </c>
      <c r="O2137">
        <v>40.61</v>
      </c>
      <c r="P2137">
        <v>85.32</v>
      </c>
      <c r="Q2137">
        <v>422182976</v>
      </c>
      <c r="R2137">
        <v>1.1</v>
      </c>
      <c r="S2137" t="s">
        <v>389</v>
      </c>
      <c r="T2137" t="s">
        <v>297</v>
      </c>
      <c r="U2137">
        <v>3.57</v>
      </c>
      <c r="V2137">
        <v>40.76</v>
      </c>
      <c r="W2137">
        <v>44129</v>
      </c>
      <c r="X2137">
        <v>59461</v>
      </c>
      <c r="Y2137">
        <v>0.74</v>
      </c>
      <c r="Z2137">
        <v>46</v>
      </c>
      <c r="AA2137">
        <v>9</v>
      </c>
      <c r="AB2137" t="s">
        <v>32</v>
      </c>
      <c r="AC2137">
        <v>5.89</v>
      </c>
    </row>
    <row r="2138" spans="1:29">
      <c r="A2138" t="str">
        <f>"600039"</f>
        <v>600039</v>
      </c>
      <c r="B2138" t="s">
        <v>2307</v>
      </c>
      <c r="C2138">
        <v>10.12</v>
      </c>
      <c r="D2138">
        <v>3.81</v>
      </c>
      <c r="E2138">
        <v>0.35</v>
      </c>
      <c r="F2138">
        <v>3.81</v>
      </c>
      <c r="G2138" t="s">
        <v>32</v>
      </c>
      <c r="H2138">
        <v>441233</v>
      </c>
      <c r="I2138">
        <v>30</v>
      </c>
      <c r="J2138">
        <v>0</v>
      </c>
      <c r="K2138">
        <v>1.46</v>
      </c>
      <c r="L2138">
        <v>3.7</v>
      </c>
      <c r="M2138">
        <v>3.81</v>
      </c>
      <c r="N2138">
        <v>3.7</v>
      </c>
      <c r="O2138">
        <v>3.46</v>
      </c>
      <c r="P2138">
        <v>29.96</v>
      </c>
      <c r="Q2138">
        <v>167760688</v>
      </c>
      <c r="R2138">
        <v>3.51</v>
      </c>
      <c r="S2138" t="s">
        <v>49</v>
      </c>
      <c r="T2138" t="s">
        <v>146</v>
      </c>
      <c r="U2138">
        <v>3.18</v>
      </c>
      <c r="V2138">
        <v>3.8</v>
      </c>
      <c r="W2138">
        <v>379139</v>
      </c>
      <c r="X2138">
        <v>62093</v>
      </c>
      <c r="Y2138">
        <v>6.11</v>
      </c>
      <c r="Z2138">
        <v>140313</v>
      </c>
      <c r="AA2138">
        <v>0</v>
      </c>
      <c r="AB2138" t="s">
        <v>32</v>
      </c>
      <c r="AC2138">
        <v>30.2</v>
      </c>
    </row>
    <row r="2139" spans="1:29">
      <c r="A2139" t="str">
        <f>"600048"</f>
        <v>600048</v>
      </c>
      <c r="B2139" t="s">
        <v>2308</v>
      </c>
      <c r="C2139">
        <v>3.28</v>
      </c>
      <c r="D2139">
        <v>11.97</v>
      </c>
      <c r="E2139">
        <v>0.38</v>
      </c>
      <c r="F2139">
        <v>11.97</v>
      </c>
      <c r="G2139">
        <v>11.98</v>
      </c>
      <c r="H2139">
        <v>1949921</v>
      </c>
      <c r="I2139">
        <v>3</v>
      </c>
      <c r="J2139">
        <v>-0.07</v>
      </c>
      <c r="K2139">
        <v>1.66</v>
      </c>
      <c r="L2139">
        <v>11.73</v>
      </c>
      <c r="M2139">
        <v>12.38</v>
      </c>
      <c r="N2139">
        <v>11.7</v>
      </c>
      <c r="O2139">
        <v>11.59</v>
      </c>
      <c r="P2139">
        <v>18.71</v>
      </c>
      <c r="Q2139">
        <v>2361031936</v>
      </c>
      <c r="R2139">
        <v>1.7</v>
      </c>
      <c r="S2139" t="s">
        <v>34</v>
      </c>
      <c r="T2139" t="s">
        <v>136</v>
      </c>
      <c r="U2139">
        <v>5.87</v>
      </c>
      <c r="V2139">
        <v>12.11</v>
      </c>
      <c r="W2139">
        <v>1034895</v>
      </c>
      <c r="X2139">
        <v>915026</v>
      </c>
      <c r="Y2139">
        <v>1.13</v>
      </c>
      <c r="Z2139">
        <v>148</v>
      </c>
      <c r="AA2139">
        <v>1248</v>
      </c>
      <c r="AB2139" t="s">
        <v>32</v>
      </c>
      <c r="AC2139">
        <v>117.36</v>
      </c>
    </row>
    <row r="2140" spans="1:29">
      <c r="A2140" t="str">
        <f>"600050"</f>
        <v>600050</v>
      </c>
      <c r="B2140" t="s">
        <v>2309</v>
      </c>
      <c r="C2140">
        <v>3.5</v>
      </c>
      <c r="D2140">
        <v>5.33</v>
      </c>
      <c r="E2140">
        <v>0.18</v>
      </c>
      <c r="F2140">
        <v>5.32</v>
      </c>
      <c r="G2140">
        <v>5.33</v>
      </c>
      <c r="H2140">
        <v>2807697</v>
      </c>
      <c r="I2140">
        <v>299</v>
      </c>
      <c r="J2140">
        <v>-0.36</v>
      </c>
      <c r="K2140">
        <v>1.32</v>
      </c>
      <c r="L2140">
        <v>5.14</v>
      </c>
      <c r="M2140">
        <v>5.45</v>
      </c>
      <c r="N2140">
        <v>5.12</v>
      </c>
      <c r="O2140">
        <v>5.15</v>
      </c>
      <c r="P2140">
        <v>31.75</v>
      </c>
      <c r="Q2140">
        <v>1481314560</v>
      </c>
      <c r="R2140">
        <v>2.57</v>
      </c>
      <c r="S2140" t="s">
        <v>714</v>
      </c>
      <c r="T2140" t="s">
        <v>45</v>
      </c>
      <c r="U2140">
        <v>6.41</v>
      </c>
      <c r="V2140">
        <v>5.28</v>
      </c>
      <c r="W2140">
        <v>1232414</v>
      </c>
      <c r="X2140">
        <v>1575282</v>
      </c>
      <c r="Y2140">
        <v>0.78</v>
      </c>
      <c r="Z2140">
        <v>9390</v>
      </c>
      <c r="AA2140">
        <v>5</v>
      </c>
      <c r="AB2140" t="s">
        <v>32</v>
      </c>
      <c r="AC2140">
        <v>211.97</v>
      </c>
    </row>
    <row r="2141" spans="1:29">
      <c r="A2141" t="str">
        <f>"600051"</f>
        <v>600051</v>
      </c>
      <c r="B2141" t="s">
        <v>2310</v>
      </c>
      <c r="C2141">
        <v>2.42</v>
      </c>
      <c r="D2141">
        <v>6.35</v>
      </c>
      <c r="E2141">
        <v>0.15</v>
      </c>
      <c r="F2141">
        <v>6.33</v>
      </c>
      <c r="G2141">
        <v>6.36</v>
      </c>
      <c r="H2141">
        <v>28654</v>
      </c>
      <c r="I2141">
        <v>1</v>
      </c>
      <c r="J2141">
        <v>0.16</v>
      </c>
      <c r="K2141">
        <v>0.92</v>
      </c>
      <c r="L2141">
        <v>6.17</v>
      </c>
      <c r="M2141">
        <v>6.39</v>
      </c>
      <c r="N2141">
        <v>6.17</v>
      </c>
      <c r="O2141">
        <v>6.2</v>
      </c>
      <c r="P2141">
        <v>171.5</v>
      </c>
      <c r="Q2141">
        <v>18065928</v>
      </c>
      <c r="R2141">
        <v>1.3</v>
      </c>
      <c r="S2141" t="s">
        <v>47</v>
      </c>
      <c r="T2141" t="s">
        <v>149</v>
      </c>
      <c r="U2141">
        <v>3.55</v>
      </c>
      <c r="V2141">
        <v>6.3</v>
      </c>
      <c r="W2141">
        <v>12553</v>
      </c>
      <c r="X2141">
        <v>16101</v>
      </c>
      <c r="Y2141">
        <v>0.78</v>
      </c>
      <c r="Z2141">
        <v>124</v>
      </c>
      <c r="AA2141">
        <v>719</v>
      </c>
      <c r="AB2141" t="s">
        <v>32</v>
      </c>
      <c r="AC2141">
        <v>3.11</v>
      </c>
    </row>
    <row r="2142" spans="1:29">
      <c r="A2142" t="str">
        <f>"600052"</f>
        <v>600052</v>
      </c>
      <c r="B2142" t="s">
        <v>2311</v>
      </c>
      <c r="C2142">
        <v>0</v>
      </c>
      <c r="D2142">
        <v>3.73</v>
      </c>
      <c r="E2142">
        <v>0</v>
      </c>
      <c r="F2142" t="s">
        <v>32</v>
      </c>
      <c r="G2142" t="s">
        <v>32</v>
      </c>
      <c r="H2142">
        <v>0</v>
      </c>
      <c r="I2142">
        <v>0</v>
      </c>
      <c r="J2142">
        <v>0</v>
      </c>
      <c r="K2142">
        <v>0</v>
      </c>
      <c r="L2142" t="s">
        <v>32</v>
      </c>
      <c r="M2142" t="s">
        <v>32</v>
      </c>
      <c r="N2142" t="s">
        <v>32</v>
      </c>
      <c r="O2142">
        <v>3.73</v>
      </c>
      <c r="P2142">
        <v>19.22</v>
      </c>
      <c r="Q2142">
        <v>0</v>
      </c>
      <c r="R2142">
        <v>0</v>
      </c>
      <c r="S2142" t="s">
        <v>40</v>
      </c>
      <c r="T2142" t="s">
        <v>149</v>
      </c>
      <c r="U2142">
        <v>0</v>
      </c>
      <c r="V2142">
        <v>3.73</v>
      </c>
      <c r="W2142">
        <v>0</v>
      </c>
      <c r="X2142">
        <v>0</v>
      </c>
      <c r="Y2142" t="s">
        <v>32</v>
      </c>
      <c r="Z2142">
        <v>0</v>
      </c>
      <c r="AA2142">
        <v>0</v>
      </c>
      <c r="AB2142" t="s">
        <v>32</v>
      </c>
      <c r="AC2142">
        <v>8.72</v>
      </c>
    </row>
    <row r="2143" spans="1:29">
      <c r="A2143" t="str">
        <f>"600053"</f>
        <v>600053</v>
      </c>
      <c r="B2143" t="s">
        <v>2312</v>
      </c>
      <c r="C2143">
        <v>1.48</v>
      </c>
      <c r="D2143">
        <v>17.1</v>
      </c>
      <c r="E2143">
        <v>0.25</v>
      </c>
      <c r="F2143">
        <v>17.1</v>
      </c>
      <c r="G2143">
        <v>17.11</v>
      </c>
      <c r="H2143">
        <v>15980</v>
      </c>
      <c r="I2143">
        <v>10</v>
      </c>
      <c r="J2143">
        <v>-0.11</v>
      </c>
      <c r="K2143">
        <v>0.37</v>
      </c>
      <c r="L2143">
        <v>16.98</v>
      </c>
      <c r="M2143">
        <v>17.28</v>
      </c>
      <c r="N2143">
        <v>16.68</v>
      </c>
      <c r="O2143">
        <v>16.85</v>
      </c>
      <c r="P2143">
        <v>40.17</v>
      </c>
      <c r="Q2143">
        <v>27364876</v>
      </c>
      <c r="R2143">
        <v>1.02</v>
      </c>
      <c r="S2143" t="s">
        <v>183</v>
      </c>
      <c r="T2143" t="s">
        <v>172</v>
      </c>
      <c r="U2143">
        <v>3.56</v>
      </c>
      <c r="V2143">
        <v>17.12</v>
      </c>
      <c r="W2143">
        <v>6223</v>
      </c>
      <c r="X2143">
        <v>9757</v>
      </c>
      <c r="Y2143">
        <v>0.64</v>
      </c>
      <c r="Z2143">
        <v>42</v>
      </c>
      <c r="AA2143">
        <v>27</v>
      </c>
      <c r="AB2143" t="s">
        <v>32</v>
      </c>
      <c r="AC2143">
        <v>4.34</v>
      </c>
    </row>
    <row r="2144" spans="1:29">
      <c r="A2144" t="str">
        <f>"600054"</f>
        <v>600054</v>
      </c>
      <c r="B2144" t="s">
        <v>2313</v>
      </c>
      <c r="C2144">
        <v>0.43</v>
      </c>
      <c r="D2144">
        <v>11.79</v>
      </c>
      <c r="E2144">
        <v>0.05</v>
      </c>
      <c r="F2144">
        <v>11.78</v>
      </c>
      <c r="G2144">
        <v>11.79</v>
      </c>
      <c r="H2144">
        <v>23245</v>
      </c>
      <c r="I2144">
        <v>100</v>
      </c>
      <c r="J2144">
        <v>0.08</v>
      </c>
      <c r="K2144">
        <v>0.45</v>
      </c>
      <c r="L2144">
        <v>11.79</v>
      </c>
      <c r="M2144">
        <v>11.85</v>
      </c>
      <c r="N2144">
        <v>11.73</v>
      </c>
      <c r="O2144">
        <v>11.74</v>
      </c>
      <c r="P2144">
        <v>28.25</v>
      </c>
      <c r="Q2144">
        <v>27421792</v>
      </c>
      <c r="R2144">
        <v>0.91</v>
      </c>
      <c r="S2144" t="s">
        <v>124</v>
      </c>
      <c r="T2144" t="s">
        <v>143</v>
      </c>
      <c r="U2144">
        <v>1.02</v>
      </c>
      <c r="V2144">
        <v>11.8</v>
      </c>
      <c r="W2144">
        <v>15304</v>
      </c>
      <c r="X2144">
        <v>7940</v>
      </c>
      <c r="Y2144">
        <v>1.93</v>
      </c>
      <c r="Z2144">
        <v>111</v>
      </c>
      <c r="AA2144">
        <v>428</v>
      </c>
      <c r="AB2144" t="s">
        <v>32</v>
      </c>
      <c r="AC2144">
        <v>5.13</v>
      </c>
    </row>
    <row r="2145" spans="1:29">
      <c r="A2145" t="str">
        <f>"600055"</f>
        <v>600055</v>
      </c>
      <c r="B2145" t="s">
        <v>2314</v>
      </c>
      <c r="C2145">
        <v>0.87</v>
      </c>
      <c r="D2145">
        <v>11.63</v>
      </c>
      <c r="E2145">
        <v>0.1</v>
      </c>
      <c r="F2145">
        <v>11.62</v>
      </c>
      <c r="G2145">
        <v>11.66</v>
      </c>
      <c r="H2145">
        <v>25246</v>
      </c>
      <c r="I2145">
        <v>94</v>
      </c>
      <c r="J2145">
        <v>0.17</v>
      </c>
      <c r="K2145">
        <v>0.52</v>
      </c>
      <c r="L2145">
        <v>11.6</v>
      </c>
      <c r="M2145">
        <v>11.81</v>
      </c>
      <c r="N2145">
        <v>11.56</v>
      </c>
      <c r="O2145">
        <v>11.53</v>
      </c>
      <c r="P2145">
        <v>439.72</v>
      </c>
      <c r="Q2145">
        <v>29461588</v>
      </c>
      <c r="R2145">
        <v>1.13</v>
      </c>
      <c r="S2145" t="s">
        <v>138</v>
      </c>
      <c r="T2145" t="s">
        <v>45</v>
      </c>
      <c r="U2145">
        <v>2.17</v>
      </c>
      <c r="V2145">
        <v>11.67</v>
      </c>
      <c r="W2145">
        <v>12987</v>
      </c>
      <c r="X2145">
        <v>12258</v>
      </c>
      <c r="Y2145">
        <v>1.06</v>
      </c>
      <c r="Z2145">
        <v>229</v>
      </c>
      <c r="AA2145">
        <v>68</v>
      </c>
      <c r="AB2145" t="s">
        <v>32</v>
      </c>
      <c r="AC2145">
        <v>4.85</v>
      </c>
    </row>
    <row r="2146" spans="1:29">
      <c r="A2146" t="str">
        <f>"600056"</f>
        <v>600056</v>
      </c>
      <c r="B2146" t="s">
        <v>2315</v>
      </c>
      <c r="C2146">
        <v>5.98</v>
      </c>
      <c r="D2146">
        <v>19.33</v>
      </c>
      <c r="E2146">
        <v>1.09</v>
      </c>
      <c r="F2146">
        <v>19.32</v>
      </c>
      <c r="G2146">
        <v>19.33</v>
      </c>
      <c r="H2146">
        <v>151151</v>
      </c>
      <c r="I2146">
        <v>17</v>
      </c>
      <c r="J2146">
        <v>-0.04</v>
      </c>
      <c r="K2146">
        <v>1.49</v>
      </c>
      <c r="L2146">
        <v>18.25</v>
      </c>
      <c r="M2146">
        <v>19.58</v>
      </c>
      <c r="N2146">
        <v>18.06</v>
      </c>
      <c r="O2146">
        <v>18.24</v>
      </c>
      <c r="P2146">
        <v>12.1</v>
      </c>
      <c r="Q2146">
        <v>289429952</v>
      </c>
      <c r="R2146">
        <v>1.7</v>
      </c>
      <c r="S2146" t="s">
        <v>77</v>
      </c>
      <c r="T2146" t="s">
        <v>45</v>
      </c>
      <c r="U2146">
        <v>8.33</v>
      </c>
      <c r="V2146">
        <v>19.15</v>
      </c>
      <c r="W2146">
        <v>64787</v>
      </c>
      <c r="X2146">
        <v>86364</v>
      </c>
      <c r="Y2146">
        <v>0.75</v>
      </c>
      <c r="Z2146">
        <v>134</v>
      </c>
      <c r="AA2146">
        <v>32</v>
      </c>
      <c r="AB2146" t="s">
        <v>32</v>
      </c>
      <c r="AC2146">
        <v>10.12</v>
      </c>
    </row>
    <row r="2147" spans="1:29">
      <c r="A2147" t="str">
        <f>"600057"</f>
        <v>600057</v>
      </c>
      <c r="B2147" t="s">
        <v>2316</v>
      </c>
      <c r="C2147">
        <v>1.56</v>
      </c>
      <c r="D2147">
        <v>5.21</v>
      </c>
      <c r="E2147">
        <v>0.08</v>
      </c>
      <c r="F2147">
        <v>5.2</v>
      </c>
      <c r="G2147">
        <v>5.21</v>
      </c>
      <c r="H2147">
        <v>77319</v>
      </c>
      <c r="I2147">
        <v>6</v>
      </c>
      <c r="J2147">
        <v>0</v>
      </c>
      <c r="K2147">
        <v>0.36</v>
      </c>
      <c r="L2147">
        <v>5.12</v>
      </c>
      <c r="M2147">
        <v>5.24</v>
      </c>
      <c r="N2147">
        <v>5.1</v>
      </c>
      <c r="O2147">
        <v>5.13</v>
      </c>
      <c r="P2147">
        <v>12.19</v>
      </c>
      <c r="Q2147">
        <v>40128120</v>
      </c>
      <c r="R2147">
        <v>1.38</v>
      </c>
      <c r="S2147" t="s">
        <v>742</v>
      </c>
      <c r="T2147" t="s">
        <v>236</v>
      </c>
      <c r="U2147">
        <v>2.73</v>
      </c>
      <c r="V2147">
        <v>5.19</v>
      </c>
      <c r="W2147">
        <v>34945</v>
      </c>
      <c r="X2147">
        <v>42373</v>
      </c>
      <c r="Y2147">
        <v>0.82</v>
      </c>
      <c r="Z2147">
        <v>611</v>
      </c>
      <c r="AA2147">
        <v>323</v>
      </c>
      <c r="AB2147" t="s">
        <v>32</v>
      </c>
      <c r="AC2147">
        <v>21.38</v>
      </c>
    </row>
    <row r="2148" spans="1:29">
      <c r="A2148" t="str">
        <f>"600058"</f>
        <v>600058</v>
      </c>
      <c r="B2148" t="s">
        <v>2317</v>
      </c>
      <c r="C2148">
        <v>1.77</v>
      </c>
      <c r="D2148">
        <v>8.61</v>
      </c>
      <c r="E2148">
        <v>0.15</v>
      </c>
      <c r="F2148">
        <v>8.6</v>
      </c>
      <c r="G2148">
        <v>8.61</v>
      </c>
      <c r="H2148">
        <v>39336</v>
      </c>
      <c r="I2148">
        <v>20</v>
      </c>
      <c r="J2148">
        <v>0</v>
      </c>
      <c r="K2148">
        <v>0.37</v>
      </c>
      <c r="L2148">
        <v>8.45</v>
      </c>
      <c r="M2148">
        <v>8.71</v>
      </c>
      <c r="N2148">
        <v>8.41</v>
      </c>
      <c r="O2148">
        <v>8.46</v>
      </c>
      <c r="P2148">
        <v>101.82</v>
      </c>
      <c r="Q2148">
        <v>33847992</v>
      </c>
      <c r="R2148">
        <v>1.82</v>
      </c>
      <c r="S2148" t="s">
        <v>140</v>
      </c>
      <c r="T2148" t="s">
        <v>45</v>
      </c>
      <c r="U2148">
        <v>3.55</v>
      </c>
      <c r="V2148">
        <v>8.6</v>
      </c>
      <c r="W2148">
        <v>21314</v>
      </c>
      <c r="X2148">
        <v>18022</v>
      </c>
      <c r="Y2148">
        <v>1.18</v>
      </c>
      <c r="Z2148">
        <v>201</v>
      </c>
      <c r="AA2148">
        <v>915</v>
      </c>
      <c r="AB2148" t="s">
        <v>32</v>
      </c>
      <c r="AC2148">
        <v>10.72</v>
      </c>
    </row>
    <row r="2149" spans="1:29">
      <c r="A2149" t="str">
        <f>"600059"</f>
        <v>600059</v>
      </c>
      <c r="B2149" t="s">
        <v>2318</v>
      </c>
      <c r="C2149">
        <v>1.73</v>
      </c>
      <c r="D2149">
        <v>8.23</v>
      </c>
      <c r="E2149">
        <v>0.14</v>
      </c>
      <c r="F2149">
        <v>8.23</v>
      </c>
      <c r="G2149">
        <v>8.24</v>
      </c>
      <c r="H2149">
        <v>53885</v>
      </c>
      <c r="I2149">
        <v>20</v>
      </c>
      <c r="J2149">
        <v>0</v>
      </c>
      <c r="K2149">
        <v>0.67</v>
      </c>
      <c r="L2149">
        <v>8.11</v>
      </c>
      <c r="M2149">
        <v>8.34</v>
      </c>
      <c r="N2149">
        <v>8.04</v>
      </c>
      <c r="O2149">
        <v>8.09</v>
      </c>
      <c r="P2149">
        <v>20.74</v>
      </c>
      <c r="Q2149">
        <v>44189736</v>
      </c>
      <c r="R2149">
        <v>1.58</v>
      </c>
      <c r="S2149" t="s">
        <v>272</v>
      </c>
      <c r="T2149" t="s">
        <v>149</v>
      </c>
      <c r="U2149">
        <v>3.71</v>
      </c>
      <c r="V2149">
        <v>8.2</v>
      </c>
      <c r="W2149">
        <v>23625</v>
      </c>
      <c r="X2149">
        <v>30259</v>
      </c>
      <c r="Y2149">
        <v>0.78</v>
      </c>
      <c r="Z2149">
        <v>227</v>
      </c>
      <c r="AA2149">
        <v>223</v>
      </c>
      <c r="AB2149" t="s">
        <v>32</v>
      </c>
      <c r="AC2149">
        <v>8.09</v>
      </c>
    </row>
    <row r="2150" spans="1:29">
      <c r="A2150" t="str">
        <f>"600060"</f>
        <v>600060</v>
      </c>
      <c r="B2150" t="s">
        <v>2319</v>
      </c>
      <c r="C2150">
        <v>4.01</v>
      </c>
      <c r="D2150">
        <v>11.68</v>
      </c>
      <c r="E2150">
        <v>0.45</v>
      </c>
      <c r="F2150">
        <v>11.68</v>
      </c>
      <c r="G2150">
        <v>11.69</v>
      </c>
      <c r="H2150">
        <v>233053</v>
      </c>
      <c r="I2150">
        <v>45</v>
      </c>
      <c r="J2150">
        <v>0.26</v>
      </c>
      <c r="K2150">
        <v>1.78</v>
      </c>
      <c r="L2150">
        <v>11.2</v>
      </c>
      <c r="M2150">
        <v>11.77</v>
      </c>
      <c r="N2150">
        <v>11.15</v>
      </c>
      <c r="O2150">
        <v>11.23</v>
      </c>
      <c r="P2150">
        <v>13.49</v>
      </c>
      <c r="Q2150">
        <v>269464256</v>
      </c>
      <c r="R2150">
        <v>1.57</v>
      </c>
      <c r="S2150" t="s">
        <v>55</v>
      </c>
      <c r="T2150" t="s">
        <v>162</v>
      </c>
      <c r="U2150">
        <v>5.52</v>
      </c>
      <c r="V2150">
        <v>11.56</v>
      </c>
      <c r="W2150">
        <v>102789</v>
      </c>
      <c r="X2150">
        <v>130263</v>
      </c>
      <c r="Y2150">
        <v>0.79</v>
      </c>
      <c r="Z2150">
        <v>248</v>
      </c>
      <c r="AA2150">
        <v>984</v>
      </c>
      <c r="AB2150" t="s">
        <v>32</v>
      </c>
      <c r="AC2150">
        <v>13.08</v>
      </c>
    </row>
    <row r="2151" spans="1:29">
      <c r="A2151" t="str">
        <f>"600061"</f>
        <v>600061</v>
      </c>
      <c r="B2151" t="s">
        <v>2320</v>
      </c>
      <c r="C2151">
        <v>3.39</v>
      </c>
      <c r="D2151">
        <v>9.45</v>
      </c>
      <c r="E2151">
        <v>0.31</v>
      </c>
      <c r="F2151">
        <v>9.44</v>
      </c>
      <c r="G2151">
        <v>9.45</v>
      </c>
      <c r="H2151">
        <v>125999</v>
      </c>
      <c r="I2151">
        <v>234</v>
      </c>
      <c r="J2151">
        <v>0.11</v>
      </c>
      <c r="K2151">
        <v>0.34</v>
      </c>
      <c r="L2151">
        <v>9.16</v>
      </c>
      <c r="M2151">
        <v>9.6</v>
      </c>
      <c r="N2151">
        <v>9.12</v>
      </c>
      <c r="O2151">
        <v>9.14</v>
      </c>
      <c r="P2151">
        <v>19.93</v>
      </c>
      <c r="Q2151">
        <v>118776960</v>
      </c>
      <c r="R2151">
        <v>2.21</v>
      </c>
      <c r="S2151" t="s">
        <v>158</v>
      </c>
      <c r="T2151" t="s">
        <v>366</v>
      </c>
      <c r="U2151">
        <v>5.25</v>
      </c>
      <c r="V2151">
        <v>9.43</v>
      </c>
      <c r="W2151">
        <v>61903</v>
      </c>
      <c r="X2151">
        <v>64096</v>
      </c>
      <c r="Y2151">
        <v>0.97</v>
      </c>
      <c r="Z2151">
        <v>88</v>
      </c>
      <c r="AA2151">
        <v>295</v>
      </c>
      <c r="AB2151" t="s">
        <v>32</v>
      </c>
      <c r="AC2151">
        <v>36.94</v>
      </c>
    </row>
    <row r="2152" spans="1:29">
      <c r="A2152" t="str">
        <f>"600062"</f>
        <v>600062</v>
      </c>
      <c r="B2152" t="s">
        <v>2321</v>
      </c>
      <c r="C2152">
        <v>0.81</v>
      </c>
      <c r="D2152">
        <v>23.76</v>
      </c>
      <c r="E2152">
        <v>0.19</v>
      </c>
      <c r="F2152">
        <v>23.75</v>
      </c>
      <c r="G2152">
        <v>23.76</v>
      </c>
      <c r="H2152">
        <v>40681</v>
      </c>
      <c r="I2152">
        <v>1</v>
      </c>
      <c r="J2152">
        <v>0.08</v>
      </c>
      <c r="K2152">
        <v>0.59</v>
      </c>
      <c r="L2152">
        <v>23.26</v>
      </c>
      <c r="M2152">
        <v>23.93</v>
      </c>
      <c r="N2152">
        <v>23.2</v>
      </c>
      <c r="O2152">
        <v>23.57</v>
      </c>
      <c r="P2152">
        <v>17.19</v>
      </c>
      <c r="Q2152">
        <v>95995360</v>
      </c>
      <c r="R2152">
        <v>1.17</v>
      </c>
      <c r="S2152" t="s">
        <v>142</v>
      </c>
      <c r="T2152" t="s">
        <v>45</v>
      </c>
      <c r="U2152">
        <v>3.1</v>
      </c>
      <c r="V2152">
        <v>23.6</v>
      </c>
      <c r="W2152">
        <v>20725</v>
      </c>
      <c r="X2152">
        <v>19956</v>
      </c>
      <c r="Y2152">
        <v>1.04</v>
      </c>
      <c r="Z2152">
        <v>621</v>
      </c>
      <c r="AA2152">
        <v>12</v>
      </c>
      <c r="AB2152" t="s">
        <v>32</v>
      </c>
      <c r="AC2152">
        <v>6.86</v>
      </c>
    </row>
    <row r="2153" spans="1:29">
      <c r="A2153" t="str">
        <f>"600063"</f>
        <v>600063</v>
      </c>
      <c r="B2153" t="s">
        <v>2322</v>
      </c>
      <c r="C2153">
        <v>2.62</v>
      </c>
      <c r="D2153">
        <v>2.74</v>
      </c>
      <c r="E2153">
        <v>0.07</v>
      </c>
      <c r="F2153">
        <v>2.73</v>
      </c>
      <c r="G2153">
        <v>2.74</v>
      </c>
      <c r="H2153">
        <v>130966</v>
      </c>
      <c r="I2153">
        <v>200</v>
      </c>
      <c r="J2153">
        <v>0.37</v>
      </c>
      <c r="K2153">
        <v>0.68</v>
      </c>
      <c r="L2153">
        <v>2.68</v>
      </c>
      <c r="M2153">
        <v>2.74</v>
      </c>
      <c r="N2153">
        <v>2.66</v>
      </c>
      <c r="O2153">
        <v>2.67</v>
      </c>
      <c r="P2153">
        <v>61</v>
      </c>
      <c r="Q2153">
        <v>35586456</v>
      </c>
      <c r="R2153">
        <v>1.42</v>
      </c>
      <c r="S2153" t="s">
        <v>190</v>
      </c>
      <c r="T2153" t="s">
        <v>143</v>
      </c>
      <c r="U2153">
        <v>3</v>
      </c>
      <c r="V2153">
        <v>2.72</v>
      </c>
      <c r="W2153">
        <v>61774</v>
      </c>
      <c r="X2153">
        <v>69191</v>
      </c>
      <c r="Y2153">
        <v>0.89</v>
      </c>
      <c r="Z2153">
        <v>3953</v>
      </c>
      <c r="AA2153">
        <v>773</v>
      </c>
      <c r="AB2153" t="s">
        <v>32</v>
      </c>
      <c r="AC2153">
        <v>19.26</v>
      </c>
    </row>
    <row r="2154" spans="1:29">
      <c r="A2154" t="str">
        <f>"600064"</f>
        <v>600064</v>
      </c>
      <c r="B2154" t="s">
        <v>2323</v>
      </c>
      <c r="C2154">
        <v>1.66</v>
      </c>
      <c r="D2154">
        <v>7.33</v>
      </c>
      <c r="E2154">
        <v>0.12</v>
      </c>
      <c r="F2154">
        <v>7.32</v>
      </c>
      <c r="G2154">
        <v>7.33</v>
      </c>
      <c r="H2154">
        <v>61015</v>
      </c>
      <c r="I2154">
        <v>29</v>
      </c>
      <c r="J2154">
        <v>0</v>
      </c>
      <c r="K2154">
        <v>0.49</v>
      </c>
      <c r="L2154">
        <v>7.22</v>
      </c>
      <c r="M2154">
        <v>7.35</v>
      </c>
      <c r="N2154">
        <v>7.2</v>
      </c>
      <c r="O2154">
        <v>7.21</v>
      </c>
      <c r="P2154">
        <v>12.19</v>
      </c>
      <c r="Q2154">
        <v>44541832</v>
      </c>
      <c r="R2154">
        <v>1.77</v>
      </c>
      <c r="S2154" t="s">
        <v>338</v>
      </c>
      <c r="T2154" t="s">
        <v>87</v>
      </c>
      <c r="U2154">
        <v>2.08</v>
      </c>
      <c r="V2154">
        <v>7.3</v>
      </c>
      <c r="W2154">
        <v>21503</v>
      </c>
      <c r="X2154">
        <v>39511</v>
      </c>
      <c r="Y2154">
        <v>0.54</v>
      </c>
      <c r="Z2154">
        <v>873</v>
      </c>
      <c r="AA2154">
        <v>376</v>
      </c>
      <c r="AB2154" t="s">
        <v>32</v>
      </c>
      <c r="AC2154">
        <v>12.36</v>
      </c>
    </row>
    <row r="2155" spans="1:29">
      <c r="A2155" t="str">
        <f>"600066"</f>
        <v>600066</v>
      </c>
      <c r="B2155" t="s">
        <v>2324</v>
      </c>
      <c r="C2155">
        <v>-0.73</v>
      </c>
      <c r="D2155">
        <v>17.79</v>
      </c>
      <c r="E2155">
        <v>-0.13</v>
      </c>
      <c r="F2155">
        <v>17.79</v>
      </c>
      <c r="G2155">
        <v>17.8</v>
      </c>
      <c r="H2155">
        <v>161283</v>
      </c>
      <c r="I2155">
        <v>44</v>
      </c>
      <c r="J2155">
        <v>0</v>
      </c>
      <c r="K2155">
        <v>0.73</v>
      </c>
      <c r="L2155">
        <v>17.92</v>
      </c>
      <c r="M2155">
        <v>17.96</v>
      </c>
      <c r="N2155">
        <v>17.61</v>
      </c>
      <c r="O2155">
        <v>17.92</v>
      </c>
      <c r="P2155">
        <v>33.41</v>
      </c>
      <c r="Q2155">
        <v>286661376</v>
      </c>
      <c r="R2155">
        <v>2.23</v>
      </c>
      <c r="S2155" t="s">
        <v>262</v>
      </c>
      <c r="T2155" t="s">
        <v>164</v>
      </c>
      <c r="U2155">
        <v>1.95</v>
      </c>
      <c r="V2155">
        <v>17.77</v>
      </c>
      <c r="W2155">
        <v>81769</v>
      </c>
      <c r="X2155">
        <v>79514</v>
      </c>
      <c r="Y2155">
        <v>1.03</v>
      </c>
      <c r="Z2155">
        <v>179</v>
      </c>
      <c r="AA2155">
        <v>1447</v>
      </c>
      <c r="AB2155" t="s">
        <v>32</v>
      </c>
      <c r="AC2155">
        <v>22.14</v>
      </c>
    </row>
    <row r="2156" spans="1:29">
      <c r="A2156" t="str">
        <f>"600067"</f>
        <v>600067</v>
      </c>
      <c r="B2156" t="s">
        <v>2325</v>
      </c>
      <c r="C2156">
        <v>2.28</v>
      </c>
      <c r="D2156">
        <v>4.04</v>
      </c>
      <c r="E2156">
        <v>0.09</v>
      </c>
      <c r="F2156">
        <v>4.04</v>
      </c>
      <c r="G2156">
        <v>4.05</v>
      </c>
      <c r="H2156">
        <v>65198</v>
      </c>
      <c r="I2156">
        <v>20</v>
      </c>
      <c r="J2156">
        <v>-0.24</v>
      </c>
      <c r="K2156">
        <v>0.44</v>
      </c>
      <c r="L2156">
        <v>3.94</v>
      </c>
      <c r="M2156">
        <v>4.06</v>
      </c>
      <c r="N2156">
        <v>3.93</v>
      </c>
      <c r="O2156">
        <v>3.95</v>
      </c>
      <c r="P2156" t="s">
        <v>32</v>
      </c>
      <c r="Q2156">
        <v>26223172</v>
      </c>
      <c r="R2156">
        <v>2.14</v>
      </c>
      <c r="S2156" t="s">
        <v>34</v>
      </c>
      <c r="T2156" t="s">
        <v>236</v>
      </c>
      <c r="U2156">
        <v>3.29</v>
      </c>
      <c r="V2156">
        <v>4.02</v>
      </c>
      <c r="W2156">
        <v>25929</v>
      </c>
      <c r="X2156">
        <v>39268</v>
      </c>
      <c r="Y2156">
        <v>0.66</v>
      </c>
      <c r="Z2156">
        <v>592</v>
      </c>
      <c r="AA2156">
        <v>1079</v>
      </c>
      <c r="AB2156" t="s">
        <v>32</v>
      </c>
      <c r="AC2156">
        <v>14.92</v>
      </c>
    </row>
    <row r="2157" spans="1:29">
      <c r="A2157" t="str">
        <f>"600068"</f>
        <v>600068</v>
      </c>
      <c r="B2157" t="s">
        <v>2326</v>
      </c>
      <c r="C2157">
        <v>3.78</v>
      </c>
      <c r="D2157">
        <v>7.96</v>
      </c>
      <c r="E2157">
        <v>0.29</v>
      </c>
      <c r="F2157">
        <v>7.97</v>
      </c>
      <c r="G2157">
        <v>7.98</v>
      </c>
      <c r="H2157">
        <v>1618576</v>
      </c>
      <c r="I2157">
        <v>1474</v>
      </c>
      <c r="J2157">
        <v>0.38</v>
      </c>
      <c r="K2157">
        <v>3.51</v>
      </c>
      <c r="L2157">
        <v>8.03</v>
      </c>
      <c r="M2157">
        <v>8.29</v>
      </c>
      <c r="N2157">
        <v>7.9</v>
      </c>
      <c r="O2157">
        <v>7.67</v>
      </c>
      <c r="P2157">
        <v>12.09</v>
      </c>
      <c r="Q2157">
        <v>1308707712</v>
      </c>
      <c r="R2157">
        <v>2.59</v>
      </c>
      <c r="S2157" t="s">
        <v>49</v>
      </c>
      <c r="T2157" t="s">
        <v>193</v>
      </c>
      <c r="U2157">
        <v>5.08</v>
      </c>
      <c r="V2157">
        <v>8.09</v>
      </c>
      <c r="W2157">
        <v>874981</v>
      </c>
      <c r="X2157">
        <v>743594</v>
      </c>
      <c r="Y2157">
        <v>1.18</v>
      </c>
      <c r="Z2157">
        <v>1802</v>
      </c>
      <c r="AA2157">
        <v>644</v>
      </c>
      <c r="AB2157" t="s">
        <v>32</v>
      </c>
      <c r="AC2157">
        <v>46.05</v>
      </c>
    </row>
    <row r="2158" spans="1:29">
      <c r="A2158" t="str">
        <f>"600069"</f>
        <v>600069</v>
      </c>
      <c r="B2158" t="s">
        <v>2327</v>
      </c>
      <c r="C2158">
        <v>1.8</v>
      </c>
      <c r="D2158">
        <v>3.95</v>
      </c>
      <c r="E2158">
        <v>0.07</v>
      </c>
      <c r="F2158">
        <v>3.95</v>
      </c>
      <c r="G2158">
        <v>3.96</v>
      </c>
      <c r="H2158">
        <v>78073</v>
      </c>
      <c r="I2158">
        <v>1102</v>
      </c>
      <c r="J2158">
        <v>0.25</v>
      </c>
      <c r="K2158">
        <v>0.48</v>
      </c>
      <c r="L2158">
        <v>3.88</v>
      </c>
      <c r="M2158">
        <v>3.96</v>
      </c>
      <c r="N2158">
        <v>3.85</v>
      </c>
      <c r="O2158">
        <v>3.88</v>
      </c>
      <c r="P2158">
        <v>311.57</v>
      </c>
      <c r="Q2158">
        <v>30686632</v>
      </c>
      <c r="R2158">
        <v>1.05</v>
      </c>
      <c r="S2158" t="s">
        <v>204</v>
      </c>
      <c r="T2158" t="s">
        <v>164</v>
      </c>
      <c r="U2158">
        <v>2.84</v>
      </c>
      <c r="V2158">
        <v>3.93</v>
      </c>
      <c r="W2158">
        <v>36036</v>
      </c>
      <c r="X2158">
        <v>42037</v>
      </c>
      <c r="Y2158">
        <v>0.86</v>
      </c>
      <c r="Z2158">
        <v>748</v>
      </c>
      <c r="AA2158">
        <v>691</v>
      </c>
      <c r="AB2158" t="s">
        <v>32</v>
      </c>
      <c r="AC2158">
        <v>16.24</v>
      </c>
    </row>
    <row r="2159" spans="1:29">
      <c r="A2159" t="str">
        <f>"600070"</f>
        <v>600070</v>
      </c>
      <c r="B2159" t="s">
        <v>2328</v>
      </c>
      <c r="C2159">
        <v>2.06</v>
      </c>
      <c r="D2159">
        <v>6.94</v>
      </c>
      <c r="E2159">
        <v>0.14</v>
      </c>
      <c r="F2159">
        <v>6.93</v>
      </c>
      <c r="G2159">
        <v>6.94</v>
      </c>
      <c r="H2159">
        <v>25411</v>
      </c>
      <c r="I2159">
        <v>112</v>
      </c>
      <c r="J2159">
        <v>0.14</v>
      </c>
      <c r="K2159">
        <v>0.63</v>
      </c>
      <c r="L2159">
        <v>6.8</v>
      </c>
      <c r="M2159">
        <v>7</v>
      </c>
      <c r="N2159">
        <v>6.73</v>
      </c>
      <c r="O2159">
        <v>6.8</v>
      </c>
      <c r="P2159">
        <v>48.02</v>
      </c>
      <c r="Q2159">
        <v>17539496</v>
      </c>
      <c r="R2159">
        <v>1.6</v>
      </c>
      <c r="S2159" t="s">
        <v>99</v>
      </c>
      <c r="T2159" t="s">
        <v>149</v>
      </c>
      <c r="U2159">
        <v>3.97</v>
      </c>
      <c r="V2159">
        <v>6.9</v>
      </c>
      <c r="W2159">
        <v>12436</v>
      </c>
      <c r="X2159">
        <v>12974</v>
      </c>
      <c r="Y2159">
        <v>0.96</v>
      </c>
      <c r="Z2159">
        <v>109</v>
      </c>
      <c r="AA2159">
        <v>291</v>
      </c>
      <c r="AB2159" t="s">
        <v>32</v>
      </c>
      <c r="AC2159">
        <v>4.02</v>
      </c>
    </row>
    <row r="2160" spans="1:29">
      <c r="A2160" t="str">
        <f>"600071"</f>
        <v>600071</v>
      </c>
      <c r="B2160" t="s">
        <v>2329</v>
      </c>
      <c r="C2160">
        <v>1.38</v>
      </c>
      <c r="D2160">
        <v>11.78</v>
      </c>
      <c r="E2160">
        <v>0.16</v>
      </c>
      <c r="F2160">
        <v>11.78</v>
      </c>
      <c r="G2160">
        <v>11.8</v>
      </c>
      <c r="H2160">
        <v>20329</v>
      </c>
      <c r="I2160">
        <v>13</v>
      </c>
      <c r="J2160">
        <v>0.08</v>
      </c>
      <c r="K2160">
        <v>0.86</v>
      </c>
      <c r="L2160">
        <v>11.57</v>
      </c>
      <c r="M2160">
        <v>12.3</v>
      </c>
      <c r="N2160">
        <v>11.52</v>
      </c>
      <c r="O2160">
        <v>11.62</v>
      </c>
      <c r="P2160" t="s">
        <v>32</v>
      </c>
      <c r="Q2160">
        <v>24135070</v>
      </c>
      <c r="R2160">
        <v>1.76</v>
      </c>
      <c r="S2160" t="s">
        <v>63</v>
      </c>
      <c r="T2160" t="s">
        <v>172</v>
      </c>
      <c r="U2160">
        <v>6.71</v>
      </c>
      <c r="V2160">
        <v>11.87</v>
      </c>
      <c r="W2160">
        <v>11148</v>
      </c>
      <c r="X2160">
        <v>9181</v>
      </c>
      <c r="Y2160">
        <v>1.21</v>
      </c>
      <c r="Z2160">
        <v>111</v>
      </c>
      <c r="AA2160">
        <v>117</v>
      </c>
      <c r="AB2160" t="s">
        <v>32</v>
      </c>
      <c r="AC2160">
        <v>2.37</v>
      </c>
    </row>
    <row r="2161" spans="1:29">
      <c r="A2161" t="str">
        <f>"600072"</f>
        <v>600072</v>
      </c>
      <c r="B2161" t="s">
        <v>2330</v>
      </c>
      <c r="C2161">
        <v>2.02</v>
      </c>
      <c r="D2161">
        <v>9.58</v>
      </c>
      <c r="E2161">
        <v>0.19</v>
      </c>
      <c r="F2161">
        <v>9.57</v>
      </c>
      <c r="G2161">
        <v>9.58</v>
      </c>
      <c r="H2161">
        <v>108409</v>
      </c>
      <c r="I2161">
        <v>10</v>
      </c>
      <c r="J2161">
        <v>0.21</v>
      </c>
      <c r="K2161">
        <v>1.8</v>
      </c>
      <c r="L2161">
        <v>9.37</v>
      </c>
      <c r="M2161">
        <v>9.71</v>
      </c>
      <c r="N2161">
        <v>9.3</v>
      </c>
      <c r="O2161">
        <v>9.39</v>
      </c>
      <c r="P2161">
        <v>159.37</v>
      </c>
      <c r="Q2161">
        <v>103116872</v>
      </c>
      <c r="R2161">
        <v>1.56</v>
      </c>
      <c r="S2161" t="s">
        <v>1549</v>
      </c>
      <c r="T2161" t="s">
        <v>366</v>
      </c>
      <c r="U2161">
        <v>4.37</v>
      </c>
      <c r="V2161">
        <v>9.51</v>
      </c>
      <c r="W2161">
        <v>56659</v>
      </c>
      <c r="X2161">
        <v>51750</v>
      </c>
      <c r="Y2161">
        <v>1.09</v>
      </c>
      <c r="Z2161">
        <v>986</v>
      </c>
      <c r="AA2161">
        <v>150</v>
      </c>
      <c r="AB2161" t="s">
        <v>32</v>
      </c>
      <c r="AC2161">
        <v>6.01</v>
      </c>
    </row>
    <row r="2162" spans="1:29">
      <c r="A2162" t="str">
        <f>"600073"</f>
        <v>600073</v>
      </c>
      <c r="B2162" t="s">
        <v>2331</v>
      </c>
      <c r="C2162">
        <v>1.91</v>
      </c>
      <c r="D2162">
        <v>6.94</v>
      </c>
      <c r="E2162">
        <v>0.13</v>
      </c>
      <c r="F2162">
        <v>6.94</v>
      </c>
      <c r="G2162">
        <v>6.95</v>
      </c>
      <c r="H2162">
        <v>90621</v>
      </c>
      <c r="I2162">
        <v>20</v>
      </c>
      <c r="J2162">
        <v>0</v>
      </c>
      <c r="K2162">
        <v>0.97</v>
      </c>
      <c r="L2162">
        <v>6.82</v>
      </c>
      <c r="M2162">
        <v>6.96</v>
      </c>
      <c r="N2162">
        <v>6.78</v>
      </c>
      <c r="O2162">
        <v>6.81</v>
      </c>
      <c r="P2162">
        <v>9.77</v>
      </c>
      <c r="Q2162">
        <v>62434808</v>
      </c>
      <c r="R2162">
        <v>1.66</v>
      </c>
      <c r="S2162" t="s">
        <v>213</v>
      </c>
      <c r="T2162" t="s">
        <v>366</v>
      </c>
      <c r="U2162">
        <v>2.64</v>
      </c>
      <c r="V2162">
        <v>6.89</v>
      </c>
      <c r="W2162">
        <v>39777</v>
      </c>
      <c r="X2162">
        <v>50844</v>
      </c>
      <c r="Y2162">
        <v>0.78</v>
      </c>
      <c r="Z2162">
        <v>45</v>
      </c>
      <c r="AA2162">
        <v>1441</v>
      </c>
      <c r="AB2162" t="s">
        <v>32</v>
      </c>
      <c r="AC2162">
        <v>9.38</v>
      </c>
    </row>
    <row r="2163" spans="1:29">
      <c r="A2163" t="str">
        <f>"600074"</f>
        <v>600074</v>
      </c>
      <c r="B2163" t="s">
        <v>2332</v>
      </c>
      <c r="C2163">
        <v>1.46</v>
      </c>
      <c r="D2163">
        <v>1.39</v>
      </c>
      <c r="E2163">
        <v>0.02</v>
      </c>
      <c r="F2163">
        <v>1.39</v>
      </c>
      <c r="G2163">
        <v>1.4</v>
      </c>
      <c r="H2163">
        <v>91197</v>
      </c>
      <c r="I2163">
        <v>1</v>
      </c>
      <c r="J2163">
        <v>0</v>
      </c>
      <c r="K2163">
        <v>0.89</v>
      </c>
      <c r="L2163">
        <v>1.37</v>
      </c>
      <c r="M2163">
        <v>1.41</v>
      </c>
      <c r="N2163">
        <v>1.37</v>
      </c>
      <c r="O2163">
        <v>1.37</v>
      </c>
      <c r="P2163" t="s">
        <v>32</v>
      </c>
      <c r="Q2163">
        <v>12682312</v>
      </c>
      <c r="R2163">
        <v>1.12</v>
      </c>
      <c r="S2163" t="s">
        <v>65</v>
      </c>
      <c r="T2163" t="s">
        <v>87</v>
      </c>
      <c r="U2163">
        <v>2.92</v>
      </c>
      <c r="V2163">
        <v>1.39</v>
      </c>
      <c r="W2163">
        <v>32795</v>
      </c>
      <c r="X2163">
        <v>58402</v>
      </c>
      <c r="Y2163">
        <v>0.56</v>
      </c>
      <c r="Z2163">
        <v>4716</v>
      </c>
      <c r="AA2163">
        <v>2913</v>
      </c>
      <c r="AB2163" t="s">
        <v>32</v>
      </c>
      <c r="AC2163">
        <v>10.26</v>
      </c>
    </row>
    <row r="2164" spans="1:29">
      <c r="A2164" t="str">
        <f>"600075"</f>
        <v>600075</v>
      </c>
      <c r="B2164" t="s">
        <v>2333</v>
      </c>
      <c r="C2164">
        <v>2.23</v>
      </c>
      <c r="D2164">
        <v>6.42</v>
      </c>
      <c r="E2164">
        <v>0.14</v>
      </c>
      <c r="F2164">
        <v>6.41</v>
      </c>
      <c r="G2164">
        <v>6.42</v>
      </c>
      <c r="H2164">
        <v>92167</v>
      </c>
      <c r="I2164">
        <v>60</v>
      </c>
      <c r="J2164">
        <v>0</v>
      </c>
      <c r="K2164">
        <v>1.11</v>
      </c>
      <c r="L2164">
        <v>6.25</v>
      </c>
      <c r="M2164">
        <v>6.47</v>
      </c>
      <c r="N2164">
        <v>6.24</v>
      </c>
      <c r="O2164">
        <v>6.28</v>
      </c>
      <c r="P2164">
        <v>9.9</v>
      </c>
      <c r="Q2164">
        <v>59082848</v>
      </c>
      <c r="R2164">
        <v>2.17</v>
      </c>
      <c r="S2164" t="s">
        <v>218</v>
      </c>
      <c r="T2164" t="s">
        <v>156</v>
      </c>
      <c r="U2164">
        <v>3.66</v>
      </c>
      <c r="V2164">
        <v>6.41</v>
      </c>
      <c r="W2164">
        <v>47890</v>
      </c>
      <c r="X2164">
        <v>44277</v>
      </c>
      <c r="Y2164">
        <v>1.08</v>
      </c>
      <c r="Z2164">
        <v>350</v>
      </c>
      <c r="AA2164">
        <v>1034</v>
      </c>
      <c r="AB2164" t="s">
        <v>32</v>
      </c>
      <c r="AC2164">
        <v>8.32</v>
      </c>
    </row>
    <row r="2165" spans="1:29">
      <c r="A2165" t="str">
        <f>"600076"</f>
        <v>600076</v>
      </c>
      <c r="B2165" t="s">
        <v>2334</v>
      </c>
      <c r="C2165">
        <v>3.21</v>
      </c>
      <c r="D2165">
        <v>4.83</v>
      </c>
      <c r="E2165">
        <v>0.15</v>
      </c>
      <c r="F2165">
        <v>4.83</v>
      </c>
      <c r="G2165">
        <v>4.84</v>
      </c>
      <c r="H2165">
        <v>277687</v>
      </c>
      <c r="I2165">
        <v>21</v>
      </c>
      <c r="J2165">
        <v>0</v>
      </c>
      <c r="K2165">
        <v>3.69</v>
      </c>
      <c r="L2165">
        <v>4.69</v>
      </c>
      <c r="M2165">
        <v>4.87</v>
      </c>
      <c r="N2165">
        <v>4.68</v>
      </c>
      <c r="O2165">
        <v>4.68</v>
      </c>
      <c r="P2165">
        <v>9.01</v>
      </c>
      <c r="Q2165">
        <v>133033512</v>
      </c>
      <c r="R2165">
        <v>1.93</v>
      </c>
      <c r="S2165" t="s">
        <v>69</v>
      </c>
      <c r="T2165" t="s">
        <v>162</v>
      </c>
      <c r="U2165">
        <v>4.06</v>
      </c>
      <c r="V2165">
        <v>4.79</v>
      </c>
      <c r="W2165">
        <v>128197</v>
      </c>
      <c r="X2165">
        <v>149490</v>
      </c>
      <c r="Y2165">
        <v>0.86</v>
      </c>
      <c r="Z2165">
        <v>2546</v>
      </c>
      <c r="AA2165">
        <v>3175</v>
      </c>
      <c r="AB2165" t="s">
        <v>32</v>
      </c>
      <c r="AC2165">
        <v>7.52</v>
      </c>
    </row>
    <row r="2166" spans="1:29">
      <c r="A2166" t="str">
        <f>"600077"</f>
        <v>600077</v>
      </c>
      <c r="B2166" t="s">
        <v>2335</v>
      </c>
      <c r="C2166">
        <v>1.79</v>
      </c>
      <c r="D2166">
        <v>3.42</v>
      </c>
      <c r="E2166">
        <v>0.06</v>
      </c>
      <c r="F2166">
        <v>3.41</v>
      </c>
      <c r="G2166">
        <v>3.42</v>
      </c>
      <c r="H2166">
        <v>50772</v>
      </c>
      <c r="I2166">
        <v>106</v>
      </c>
      <c r="J2166">
        <v>0.29</v>
      </c>
      <c r="K2166">
        <v>0.38</v>
      </c>
      <c r="L2166">
        <v>3.34</v>
      </c>
      <c r="M2166">
        <v>3.42</v>
      </c>
      <c r="N2166">
        <v>3.34</v>
      </c>
      <c r="O2166">
        <v>3.36</v>
      </c>
      <c r="P2166">
        <v>60.31</v>
      </c>
      <c r="Q2166">
        <v>17225368</v>
      </c>
      <c r="R2166">
        <v>1.54</v>
      </c>
      <c r="S2166" t="s">
        <v>34</v>
      </c>
      <c r="T2166" t="s">
        <v>149</v>
      </c>
      <c r="U2166">
        <v>2.38</v>
      </c>
      <c r="V2166">
        <v>3.39</v>
      </c>
      <c r="W2166">
        <v>22798</v>
      </c>
      <c r="X2166">
        <v>27974</v>
      </c>
      <c r="Y2166">
        <v>0.81</v>
      </c>
      <c r="Z2166">
        <v>247</v>
      </c>
      <c r="AA2166">
        <v>2538</v>
      </c>
      <c r="AB2166" t="s">
        <v>32</v>
      </c>
      <c r="AC2166">
        <v>13.4</v>
      </c>
    </row>
    <row r="2167" spans="1:29">
      <c r="A2167" t="str">
        <f>"600078"</f>
        <v>600078</v>
      </c>
      <c r="B2167" t="s">
        <v>2336</v>
      </c>
      <c r="C2167">
        <v>0.84</v>
      </c>
      <c r="D2167">
        <v>3.61</v>
      </c>
      <c r="E2167">
        <v>0.03</v>
      </c>
      <c r="F2167">
        <v>3.61</v>
      </c>
      <c r="G2167">
        <v>3.62</v>
      </c>
      <c r="H2167">
        <v>90364</v>
      </c>
      <c r="I2167">
        <v>7</v>
      </c>
      <c r="J2167">
        <v>0.28</v>
      </c>
      <c r="K2167">
        <v>1.36</v>
      </c>
      <c r="L2167">
        <v>3.57</v>
      </c>
      <c r="M2167">
        <v>3.63</v>
      </c>
      <c r="N2167">
        <v>3.53</v>
      </c>
      <c r="O2167">
        <v>3.58</v>
      </c>
      <c r="P2167">
        <v>221.28</v>
      </c>
      <c r="Q2167">
        <v>32395292</v>
      </c>
      <c r="R2167">
        <v>1.29</v>
      </c>
      <c r="S2167" t="s">
        <v>218</v>
      </c>
      <c r="T2167" t="s">
        <v>87</v>
      </c>
      <c r="U2167">
        <v>2.79</v>
      </c>
      <c r="V2167">
        <v>3.58</v>
      </c>
      <c r="W2167">
        <v>49405</v>
      </c>
      <c r="X2167">
        <v>40958</v>
      </c>
      <c r="Y2167">
        <v>1.21</v>
      </c>
      <c r="Z2167">
        <v>9</v>
      </c>
      <c r="AA2167">
        <v>1209</v>
      </c>
      <c r="AB2167" t="s">
        <v>32</v>
      </c>
      <c r="AC2167">
        <v>6.63</v>
      </c>
    </row>
    <row r="2168" spans="1:29">
      <c r="A2168" t="str">
        <f>"600079"</f>
        <v>600079</v>
      </c>
      <c r="B2168" t="s">
        <v>2337</v>
      </c>
      <c r="C2168">
        <v>1.25</v>
      </c>
      <c r="D2168">
        <v>12.14</v>
      </c>
      <c r="E2168">
        <v>0.15</v>
      </c>
      <c r="F2168">
        <v>12.13</v>
      </c>
      <c r="G2168">
        <v>12.14</v>
      </c>
      <c r="H2168">
        <v>172938</v>
      </c>
      <c r="I2168">
        <v>9</v>
      </c>
      <c r="J2168">
        <v>0.08</v>
      </c>
      <c r="K2168">
        <v>1.34</v>
      </c>
      <c r="L2168">
        <v>11.9</v>
      </c>
      <c r="M2168">
        <v>12.16</v>
      </c>
      <c r="N2168">
        <v>11.87</v>
      </c>
      <c r="O2168">
        <v>11.99</v>
      </c>
      <c r="P2168">
        <v>23.15</v>
      </c>
      <c r="Q2168">
        <v>208610976</v>
      </c>
      <c r="R2168">
        <v>2.12</v>
      </c>
      <c r="S2168" t="s">
        <v>142</v>
      </c>
      <c r="T2168" t="s">
        <v>193</v>
      </c>
      <c r="U2168">
        <v>2.42</v>
      </c>
      <c r="V2168">
        <v>12.06</v>
      </c>
      <c r="W2168">
        <v>84702</v>
      </c>
      <c r="X2168">
        <v>88236</v>
      </c>
      <c r="Y2168">
        <v>0.96</v>
      </c>
      <c r="Z2168">
        <v>194</v>
      </c>
      <c r="AA2168">
        <v>73</v>
      </c>
      <c r="AB2168" t="s">
        <v>32</v>
      </c>
      <c r="AC2168">
        <v>12.86</v>
      </c>
    </row>
    <row r="2169" spans="1:29">
      <c r="A2169" t="str">
        <f>"600080"</f>
        <v>600080</v>
      </c>
      <c r="B2169" t="s">
        <v>2338</v>
      </c>
      <c r="C2169">
        <v>1.29</v>
      </c>
      <c r="D2169">
        <v>10.19</v>
      </c>
      <c r="E2169">
        <v>0.13</v>
      </c>
      <c r="F2169">
        <v>10.19</v>
      </c>
      <c r="G2169">
        <v>10.2</v>
      </c>
      <c r="H2169">
        <v>26904</v>
      </c>
      <c r="I2169">
        <v>35</v>
      </c>
      <c r="J2169">
        <v>0.1</v>
      </c>
      <c r="K2169">
        <v>0.88</v>
      </c>
      <c r="L2169">
        <v>10.13</v>
      </c>
      <c r="M2169">
        <v>10.21</v>
      </c>
      <c r="N2169">
        <v>10.04</v>
      </c>
      <c r="O2169">
        <v>10.06</v>
      </c>
      <c r="P2169">
        <v>149.86</v>
      </c>
      <c r="Q2169">
        <v>27237554</v>
      </c>
      <c r="R2169">
        <v>1.25</v>
      </c>
      <c r="S2169" t="s">
        <v>195</v>
      </c>
      <c r="T2169" t="s">
        <v>223</v>
      </c>
      <c r="U2169">
        <v>1.69</v>
      </c>
      <c r="V2169">
        <v>10.12</v>
      </c>
      <c r="W2169">
        <v>9555</v>
      </c>
      <c r="X2169">
        <v>17348</v>
      </c>
      <c r="Y2169">
        <v>0.55</v>
      </c>
      <c r="Z2169">
        <v>1</v>
      </c>
      <c r="AA2169">
        <v>592</v>
      </c>
      <c r="AB2169" t="s">
        <v>32</v>
      </c>
      <c r="AC2169">
        <v>3.05</v>
      </c>
    </row>
    <row r="2170" spans="1:29">
      <c r="A2170" t="str">
        <f>"600081"</f>
        <v>600081</v>
      </c>
      <c r="B2170" t="s">
        <v>2339</v>
      </c>
      <c r="C2170">
        <v>3.44</v>
      </c>
      <c r="D2170">
        <v>10.53</v>
      </c>
      <c r="E2170">
        <v>0.35</v>
      </c>
      <c r="F2170">
        <v>10.53</v>
      </c>
      <c r="G2170">
        <v>10.54</v>
      </c>
      <c r="H2170">
        <v>23738</v>
      </c>
      <c r="I2170">
        <v>17</v>
      </c>
      <c r="J2170">
        <v>0</v>
      </c>
      <c r="K2170">
        <v>0.76</v>
      </c>
      <c r="L2170">
        <v>10.14</v>
      </c>
      <c r="M2170">
        <v>10.57</v>
      </c>
      <c r="N2170">
        <v>10.1</v>
      </c>
      <c r="O2170">
        <v>10.18</v>
      </c>
      <c r="P2170">
        <v>16.93</v>
      </c>
      <c r="Q2170">
        <v>24640994</v>
      </c>
      <c r="R2170">
        <v>1.94</v>
      </c>
      <c r="S2170" t="s">
        <v>80</v>
      </c>
      <c r="T2170" t="s">
        <v>366</v>
      </c>
      <c r="U2170">
        <v>4.62</v>
      </c>
      <c r="V2170">
        <v>10.38</v>
      </c>
      <c r="W2170">
        <v>11709</v>
      </c>
      <c r="X2170">
        <v>12028</v>
      </c>
      <c r="Y2170">
        <v>0.97</v>
      </c>
      <c r="Z2170">
        <v>198</v>
      </c>
      <c r="AA2170">
        <v>15</v>
      </c>
      <c r="AB2170" t="s">
        <v>32</v>
      </c>
      <c r="AC2170">
        <v>3.14</v>
      </c>
    </row>
    <row r="2171" spans="1:29">
      <c r="A2171" t="str">
        <f>"600082"</f>
        <v>600082</v>
      </c>
      <c r="B2171" t="s">
        <v>2340</v>
      </c>
      <c r="C2171">
        <v>0.22</v>
      </c>
      <c r="D2171">
        <v>4.54</v>
      </c>
      <c r="E2171">
        <v>0.01</v>
      </c>
      <c r="F2171">
        <v>4.53</v>
      </c>
      <c r="G2171">
        <v>4.54</v>
      </c>
      <c r="H2171">
        <v>25797</v>
      </c>
      <c r="I2171">
        <v>101</v>
      </c>
      <c r="J2171">
        <v>0.22</v>
      </c>
      <c r="K2171">
        <v>0.41</v>
      </c>
      <c r="L2171">
        <v>4.54</v>
      </c>
      <c r="M2171">
        <v>4.58</v>
      </c>
      <c r="N2171">
        <v>4.5</v>
      </c>
      <c r="O2171">
        <v>4.53</v>
      </c>
      <c r="P2171">
        <v>88.09</v>
      </c>
      <c r="Q2171">
        <v>11699536</v>
      </c>
      <c r="R2171">
        <v>1.01</v>
      </c>
      <c r="S2171" t="s">
        <v>338</v>
      </c>
      <c r="T2171" t="s">
        <v>248</v>
      </c>
      <c r="U2171">
        <v>1.77</v>
      </c>
      <c r="V2171">
        <v>4.54</v>
      </c>
      <c r="W2171">
        <v>15854</v>
      </c>
      <c r="X2171">
        <v>9943</v>
      </c>
      <c r="Y2171">
        <v>1.59</v>
      </c>
      <c r="Z2171">
        <v>822</v>
      </c>
      <c r="AA2171">
        <v>80</v>
      </c>
      <c r="AB2171" t="s">
        <v>32</v>
      </c>
      <c r="AC2171">
        <v>6.33</v>
      </c>
    </row>
    <row r="2172" spans="1:29">
      <c r="A2172" t="str">
        <f>"600083"</f>
        <v>600083</v>
      </c>
      <c r="B2172" t="s">
        <v>2341</v>
      </c>
      <c r="C2172">
        <v>-0.84</v>
      </c>
      <c r="D2172">
        <v>18.88</v>
      </c>
      <c r="E2172">
        <v>-0.16</v>
      </c>
      <c r="F2172">
        <v>18.87</v>
      </c>
      <c r="G2172">
        <v>18.88</v>
      </c>
      <c r="H2172">
        <v>10677</v>
      </c>
      <c r="I2172">
        <v>4</v>
      </c>
      <c r="J2172">
        <v>0.11</v>
      </c>
      <c r="K2172">
        <v>0.47</v>
      </c>
      <c r="L2172">
        <v>19.01</v>
      </c>
      <c r="M2172">
        <v>19.02</v>
      </c>
      <c r="N2172">
        <v>18.71</v>
      </c>
      <c r="O2172">
        <v>19.04</v>
      </c>
      <c r="P2172">
        <v>181.9</v>
      </c>
      <c r="Q2172">
        <v>20159782</v>
      </c>
      <c r="R2172">
        <v>2.22</v>
      </c>
      <c r="S2172" t="s">
        <v>49</v>
      </c>
      <c r="T2172" t="s">
        <v>136</v>
      </c>
      <c r="U2172">
        <v>1.63</v>
      </c>
      <c r="V2172">
        <v>18.88</v>
      </c>
      <c r="W2172">
        <v>2478</v>
      </c>
      <c r="X2172">
        <v>8199</v>
      </c>
      <c r="Y2172">
        <v>0.3</v>
      </c>
      <c r="Z2172">
        <v>5</v>
      </c>
      <c r="AA2172">
        <v>16</v>
      </c>
      <c r="AB2172" t="s">
        <v>32</v>
      </c>
      <c r="AC2172">
        <v>2.28</v>
      </c>
    </row>
    <row r="2173" spans="1:29">
      <c r="A2173" t="str">
        <f>"600084"</f>
        <v>600084</v>
      </c>
      <c r="B2173" t="s">
        <v>2342</v>
      </c>
      <c r="C2173">
        <v>0.75</v>
      </c>
      <c r="D2173">
        <v>4.02</v>
      </c>
      <c r="E2173">
        <v>0.03</v>
      </c>
      <c r="F2173">
        <v>4.02</v>
      </c>
      <c r="G2173">
        <v>4.03</v>
      </c>
      <c r="H2173">
        <v>170848</v>
      </c>
      <c r="I2173">
        <v>86</v>
      </c>
      <c r="J2173">
        <v>-0.24</v>
      </c>
      <c r="K2173">
        <v>1.52</v>
      </c>
      <c r="L2173">
        <v>3.97</v>
      </c>
      <c r="M2173">
        <v>4.05</v>
      </c>
      <c r="N2173">
        <v>3.95</v>
      </c>
      <c r="O2173">
        <v>3.99</v>
      </c>
      <c r="P2173" t="s">
        <v>32</v>
      </c>
      <c r="Q2173">
        <v>68578104</v>
      </c>
      <c r="R2173">
        <v>1.19</v>
      </c>
      <c r="S2173" t="s">
        <v>272</v>
      </c>
      <c r="T2173" t="s">
        <v>156</v>
      </c>
      <c r="U2173">
        <v>2.51</v>
      </c>
      <c r="V2173">
        <v>4.01</v>
      </c>
      <c r="W2173">
        <v>85043</v>
      </c>
      <c r="X2173">
        <v>85804</v>
      </c>
      <c r="Y2173">
        <v>0.99</v>
      </c>
      <c r="Z2173">
        <v>2172</v>
      </c>
      <c r="AA2173">
        <v>3960</v>
      </c>
      <c r="AB2173" t="s">
        <v>32</v>
      </c>
      <c r="AC2173">
        <v>11.24</v>
      </c>
    </row>
    <row r="2174" spans="1:29">
      <c r="A2174" t="str">
        <f>"600085"</f>
        <v>600085</v>
      </c>
      <c r="B2174" t="s">
        <v>2343</v>
      </c>
      <c r="C2174">
        <v>-0.71</v>
      </c>
      <c r="D2174">
        <v>34.76</v>
      </c>
      <c r="E2174">
        <v>-0.25</v>
      </c>
      <c r="F2174">
        <v>34.76</v>
      </c>
      <c r="G2174">
        <v>34.77</v>
      </c>
      <c r="H2174">
        <v>106496</v>
      </c>
      <c r="I2174">
        <v>3</v>
      </c>
      <c r="J2174">
        <v>0</v>
      </c>
      <c r="K2174">
        <v>0.78</v>
      </c>
      <c r="L2174">
        <v>34.9</v>
      </c>
      <c r="M2174">
        <v>35.3</v>
      </c>
      <c r="N2174">
        <v>34.59</v>
      </c>
      <c r="O2174">
        <v>35.01</v>
      </c>
      <c r="P2174">
        <v>37.61</v>
      </c>
      <c r="Q2174">
        <v>372094400</v>
      </c>
      <c r="R2174">
        <v>1.88</v>
      </c>
      <c r="S2174" t="s">
        <v>195</v>
      </c>
      <c r="T2174" t="s">
        <v>45</v>
      </c>
      <c r="U2174">
        <v>2.03</v>
      </c>
      <c r="V2174">
        <v>34.94</v>
      </c>
      <c r="W2174">
        <v>54795</v>
      </c>
      <c r="X2174">
        <v>51701</v>
      </c>
      <c r="Y2174">
        <v>1.06</v>
      </c>
      <c r="Z2174">
        <v>56</v>
      </c>
      <c r="AA2174">
        <v>162</v>
      </c>
      <c r="AB2174" t="s">
        <v>32</v>
      </c>
      <c r="AC2174">
        <v>13.71</v>
      </c>
    </row>
    <row r="2175" spans="1:29">
      <c r="A2175" t="str">
        <f>"600086"</f>
        <v>600086</v>
      </c>
      <c r="B2175" t="s">
        <v>2344</v>
      </c>
      <c r="C2175">
        <v>0</v>
      </c>
      <c r="D2175">
        <v>10.04</v>
      </c>
      <c r="E2175">
        <v>0</v>
      </c>
      <c r="F2175" t="s">
        <v>32</v>
      </c>
      <c r="G2175" t="s">
        <v>32</v>
      </c>
      <c r="H2175">
        <v>0</v>
      </c>
      <c r="I2175">
        <v>0</v>
      </c>
      <c r="J2175">
        <v>0</v>
      </c>
      <c r="K2175">
        <v>0</v>
      </c>
      <c r="L2175" t="s">
        <v>32</v>
      </c>
      <c r="M2175" t="s">
        <v>32</v>
      </c>
      <c r="N2175" t="s">
        <v>32</v>
      </c>
      <c r="O2175">
        <v>10.04</v>
      </c>
      <c r="P2175">
        <v>24.88</v>
      </c>
      <c r="Q2175">
        <v>0</v>
      </c>
      <c r="R2175">
        <v>0</v>
      </c>
      <c r="S2175" t="s">
        <v>622</v>
      </c>
      <c r="T2175" t="s">
        <v>193</v>
      </c>
      <c r="U2175">
        <v>0</v>
      </c>
      <c r="V2175">
        <v>10.04</v>
      </c>
      <c r="W2175">
        <v>0</v>
      </c>
      <c r="X2175">
        <v>0</v>
      </c>
      <c r="Y2175" t="s">
        <v>32</v>
      </c>
      <c r="Z2175">
        <v>0</v>
      </c>
      <c r="AA2175">
        <v>0</v>
      </c>
      <c r="AB2175" t="s">
        <v>32</v>
      </c>
      <c r="AC2175">
        <v>10.57</v>
      </c>
    </row>
    <row r="2176" spans="1:29">
      <c r="A2176" t="str">
        <f>"600088"</f>
        <v>600088</v>
      </c>
      <c r="B2176" t="s">
        <v>2345</v>
      </c>
      <c r="C2176">
        <v>1.54</v>
      </c>
      <c r="D2176">
        <v>9.87</v>
      </c>
      <c r="E2176">
        <v>0.15</v>
      </c>
      <c r="F2176">
        <v>9.85</v>
      </c>
      <c r="G2176">
        <v>9.86</v>
      </c>
      <c r="H2176">
        <v>21906</v>
      </c>
      <c r="I2176">
        <v>15</v>
      </c>
      <c r="J2176">
        <v>0.2</v>
      </c>
      <c r="K2176">
        <v>0.55</v>
      </c>
      <c r="L2176">
        <v>9.68</v>
      </c>
      <c r="M2176">
        <v>10.05</v>
      </c>
      <c r="N2176">
        <v>9.52</v>
      </c>
      <c r="O2176">
        <v>9.72</v>
      </c>
      <c r="P2176">
        <v>40.32</v>
      </c>
      <c r="Q2176">
        <v>21641238</v>
      </c>
      <c r="R2176">
        <v>1.98</v>
      </c>
      <c r="S2176" t="s">
        <v>148</v>
      </c>
      <c r="T2176" t="s">
        <v>366</v>
      </c>
      <c r="U2176">
        <v>5.45</v>
      </c>
      <c r="V2176">
        <v>9.88</v>
      </c>
      <c r="W2176">
        <v>12091</v>
      </c>
      <c r="X2176">
        <v>9814</v>
      </c>
      <c r="Y2176">
        <v>1.23</v>
      </c>
      <c r="Z2176">
        <v>250</v>
      </c>
      <c r="AA2176">
        <v>59</v>
      </c>
      <c r="AB2176" t="s">
        <v>32</v>
      </c>
      <c r="AC2176">
        <v>3.98</v>
      </c>
    </row>
    <row r="2177" spans="1:29">
      <c r="A2177" t="str">
        <f>"600089"</f>
        <v>600089</v>
      </c>
      <c r="B2177" t="s">
        <v>2346</v>
      </c>
      <c r="C2177">
        <v>2.94</v>
      </c>
      <c r="D2177">
        <v>7.01</v>
      </c>
      <c r="E2177">
        <v>0.2</v>
      </c>
      <c r="F2177">
        <v>7</v>
      </c>
      <c r="G2177">
        <v>7.01</v>
      </c>
      <c r="H2177">
        <v>288608</v>
      </c>
      <c r="I2177">
        <v>26</v>
      </c>
      <c r="J2177">
        <v>0.14</v>
      </c>
      <c r="K2177">
        <v>0.78</v>
      </c>
      <c r="L2177">
        <v>6.85</v>
      </c>
      <c r="M2177">
        <v>7.04</v>
      </c>
      <c r="N2177">
        <v>6.81</v>
      </c>
      <c r="O2177">
        <v>6.81</v>
      </c>
      <c r="P2177">
        <v>12.99</v>
      </c>
      <c r="Q2177">
        <v>200883936</v>
      </c>
      <c r="R2177">
        <v>2.6</v>
      </c>
      <c r="S2177" t="s">
        <v>104</v>
      </c>
      <c r="T2177" t="s">
        <v>156</v>
      </c>
      <c r="U2177">
        <v>3.38</v>
      </c>
      <c r="V2177">
        <v>6.96</v>
      </c>
      <c r="W2177">
        <v>131216</v>
      </c>
      <c r="X2177">
        <v>157391</v>
      </c>
      <c r="Y2177">
        <v>0.83</v>
      </c>
      <c r="Z2177">
        <v>999</v>
      </c>
      <c r="AA2177">
        <v>1476</v>
      </c>
      <c r="AB2177" t="s">
        <v>32</v>
      </c>
      <c r="AC2177">
        <v>37.14</v>
      </c>
    </row>
    <row r="2178" spans="1:29">
      <c r="A2178" t="str">
        <f>"600090"</f>
        <v>600090</v>
      </c>
      <c r="B2178" t="s">
        <v>2347</v>
      </c>
      <c r="C2178">
        <v>1.58</v>
      </c>
      <c r="D2178">
        <v>5.77</v>
      </c>
      <c r="E2178">
        <v>0.09</v>
      </c>
      <c r="F2178">
        <v>5.76</v>
      </c>
      <c r="G2178">
        <v>5.77</v>
      </c>
      <c r="H2178">
        <v>111124</v>
      </c>
      <c r="I2178">
        <v>6</v>
      </c>
      <c r="J2178">
        <v>0.17</v>
      </c>
      <c r="K2178">
        <v>1.58</v>
      </c>
      <c r="L2178">
        <v>5.68</v>
      </c>
      <c r="M2178">
        <v>5.78</v>
      </c>
      <c r="N2178">
        <v>5.65</v>
      </c>
      <c r="O2178">
        <v>5.68</v>
      </c>
      <c r="P2178">
        <v>15.63</v>
      </c>
      <c r="Q2178">
        <v>63683340</v>
      </c>
      <c r="R2178">
        <v>1.86</v>
      </c>
      <c r="S2178" t="s">
        <v>77</v>
      </c>
      <c r="T2178" t="s">
        <v>156</v>
      </c>
      <c r="U2178">
        <v>2.29</v>
      </c>
      <c r="V2178">
        <v>5.73</v>
      </c>
      <c r="W2178">
        <v>42382</v>
      </c>
      <c r="X2178">
        <v>68742</v>
      </c>
      <c r="Y2178">
        <v>0.62</v>
      </c>
      <c r="Z2178">
        <v>322</v>
      </c>
      <c r="AA2178">
        <v>146</v>
      </c>
      <c r="AB2178" t="s">
        <v>32</v>
      </c>
      <c r="AC2178">
        <v>7.03</v>
      </c>
    </row>
    <row r="2179" spans="1:29">
      <c r="A2179" t="str">
        <f>"600091"</f>
        <v>600091</v>
      </c>
      <c r="B2179" t="s">
        <v>2348</v>
      </c>
      <c r="C2179">
        <v>1.34</v>
      </c>
      <c r="D2179">
        <v>3.78</v>
      </c>
      <c r="E2179">
        <v>0.05</v>
      </c>
      <c r="F2179">
        <v>3.77</v>
      </c>
      <c r="G2179">
        <v>3.79</v>
      </c>
      <c r="H2179">
        <v>11317</v>
      </c>
      <c r="I2179">
        <v>5</v>
      </c>
      <c r="J2179">
        <v>0</v>
      </c>
      <c r="K2179">
        <v>0.34</v>
      </c>
      <c r="L2179">
        <v>3.73</v>
      </c>
      <c r="M2179">
        <v>3.8</v>
      </c>
      <c r="N2179">
        <v>3.73</v>
      </c>
      <c r="O2179">
        <v>3.73</v>
      </c>
      <c r="P2179" t="s">
        <v>32</v>
      </c>
      <c r="Q2179">
        <v>4265163</v>
      </c>
      <c r="R2179">
        <v>1.18</v>
      </c>
      <c r="S2179" t="s">
        <v>218</v>
      </c>
      <c r="T2179" t="s">
        <v>198</v>
      </c>
      <c r="U2179">
        <v>1.88</v>
      </c>
      <c r="V2179">
        <v>3.77</v>
      </c>
      <c r="W2179">
        <v>5079</v>
      </c>
      <c r="X2179">
        <v>6238</v>
      </c>
      <c r="Y2179">
        <v>0.81</v>
      </c>
      <c r="Z2179">
        <v>15</v>
      </c>
      <c r="AA2179">
        <v>613</v>
      </c>
      <c r="AB2179" t="s">
        <v>32</v>
      </c>
      <c r="AC2179">
        <v>3.37</v>
      </c>
    </row>
    <row r="2180" spans="1:29">
      <c r="A2180" t="str">
        <f>"600093"</f>
        <v>600093</v>
      </c>
      <c r="B2180" t="s">
        <v>2349</v>
      </c>
      <c r="C2180">
        <v>3.34</v>
      </c>
      <c r="D2180">
        <v>11.14</v>
      </c>
      <c r="E2180">
        <v>0.36</v>
      </c>
      <c r="F2180">
        <v>11.15</v>
      </c>
      <c r="G2180">
        <v>11.16</v>
      </c>
      <c r="H2180">
        <v>139683</v>
      </c>
      <c r="I2180">
        <v>40</v>
      </c>
      <c r="J2180">
        <v>-0.08</v>
      </c>
      <c r="K2180">
        <v>1.24</v>
      </c>
      <c r="L2180">
        <v>10.92</v>
      </c>
      <c r="M2180">
        <v>11.5</v>
      </c>
      <c r="N2180">
        <v>10.75</v>
      </c>
      <c r="O2180">
        <v>10.78</v>
      </c>
      <c r="P2180">
        <v>14.54</v>
      </c>
      <c r="Q2180">
        <v>154763472</v>
      </c>
      <c r="R2180">
        <v>1.79</v>
      </c>
      <c r="S2180" t="s">
        <v>742</v>
      </c>
      <c r="T2180" t="s">
        <v>146</v>
      </c>
      <c r="U2180">
        <v>6.96</v>
      </c>
      <c r="V2180">
        <v>11.08</v>
      </c>
      <c r="W2180">
        <v>78142</v>
      </c>
      <c r="X2180">
        <v>61541</v>
      </c>
      <c r="Y2180">
        <v>1.27</v>
      </c>
      <c r="Z2180">
        <v>12</v>
      </c>
      <c r="AA2180">
        <v>150</v>
      </c>
      <c r="AB2180" t="s">
        <v>32</v>
      </c>
      <c r="AC2180">
        <v>11.22</v>
      </c>
    </row>
    <row r="2181" spans="1:29">
      <c r="A2181" t="str">
        <f>"600094"</f>
        <v>600094</v>
      </c>
      <c r="B2181" t="s">
        <v>2350</v>
      </c>
      <c r="C2181">
        <v>1.53</v>
      </c>
      <c r="D2181">
        <v>5.31</v>
      </c>
      <c r="E2181">
        <v>0.08</v>
      </c>
      <c r="F2181">
        <v>5.3</v>
      </c>
      <c r="G2181">
        <v>5.31</v>
      </c>
      <c r="H2181">
        <v>50586</v>
      </c>
      <c r="I2181">
        <v>70</v>
      </c>
      <c r="J2181">
        <v>0</v>
      </c>
      <c r="K2181">
        <v>0.22</v>
      </c>
      <c r="L2181">
        <v>5.21</v>
      </c>
      <c r="M2181">
        <v>5.35</v>
      </c>
      <c r="N2181">
        <v>5.21</v>
      </c>
      <c r="O2181">
        <v>5.23</v>
      </c>
      <c r="P2181">
        <v>87.58</v>
      </c>
      <c r="Q2181">
        <v>26851664</v>
      </c>
      <c r="R2181">
        <v>1.74</v>
      </c>
      <c r="S2181" t="s">
        <v>40</v>
      </c>
      <c r="T2181" t="s">
        <v>366</v>
      </c>
      <c r="U2181">
        <v>2.68</v>
      </c>
      <c r="V2181">
        <v>5.31</v>
      </c>
      <c r="W2181">
        <v>19473</v>
      </c>
      <c r="X2181">
        <v>31113</v>
      </c>
      <c r="Y2181">
        <v>0.63</v>
      </c>
      <c r="Z2181">
        <v>1028</v>
      </c>
      <c r="AA2181">
        <v>626</v>
      </c>
      <c r="AB2181" t="s">
        <v>32</v>
      </c>
      <c r="AC2181">
        <v>22.77</v>
      </c>
    </row>
    <row r="2182" spans="1:29">
      <c r="A2182" t="str">
        <f>"600095"</f>
        <v>600095</v>
      </c>
      <c r="B2182" t="s">
        <v>2351</v>
      </c>
      <c r="C2182">
        <v>2.13</v>
      </c>
      <c r="D2182">
        <v>4.32</v>
      </c>
      <c r="E2182">
        <v>0.09</v>
      </c>
      <c r="F2182">
        <v>4.31</v>
      </c>
      <c r="G2182">
        <v>4.32</v>
      </c>
      <c r="H2182">
        <v>44762</v>
      </c>
      <c r="I2182">
        <v>6</v>
      </c>
      <c r="J2182">
        <v>0.23</v>
      </c>
      <c r="K2182">
        <v>1.24</v>
      </c>
      <c r="L2182">
        <v>4.23</v>
      </c>
      <c r="M2182">
        <v>4.34</v>
      </c>
      <c r="N2182">
        <v>4.2</v>
      </c>
      <c r="O2182">
        <v>4.23</v>
      </c>
      <c r="P2182" t="s">
        <v>32</v>
      </c>
      <c r="Q2182">
        <v>19244136</v>
      </c>
      <c r="R2182">
        <v>1.33</v>
      </c>
      <c r="S2182" t="s">
        <v>40</v>
      </c>
      <c r="T2182" t="s">
        <v>297</v>
      </c>
      <c r="U2182">
        <v>3.31</v>
      </c>
      <c r="V2182">
        <v>4.3</v>
      </c>
      <c r="W2182">
        <v>21187</v>
      </c>
      <c r="X2182">
        <v>23575</v>
      </c>
      <c r="Y2182">
        <v>0.9</v>
      </c>
      <c r="Z2182">
        <v>1122</v>
      </c>
      <c r="AA2182">
        <v>180</v>
      </c>
      <c r="AB2182" t="s">
        <v>32</v>
      </c>
      <c r="AC2182">
        <v>3.61</v>
      </c>
    </row>
    <row r="2183" spans="1:29">
      <c r="A2183" t="str">
        <f>"600096"</f>
        <v>600096</v>
      </c>
      <c r="B2183" t="s">
        <v>2352</v>
      </c>
      <c r="C2183">
        <v>2.66</v>
      </c>
      <c r="D2183">
        <v>5.4</v>
      </c>
      <c r="E2183">
        <v>0.14</v>
      </c>
      <c r="F2183">
        <v>5.39</v>
      </c>
      <c r="G2183">
        <v>5.4</v>
      </c>
      <c r="H2183">
        <v>97292</v>
      </c>
      <c r="I2183">
        <v>79</v>
      </c>
      <c r="J2183">
        <v>0</v>
      </c>
      <c r="K2183">
        <v>0.87</v>
      </c>
      <c r="L2183">
        <v>5.3</v>
      </c>
      <c r="M2183">
        <v>5.5</v>
      </c>
      <c r="N2183">
        <v>5.3</v>
      </c>
      <c r="O2183">
        <v>5.26</v>
      </c>
      <c r="P2183">
        <v>34.76</v>
      </c>
      <c r="Q2183">
        <v>52503844</v>
      </c>
      <c r="R2183">
        <v>1.96</v>
      </c>
      <c r="S2183" t="s">
        <v>145</v>
      </c>
      <c r="T2183" t="s">
        <v>250</v>
      </c>
      <c r="U2183">
        <v>3.8</v>
      </c>
      <c r="V2183">
        <v>5.4</v>
      </c>
      <c r="W2183">
        <v>43522</v>
      </c>
      <c r="X2183">
        <v>53769</v>
      </c>
      <c r="Y2183">
        <v>0.81</v>
      </c>
      <c r="Z2183">
        <v>1144</v>
      </c>
      <c r="AA2183">
        <v>34</v>
      </c>
      <c r="AB2183" t="s">
        <v>32</v>
      </c>
      <c r="AC2183">
        <v>11.22</v>
      </c>
    </row>
    <row r="2184" spans="1:29">
      <c r="A2184" t="str">
        <f>"600097"</f>
        <v>600097</v>
      </c>
      <c r="B2184" t="s">
        <v>2353</v>
      </c>
      <c r="C2184">
        <v>2.95</v>
      </c>
      <c r="D2184">
        <v>11.15</v>
      </c>
      <c r="E2184">
        <v>0.32</v>
      </c>
      <c r="F2184">
        <v>11.15</v>
      </c>
      <c r="G2184">
        <v>11.16</v>
      </c>
      <c r="H2184">
        <v>12011</v>
      </c>
      <c r="I2184">
        <v>4</v>
      </c>
      <c r="J2184">
        <v>-0.08</v>
      </c>
      <c r="K2184">
        <v>0.59</v>
      </c>
      <c r="L2184">
        <v>10.83</v>
      </c>
      <c r="M2184">
        <v>11.19</v>
      </c>
      <c r="N2184">
        <v>10.75</v>
      </c>
      <c r="O2184">
        <v>10.83</v>
      </c>
      <c r="P2184" t="s">
        <v>32</v>
      </c>
      <c r="Q2184">
        <v>13264241</v>
      </c>
      <c r="R2184">
        <v>2.18</v>
      </c>
      <c r="S2184" t="s">
        <v>466</v>
      </c>
      <c r="T2184" t="s">
        <v>366</v>
      </c>
      <c r="U2184">
        <v>4.06</v>
      </c>
      <c r="V2184">
        <v>11.04</v>
      </c>
      <c r="W2184">
        <v>4993</v>
      </c>
      <c r="X2184">
        <v>7017</v>
      </c>
      <c r="Y2184">
        <v>0.71</v>
      </c>
      <c r="Z2184">
        <v>53</v>
      </c>
      <c r="AA2184">
        <v>77</v>
      </c>
      <c r="AB2184" t="s">
        <v>32</v>
      </c>
      <c r="AC2184">
        <v>2.03</v>
      </c>
    </row>
    <row r="2185" spans="1:29">
      <c r="A2185" t="str">
        <f>"600098"</f>
        <v>600098</v>
      </c>
      <c r="B2185" t="s">
        <v>2354</v>
      </c>
      <c r="C2185">
        <v>1.73</v>
      </c>
      <c r="D2185">
        <v>6.46</v>
      </c>
      <c r="E2185">
        <v>0.11</v>
      </c>
      <c r="F2185">
        <v>6.46</v>
      </c>
      <c r="G2185">
        <v>6.47</v>
      </c>
      <c r="H2185">
        <v>25088</v>
      </c>
      <c r="I2185">
        <v>15</v>
      </c>
      <c r="J2185">
        <v>0</v>
      </c>
      <c r="K2185">
        <v>0.09</v>
      </c>
      <c r="L2185">
        <v>6.35</v>
      </c>
      <c r="M2185">
        <v>6.48</v>
      </c>
      <c r="N2185">
        <v>6.35</v>
      </c>
      <c r="O2185">
        <v>6.35</v>
      </c>
      <c r="P2185">
        <v>41.45</v>
      </c>
      <c r="Q2185">
        <v>16169376</v>
      </c>
      <c r="R2185">
        <v>1.43</v>
      </c>
      <c r="S2185" t="s">
        <v>75</v>
      </c>
      <c r="T2185" t="s">
        <v>136</v>
      </c>
      <c r="U2185">
        <v>2.05</v>
      </c>
      <c r="V2185">
        <v>6.45</v>
      </c>
      <c r="W2185">
        <v>8562</v>
      </c>
      <c r="X2185">
        <v>16525</v>
      </c>
      <c r="Y2185">
        <v>0.52</v>
      </c>
      <c r="Z2185">
        <v>1292</v>
      </c>
      <c r="AA2185">
        <v>535</v>
      </c>
      <c r="AB2185" t="s">
        <v>32</v>
      </c>
      <c r="AC2185">
        <v>27.26</v>
      </c>
    </row>
    <row r="2186" spans="1:29">
      <c r="A2186" t="str">
        <f>"600099"</f>
        <v>600099</v>
      </c>
      <c r="B2186" t="s">
        <v>2355</v>
      </c>
      <c r="C2186">
        <v>1.85</v>
      </c>
      <c r="D2186">
        <v>6.6</v>
      </c>
      <c r="E2186">
        <v>0.12</v>
      </c>
      <c r="F2186">
        <v>6.6</v>
      </c>
      <c r="G2186">
        <v>6.61</v>
      </c>
      <c r="H2186">
        <v>33755</v>
      </c>
      <c r="I2186">
        <v>15</v>
      </c>
      <c r="J2186">
        <v>0</v>
      </c>
      <c r="K2186">
        <v>1.54</v>
      </c>
      <c r="L2186">
        <v>6.48</v>
      </c>
      <c r="M2186">
        <v>6.66</v>
      </c>
      <c r="N2186">
        <v>6.44</v>
      </c>
      <c r="O2186">
        <v>6.48</v>
      </c>
      <c r="P2186">
        <v>10890</v>
      </c>
      <c r="Q2186">
        <v>22210424</v>
      </c>
      <c r="R2186">
        <v>1.6</v>
      </c>
      <c r="S2186" t="s">
        <v>549</v>
      </c>
      <c r="T2186" t="s">
        <v>87</v>
      </c>
      <c r="U2186">
        <v>3.4</v>
      </c>
      <c r="V2186">
        <v>6.58</v>
      </c>
      <c r="W2186">
        <v>15448</v>
      </c>
      <c r="X2186">
        <v>18307</v>
      </c>
      <c r="Y2186">
        <v>0.84</v>
      </c>
      <c r="Z2186">
        <v>37</v>
      </c>
      <c r="AA2186">
        <v>76</v>
      </c>
      <c r="AB2186" t="s">
        <v>32</v>
      </c>
      <c r="AC2186">
        <v>2.19</v>
      </c>
    </row>
    <row r="2187" spans="1:29">
      <c r="A2187" t="str">
        <f>"600100"</f>
        <v>600100</v>
      </c>
      <c r="B2187" t="s">
        <v>2356</v>
      </c>
      <c r="C2187">
        <v>-0.61</v>
      </c>
      <c r="D2187">
        <v>9.85</v>
      </c>
      <c r="E2187">
        <v>-0.06</v>
      </c>
      <c r="F2187">
        <v>9.84</v>
      </c>
      <c r="G2187">
        <v>9.85</v>
      </c>
      <c r="H2187">
        <v>113192</v>
      </c>
      <c r="I2187">
        <v>42</v>
      </c>
      <c r="J2187">
        <v>-0.09</v>
      </c>
      <c r="K2187">
        <v>0.38</v>
      </c>
      <c r="L2187">
        <v>9.91</v>
      </c>
      <c r="M2187">
        <v>10.01</v>
      </c>
      <c r="N2187">
        <v>9.77</v>
      </c>
      <c r="O2187">
        <v>9.91</v>
      </c>
      <c r="P2187" t="s">
        <v>32</v>
      </c>
      <c r="Q2187">
        <v>112024624</v>
      </c>
      <c r="R2187">
        <v>1.1</v>
      </c>
      <c r="S2187" t="s">
        <v>65</v>
      </c>
      <c r="T2187" t="s">
        <v>45</v>
      </c>
      <c r="U2187">
        <v>2.42</v>
      </c>
      <c r="V2187">
        <v>9.9</v>
      </c>
      <c r="W2187">
        <v>57353</v>
      </c>
      <c r="X2187">
        <v>55838</v>
      </c>
      <c r="Y2187">
        <v>1.03</v>
      </c>
      <c r="Z2187">
        <v>269</v>
      </c>
      <c r="AA2187">
        <v>8</v>
      </c>
      <c r="AB2187" t="s">
        <v>32</v>
      </c>
      <c r="AC2187">
        <v>29.64</v>
      </c>
    </row>
    <row r="2188" spans="1:29">
      <c r="A2188" t="str">
        <f>"600101"</f>
        <v>600101</v>
      </c>
      <c r="B2188" t="s">
        <v>2357</v>
      </c>
      <c r="C2188">
        <v>1.96</v>
      </c>
      <c r="D2188">
        <v>7.27</v>
      </c>
      <c r="E2188">
        <v>0.14</v>
      </c>
      <c r="F2188">
        <v>7.26</v>
      </c>
      <c r="G2188">
        <v>7.27</v>
      </c>
      <c r="H2188">
        <v>38774</v>
      </c>
      <c r="I2188">
        <v>16</v>
      </c>
      <c r="J2188">
        <v>0</v>
      </c>
      <c r="K2188">
        <v>1.2</v>
      </c>
      <c r="L2188">
        <v>7.12</v>
      </c>
      <c r="M2188">
        <v>7.37</v>
      </c>
      <c r="N2188">
        <v>7.1</v>
      </c>
      <c r="O2188">
        <v>7.13</v>
      </c>
      <c r="P2188">
        <v>21.7</v>
      </c>
      <c r="Q2188">
        <v>28068072</v>
      </c>
      <c r="R2188">
        <v>2.41</v>
      </c>
      <c r="S2188" t="s">
        <v>312</v>
      </c>
      <c r="T2188" t="s">
        <v>146</v>
      </c>
      <c r="U2188">
        <v>3.79</v>
      </c>
      <c r="V2188">
        <v>7.24</v>
      </c>
      <c r="W2188">
        <v>16589</v>
      </c>
      <c r="X2188">
        <v>22185</v>
      </c>
      <c r="Y2188">
        <v>0.75</v>
      </c>
      <c r="Z2188">
        <v>510</v>
      </c>
      <c r="AA2188">
        <v>155</v>
      </c>
      <c r="AB2188" t="s">
        <v>32</v>
      </c>
      <c r="AC2188">
        <v>3.24</v>
      </c>
    </row>
    <row r="2189" spans="1:29">
      <c r="A2189" t="str">
        <f>"600103"</f>
        <v>600103</v>
      </c>
      <c r="B2189" t="s">
        <v>2358</v>
      </c>
      <c r="C2189">
        <v>1.99</v>
      </c>
      <c r="D2189">
        <v>3.07</v>
      </c>
      <c r="E2189">
        <v>0.06</v>
      </c>
      <c r="F2189">
        <v>3.06</v>
      </c>
      <c r="G2189">
        <v>3.07</v>
      </c>
      <c r="H2189">
        <v>114556</v>
      </c>
      <c r="I2189">
        <v>5</v>
      </c>
      <c r="J2189">
        <v>0.33</v>
      </c>
      <c r="K2189">
        <v>1.08</v>
      </c>
      <c r="L2189">
        <v>3</v>
      </c>
      <c r="M2189">
        <v>3.07</v>
      </c>
      <c r="N2189">
        <v>2.98</v>
      </c>
      <c r="O2189">
        <v>3.01</v>
      </c>
      <c r="P2189">
        <v>26.85</v>
      </c>
      <c r="Q2189">
        <v>34758888</v>
      </c>
      <c r="R2189">
        <v>2.79</v>
      </c>
      <c r="S2189" t="s">
        <v>204</v>
      </c>
      <c r="T2189" t="s">
        <v>236</v>
      </c>
      <c r="U2189">
        <v>2.99</v>
      </c>
      <c r="V2189">
        <v>3.03</v>
      </c>
      <c r="W2189">
        <v>46214</v>
      </c>
      <c r="X2189">
        <v>68341</v>
      </c>
      <c r="Y2189">
        <v>0.68</v>
      </c>
      <c r="Z2189">
        <v>2726</v>
      </c>
      <c r="AA2189">
        <v>4315</v>
      </c>
      <c r="AB2189" t="s">
        <v>32</v>
      </c>
      <c r="AC2189">
        <v>10.62</v>
      </c>
    </row>
    <row r="2190" spans="1:29">
      <c r="A2190" t="str">
        <f>"600104"</f>
        <v>600104</v>
      </c>
      <c r="B2190" t="s">
        <v>2359</v>
      </c>
      <c r="C2190">
        <v>-0.09</v>
      </c>
      <c r="D2190">
        <v>32.57</v>
      </c>
      <c r="E2190">
        <v>-0.03</v>
      </c>
      <c r="F2190">
        <v>32.58</v>
      </c>
      <c r="G2190">
        <v>32.6</v>
      </c>
      <c r="H2190">
        <v>202708</v>
      </c>
      <c r="I2190">
        <v>52</v>
      </c>
      <c r="J2190">
        <v>-0.33</v>
      </c>
      <c r="K2190">
        <v>0.18</v>
      </c>
      <c r="L2190">
        <v>32.7</v>
      </c>
      <c r="M2190">
        <v>32.98</v>
      </c>
      <c r="N2190">
        <v>32.39</v>
      </c>
      <c r="O2190">
        <v>32.6</v>
      </c>
      <c r="P2190">
        <v>9.8</v>
      </c>
      <c r="Q2190">
        <v>660785088</v>
      </c>
      <c r="R2190">
        <v>1.58</v>
      </c>
      <c r="S2190" t="s">
        <v>262</v>
      </c>
      <c r="T2190" t="s">
        <v>366</v>
      </c>
      <c r="U2190">
        <v>1.81</v>
      </c>
      <c r="V2190">
        <v>32.6</v>
      </c>
      <c r="W2190">
        <v>103852</v>
      </c>
      <c r="X2190">
        <v>98855</v>
      </c>
      <c r="Y2190">
        <v>1.05</v>
      </c>
      <c r="Z2190">
        <v>14</v>
      </c>
      <c r="AA2190">
        <v>60</v>
      </c>
      <c r="AB2190" t="s">
        <v>32</v>
      </c>
      <c r="AC2190">
        <v>115.03</v>
      </c>
    </row>
    <row r="2191" spans="1:29">
      <c r="A2191" t="str">
        <f>"600105"</f>
        <v>600105</v>
      </c>
      <c r="B2191" t="s">
        <v>2360</v>
      </c>
      <c r="C2191">
        <v>1.36</v>
      </c>
      <c r="D2191">
        <v>3.73</v>
      </c>
      <c r="E2191">
        <v>0.05</v>
      </c>
      <c r="F2191">
        <v>3.72</v>
      </c>
      <c r="G2191">
        <v>3.73</v>
      </c>
      <c r="H2191">
        <v>65820</v>
      </c>
      <c r="I2191">
        <v>343</v>
      </c>
      <c r="J2191">
        <v>0</v>
      </c>
      <c r="K2191">
        <v>0.66</v>
      </c>
      <c r="L2191">
        <v>3.68</v>
      </c>
      <c r="M2191">
        <v>3.74</v>
      </c>
      <c r="N2191">
        <v>3.65</v>
      </c>
      <c r="O2191">
        <v>3.68</v>
      </c>
      <c r="P2191">
        <v>27.71</v>
      </c>
      <c r="Q2191">
        <v>24395964</v>
      </c>
      <c r="R2191">
        <v>1.29</v>
      </c>
      <c r="S2191" t="s">
        <v>119</v>
      </c>
      <c r="T2191" t="s">
        <v>87</v>
      </c>
      <c r="U2191">
        <v>2.45</v>
      </c>
      <c r="V2191">
        <v>3.71</v>
      </c>
      <c r="W2191">
        <v>32326</v>
      </c>
      <c r="X2191">
        <v>33493</v>
      </c>
      <c r="Y2191">
        <v>0.97</v>
      </c>
      <c r="Z2191">
        <v>1608</v>
      </c>
      <c r="AA2191">
        <v>156</v>
      </c>
      <c r="AB2191" t="s">
        <v>32</v>
      </c>
      <c r="AC2191">
        <v>9.9</v>
      </c>
    </row>
    <row r="2192" spans="1:29">
      <c r="A2192" t="str">
        <f>"600106"</f>
        <v>600106</v>
      </c>
      <c r="B2192" t="s">
        <v>2361</v>
      </c>
      <c r="C2192">
        <v>6.56</v>
      </c>
      <c r="D2192">
        <v>3.41</v>
      </c>
      <c r="E2192">
        <v>0.21</v>
      </c>
      <c r="F2192">
        <v>3.41</v>
      </c>
      <c r="G2192">
        <v>3.42</v>
      </c>
      <c r="H2192">
        <v>325693</v>
      </c>
      <c r="I2192">
        <v>1244</v>
      </c>
      <c r="J2192">
        <v>0.59</v>
      </c>
      <c r="K2192">
        <v>2.97</v>
      </c>
      <c r="L2192">
        <v>3.21</v>
      </c>
      <c r="M2192">
        <v>3.44</v>
      </c>
      <c r="N2192">
        <v>3.21</v>
      </c>
      <c r="O2192">
        <v>3.2</v>
      </c>
      <c r="P2192">
        <v>17.88</v>
      </c>
      <c r="Q2192">
        <v>109777664</v>
      </c>
      <c r="R2192">
        <v>2.97</v>
      </c>
      <c r="S2192" t="s">
        <v>201</v>
      </c>
      <c r="T2192" t="s">
        <v>221</v>
      </c>
      <c r="U2192">
        <v>7.19</v>
      </c>
      <c r="V2192">
        <v>3.37</v>
      </c>
      <c r="W2192">
        <v>143872</v>
      </c>
      <c r="X2192">
        <v>181821</v>
      </c>
      <c r="Y2192">
        <v>0.79</v>
      </c>
      <c r="Z2192">
        <v>251</v>
      </c>
      <c r="AA2192">
        <v>1498</v>
      </c>
      <c r="AB2192" t="s">
        <v>32</v>
      </c>
      <c r="AC2192">
        <v>10.98</v>
      </c>
    </row>
    <row r="2193" spans="1:29">
      <c r="A2193" t="str">
        <f>"600107"</f>
        <v>600107</v>
      </c>
      <c r="B2193" t="s">
        <v>2362</v>
      </c>
      <c r="C2193">
        <v>4.7</v>
      </c>
      <c r="D2193">
        <v>6.91</v>
      </c>
      <c r="E2193">
        <v>0.31</v>
      </c>
      <c r="F2193">
        <v>6.9</v>
      </c>
      <c r="G2193">
        <v>6.92</v>
      </c>
      <c r="H2193">
        <v>175908</v>
      </c>
      <c r="I2193">
        <v>95</v>
      </c>
      <c r="J2193">
        <v>-0.28</v>
      </c>
      <c r="K2193">
        <v>4.89</v>
      </c>
      <c r="L2193">
        <v>6.72</v>
      </c>
      <c r="M2193">
        <v>7.09</v>
      </c>
      <c r="N2193">
        <v>6.53</v>
      </c>
      <c r="O2193">
        <v>6.6</v>
      </c>
      <c r="P2193" t="s">
        <v>32</v>
      </c>
      <c r="Q2193">
        <v>118851040</v>
      </c>
      <c r="R2193">
        <v>4.16</v>
      </c>
      <c r="S2193" t="s">
        <v>622</v>
      </c>
      <c r="T2193" t="s">
        <v>193</v>
      </c>
      <c r="U2193">
        <v>8.48</v>
      </c>
      <c r="V2193">
        <v>6.76</v>
      </c>
      <c r="W2193">
        <v>91630</v>
      </c>
      <c r="X2193">
        <v>84278</v>
      </c>
      <c r="Y2193">
        <v>1.09</v>
      </c>
      <c r="Z2193">
        <v>251</v>
      </c>
      <c r="AA2193">
        <v>215</v>
      </c>
      <c r="AB2193" t="s">
        <v>32</v>
      </c>
      <c r="AC2193">
        <v>3.6</v>
      </c>
    </row>
    <row r="2194" spans="1:29">
      <c r="A2194" t="str">
        <f>"600108"</f>
        <v>600108</v>
      </c>
      <c r="B2194" t="s">
        <v>2363</v>
      </c>
      <c r="C2194">
        <v>2.03</v>
      </c>
      <c r="D2194">
        <v>3.01</v>
      </c>
      <c r="E2194">
        <v>0.06</v>
      </c>
      <c r="F2194">
        <v>3.01</v>
      </c>
      <c r="G2194">
        <v>3.02</v>
      </c>
      <c r="H2194">
        <v>162766</v>
      </c>
      <c r="I2194">
        <v>32</v>
      </c>
      <c r="J2194">
        <v>0</v>
      </c>
      <c r="K2194">
        <v>0.84</v>
      </c>
      <c r="L2194">
        <v>2.96</v>
      </c>
      <c r="M2194">
        <v>3.04</v>
      </c>
      <c r="N2194">
        <v>2.95</v>
      </c>
      <c r="O2194">
        <v>2.95</v>
      </c>
      <c r="P2194">
        <v>56.95</v>
      </c>
      <c r="Q2194">
        <v>48821176</v>
      </c>
      <c r="R2194">
        <v>2.06</v>
      </c>
      <c r="S2194" t="s">
        <v>115</v>
      </c>
      <c r="T2194" t="s">
        <v>266</v>
      </c>
      <c r="U2194">
        <v>3.05</v>
      </c>
      <c r="V2194">
        <v>3</v>
      </c>
      <c r="W2194">
        <v>55435</v>
      </c>
      <c r="X2194">
        <v>107331</v>
      </c>
      <c r="Y2194">
        <v>0.52</v>
      </c>
      <c r="Z2194">
        <v>339</v>
      </c>
      <c r="AA2194">
        <v>4769</v>
      </c>
      <c r="AB2194" t="s">
        <v>32</v>
      </c>
      <c r="AC2194">
        <v>19.47</v>
      </c>
    </row>
    <row r="2195" spans="1:29">
      <c r="A2195" t="str">
        <f>"600109"</f>
        <v>600109</v>
      </c>
      <c r="B2195" t="s">
        <v>2364</v>
      </c>
      <c r="C2195">
        <v>1.97</v>
      </c>
      <c r="D2195">
        <v>7.24</v>
      </c>
      <c r="E2195">
        <v>0.14</v>
      </c>
      <c r="F2195">
        <v>7.23</v>
      </c>
      <c r="G2195">
        <v>7.24</v>
      </c>
      <c r="H2195">
        <v>335723</v>
      </c>
      <c r="I2195">
        <v>499</v>
      </c>
      <c r="J2195">
        <v>0.14</v>
      </c>
      <c r="K2195">
        <v>1.11</v>
      </c>
      <c r="L2195">
        <v>7.08</v>
      </c>
      <c r="M2195">
        <v>7.33</v>
      </c>
      <c r="N2195">
        <v>7.07</v>
      </c>
      <c r="O2195">
        <v>7.1</v>
      </c>
      <c r="P2195">
        <v>20.1</v>
      </c>
      <c r="Q2195">
        <v>242409280</v>
      </c>
      <c r="R2195">
        <v>2.25</v>
      </c>
      <c r="S2195" t="s">
        <v>158</v>
      </c>
      <c r="T2195" t="s">
        <v>146</v>
      </c>
      <c r="U2195">
        <v>3.66</v>
      </c>
      <c r="V2195">
        <v>7.22</v>
      </c>
      <c r="W2195">
        <v>165166</v>
      </c>
      <c r="X2195">
        <v>170556</v>
      </c>
      <c r="Y2195">
        <v>0.97</v>
      </c>
      <c r="Z2195">
        <v>2251</v>
      </c>
      <c r="AA2195">
        <v>391</v>
      </c>
      <c r="AB2195" t="s">
        <v>32</v>
      </c>
      <c r="AC2195">
        <v>30.24</v>
      </c>
    </row>
    <row r="2196" spans="1:29">
      <c r="A2196" t="str">
        <f>"600110"</f>
        <v>600110</v>
      </c>
      <c r="B2196" t="s">
        <v>2365</v>
      </c>
      <c r="C2196">
        <v>3.52</v>
      </c>
      <c r="D2196">
        <v>5.29</v>
      </c>
      <c r="E2196">
        <v>0.18</v>
      </c>
      <c r="F2196">
        <v>5.28</v>
      </c>
      <c r="G2196">
        <v>5.29</v>
      </c>
      <c r="H2196">
        <v>255217</v>
      </c>
      <c r="I2196">
        <v>22</v>
      </c>
      <c r="J2196">
        <v>0</v>
      </c>
      <c r="K2196">
        <v>2.22</v>
      </c>
      <c r="L2196">
        <v>5.1</v>
      </c>
      <c r="M2196">
        <v>5.33</v>
      </c>
      <c r="N2196">
        <v>5.09</v>
      </c>
      <c r="O2196">
        <v>5.11</v>
      </c>
      <c r="P2196">
        <v>63.9</v>
      </c>
      <c r="Q2196">
        <v>133310352</v>
      </c>
      <c r="R2196">
        <v>1.32</v>
      </c>
      <c r="S2196" t="s">
        <v>104</v>
      </c>
      <c r="T2196" t="s">
        <v>81</v>
      </c>
      <c r="U2196">
        <v>4.7</v>
      </c>
      <c r="V2196">
        <v>5.22</v>
      </c>
      <c r="W2196">
        <v>112903</v>
      </c>
      <c r="X2196">
        <v>142314</v>
      </c>
      <c r="Y2196">
        <v>0.79</v>
      </c>
      <c r="Z2196">
        <v>3422</v>
      </c>
      <c r="AA2196">
        <v>1900</v>
      </c>
      <c r="AB2196" t="s">
        <v>32</v>
      </c>
      <c r="AC2196">
        <v>11.5</v>
      </c>
    </row>
    <row r="2197" spans="1:29">
      <c r="A2197" t="str">
        <f>"600111"</f>
        <v>600111</v>
      </c>
      <c r="B2197" t="s">
        <v>2366</v>
      </c>
      <c r="C2197">
        <v>3.36</v>
      </c>
      <c r="D2197">
        <v>11.39</v>
      </c>
      <c r="E2197">
        <v>0.37</v>
      </c>
      <c r="F2197">
        <v>11.39</v>
      </c>
      <c r="G2197">
        <v>11.4</v>
      </c>
      <c r="H2197">
        <v>670317</v>
      </c>
      <c r="I2197">
        <v>155</v>
      </c>
      <c r="J2197">
        <v>0.35</v>
      </c>
      <c r="K2197">
        <v>1.85</v>
      </c>
      <c r="L2197">
        <v>10.96</v>
      </c>
      <c r="M2197">
        <v>11.43</v>
      </c>
      <c r="N2197">
        <v>10.96</v>
      </c>
      <c r="O2197">
        <v>11.02</v>
      </c>
      <c r="P2197">
        <v>94.9</v>
      </c>
      <c r="Q2197">
        <v>756183168</v>
      </c>
      <c r="R2197">
        <v>3.07</v>
      </c>
      <c r="S2197" t="s">
        <v>356</v>
      </c>
      <c r="T2197" t="s">
        <v>198</v>
      </c>
      <c r="U2197">
        <v>4.26</v>
      </c>
      <c r="V2197">
        <v>11.28</v>
      </c>
      <c r="W2197">
        <v>304277</v>
      </c>
      <c r="X2197">
        <v>366039</v>
      </c>
      <c r="Y2197">
        <v>0.83</v>
      </c>
      <c r="Z2197">
        <v>135</v>
      </c>
      <c r="AA2197">
        <v>2900</v>
      </c>
      <c r="AB2197" t="s">
        <v>32</v>
      </c>
      <c r="AC2197">
        <v>36.33</v>
      </c>
    </row>
    <row r="2198" spans="1:29">
      <c r="A2198" t="str">
        <f>"600112"</f>
        <v>600112</v>
      </c>
      <c r="B2198" t="s">
        <v>2367</v>
      </c>
      <c r="C2198">
        <v>10.09</v>
      </c>
      <c r="D2198">
        <v>3.71</v>
      </c>
      <c r="E2198">
        <v>0.34</v>
      </c>
      <c r="F2198">
        <v>3.71</v>
      </c>
      <c r="G2198" t="s">
        <v>32</v>
      </c>
      <c r="H2198">
        <v>351414</v>
      </c>
      <c r="I2198">
        <v>8</v>
      </c>
      <c r="J2198">
        <v>0</v>
      </c>
      <c r="K2198">
        <v>6.9</v>
      </c>
      <c r="L2198">
        <v>3.49</v>
      </c>
      <c r="M2198">
        <v>3.71</v>
      </c>
      <c r="N2198">
        <v>3.45</v>
      </c>
      <c r="O2198">
        <v>3.37</v>
      </c>
      <c r="P2198" t="s">
        <v>32</v>
      </c>
      <c r="Q2198">
        <v>126279600</v>
      </c>
      <c r="R2198">
        <v>4.28</v>
      </c>
      <c r="S2198" t="s">
        <v>104</v>
      </c>
      <c r="T2198" t="s">
        <v>253</v>
      </c>
      <c r="U2198">
        <v>7.72</v>
      </c>
      <c r="V2198">
        <v>3.59</v>
      </c>
      <c r="W2198">
        <v>125292</v>
      </c>
      <c r="X2198">
        <v>226121</v>
      </c>
      <c r="Y2198">
        <v>0.55</v>
      </c>
      <c r="Z2198">
        <v>30104</v>
      </c>
      <c r="AA2198">
        <v>0</v>
      </c>
      <c r="AB2198" t="s">
        <v>32</v>
      </c>
      <c r="AC2198">
        <v>5.09</v>
      </c>
    </row>
    <row r="2199" spans="1:29">
      <c r="A2199" t="str">
        <f>"600113"</f>
        <v>600113</v>
      </c>
      <c r="B2199" t="s">
        <v>2368</v>
      </c>
      <c r="C2199">
        <v>0</v>
      </c>
      <c r="D2199">
        <v>8.55</v>
      </c>
      <c r="E2199">
        <v>0</v>
      </c>
      <c r="F2199">
        <v>8.55</v>
      </c>
      <c r="G2199">
        <v>8.56</v>
      </c>
      <c r="H2199">
        <v>90253</v>
      </c>
      <c r="I2199">
        <v>100</v>
      </c>
      <c r="J2199">
        <v>0</v>
      </c>
      <c r="K2199">
        <v>2.83</v>
      </c>
      <c r="L2199">
        <v>8.47</v>
      </c>
      <c r="M2199">
        <v>8.63</v>
      </c>
      <c r="N2199">
        <v>8.41</v>
      </c>
      <c r="O2199">
        <v>8.55</v>
      </c>
      <c r="P2199">
        <v>39.47</v>
      </c>
      <c r="Q2199">
        <v>77039816</v>
      </c>
      <c r="R2199">
        <v>0.95</v>
      </c>
      <c r="S2199" t="s">
        <v>40</v>
      </c>
      <c r="T2199" t="s">
        <v>149</v>
      </c>
      <c r="U2199">
        <v>2.57</v>
      </c>
      <c r="V2199">
        <v>8.54</v>
      </c>
      <c r="W2199">
        <v>48647</v>
      </c>
      <c r="X2199">
        <v>41606</v>
      </c>
      <c r="Y2199">
        <v>1.17</v>
      </c>
      <c r="Z2199">
        <v>1723</v>
      </c>
      <c r="AA2199">
        <v>612</v>
      </c>
      <c r="AB2199" t="s">
        <v>32</v>
      </c>
      <c r="AC2199">
        <v>3.19</v>
      </c>
    </row>
    <row r="2200" spans="1:29">
      <c r="A2200" t="str">
        <f>"600114"</f>
        <v>600114</v>
      </c>
      <c r="B2200" t="s">
        <v>2369</v>
      </c>
      <c r="C2200">
        <v>0.4</v>
      </c>
      <c r="D2200">
        <v>10.04</v>
      </c>
      <c r="E2200">
        <v>0.04</v>
      </c>
      <c r="F2200">
        <v>10.04</v>
      </c>
      <c r="G2200">
        <v>10.05</v>
      </c>
      <c r="H2200">
        <v>30854</v>
      </c>
      <c r="I2200">
        <v>13</v>
      </c>
      <c r="J2200">
        <v>0.1</v>
      </c>
      <c r="K2200">
        <v>0.49</v>
      </c>
      <c r="L2200">
        <v>10.1</v>
      </c>
      <c r="M2200">
        <v>10.12</v>
      </c>
      <c r="N2200">
        <v>9.9</v>
      </c>
      <c r="O2200">
        <v>10</v>
      </c>
      <c r="P2200">
        <v>21.23</v>
      </c>
      <c r="Q2200">
        <v>30784800</v>
      </c>
      <c r="R2200">
        <v>0.96</v>
      </c>
      <c r="S2200" t="s">
        <v>241</v>
      </c>
      <c r="T2200" t="s">
        <v>149</v>
      </c>
      <c r="U2200">
        <v>2.2</v>
      </c>
      <c r="V2200">
        <v>9.98</v>
      </c>
      <c r="W2200">
        <v>20234</v>
      </c>
      <c r="X2200">
        <v>10620</v>
      </c>
      <c r="Y2200">
        <v>1.91</v>
      </c>
      <c r="Z2200">
        <v>362</v>
      </c>
      <c r="AA2200">
        <v>233</v>
      </c>
      <c r="AB2200" t="s">
        <v>32</v>
      </c>
      <c r="AC2200">
        <v>6.34</v>
      </c>
    </row>
    <row r="2201" spans="1:29">
      <c r="A2201" t="str">
        <f>"600115"</f>
        <v>600115</v>
      </c>
      <c r="B2201" t="s">
        <v>2370</v>
      </c>
      <c r="C2201">
        <v>0.51</v>
      </c>
      <c r="D2201">
        <v>5.97</v>
      </c>
      <c r="E2201">
        <v>0.03</v>
      </c>
      <c r="F2201">
        <v>5.96</v>
      </c>
      <c r="G2201">
        <v>5.97</v>
      </c>
      <c r="H2201">
        <v>587083</v>
      </c>
      <c r="I2201">
        <v>28</v>
      </c>
      <c r="J2201">
        <v>0.17</v>
      </c>
      <c r="K2201">
        <v>0.6</v>
      </c>
      <c r="L2201">
        <v>5.88</v>
      </c>
      <c r="M2201">
        <v>6.05</v>
      </c>
      <c r="N2201">
        <v>5.87</v>
      </c>
      <c r="O2201">
        <v>5.94</v>
      </c>
      <c r="P2201">
        <v>10.89</v>
      </c>
      <c r="Q2201">
        <v>350496736</v>
      </c>
      <c r="R2201">
        <v>0.92</v>
      </c>
      <c r="S2201" t="s">
        <v>134</v>
      </c>
      <c r="T2201" t="s">
        <v>366</v>
      </c>
      <c r="U2201">
        <v>3.03</v>
      </c>
      <c r="V2201">
        <v>5.97</v>
      </c>
      <c r="W2201">
        <v>250053</v>
      </c>
      <c r="X2201">
        <v>337030</v>
      </c>
      <c r="Y2201">
        <v>0.74</v>
      </c>
      <c r="Z2201">
        <v>4305</v>
      </c>
      <c r="AA2201">
        <v>958</v>
      </c>
      <c r="AB2201" t="s">
        <v>32</v>
      </c>
      <c r="AC2201">
        <v>98.08</v>
      </c>
    </row>
    <row r="2202" spans="1:29">
      <c r="A2202" t="str">
        <f>"600116"</f>
        <v>600116</v>
      </c>
      <c r="B2202" t="s">
        <v>2371</v>
      </c>
      <c r="C2202">
        <v>4.82</v>
      </c>
      <c r="D2202">
        <v>6.74</v>
      </c>
      <c r="E2202">
        <v>0.31</v>
      </c>
      <c r="F2202">
        <v>6.73</v>
      </c>
      <c r="G2202">
        <v>6.74</v>
      </c>
      <c r="H2202">
        <v>98937</v>
      </c>
      <c r="I2202">
        <v>48</v>
      </c>
      <c r="J2202">
        <v>0.3</v>
      </c>
      <c r="K2202">
        <v>1</v>
      </c>
      <c r="L2202">
        <v>6.44</v>
      </c>
      <c r="M2202">
        <v>6.74</v>
      </c>
      <c r="N2202">
        <v>6.44</v>
      </c>
      <c r="O2202">
        <v>6.43</v>
      </c>
      <c r="P2202">
        <v>61.82</v>
      </c>
      <c r="Q2202">
        <v>66008336</v>
      </c>
      <c r="R2202">
        <v>2.8</v>
      </c>
      <c r="S2202" t="s">
        <v>312</v>
      </c>
      <c r="T2202" t="s">
        <v>221</v>
      </c>
      <c r="U2202">
        <v>4.67</v>
      </c>
      <c r="V2202">
        <v>6.67</v>
      </c>
      <c r="W2202">
        <v>43556</v>
      </c>
      <c r="X2202">
        <v>55380</v>
      </c>
      <c r="Y2202">
        <v>0.79</v>
      </c>
      <c r="Z2202">
        <v>379</v>
      </c>
      <c r="AA2202">
        <v>225</v>
      </c>
      <c r="AB2202" t="s">
        <v>32</v>
      </c>
      <c r="AC2202">
        <v>9.93</v>
      </c>
    </row>
    <row r="2203" spans="1:29">
      <c r="A2203" t="str">
        <f>"600117"</f>
        <v>600117</v>
      </c>
      <c r="B2203" t="s">
        <v>2372</v>
      </c>
      <c r="C2203">
        <v>1.62</v>
      </c>
      <c r="D2203">
        <v>5.01</v>
      </c>
      <c r="E2203">
        <v>0.08</v>
      </c>
      <c r="F2203">
        <v>5</v>
      </c>
      <c r="G2203">
        <v>5.01</v>
      </c>
      <c r="H2203">
        <v>446735</v>
      </c>
      <c r="I2203">
        <v>38</v>
      </c>
      <c r="J2203">
        <v>0</v>
      </c>
      <c r="K2203">
        <v>6.03</v>
      </c>
      <c r="L2203">
        <v>4.93</v>
      </c>
      <c r="M2203">
        <v>5.27</v>
      </c>
      <c r="N2203">
        <v>4.93</v>
      </c>
      <c r="O2203">
        <v>4.93</v>
      </c>
      <c r="P2203">
        <v>116.38</v>
      </c>
      <c r="Q2203">
        <v>227118128</v>
      </c>
      <c r="R2203">
        <v>1.82</v>
      </c>
      <c r="S2203" t="s">
        <v>398</v>
      </c>
      <c r="T2203" t="s">
        <v>176</v>
      </c>
      <c r="U2203">
        <v>6.9</v>
      </c>
      <c r="V2203">
        <v>5.08</v>
      </c>
      <c r="W2203">
        <v>225931</v>
      </c>
      <c r="X2203">
        <v>220803</v>
      </c>
      <c r="Y2203">
        <v>1.02</v>
      </c>
      <c r="Z2203">
        <v>3433</v>
      </c>
      <c r="AA2203">
        <v>1554</v>
      </c>
      <c r="AB2203" t="s">
        <v>32</v>
      </c>
      <c r="AC2203">
        <v>7.41</v>
      </c>
    </row>
    <row r="2204" spans="1:29">
      <c r="A2204" t="str">
        <f>"600118"</f>
        <v>600118</v>
      </c>
      <c r="B2204" t="s">
        <v>2373</v>
      </c>
      <c r="C2204">
        <v>0.78</v>
      </c>
      <c r="D2204">
        <v>19.5</v>
      </c>
      <c r="E2204">
        <v>0.15</v>
      </c>
      <c r="F2204">
        <v>19.5</v>
      </c>
      <c r="G2204">
        <v>19.51</v>
      </c>
      <c r="H2204">
        <v>88671</v>
      </c>
      <c r="I2204">
        <v>2</v>
      </c>
      <c r="J2204">
        <v>0.05</v>
      </c>
      <c r="K2204">
        <v>0.75</v>
      </c>
      <c r="L2204">
        <v>19.34</v>
      </c>
      <c r="M2204">
        <v>19.64</v>
      </c>
      <c r="N2204">
        <v>19.21</v>
      </c>
      <c r="O2204">
        <v>19.35</v>
      </c>
      <c r="P2204">
        <v>95.96</v>
      </c>
      <c r="Q2204">
        <v>172765664</v>
      </c>
      <c r="R2204">
        <v>1.56</v>
      </c>
      <c r="S2204" t="s">
        <v>389</v>
      </c>
      <c r="T2204" t="s">
        <v>45</v>
      </c>
      <c r="U2204">
        <v>2.22</v>
      </c>
      <c r="V2204">
        <v>19.48</v>
      </c>
      <c r="W2204">
        <v>43898</v>
      </c>
      <c r="X2204">
        <v>44773</v>
      </c>
      <c r="Y2204">
        <v>0.98</v>
      </c>
      <c r="Z2204">
        <v>21</v>
      </c>
      <c r="AA2204">
        <v>346</v>
      </c>
      <c r="AB2204" t="s">
        <v>32</v>
      </c>
      <c r="AC2204">
        <v>11.82</v>
      </c>
    </row>
    <row r="2205" spans="1:29">
      <c r="A2205" t="str">
        <f>"600119"</f>
        <v>600119</v>
      </c>
      <c r="B2205" t="s">
        <v>2374</v>
      </c>
      <c r="C2205">
        <v>1.84</v>
      </c>
      <c r="D2205">
        <v>8.3</v>
      </c>
      <c r="E2205">
        <v>0.15</v>
      </c>
      <c r="F2205">
        <v>8.29</v>
      </c>
      <c r="G2205">
        <v>8.3</v>
      </c>
      <c r="H2205">
        <v>50366</v>
      </c>
      <c r="I2205">
        <v>33</v>
      </c>
      <c r="J2205">
        <v>0</v>
      </c>
      <c r="K2205">
        <v>1.64</v>
      </c>
      <c r="L2205">
        <v>8.14</v>
      </c>
      <c r="M2205">
        <v>8.36</v>
      </c>
      <c r="N2205">
        <v>8.1</v>
      </c>
      <c r="O2205">
        <v>8.15</v>
      </c>
      <c r="P2205">
        <v>985.87</v>
      </c>
      <c r="Q2205">
        <v>41625032</v>
      </c>
      <c r="R2205">
        <v>1.84</v>
      </c>
      <c r="S2205" t="s">
        <v>742</v>
      </c>
      <c r="T2205" t="s">
        <v>366</v>
      </c>
      <c r="U2205">
        <v>3.19</v>
      </c>
      <c r="V2205">
        <v>8.26</v>
      </c>
      <c r="W2205">
        <v>27676</v>
      </c>
      <c r="X2205">
        <v>22690</v>
      </c>
      <c r="Y2205">
        <v>1.22</v>
      </c>
      <c r="Z2205">
        <v>136</v>
      </c>
      <c r="AA2205">
        <v>1183</v>
      </c>
      <c r="AB2205" t="s">
        <v>32</v>
      </c>
      <c r="AC2205">
        <v>3.07</v>
      </c>
    </row>
    <row r="2206" spans="1:29">
      <c r="A2206" t="str">
        <f>"600120"</f>
        <v>600120</v>
      </c>
      <c r="B2206" t="s">
        <v>2375</v>
      </c>
      <c r="C2206">
        <v>-0.86</v>
      </c>
      <c r="D2206">
        <v>13.84</v>
      </c>
      <c r="E2206">
        <v>-0.12</v>
      </c>
      <c r="F2206">
        <v>13.84</v>
      </c>
      <c r="G2206">
        <v>13.85</v>
      </c>
      <c r="H2206">
        <v>76942</v>
      </c>
      <c r="I2206">
        <v>1</v>
      </c>
      <c r="J2206">
        <v>0</v>
      </c>
      <c r="K2206">
        <v>1.16</v>
      </c>
      <c r="L2206">
        <v>13.85</v>
      </c>
      <c r="M2206">
        <v>13.97</v>
      </c>
      <c r="N2206">
        <v>13.71</v>
      </c>
      <c r="O2206">
        <v>13.96</v>
      </c>
      <c r="P2206">
        <v>13.23</v>
      </c>
      <c r="Q2206">
        <v>106601616</v>
      </c>
      <c r="R2206">
        <v>1.29</v>
      </c>
      <c r="S2206" t="s">
        <v>140</v>
      </c>
      <c r="T2206" t="s">
        <v>149</v>
      </c>
      <c r="U2206">
        <v>1.86</v>
      </c>
      <c r="V2206">
        <v>13.85</v>
      </c>
      <c r="W2206">
        <v>43789</v>
      </c>
      <c r="X2206">
        <v>33152</v>
      </c>
      <c r="Y2206">
        <v>1.32</v>
      </c>
      <c r="Z2206">
        <v>35</v>
      </c>
      <c r="AA2206">
        <v>40</v>
      </c>
      <c r="AB2206" t="s">
        <v>32</v>
      </c>
      <c r="AC2206">
        <v>6.65</v>
      </c>
    </row>
    <row r="2207" spans="1:29">
      <c r="A2207" t="str">
        <f>"600121"</f>
        <v>600121</v>
      </c>
      <c r="B2207" t="s">
        <v>2376</v>
      </c>
      <c r="C2207">
        <v>2.86</v>
      </c>
      <c r="D2207">
        <v>3.6</v>
      </c>
      <c r="E2207">
        <v>0.1</v>
      </c>
      <c r="F2207">
        <v>3.6</v>
      </c>
      <c r="G2207">
        <v>3.61</v>
      </c>
      <c r="H2207">
        <v>154399</v>
      </c>
      <c r="I2207">
        <v>2</v>
      </c>
      <c r="J2207">
        <v>0.28</v>
      </c>
      <c r="K2207">
        <v>1.52</v>
      </c>
      <c r="L2207">
        <v>3.49</v>
      </c>
      <c r="M2207">
        <v>3.65</v>
      </c>
      <c r="N2207">
        <v>3.48</v>
      </c>
      <c r="O2207">
        <v>3.5</v>
      </c>
      <c r="P2207">
        <v>22.04</v>
      </c>
      <c r="Q2207">
        <v>55201404</v>
      </c>
      <c r="R2207">
        <v>2.25</v>
      </c>
      <c r="S2207" t="s">
        <v>265</v>
      </c>
      <c r="T2207" t="s">
        <v>164</v>
      </c>
      <c r="U2207">
        <v>4.86</v>
      </c>
      <c r="V2207">
        <v>3.58</v>
      </c>
      <c r="W2207">
        <v>64708</v>
      </c>
      <c r="X2207">
        <v>89691</v>
      </c>
      <c r="Y2207">
        <v>0.72</v>
      </c>
      <c r="Z2207">
        <v>352</v>
      </c>
      <c r="AA2207">
        <v>873</v>
      </c>
      <c r="AB2207" t="s">
        <v>32</v>
      </c>
      <c r="AC2207">
        <v>10.15</v>
      </c>
    </row>
    <row r="2208" spans="1:29">
      <c r="A2208" t="str">
        <f>"600122"</f>
        <v>600122</v>
      </c>
      <c r="B2208" t="s">
        <v>2377</v>
      </c>
      <c r="C2208">
        <v>0</v>
      </c>
      <c r="D2208">
        <v>7.4</v>
      </c>
      <c r="E2208">
        <v>0</v>
      </c>
      <c r="F2208" t="s">
        <v>32</v>
      </c>
      <c r="G2208" t="s">
        <v>32</v>
      </c>
      <c r="H2208">
        <v>0</v>
      </c>
      <c r="I2208">
        <v>0</v>
      </c>
      <c r="J2208">
        <v>0</v>
      </c>
      <c r="K2208">
        <v>0</v>
      </c>
      <c r="L2208" t="s">
        <v>32</v>
      </c>
      <c r="M2208" t="s">
        <v>32</v>
      </c>
      <c r="N2208" t="s">
        <v>32</v>
      </c>
      <c r="O2208">
        <v>7.4</v>
      </c>
      <c r="P2208">
        <v>22.93</v>
      </c>
      <c r="Q2208">
        <v>0</v>
      </c>
      <c r="R2208">
        <v>0</v>
      </c>
      <c r="S2208" t="s">
        <v>73</v>
      </c>
      <c r="T2208" t="s">
        <v>87</v>
      </c>
      <c r="U2208">
        <v>0</v>
      </c>
      <c r="V2208">
        <v>7.4</v>
      </c>
      <c r="W2208">
        <v>0</v>
      </c>
      <c r="X2208">
        <v>0</v>
      </c>
      <c r="Y2208" t="s">
        <v>32</v>
      </c>
      <c r="Z2208">
        <v>0</v>
      </c>
      <c r="AA2208">
        <v>0</v>
      </c>
      <c r="AB2208" t="s">
        <v>32</v>
      </c>
      <c r="AC2208">
        <v>11.58</v>
      </c>
    </row>
    <row r="2209" spans="1:29">
      <c r="A2209" t="str">
        <f>"600123"</f>
        <v>600123</v>
      </c>
      <c r="B2209" t="s">
        <v>2378</v>
      </c>
      <c r="C2209">
        <v>2.28</v>
      </c>
      <c r="D2209">
        <v>6.72</v>
      </c>
      <c r="E2209">
        <v>0.15</v>
      </c>
      <c r="F2209">
        <v>6.72</v>
      </c>
      <c r="G2209">
        <v>6.73</v>
      </c>
      <c r="H2209">
        <v>115213</v>
      </c>
      <c r="I2209">
        <v>19</v>
      </c>
      <c r="J2209">
        <v>0.15</v>
      </c>
      <c r="K2209">
        <v>1.01</v>
      </c>
      <c r="L2209">
        <v>6.58</v>
      </c>
      <c r="M2209">
        <v>6.73</v>
      </c>
      <c r="N2209">
        <v>6.56</v>
      </c>
      <c r="O2209">
        <v>6.57</v>
      </c>
      <c r="P2209">
        <v>9.84</v>
      </c>
      <c r="Q2209">
        <v>76955264</v>
      </c>
      <c r="R2209">
        <v>2.32</v>
      </c>
      <c r="S2209" t="s">
        <v>265</v>
      </c>
      <c r="T2209" t="s">
        <v>169</v>
      </c>
      <c r="U2209">
        <v>2.59</v>
      </c>
      <c r="V2209">
        <v>6.68</v>
      </c>
      <c r="W2209">
        <v>58043</v>
      </c>
      <c r="X2209">
        <v>57169</v>
      </c>
      <c r="Y2209">
        <v>1.02</v>
      </c>
      <c r="Z2209">
        <v>107</v>
      </c>
      <c r="AA2209">
        <v>1385</v>
      </c>
      <c r="AB2209" t="s">
        <v>32</v>
      </c>
      <c r="AC2209">
        <v>11.42</v>
      </c>
    </row>
    <row r="2210" spans="1:29">
      <c r="A2210" t="str">
        <f>"600125"</f>
        <v>600125</v>
      </c>
      <c r="B2210" t="s">
        <v>2379</v>
      </c>
      <c r="C2210">
        <v>1.48</v>
      </c>
      <c r="D2210">
        <v>8.9</v>
      </c>
      <c r="E2210">
        <v>0.13</v>
      </c>
      <c r="F2210">
        <v>8.89</v>
      </c>
      <c r="G2210">
        <v>8.9</v>
      </c>
      <c r="H2210">
        <v>368768</v>
      </c>
      <c r="I2210">
        <v>191</v>
      </c>
      <c r="J2210">
        <v>-0.33</v>
      </c>
      <c r="K2210">
        <v>2.82</v>
      </c>
      <c r="L2210">
        <v>8.77</v>
      </c>
      <c r="M2210">
        <v>9.09</v>
      </c>
      <c r="N2210">
        <v>8.68</v>
      </c>
      <c r="O2210">
        <v>8.77</v>
      </c>
      <c r="P2210">
        <v>22.6</v>
      </c>
      <c r="Q2210">
        <v>329491584</v>
      </c>
      <c r="R2210">
        <v>1.82</v>
      </c>
      <c r="S2210" t="s">
        <v>2380</v>
      </c>
      <c r="T2210" t="s">
        <v>111</v>
      </c>
      <c r="U2210">
        <v>4.68</v>
      </c>
      <c r="V2210">
        <v>8.93</v>
      </c>
      <c r="W2210">
        <v>174510</v>
      </c>
      <c r="X2210">
        <v>194257</v>
      </c>
      <c r="Y2210">
        <v>0.9</v>
      </c>
      <c r="Z2210">
        <v>818</v>
      </c>
      <c r="AA2210">
        <v>1606</v>
      </c>
      <c r="AB2210" t="s">
        <v>32</v>
      </c>
      <c r="AC2210">
        <v>13.06</v>
      </c>
    </row>
    <row r="2211" spans="1:29">
      <c r="A2211" t="str">
        <f>"600126"</f>
        <v>600126</v>
      </c>
      <c r="B2211" t="s">
        <v>2381</v>
      </c>
      <c r="C2211">
        <v>1.69</v>
      </c>
      <c r="D2211">
        <v>4.81</v>
      </c>
      <c r="E2211">
        <v>0.08</v>
      </c>
      <c r="F2211">
        <v>4.81</v>
      </c>
      <c r="G2211">
        <v>4.82</v>
      </c>
      <c r="H2211">
        <v>145132</v>
      </c>
      <c r="I2211">
        <v>91</v>
      </c>
      <c r="J2211">
        <v>0</v>
      </c>
      <c r="K2211">
        <v>1.2</v>
      </c>
      <c r="L2211">
        <v>4.75</v>
      </c>
      <c r="M2211">
        <v>4.95</v>
      </c>
      <c r="N2211">
        <v>4.75</v>
      </c>
      <c r="O2211">
        <v>4.73</v>
      </c>
      <c r="P2211">
        <v>8.07</v>
      </c>
      <c r="Q2211">
        <v>70533432</v>
      </c>
      <c r="R2211">
        <v>1.7</v>
      </c>
      <c r="S2211" t="s">
        <v>353</v>
      </c>
      <c r="T2211" t="s">
        <v>149</v>
      </c>
      <c r="U2211">
        <v>4.23</v>
      </c>
      <c r="V2211">
        <v>4.86</v>
      </c>
      <c r="W2211">
        <v>72046</v>
      </c>
      <c r="X2211">
        <v>73085</v>
      </c>
      <c r="Y2211">
        <v>0.99</v>
      </c>
      <c r="Z2211">
        <v>110</v>
      </c>
      <c r="AA2211">
        <v>1610</v>
      </c>
      <c r="AB2211" t="s">
        <v>32</v>
      </c>
      <c r="AC2211">
        <v>12.05</v>
      </c>
    </row>
    <row r="2212" spans="1:29">
      <c r="A2212" t="str">
        <f>"600127"</f>
        <v>600127</v>
      </c>
      <c r="B2212" t="s">
        <v>2382</v>
      </c>
      <c r="C2212">
        <v>1.17</v>
      </c>
      <c r="D2212">
        <v>3.46</v>
      </c>
      <c r="E2212">
        <v>0.04</v>
      </c>
      <c r="F2212">
        <v>3.45</v>
      </c>
      <c r="G2212">
        <v>3.46</v>
      </c>
      <c r="H2212">
        <v>62395</v>
      </c>
      <c r="I2212">
        <v>43</v>
      </c>
      <c r="J2212">
        <v>0</v>
      </c>
      <c r="K2212">
        <v>0.97</v>
      </c>
      <c r="L2212">
        <v>3.4</v>
      </c>
      <c r="M2212">
        <v>3.48</v>
      </c>
      <c r="N2212">
        <v>3.4</v>
      </c>
      <c r="O2212">
        <v>3.42</v>
      </c>
      <c r="P2212">
        <v>113.83</v>
      </c>
      <c r="Q2212">
        <v>21484906</v>
      </c>
      <c r="R2212">
        <v>1.35</v>
      </c>
      <c r="S2212" t="s">
        <v>115</v>
      </c>
      <c r="T2212" t="s">
        <v>152</v>
      </c>
      <c r="U2212">
        <v>2.34</v>
      </c>
      <c r="V2212">
        <v>3.44</v>
      </c>
      <c r="W2212">
        <v>28829</v>
      </c>
      <c r="X2212">
        <v>33566</v>
      </c>
      <c r="Y2212">
        <v>0.86</v>
      </c>
      <c r="Z2212">
        <v>183</v>
      </c>
      <c r="AA2212">
        <v>57</v>
      </c>
      <c r="AB2212" t="s">
        <v>32</v>
      </c>
      <c r="AC2212">
        <v>6.42</v>
      </c>
    </row>
    <row r="2213" spans="1:29">
      <c r="A2213" t="str">
        <f>"600128"</f>
        <v>600128</v>
      </c>
      <c r="B2213" t="s">
        <v>2383</v>
      </c>
      <c r="C2213">
        <v>-0.83</v>
      </c>
      <c r="D2213">
        <v>7.19</v>
      </c>
      <c r="E2213">
        <v>-0.06</v>
      </c>
      <c r="F2213">
        <v>7.19</v>
      </c>
      <c r="G2213">
        <v>7.2</v>
      </c>
      <c r="H2213">
        <v>36551</v>
      </c>
      <c r="I2213">
        <v>7</v>
      </c>
      <c r="J2213">
        <v>0.14</v>
      </c>
      <c r="K2213">
        <v>1.48</v>
      </c>
      <c r="L2213">
        <v>7.23</v>
      </c>
      <c r="M2213">
        <v>7.36</v>
      </c>
      <c r="N2213">
        <v>7.15</v>
      </c>
      <c r="O2213">
        <v>7.25</v>
      </c>
      <c r="P2213" t="s">
        <v>32</v>
      </c>
      <c r="Q2213">
        <v>26424044</v>
      </c>
      <c r="R2213">
        <v>1.75</v>
      </c>
      <c r="S2213" t="s">
        <v>140</v>
      </c>
      <c r="T2213" t="s">
        <v>87</v>
      </c>
      <c r="U2213">
        <v>2.9</v>
      </c>
      <c r="V2213">
        <v>7.23</v>
      </c>
      <c r="W2213">
        <v>21672</v>
      </c>
      <c r="X2213">
        <v>14879</v>
      </c>
      <c r="Y2213">
        <v>1.46</v>
      </c>
      <c r="Z2213">
        <v>32</v>
      </c>
      <c r="AA2213">
        <v>504</v>
      </c>
      <c r="AB2213" t="s">
        <v>32</v>
      </c>
      <c r="AC2213">
        <v>2.47</v>
      </c>
    </row>
    <row r="2214" spans="1:29">
      <c r="A2214" t="str">
        <f>"600129"</f>
        <v>600129</v>
      </c>
      <c r="B2214" t="s">
        <v>2384</v>
      </c>
      <c r="C2214">
        <v>2.07</v>
      </c>
      <c r="D2214">
        <v>13.31</v>
      </c>
      <c r="E2214">
        <v>0.27</v>
      </c>
      <c r="F2214">
        <v>13.31</v>
      </c>
      <c r="G2214">
        <v>13.32</v>
      </c>
      <c r="H2214">
        <v>25072</v>
      </c>
      <c r="I2214">
        <v>41</v>
      </c>
      <c r="J2214">
        <v>0.15</v>
      </c>
      <c r="K2214">
        <v>0.59</v>
      </c>
      <c r="L2214">
        <v>13.06</v>
      </c>
      <c r="M2214">
        <v>13.39</v>
      </c>
      <c r="N2214">
        <v>13.06</v>
      </c>
      <c r="O2214">
        <v>13.04</v>
      </c>
      <c r="P2214">
        <v>159.27</v>
      </c>
      <c r="Q2214">
        <v>33215340</v>
      </c>
      <c r="R2214">
        <v>0.48</v>
      </c>
      <c r="S2214" t="s">
        <v>195</v>
      </c>
      <c r="T2214" t="s">
        <v>221</v>
      </c>
      <c r="U2214">
        <v>2.53</v>
      </c>
      <c r="V2214">
        <v>13.25</v>
      </c>
      <c r="W2214">
        <v>12745</v>
      </c>
      <c r="X2214">
        <v>12326</v>
      </c>
      <c r="Y2214">
        <v>1.03</v>
      </c>
      <c r="Z2214">
        <v>59</v>
      </c>
      <c r="AA2214">
        <v>68</v>
      </c>
      <c r="AB2214" t="s">
        <v>32</v>
      </c>
      <c r="AC2214">
        <v>4.27</v>
      </c>
    </row>
    <row r="2215" spans="1:29">
      <c r="A2215" t="str">
        <f>"600130"</f>
        <v>600130</v>
      </c>
      <c r="B2215" t="s">
        <v>2385</v>
      </c>
      <c r="C2215">
        <v>0.92</v>
      </c>
      <c r="D2215">
        <v>3.29</v>
      </c>
      <c r="E2215">
        <v>0.03</v>
      </c>
      <c r="F2215">
        <v>3.29</v>
      </c>
      <c r="G2215">
        <v>3.3</v>
      </c>
      <c r="H2215">
        <v>454325</v>
      </c>
      <c r="I2215">
        <v>650</v>
      </c>
      <c r="J2215">
        <v>-0.29</v>
      </c>
      <c r="K2215">
        <v>5.92</v>
      </c>
      <c r="L2215">
        <v>3.23</v>
      </c>
      <c r="M2215">
        <v>3.35</v>
      </c>
      <c r="N2215">
        <v>3.2</v>
      </c>
      <c r="O2215">
        <v>3.26</v>
      </c>
      <c r="P2215">
        <v>92.69</v>
      </c>
      <c r="Q2215">
        <v>149014640</v>
      </c>
      <c r="R2215">
        <v>0.87</v>
      </c>
      <c r="S2215" t="s">
        <v>119</v>
      </c>
      <c r="T2215" t="s">
        <v>149</v>
      </c>
      <c r="U2215">
        <v>4.6</v>
      </c>
      <c r="V2215">
        <v>3.28</v>
      </c>
      <c r="W2215">
        <v>234686</v>
      </c>
      <c r="X2215">
        <v>219638</v>
      </c>
      <c r="Y2215">
        <v>1.07</v>
      </c>
      <c r="Z2215">
        <v>1545</v>
      </c>
      <c r="AA2215">
        <v>669</v>
      </c>
      <c r="AB2215" t="s">
        <v>32</v>
      </c>
      <c r="AC2215">
        <v>7.68</v>
      </c>
    </row>
    <row r="2216" spans="1:29">
      <c r="A2216" t="str">
        <f>"600131"</f>
        <v>600131</v>
      </c>
      <c r="B2216" t="s">
        <v>2386</v>
      </c>
      <c r="C2216">
        <v>1.71</v>
      </c>
      <c r="D2216">
        <v>7.13</v>
      </c>
      <c r="E2216">
        <v>0.12</v>
      </c>
      <c r="F2216">
        <v>7.13</v>
      </c>
      <c r="G2216">
        <v>7.15</v>
      </c>
      <c r="H2216">
        <v>63681</v>
      </c>
      <c r="I2216">
        <v>5</v>
      </c>
      <c r="J2216">
        <v>-0.27</v>
      </c>
      <c r="K2216">
        <v>1.56</v>
      </c>
      <c r="L2216">
        <v>7.18</v>
      </c>
      <c r="M2216">
        <v>7.32</v>
      </c>
      <c r="N2216">
        <v>6.92</v>
      </c>
      <c r="O2216">
        <v>7.01</v>
      </c>
      <c r="P2216">
        <v>24.35</v>
      </c>
      <c r="Q2216">
        <v>44940136</v>
      </c>
      <c r="R2216">
        <v>1.54</v>
      </c>
      <c r="S2216" t="s">
        <v>312</v>
      </c>
      <c r="T2216" t="s">
        <v>146</v>
      </c>
      <c r="U2216">
        <v>5.71</v>
      </c>
      <c r="V2216">
        <v>7.06</v>
      </c>
      <c r="W2216">
        <v>31468</v>
      </c>
      <c r="X2216">
        <v>32212</v>
      </c>
      <c r="Y2216">
        <v>0.98</v>
      </c>
      <c r="Z2216">
        <v>4</v>
      </c>
      <c r="AA2216">
        <v>479</v>
      </c>
      <c r="AB2216" t="s">
        <v>32</v>
      </c>
      <c r="AC2216">
        <v>4.08</v>
      </c>
    </row>
    <row r="2217" spans="1:29">
      <c r="A2217" t="str">
        <f>"600132"</f>
        <v>600132</v>
      </c>
      <c r="B2217" t="s">
        <v>2387</v>
      </c>
      <c r="C2217">
        <v>3.09</v>
      </c>
      <c r="D2217">
        <v>30.99</v>
      </c>
      <c r="E2217">
        <v>0.93</v>
      </c>
      <c r="F2217">
        <v>30.98</v>
      </c>
      <c r="G2217">
        <v>31</v>
      </c>
      <c r="H2217">
        <v>24836</v>
      </c>
      <c r="I2217">
        <v>5</v>
      </c>
      <c r="J2217">
        <v>0.58</v>
      </c>
      <c r="K2217">
        <v>0.51</v>
      </c>
      <c r="L2217">
        <v>30.14</v>
      </c>
      <c r="M2217">
        <v>31</v>
      </c>
      <c r="N2217">
        <v>29.76</v>
      </c>
      <c r="O2217">
        <v>30.06</v>
      </c>
      <c r="P2217">
        <v>49.62</v>
      </c>
      <c r="Q2217">
        <v>75493264</v>
      </c>
      <c r="R2217">
        <v>0.82</v>
      </c>
      <c r="S2217" t="s">
        <v>420</v>
      </c>
      <c r="T2217" t="s">
        <v>221</v>
      </c>
      <c r="U2217">
        <v>4.13</v>
      </c>
      <c r="V2217">
        <v>30.4</v>
      </c>
      <c r="W2217">
        <v>9411</v>
      </c>
      <c r="X2217">
        <v>15424</v>
      </c>
      <c r="Y2217">
        <v>0.61</v>
      </c>
      <c r="Z2217">
        <v>6</v>
      </c>
      <c r="AA2217">
        <v>13</v>
      </c>
      <c r="AB2217" t="s">
        <v>32</v>
      </c>
      <c r="AC2217">
        <v>4.84</v>
      </c>
    </row>
    <row r="2218" spans="1:29">
      <c r="A2218" t="str">
        <f>"600133"</f>
        <v>600133</v>
      </c>
      <c r="B2218" t="s">
        <v>2388</v>
      </c>
      <c r="C2218">
        <v>3.03</v>
      </c>
      <c r="D2218">
        <v>6.12</v>
      </c>
      <c r="E2218">
        <v>0.18</v>
      </c>
      <c r="F2218">
        <v>6.12</v>
      </c>
      <c r="G2218">
        <v>6.13</v>
      </c>
      <c r="H2218">
        <v>129859</v>
      </c>
      <c r="I2218">
        <v>5</v>
      </c>
      <c r="J2218">
        <v>0</v>
      </c>
      <c r="K2218">
        <v>2.41</v>
      </c>
      <c r="L2218">
        <v>5.9</v>
      </c>
      <c r="M2218">
        <v>6.2</v>
      </c>
      <c r="N2218">
        <v>5.9</v>
      </c>
      <c r="O2218">
        <v>5.94</v>
      </c>
      <c r="P2218">
        <v>37.08</v>
      </c>
      <c r="Q2218">
        <v>79011664</v>
      </c>
      <c r="R2218">
        <v>1.91</v>
      </c>
      <c r="S2218" t="s">
        <v>338</v>
      </c>
      <c r="T2218" t="s">
        <v>193</v>
      </c>
      <c r="U2218">
        <v>5.05</v>
      </c>
      <c r="V2218">
        <v>6.08</v>
      </c>
      <c r="W2218">
        <v>57559</v>
      </c>
      <c r="X2218">
        <v>72300</v>
      </c>
      <c r="Y2218">
        <v>0.8</v>
      </c>
      <c r="Z2218">
        <v>345</v>
      </c>
      <c r="AA2218">
        <v>1652</v>
      </c>
      <c r="AB2218" t="s">
        <v>32</v>
      </c>
      <c r="AC2218">
        <v>5.38</v>
      </c>
    </row>
    <row r="2219" spans="1:29">
      <c r="A2219" t="str">
        <f>"600135"</f>
        <v>600135</v>
      </c>
      <c r="B2219" t="s">
        <v>2389</v>
      </c>
      <c r="C2219">
        <v>2.45</v>
      </c>
      <c r="D2219">
        <v>7.53</v>
      </c>
      <c r="E2219">
        <v>0.18</v>
      </c>
      <c r="F2219">
        <v>7.53</v>
      </c>
      <c r="G2219">
        <v>7.54</v>
      </c>
      <c r="H2219">
        <v>68158</v>
      </c>
      <c r="I2219">
        <v>10</v>
      </c>
      <c r="J2219">
        <v>0.13</v>
      </c>
      <c r="K2219">
        <v>1.83</v>
      </c>
      <c r="L2219">
        <v>7.35</v>
      </c>
      <c r="M2219">
        <v>7.57</v>
      </c>
      <c r="N2219">
        <v>7.32</v>
      </c>
      <c r="O2219">
        <v>7.35</v>
      </c>
      <c r="P2219">
        <v>39.66</v>
      </c>
      <c r="Q2219">
        <v>50787260</v>
      </c>
      <c r="R2219">
        <v>1.64</v>
      </c>
      <c r="S2219" t="s">
        <v>218</v>
      </c>
      <c r="T2219" t="s">
        <v>154</v>
      </c>
      <c r="U2219">
        <v>3.4</v>
      </c>
      <c r="V2219">
        <v>7.45</v>
      </c>
      <c r="W2219">
        <v>35250</v>
      </c>
      <c r="X2219">
        <v>32907</v>
      </c>
      <c r="Y2219">
        <v>1.07</v>
      </c>
      <c r="Z2219">
        <v>427</v>
      </c>
      <c r="AA2219">
        <v>28</v>
      </c>
      <c r="AB2219" t="s">
        <v>32</v>
      </c>
      <c r="AC2219">
        <v>3.73</v>
      </c>
    </row>
    <row r="2220" spans="1:29">
      <c r="A2220" t="str">
        <f>"600136"</f>
        <v>600136</v>
      </c>
      <c r="B2220" t="s">
        <v>2390</v>
      </c>
      <c r="C2220">
        <v>-0.61</v>
      </c>
      <c r="D2220">
        <v>12.94</v>
      </c>
      <c r="E2220">
        <v>-0.08</v>
      </c>
      <c r="F2220">
        <v>12.93</v>
      </c>
      <c r="G2220">
        <v>12.94</v>
      </c>
      <c r="H2220">
        <v>50103</v>
      </c>
      <c r="I2220">
        <v>31</v>
      </c>
      <c r="J2220">
        <v>0.23</v>
      </c>
      <c r="K2220">
        <v>1.46</v>
      </c>
      <c r="L2220">
        <v>13.02</v>
      </c>
      <c r="M2220">
        <v>13.3</v>
      </c>
      <c r="N2220">
        <v>12.81</v>
      </c>
      <c r="O2220">
        <v>13.02</v>
      </c>
      <c r="P2220">
        <v>28.62</v>
      </c>
      <c r="Q2220">
        <v>64943464</v>
      </c>
      <c r="R2220">
        <v>1.16</v>
      </c>
      <c r="S2220" t="s">
        <v>148</v>
      </c>
      <c r="T2220" t="s">
        <v>193</v>
      </c>
      <c r="U2220">
        <v>3.76</v>
      </c>
      <c r="V2220">
        <v>12.96</v>
      </c>
      <c r="W2220">
        <v>27702</v>
      </c>
      <c r="X2220">
        <v>22401</v>
      </c>
      <c r="Y2220">
        <v>1.24</v>
      </c>
      <c r="Z2220">
        <v>12</v>
      </c>
      <c r="AA2220">
        <v>117</v>
      </c>
      <c r="AB2220" t="s">
        <v>32</v>
      </c>
      <c r="AC2220">
        <v>3.44</v>
      </c>
    </row>
    <row r="2221" spans="1:29">
      <c r="A2221" t="str">
        <f>"600137"</f>
        <v>600137</v>
      </c>
      <c r="B2221" t="s">
        <v>2391</v>
      </c>
      <c r="C2221">
        <v>0.68</v>
      </c>
      <c r="D2221">
        <v>14.84</v>
      </c>
      <c r="E2221">
        <v>0.1</v>
      </c>
      <c r="F2221">
        <v>14.81</v>
      </c>
      <c r="G2221">
        <v>14.83</v>
      </c>
      <c r="H2221">
        <v>17223</v>
      </c>
      <c r="I2221">
        <v>6</v>
      </c>
      <c r="J2221">
        <v>0</v>
      </c>
      <c r="K2221">
        <v>1.77</v>
      </c>
      <c r="L2221">
        <v>14.76</v>
      </c>
      <c r="M2221">
        <v>14.92</v>
      </c>
      <c r="N2221">
        <v>14.58</v>
      </c>
      <c r="O2221">
        <v>14.74</v>
      </c>
      <c r="P2221">
        <v>80.36</v>
      </c>
      <c r="Q2221">
        <v>25424404</v>
      </c>
      <c r="R2221">
        <v>0.83</v>
      </c>
      <c r="S2221" t="s">
        <v>622</v>
      </c>
      <c r="T2221" t="s">
        <v>146</v>
      </c>
      <c r="U2221">
        <v>2.31</v>
      </c>
      <c r="V2221">
        <v>14.76</v>
      </c>
      <c r="W2221">
        <v>9260</v>
      </c>
      <c r="X2221">
        <v>7962</v>
      </c>
      <c r="Y2221">
        <v>1.16</v>
      </c>
      <c r="Z2221">
        <v>8</v>
      </c>
      <c r="AA2221">
        <v>37</v>
      </c>
      <c r="AB2221" t="s">
        <v>32</v>
      </c>
      <c r="AC2221">
        <v>0.97</v>
      </c>
    </row>
    <row r="2222" spans="1:29">
      <c r="A2222" t="str">
        <f>"600138"</f>
        <v>600138</v>
      </c>
      <c r="B2222" t="s">
        <v>2392</v>
      </c>
      <c r="C2222">
        <v>1.85</v>
      </c>
      <c r="D2222">
        <v>18.68</v>
      </c>
      <c r="E2222">
        <v>0.34</v>
      </c>
      <c r="F2222">
        <v>18.67</v>
      </c>
      <c r="G2222">
        <v>18.68</v>
      </c>
      <c r="H2222">
        <v>85956</v>
      </c>
      <c r="I2222">
        <v>20</v>
      </c>
      <c r="J2222">
        <v>0</v>
      </c>
      <c r="K2222">
        <v>1.19</v>
      </c>
      <c r="L2222">
        <v>18.39</v>
      </c>
      <c r="M2222">
        <v>18.84</v>
      </c>
      <c r="N2222">
        <v>18.32</v>
      </c>
      <c r="O2222">
        <v>18.34</v>
      </c>
      <c r="P2222">
        <v>34.21</v>
      </c>
      <c r="Q2222">
        <v>159980832</v>
      </c>
      <c r="R2222">
        <v>0.67</v>
      </c>
      <c r="S2222" t="s">
        <v>321</v>
      </c>
      <c r="T2222" t="s">
        <v>45</v>
      </c>
      <c r="U2222">
        <v>2.84</v>
      </c>
      <c r="V2222">
        <v>18.61</v>
      </c>
      <c r="W2222">
        <v>43550</v>
      </c>
      <c r="X2222">
        <v>42405</v>
      </c>
      <c r="Y2222">
        <v>1.03</v>
      </c>
      <c r="Z2222">
        <v>84</v>
      </c>
      <c r="AA2222">
        <v>75</v>
      </c>
      <c r="AB2222" t="s">
        <v>32</v>
      </c>
      <c r="AC2222">
        <v>7.24</v>
      </c>
    </row>
    <row r="2223" spans="1:29">
      <c r="A2223" t="str">
        <f>"600139"</f>
        <v>600139</v>
      </c>
      <c r="B2223" t="s">
        <v>2393</v>
      </c>
      <c r="C2223">
        <v>1.37</v>
      </c>
      <c r="D2223">
        <v>4.43</v>
      </c>
      <c r="E2223">
        <v>0.06</v>
      </c>
      <c r="F2223">
        <v>4.43</v>
      </c>
      <c r="G2223">
        <v>4.44</v>
      </c>
      <c r="H2223">
        <v>129898</v>
      </c>
      <c r="I2223">
        <v>120</v>
      </c>
      <c r="J2223">
        <v>0</v>
      </c>
      <c r="K2223">
        <v>1.96</v>
      </c>
      <c r="L2223">
        <v>4.35</v>
      </c>
      <c r="M2223">
        <v>4.7</v>
      </c>
      <c r="N2223">
        <v>4.3</v>
      </c>
      <c r="O2223">
        <v>4.37</v>
      </c>
      <c r="P2223" t="s">
        <v>32</v>
      </c>
      <c r="Q2223">
        <v>58155056</v>
      </c>
      <c r="R2223">
        <v>1.04</v>
      </c>
      <c r="S2223" t="s">
        <v>262</v>
      </c>
      <c r="T2223" t="s">
        <v>146</v>
      </c>
      <c r="U2223">
        <v>9.15</v>
      </c>
      <c r="V2223">
        <v>4.48</v>
      </c>
      <c r="W2223">
        <v>71232</v>
      </c>
      <c r="X2223">
        <v>58665</v>
      </c>
      <c r="Y2223">
        <v>1.21</v>
      </c>
      <c r="Z2223">
        <v>150</v>
      </c>
      <c r="AA2223">
        <v>423</v>
      </c>
      <c r="AB2223" t="s">
        <v>32</v>
      </c>
      <c r="AC2223">
        <v>6.62</v>
      </c>
    </row>
    <row r="2224" spans="1:29">
      <c r="A2224" t="str">
        <f>"600141"</f>
        <v>600141</v>
      </c>
      <c r="B2224" t="s">
        <v>2394</v>
      </c>
      <c r="C2224">
        <v>0.84</v>
      </c>
      <c r="D2224">
        <v>13.21</v>
      </c>
      <c r="E2224">
        <v>0.11</v>
      </c>
      <c r="F2224">
        <v>13.2</v>
      </c>
      <c r="G2224">
        <v>13.21</v>
      </c>
      <c r="H2224">
        <v>182161</v>
      </c>
      <c r="I2224">
        <v>50</v>
      </c>
      <c r="J2224">
        <v>0</v>
      </c>
      <c r="K2224">
        <v>3.03</v>
      </c>
      <c r="L2224">
        <v>13.19</v>
      </c>
      <c r="M2224">
        <v>13.49</v>
      </c>
      <c r="N2224">
        <v>13.05</v>
      </c>
      <c r="O2224">
        <v>13.1</v>
      </c>
      <c r="P2224">
        <v>33.45</v>
      </c>
      <c r="Q2224">
        <v>241776336</v>
      </c>
      <c r="R2224">
        <v>1.86</v>
      </c>
      <c r="S2224" t="s">
        <v>218</v>
      </c>
      <c r="T2224" t="s">
        <v>193</v>
      </c>
      <c r="U2224">
        <v>3.36</v>
      </c>
      <c r="V2224">
        <v>13.27</v>
      </c>
      <c r="W2224">
        <v>103300</v>
      </c>
      <c r="X2224">
        <v>78860</v>
      </c>
      <c r="Y2224">
        <v>1.31</v>
      </c>
      <c r="Z2224">
        <v>127</v>
      </c>
      <c r="AA2224">
        <v>7</v>
      </c>
      <c r="AB2224" t="s">
        <v>32</v>
      </c>
      <c r="AC2224">
        <v>6.01</v>
      </c>
    </row>
    <row r="2225" spans="1:29">
      <c r="A2225" t="str">
        <f>"600143"</f>
        <v>600143</v>
      </c>
      <c r="B2225" t="s">
        <v>2395</v>
      </c>
      <c r="C2225">
        <v>1.57</v>
      </c>
      <c r="D2225">
        <v>5.16</v>
      </c>
      <c r="E2225">
        <v>0.08</v>
      </c>
      <c r="F2225">
        <v>5.15</v>
      </c>
      <c r="G2225">
        <v>5.16</v>
      </c>
      <c r="H2225">
        <v>91780</v>
      </c>
      <c r="I2225">
        <v>28</v>
      </c>
      <c r="J2225">
        <v>0.19</v>
      </c>
      <c r="K2225">
        <v>0.36</v>
      </c>
      <c r="L2225">
        <v>5.08</v>
      </c>
      <c r="M2225">
        <v>5.18</v>
      </c>
      <c r="N2225">
        <v>5.05</v>
      </c>
      <c r="O2225">
        <v>5.08</v>
      </c>
      <c r="P2225">
        <v>18.88</v>
      </c>
      <c r="Q2225">
        <v>47128856</v>
      </c>
      <c r="R2225">
        <v>1.69</v>
      </c>
      <c r="S2225" t="s">
        <v>508</v>
      </c>
      <c r="T2225" t="s">
        <v>136</v>
      </c>
      <c r="U2225">
        <v>2.56</v>
      </c>
      <c r="V2225">
        <v>5.13</v>
      </c>
      <c r="W2225">
        <v>45637</v>
      </c>
      <c r="X2225">
        <v>46143</v>
      </c>
      <c r="Y2225">
        <v>0.99</v>
      </c>
      <c r="Z2225">
        <v>366</v>
      </c>
      <c r="AA2225">
        <v>1078</v>
      </c>
      <c r="AB2225" t="s">
        <v>32</v>
      </c>
      <c r="AC2225">
        <v>25.6</v>
      </c>
    </row>
    <row r="2226" spans="1:29">
      <c r="A2226" t="str">
        <f>"600145"</f>
        <v>600145</v>
      </c>
      <c r="B2226" t="s">
        <v>2396</v>
      </c>
      <c r="C2226">
        <v>0</v>
      </c>
      <c r="D2226">
        <v>1.87</v>
      </c>
      <c r="E2226">
        <v>0</v>
      </c>
      <c r="F2226" t="s">
        <v>32</v>
      </c>
      <c r="G2226" t="s">
        <v>32</v>
      </c>
      <c r="H2226">
        <v>0</v>
      </c>
      <c r="I2226">
        <v>0</v>
      </c>
      <c r="J2226">
        <v>0</v>
      </c>
      <c r="K2226">
        <v>0</v>
      </c>
      <c r="L2226" t="s">
        <v>32</v>
      </c>
      <c r="M2226" t="s">
        <v>32</v>
      </c>
      <c r="N2226" t="s">
        <v>32</v>
      </c>
      <c r="O2226">
        <v>1.87</v>
      </c>
      <c r="P2226" t="s">
        <v>32</v>
      </c>
      <c r="Q2226">
        <v>0</v>
      </c>
      <c r="R2226">
        <v>0</v>
      </c>
      <c r="S2226" t="s">
        <v>1630</v>
      </c>
      <c r="T2226" t="s">
        <v>156</v>
      </c>
      <c r="U2226">
        <v>0</v>
      </c>
      <c r="V2226">
        <v>1.87</v>
      </c>
      <c r="W2226">
        <v>0</v>
      </c>
      <c r="X2226">
        <v>0</v>
      </c>
      <c r="Y2226" t="s">
        <v>32</v>
      </c>
      <c r="Z2226">
        <v>0</v>
      </c>
      <c r="AA2226">
        <v>0</v>
      </c>
      <c r="AB2226" t="s">
        <v>32</v>
      </c>
      <c r="AC2226">
        <v>14.91</v>
      </c>
    </row>
    <row r="2227" spans="1:29">
      <c r="A2227" t="str">
        <f>"600146"</f>
        <v>600146</v>
      </c>
      <c r="B2227" t="s">
        <v>2397</v>
      </c>
      <c r="C2227">
        <v>0</v>
      </c>
      <c r="D2227">
        <v>22.22</v>
      </c>
      <c r="E2227">
        <v>0</v>
      </c>
      <c r="F2227" t="s">
        <v>32</v>
      </c>
      <c r="G2227" t="s">
        <v>32</v>
      </c>
      <c r="H2227">
        <v>0</v>
      </c>
      <c r="I2227">
        <v>0</v>
      </c>
      <c r="J2227">
        <v>0</v>
      </c>
      <c r="K2227">
        <v>0</v>
      </c>
      <c r="L2227" t="s">
        <v>32</v>
      </c>
      <c r="M2227" t="s">
        <v>32</v>
      </c>
      <c r="N2227" t="s">
        <v>32</v>
      </c>
      <c r="O2227">
        <v>22.22</v>
      </c>
      <c r="P2227">
        <v>255.25</v>
      </c>
      <c r="Q2227">
        <v>0</v>
      </c>
      <c r="R2227">
        <v>0</v>
      </c>
      <c r="S2227" t="s">
        <v>508</v>
      </c>
      <c r="T2227" t="s">
        <v>273</v>
      </c>
      <c r="U2227">
        <v>0</v>
      </c>
      <c r="V2227">
        <v>22.22</v>
      </c>
      <c r="W2227">
        <v>0</v>
      </c>
      <c r="X2227">
        <v>0</v>
      </c>
      <c r="Y2227" t="s">
        <v>32</v>
      </c>
      <c r="Z2227">
        <v>0</v>
      </c>
      <c r="AA2227">
        <v>0</v>
      </c>
      <c r="AB2227" t="s">
        <v>32</v>
      </c>
      <c r="AC2227">
        <v>2</v>
      </c>
    </row>
    <row r="2228" spans="1:29">
      <c r="A2228" t="str">
        <f>"600148"</f>
        <v>600148</v>
      </c>
      <c r="B2228" t="s">
        <v>2398</v>
      </c>
      <c r="C2228">
        <v>0.87</v>
      </c>
      <c r="D2228">
        <v>19.66</v>
      </c>
      <c r="E2228">
        <v>0.17</v>
      </c>
      <c r="F2228">
        <v>19.66</v>
      </c>
      <c r="G2228">
        <v>19.67</v>
      </c>
      <c r="H2228">
        <v>45377</v>
      </c>
      <c r="I2228">
        <v>33</v>
      </c>
      <c r="J2228">
        <v>-0.14</v>
      </c>
      <c r="K2228">
        <v>3.21</v>
      </c>
      <c r="L2228">
        <v>19.3</v>
      </c>
      <c r="M2228">
        <v>20.1</v>
      </c>
      <c r="N2228">
        <v>19.19</v>
      </c>
      <c r="O2228">
        <v>19.49</v>
      </c>
      <c r="P2228">
        <v>48.51</v>
      </c>
      <c r="Q2228">
        <v>89030480</v>
      </c>
      <c r="R2228">
        <v>2.06</v>
      </c>
      <c r="S2228" t="s">
        <v>80</v>
      </c>
      <c r="T2228" t="s">
        <v>81</v>
      </c>
      <c r="U2228">
        <v>4.67</v>
      </c>
      <c r="V2228">
        <v>19.62</v>
      </c>
      <c r="W2228">
        <v>23528</v>
      </c>
      <c r="X2228">
        <v>21849</v>
      </c>
      <c r="Y2228">
        <v>1.08</v>
      </c>
      <c r="Z2228">
        <v>15</v>
      </c>
      <c r="AA2228">
        <v>46</v>
      </c>
      <c r="AB2228" t="s">
        <v>32</v>
      </c>
      <c r="AC2228">
        <v>1.42</v>
      </c>
    </row>
    <row r="2229" spans="1:29">
      <c r="A2229" t="str">
        <f>"600149"</f>
        <v>600149</v>
      </c>
      <c r="B2229" t="s">
        <v>2399</v>
      </c>
      <c r="C2229">
        <v>2.23</v>
      </c>
      <c r="D2229">
        <v>5.51</v>
      </c>
      <c r="E2229">
        <v>0.12</v>
      </c>
      <c r="F2229">
        <v>5.51</v>
      </c>
      <c r="G2229">
        <v>5.52</v>
      </c>
      <c r="H2229">
        <v>27031</v>
      </c>
      <c r="I2229">
        <v>5</v>
      </c>
      <c r="J2229">
        <v>0.18</v>
      </c>
      <c r="K2229">
        <v>0.71</v>
      </c>
      <c r="L2229">
        <v>5.39</v>
      </c>
      <c r="M2229">
        <v>5.58</v>
      </c>
      <c r="N2229">
        <v>5.38</v>
      </c>
      <c r="O2229">
        <v>5.39</v>
      </c>
      <c r="P2229" t="s">
        <v>32</v>
      </c>
      <c r="Q2229">
        <v>14833523</v>
      </c>
      <c r="R2229">
        <v>1.24</v>
      </c>
      <c r="S2229" t="s">
        <v>47</v>
      </c>
      <c r="T2229" t="s">
        <v>154</v>
      </c>
      <c r="U2229">
        <v>3.71</v>
      </c>
      <c r="V2229">
        <v>5.49</v>
      </c>
      <c r="W2229">
        <v>12593</v>
      </c>
      <c r="X2229">
        <v>14438</v>
      </c>
      <c r="Y2229">
        <v>0.87</v>
      </c>
      <c r="Z2229">
        <v>120</v>
      </c>
      <c r="AA2229">
        <v>456</v>
      </c>
      <c r="AB2229" t="s">
        <v>32</v>
      </c>
      <c r="AC2229">
        <v>3.8</v>
      </c>
    </row>
    <row r="2230" spans="1:29">
      <c r="A2230" t="str">
        <f>"600150"</f>
        <v>600150</v>
      </c>
      <c r="B2230" t="s">
        <v>2400</v>
      </c>
      <c r="C2230">
        <v>0.36</v>
      </c>
      <c r="D2230">
        <v>11.19</v>
      </c>
      <c r="E2230">
        <v>0.04</v>
      </c>
      <c r="F2230">
        <v>11.18</v>
      </c>
      <c r="G2230">
        <v>11.19</v>
      </c>
      <c r="H2230">
        <v>99555</v>
      </c>
      <c r="I2230">
        <v>3</v>
      </c>
      <c r="J2230">
        <v>0.09</v>
      </c>
      <c r="K2230">
        <v>0.72</v>
      </c>
      <c r="L2230">
        <v>11.19</v>
      </c>
      <c r="M2230">
        <v>11.3</v>
      </c>
      <c r="N2230">
        <v>11.05</v>
      </c>
      <c r="O2230">
        <v>11.15</v>
      </c>
      <c r="P2230">
        <v>53.56</v>
      </c>
      <c r="Q2230">
        <v>111018168</v>
      </c>
      <c r="R2230">
        <v>0.71</v>
      </c>
      <c r="S2230" t="s">
        <v>1549</v>
      </c>
      <c r="T2230" t="s">
        <v>366</v>
      </c>
      <c r="U2230">
        <v>2.24</v>
      </c>
      <c r="V2230">
        <v>11.15</v>
      </c>
      <c r="W2230">
        <v>48061</v>
      </c>
      <c r="X2230">
        <v>51494</v>
      </c>
      <c r="Y2230">
        <v>0.93</v>
      </c>
      <c r="Z2230">
        <v>321</v>
      </c>
      <c r="AA2230">
        <v>27</v>
      </c>
      <c r="AB2230" t="s">
        <v>32</v>
      </c>
      <c r="AC2230">
        <v>13.78</v>
      </c>
    </row>
    <row r="2231" spans="1:29">
      <c r="A2231" t="str">
        <f>"600151"</f>
        <v>600151</v>
      </c>
      <c r="B2231" t="s">
        <v>2401</v>
      </c>
      <c r="C2231">
        <v>2.99</v>
      </c>
      <c r="D2231">
        <v>4.13</v>
      </c>
      <c r="E2231">
        <v>0.12</v>
      </c>
      <c r="F2231">
        <v>4.12</v>
      </c>
      <c r="G2231">
        <v>4.13</v>
      </c>
      <c r="H2231">
        <v>256233</v>
      </c>
      <c r="I2231">
        <v>35</v>
      </c>
      <c r="J2231">
        <v>0.24</v>
      </c>
      <c r="K2231">
        <v>1.85</v>
      </c>
      <c r="L2231">
        <v>4.03</v>
      </c>
      <c r="M2231">
        <v>4.14</v>
      </c>
      <c r="N2231">
        <v>3.99</v>
      </c>
      <c r="O2231">
        <v>4.01</v>
      </c>
      <c r="P2231" t="s">
        <v>32</v>
      </c>
      <c r="Q2231">
        <v>104257480</v>
      </c>
      <c r="R2231">
        <v>2.6</v>
      </c>
      <c r="S2231" t="s">
        <v>699</v>
      </c>
      <c r="T2231" t="s">
        <v>366</v>
      </c>
      <c r="U2231">
        <v>3.74</v>
      </c>
      <c r="V2231">
        <v>4.07</v>
      </c>
      <c r="W2231">
        <v>109756</v>
      </c>
      <c r="X2231">
        <v>146476</v>
      </c>
      <c r="Y2231">
        <v>0.75</v>
      </c>
      <c r="Z2231">
        <v>844</v>
      </c>
      <c r="AA2231">
        <v>1070</v>
      </c>
      <c r="AB2231" t="s">
        <v>32</v>
      </c>
      <c r="AC2231">
        <v>13.89</v>
      </c>
    </row>
    <row r="2232" spans="1:29">
      <c r="A2232" t="str">
        <f>"600152"</f>
        <v>600152</v>
      </c>
      <c r="B2232" t="s">
        <v>2402</v>
      </c>
      <c r="C2232">
        <v>-0.35</v>
      </c>
      <c r="D2232">
        <v>5.7</v>
      </c>
      <c r="E2232">
        <v>-0.02</v>
      </c>
      <c r="F2232">
        <v>5.69</v>
      </c>
      <c r="G2232">
        <v>5.7</v>
      </c>
      <c r="H2232">
        <v>79769</v>
      </c>
      <c r="I2232">
        <v>74</v>
      </c>
      <c r="J2232">
        <v>0.35</v>
      </c>
      <c r="K2232">
        <v>2.72</v>
      </c>
      <c r="L2232">
        <v>5.6</v>
      </c>
      <c r="M2232">
        <v>5.75</v>
      </c>
      <c r="N2232">
        <v>5.55</v>
      </c>
      <c r="O2232">
        <v>5.72</v>
      </c>
      <c r="P2232" t="s">
        <v>32</v>
      </c>
      <c r="Q2232">
        <v>45161416</v>
      </c>
      <c r="R2232">
        <v>0.49</v>
      </c>
      <c r="S2232" t="s">
        <v>104</v>
      </c>
      <c r="T2232" t="s">
        <v>149</v>
      </c>
      <c r="U2232">
        <v>3.5</v>
      </c>
      <c r="V2232">
        <v>5.66</v>
      </c>
      <c r="W2232">
        <v>44115</v>
      </c>
      <c r="X2232">
        <v>35654</v>
      </c>
      <c r="Y2232">
        <v>1.24</v>
      </c>
      <c r="Z2232">
        <v>377</v>
      </c>
      <c r="AA2232">
        <v>930</v>
      </c>
      <c r="AB2232" t="s">
        <v>32</v>
      </c>
      <c r="AC2232">
        <v>2.93</v>
      </c>
    </row>
    <row r="2233" spans="1:29">
      <c r="A2233" t="str">
        <f>"600153"</f>
        <v>600153</v>
      </c>
      <c r="B2233" t="s">
        <v>2403</v>
      </c>
      <c r="C2233">
        <v>3.27</v>
      </c>
      <c r="D2233">
        <v>8.85</v>
      </c>
      <c r="E2233">
        <v>0.28</v>
      </c>
      <c r="F2233">
        <v>8.84</v>
      </c>
      <c r="G2233">
        <v>8.85</v>
      </c>
      <c r="H2233">
        <v>209391</v>
      </c>
      <c r="I2233">
        <v>3</v>
      </c>
      <c r="J2233">
        <v>0</v>
      </c>
      <c r="K2233">
        <v>0.74</v>
      </c>
      <c r="L2233">
        <v>8.55</v>
      </c>
      <c r="M2233">
        <v>9.04</v>
      </c>
      <c r="N2233">
        <v>8.55</v>
      </c>
      <c r="O2233">
        <v>8.57</v>
      </c>
      <c r="P2233">
        <v>10.79</v>
      </c>
      <c r="Q2233">
        <v>185149328</v>
      </c>
      <c r="R2233">
        <v>1.88</v>
      </c>
      <c r="S2233" t="s">
        <v>140</v>
      </c>
      <c r="T2233" t="s">
        <v>236</v>
      </c>
      <c r="U2233">
        <v>5.72</v>
      </c>
      <c r="V2233">
        <v>8.84</v>
      </c>
      <c r="W2233">
        <v>98207</v>
      </c>
      <c r="X2233">
        <v>111183</v>
      </c>
      <c r="Y2233">
        <v>0.88</v>
      </c>
      <c r="Z2233">
        <v>310</v>
      </c>
      <c r="AA2233">
        <v>422</v>
      </c>
      <c r="AB2233" t="s">
        <v>32</v>
      </c>
      <c r="AC2233">
        <v>28.35</v>
      </c>
    </row>
    <row r="2234" spans="1:29">
      <c r="A2234" t="str">
        <f>"600155"</f>
        <v>600155</v>
      </c>
      <c r="B2234" t="s">
        <v>2404</v>
      </c>
      <c r="C2234">
        <v>1.68</v>
      </c>
      <c r="D2234">
        <v>7.26</v>
      </c>
      <c r="E2234">
        <v>0.12</v>
      </c>
      <c r="F2234">
        <v>7.27</v>
      </c>
      <c r="G2234">
        <v>7.28</v>
      </c>
      <c r="H2234">
        <v>110629</v>
      </c>
      <c r="I2234">
        <v>2</v>
      </c>
      <c r="J2234">
        <v>0</v>
      </c>
      <c r="K2234">
        <v>0.98</v>
      </c>
      <c r="L2234">
        <v>7.14</v>
      </c>
      <c r="M2234">
        <v>7.42</v>
      </c>
      <c r="N2234">
        <v>7.11</v>
      </c>
      <c r="O2234">
        <v>7.14</v>
      </c>
      <c r="P2234">
        <v>48.54</v>
      </c>
      <c r="Q2234">
        <v>80441048</v>
      </c>
      <c r="R2234">
        <v>2.32</v>
      </c>
      <c r="S2234" t="s">
        <v>158</v>
      </c>
      <c r="T2234" t="s">
        <v>154</v>
      </c>
      <c r="U2234">
        <v>4.34</v>
      </c>
      <c r="V2234">
        <v>7.27</v>
      </c>
      <c r="W2234">
        <v>51465</v>
      </c>
      <c r="X2234">
        <v>59163</v>
      </c>
      <c r="Y2234">
        <v>0.87</v>
      </c>
      <c r="Z2234">
        <v>10</v>
      </c>
      <c r="AA2234">
        <v>741</v>
      </c>
      <c r="AB2234" t="s">
        <v>32</v>
      </c>
      <c r="AC2234">
        <v>11.28</v>
      </c>
    </row>
    <row r="2235" spans="1:29">
      <c r="A2235" t="str">
        <f>"600156"</f>
        <v>600156</v>
      </c>
      <c r="B2235" t="s">
        <v>2405</v>
      </c>
      <c r="C2235">
        <v>0.47</v>
      </c>
      <c r="D2235">
        <v>4.27</v>
      </c>
      <c r="E2235">
        <v>0.02</v>
      </c>
      <c r="F2235">
        <v>4.27</v>
      </c>
      <c r="G2235">
        <v>4.28</v>
      </c>
      <c r="H2235">
        <v>79998</v>
      </c>
      <c r="I2235">
        <v>237</v>
      </c>
      <c r="J2235">
        <v>0</v>
      </c>
      <c r="K2235">
        <v>1.99</v>
      </c>
      <c r="L2235">
        <v>4.29</v>
      </c>
      <c r="M2235">
        <v>4.42</v>
      </c>
      <c r="N2235">
        <v>4.26</v>
      </c>
      <c r="O2235">
        <v>4.25</v>
      </c>
      <c r="P2235" t="s">
        <v>32</v>
      </c>
      <c r="Q2235">
        <v>34430948</v>
      </c>
      <c r="R2235">
        <v>0.7</v>
      </c>
      <c r="S2235" t="s">
        <v>99</v>
      </c>
      <c r="T2235" t="s">
        <v>152</v>
      </c>
      <c r="U2235">
        <v>3.76</v>
      </c>
      <c r="V2235">
        <v>4.3</v>
      </c>
      <c r="W2235">
        <v>46362</v>
      </c>
      <c r="X2235">
        <v>33636</v>
      </c>
      <c r="Y2235">
        <v>1.38</v>
      </c>
      <c r="Z2235">
        <v>510</v>
      </c>
      <c r="AA2235">
        <v>113</v>
      </c>
      <c r="AB2235" t="s">
        <v>32</v>
      </c>
      <c r="AC2235">
        <v>4.02</v>
      </c>
    </row>
    <row r="2236" spans="1:29">
      <c r="A2236" t="str">
        <f>"600157"</f>
        <v>600157</v>
      </c>
      <c r="B2236" t="s">
        <v>2406</v>
      </c>
      <c r="C2236">
        <v>0</v>
      </c>
      <c r="D2236">
        <v>1.67</v>
      </c>
      <c r="E2236">
        <v>0</v>
      </c>
      <c r="F2236" t="s">
        <v>32</v>
      </c>
      <c r="G2236" t="s">
        <v>32</v>
      </c>
      <c r="H2236">
        <v>0</v>
      </c>
      <c r="I2236">
        <v>0</v>
      </c>
      <c r="J2236">
        <v>0</v>
      </c>
      <c r="K2236">
        <v>0</v>
      </c>
      <c r="L2236" t="s">
        <v>32</v>
      </c>
      <c r="M2236" t="s">
        <v>32</v>
      </c>
      <c r="N2236" t="s">
        <v>32</v>
      </c>
      <c r="O2236">
        <v>1.67</v>
      </c>
      <c r="P2236">
        <v>10.16</v>
      </c>
      <c r="Q2236">
        <v>0</v>
      </c>
      <c r="R2236">
        <v>0</v>
      </c>
      <c r="S2236" t="s">
        <v>265</v>
      </c>
      <c r="T2236" t="s">
        <v>169</v>
      </c>
      <c r="U2236">
        <v>0</v>
      </c>
      <c r="V2236">
        <v>1.67</v>
      </c>
      <c r="W2236">
        <v>0</v>
      </c>
      <c r="X2236">
        <v>0</v>
      </c>
      <c r="Y2236" t="s">
        <v>32</v>
      </c>
      <c r="Z2236">
        <v>0</v>
      </c>
      <c r="AA2236">
        <v>0</v>
      </c>
      <c r="AB2236" t="s">
        <v>32</v>
      </c>
      <c r="AC2236">
        <v>124.26</v>
      </c>
    </row>
    <row r="2237" spans="1:29">
      <c r="A2237" t="str">
        <f>"600158"</f>
        <v>600158</v>
      </c>
      <c r="B2237" t="s">
        <v>2407</v>
      </c>
      <c r="C2237">
        <v>0.09</v>
      </c>
      <c r="D2237">
        <v>11.4</v>
      </c>
      <c r="E2237">
        <v>0.01</v>
      </c>
      <c r="F2237">
        <v>11.39</v>
      </c>
      <c r="G2237">
        <v>11.4</v>
      </c>
      <c r="H2237">
        <v>172413</v>
      </c>
      <c r="I2237">
        <v>15</v>
      </c>
      <c r="J2237">
        <v>-0.17</v>
      </c>
      <c r="K2237">
        <v>2.62</v>
      </c>
      <c r="L2237">
        <v>11.33</v>
      </c>
      <c r="M2237">
        <v>11.61</v>
      </c>
      <c r="N2237">
        <v>11.22</v>
      </c>
      <c r="O2237">
        <v>11.39</v>
      </c>
      <c r="P2237" t="s">
        <v>32</v>
      </c>
      <c r="Q2237">
        <v>197239376</v>
      </c>
      <c r="R2237">
        <v>0.65</v>
      </c>
      <c r="S2237" t="s">
        <v>57</v>
      </c>
      <c r="T2237" t="s">
        <v>248</v>
      </c>
      <c r="U2237">
        <v>3.42</v>
      </c>
      <c r="V2237">
        <v>11.44</v>
      </c>
      <c r="W2237">
        <v>91335</v>
      </c>
      <c r="X2237">
        <v>81077</v>
      </c>
      <c r="Y2237">
        <v>1.13</v>
      </c>
      <c r="Z2237">
        <v>138</v>
      </c>
      <c r="AA2237">
        <v>23</v>
      </c>
      <c r="AB2237" t="s">
        <v>32</v>
      </c>
      <c r="AC2237">
        <v>6.57</v>
      </c>
    </row>
    <row r="2238" spans="1:29">
      <c r="A2238" t="str">
        <f>"600159"</f>
        <v>600159</v>
      </c>
      <c r="B2238" t="s">
        <v>2408</v>
      </c>
      <c r="C2238">
        <v>2.6</v>
      </c>
      <c r="D2238">
        <v>2.76</v>
      </c>
      <c r="E2238">
        <v>0.07</v>
      </c>
      <c r="F2238">
        <v>2.76</v>
      </c>
      <c r="G2238">
        <v>2.77</v>
      </c>
      <c r="H2238">
        <v>42549</v>
      </c>
      <c r="I2238">
        <v>1</v>
      </c>
      <c r="J2238">
        <v>0</v>
      </c>
      <c r="K2238">
        <v>0.51</v>
      </c>
      <c r="L2238">
        <v>2.69</v>
      </c>
      <c r="M2238">
        <v>2.78</v>
      </c>
      <c r="N2238">
        <v>2.69</v>
      </c>
      <c r="O2238">
        <v>2.69</v>
      </c>
      <c r="P2238" t="s">
        <v>32</v>
      </c>
      <c r="Q2238">
        <v>11653795</v>
      </c>
      <c r="R2238">
        <v>2.14</v>
      </c>
      <c r="S2238" t="s">
        <v>40</v>
      </c>
      <c r="T2238" t="s">
        <v>45</v>
      </c>
      <c r="U2238">
        <v>3.35</v>
      </c>
      <c r="V2238">
        <v>2.74</v>
      </c>
      <c r="W2238">
        <v>16951</v>
      </c>
      <c r="X2238">
        <v>25598</v>
      </c>
      <c r="Y2238">
        <v>0.66</v>
      </c>
      <c r="Z2238">
        <v>121</v>
      </c>
      <c r="AA2238">
        <v>1693</v>
      </c>
      <c r="AB2238" t="s">
        <v>32</v>
      </c>
      <c r="AC2238">
        <v>8.3</v>
      </c>
    </row>
    <row r="2239" spans="1:29">
      <c r="A2239" t="str">
        <f>"600160"</f>
        <v>600160</v>
      </c>
      <c r="B2239" t="s">
        <v>2409</v>
      </c>
      <c r="C2239">
        <v>-0.63</v>
      </c>
      <c r="D2239">
        <v>7.87</v>
      </c>
      <c r="E2239">
        <v>-0.05</v>
      </c>
      <c r="F2239">
        <v>7.88</v>
      </c>
      <c r="G2239">
        <v>7.89</v>
      </c>
      <c r="H2239">
        <v>331896</v>
      </c>
      <c r="I2239">
        <v>1</v>
      </c>
      <c r="J2239">
        <v>-0.37</v>
      </c>
      <c r="K2239">
        <v>1.25</v>
      </c>
      <c r="L2239">
        <v>7.9</v>
      </c>
      <c r="M2239">
        <v>8.04</v>
      </c>
      <c r="N2239">
        <v>7.85</v>
      </c>
      <c r="O2239">
        <v>7.92</v>
      </c>
      <c r="P2239">
        <v>12.64</v>
      </c>
      <c r="Q2239">
        <v>263465248</v>
      </c>
      <c r="R2239">
        <v>1.12</v>
      </c>
      <c r="S2239" t="s">
        <v>218</v>
      </c>
      <c r="T2239" t="s">
        <v>149</v>
      </c>
      <c r="U2239">
        <v>2.4</v>
      </c>
      <c r="V2239">
        <v>7.94</v>
      </c>
      <c r="W2239">
        <v>178336</v>
      </c>
      <c r="X2239">
        <v>153559</v>
      </c>
      <c r="Y2239">
        <v>1.16</v>
      </c>
      <c r="Z2239">
        <v>49</v>
      </c>
      <c r="AA2239">
        <v>635</v>
      </c>
      <c r="AB2239" t="s">
        <v>32</v>
      </c>
      <c r="AC2239">
        <v>26.58</v>
      </c>
    </row>
    <row r="2240" spans="1:29">
      <c r="A2240" t="str">
        <f>"600161"</f>
        <v>600161</v>
      </c>
      <c r="B2240" t="s">
        <v>2410</v>
      </c>
      <c r="C2240">
        <v>4.58</v>
      </c>
      <c r="D2240">
        <v>20.08</v>
      </c>
      <c r="E2240">
        <v>0.88</v>
      </c>
      <c r="F2240">
        <v>20.07</v>
      </c>
      <c r="G2240">
        <v>20.09</v>
      </c>
      <c r="H2240">
        <v>108329</v>
      </c>
      <c r="I2240">
        <v>21</v>
      </c>
      <c r="J2240">
        <v>0.1</v>
      </c>
      <c r="K2240">
        <v>1.24</v>
      </c>
      <c r="L2240">
        <v>19.11</v>
      </c>
      <c r="M2240">
        <v>20.75</v>
      </c>
      <c r="N2240">
        <v>18.9</v>
      </c>
      <c r="O2240">
        <v>19.2</v>
      </c>
      <c r="P2240">
        <v>39.71</v>
      </c>
      <c r="Q2240">
        <v>215800640</v>
      </c>
      <c r="R2240">
        <v>2.29</v>
      </c>
      <c r="S2240" t="s">
        <v>36</v>
      </c>
      <c r="T2240" t="s">
        <v>45</v>
      </c>
      <c r="U2240">
        <v>9.64</v>
      </c>
      <c r="V2240">
        <v>19.92</v>
      </c>
      <c r="W2240">
        <v>52854</v>
      </c>
      <c r="X2240">
        <v>55474</v>
      </c>
      <c r="Y2240">
        <v>0.95</v>
      </c>
      <c r="Z2240">
        <v>200</v>
      </c>
      <c r="AA2240">
        <v>90</v>
      </c>
      <c r="AB2240" t="s">
        <v>32</v>
      </c>
      <c r="AC2240">
        <v>8.71</v>
      </c>
    </row>
    <row r="2241" spans="1:29">
      <c r="A2241" t="str">
        <f>"600162"</f>
        <v>600162</v>
      </c>
      <c r="B2241" t="s">
        <v>2411</v>
      </c>
      <c r="C2241">
        <v>2.11</v>
      </c>
      <c r="D2241">
        <v>2.42</v>
      </c>
      <c r="E2241">
        <v>0.05</v>
      </c>
      <c r="F2241">
        <v>2.42</v>
      </c>
      <c r="G2241">
        <v>2.43</v>
      </c>
      <c r="H2241">
        <v>81759</v>
      </c>
      <c r="I2241">
        <v>3</v>
      </c>
      <c r="J2241">
        <v>0.41</v>
      </c>
      <c r="K2241">
        <v>0.34</v>
      </c>
      <c r="L2241">
        <v>2.38</v>
      </c>
      <c r="M2241">
        <v>2.43</v>
      </c>
      <c r="N2241">
        <v>2.37</v>
      </c>
      <c r="O2241">
        <v>2.37</v>
      </c>
      <c r="P2241">
        <v>144</v>
      </c>
      <c r="Q2241">
        <v>19744892</v>
      </c>
      <c r="R2241">
        <v>2.1</v>
      </c>
      <c r="S2241" t="s">
        <v>34</v>
      </c>
      <c r="T2241" t="s">
        <v>31</v>
      </c>
      <c r="U2241">
        <v>2.53</v>
      </c>
      <c r="V2241">
        <v>2.41</v>
      </c>
      <c r="W2241">
        <v>27093</v>
      </c>
      <c r="X2241">
        <v>54666</v>
      </c>
      <c r="Y2241">
        <v>0.5</v>
      </c>
      <c r="Z2241">
        <v>1156</v>
      </c>
      <c r="AA2241">
        <v>4918</v>
      </c>
      <c r="AB2241" t="s">
        <v>32</v>
      </c>
      <c r="AC2241">
        <v>23.74</v>
      </c>
    </row>
    <row r="2242" spans="1:29">
      <c r="A2242" t="str">
        <f>"600163"</f>
        <v>600163</v>
      </c>
      <c r="B2242" t="s">
        <v>2412</v>
      </c>
      <c r="C2242">
        <v>1.48</v>
      </c>
      <c r="D2242">
        <v>3.43</v>
      </c>
      <c r="E2242">
        <v>0.05</v>
      </c>
      <c r="F2242">
        <v>3.42</v>
      </c>
      <c r="G2242">
        <v>3.43</v>
      </c>
      <c r="H2242">
        <v>30652</v>
      </c>
      <c r="I2242">
        <v>16</v>
      </c>
      <c r="J2242">
        <v>0</v>
      </c>
      <c r="K2242">
        <v>0.31</v>
      </c>
      <c r="L2242">
        <v>3.39</v>
      </c>
      <c r="M2242">
        <v>3.45</v>
      </c>
      <c r="N2242">
        <v>3.38</v>
      </c>
      <c r="O2242">
        <v>3.38</v>
      </c>
      <c r="P2242">
        <v>13.1</v>
      </c>
      <c r="Q2242">
        <v>10459986</v>
      </c>
      <c r="R2242">
        <v>2.2</v>
      </c>
      <c r="S2242" t="s">
        <v>95</v>
      </c>
      <c r="T2242" t="s">
        <v>236</v>
      </c>
      <c r="U2242">
        <v>2.07</v>
      </c>
      <c r="V2242">
        <v>3.41</v>
      </c>
      <c r="W2242">
        <v>10318</v>
      </c>
      <c r="X2242">
        <v>20334</v>
      </c>
      <c r="Y2242">
        <v>0.51</v>
      </c>
      <c r="Z2242">
        <v>427</v>
      </c>
      <c r="AA2242">
        <v>932</v>
      </c>
      <c r="AB2242" t="s">
        <v>32</v>
      </c>
      <c r="AC2242">
        <v>9.99</v>
      </c>
    </row>
    <row r="2243" spans="1:29">
      <c r="A2243" t="str">
        <f>"600165"</f>
        <v>600165</v>
      </c>
      <c r="B2243" t="s">
        <v>2413</v>
      </c>
      <c r="C2243">
        <v>2.76</v>
      </c>
      <c r="D2243">
        <v>5.59</v>
      </c>
      <c r="E2243">
        <v>0.15</v>
      </c>
      <c r="F2243">
        <v>5.58</v>
      </c>
      <c r="G2243">
        <v>5.59</v>
      </c>
      <c r="H2243">
        <v>879152</v>
      </c>
      <c r="I2243">
        <v>230</v>
      </c>
      <c r="J2243">
        <v>0.54</v>
      </c>
      <c r="K2243">
        <v>12.84</v>
      </c>
      <c r="L2243">
        <v>5.4</v>
      </c>
      <c r="M2243">
        <v>5.72</v>
      </c>
      <c r="N2243">
        <v>5.33</v>
      </c>
      <c r="O2243">
        <v>5.44</v>
      </c>
      <c r="P2243">
        <v>1971.42</v>
      </c>
      <c r="Q2243">
        <v>487274720</v>
      </c>
      <c r="R2243">
        <v>0.76</v>
      </c>
      <c r="S2243" t="s">
        <v>449</v>
      </c>
      <c r="T2243" t="s">
        <v>273</v>
      </c>
      <c r="U2243">
        <v>7.17</v>
      </c>
      <c r="V2243">
        <v>5.54</v>
      </c>
      <c r="W2243">
        <v>416188</v>
      </c>
      <c r="X2243">
        <v>462964</v>
      </c>
      <c r="Y2243">
        <v>0.9</v>
      </c>
      <c r="Z2243">
        <v>122</v>
      </c>
      <c r="AA2243">
        <v>273</v>
      </c>
      <c r="AB2243" t="s">
        <v>32</v>
      </c>
      <c r="AC2243">
        <v>6.85</v>
      </c>
    </row>
    <row r="2244" spans="1:29">
      <c r="A2244" t="str">
        <f>"600166"</f>
        <v>600166</v>
      </c>
      <c r="B2244" t="s">
        <v>2414</v>
      </c>
      <c r="C2244">
        <v>2.6</v>
      </c>
      <c r="D2244">
        <v>1.97</v>
      </c>
      <c r="E2244">
        <v>0.05</v>
      </c>
      <c r="F2244">
        <v>1.96</v>
      </c>
      <c r="G2244">
        <v>1.97</v>
      </c>
      <c r="H2244">
        <v>496213</v>
      </c>
      <c r="I2244">
        <v>5</v>
      </c>
      <c r="J2244">
        <v>0.51</v>
      </c>
      <c r="K2244">
        <v>0.74</v>
      </c>
      <c r="L2244">
        <v>1.91</v>
      </c>
      <c r="M2244">
        <v>1.98</v>
      </c>
      <c r="N2244">
        <v>1.91</v>
      </c>
      <c r="O2244">
        <v>1.92</v>
      </c>
      <c r="P2244" t="s">
        <v>32</v>
      </c>
      <c r="Q2244">
        <v>96849176</v>
      </c>
      <c r="R2244">
        <v>1.97</v>
      </c>
      <c r="S2244" t="s">
        <v>262</v>
      </c>
      <c r="T2244" t="s">
        <v>45</v>
      </c>
      <c r="U2244">
        <v>3.65</v>
      </c>
      <c r="V2244">
        <v>1.95</v>
      </c>
      <c r="W2244">
        <v>167657</v>
      </c>
      <c r="X2244">
        <v>328556</v>
      </c>
      <c r="Y2244">
        <v>0.51</v>
      </c>
      <c r="Z2244">
        <v>1660</v>
      </c>
      <c r="AA2244">
        <v>42935</v>
      </c>
      <c r="AB2244" t="s">
        <v>32</v>
      </c>
      <c r="AC2244">
        <v>66.7</v>
      </c>
    </row>
    <row r="2245" spans="1:29">
      <c r="A2245" t="str">
        <f>"600167"</f>
        <v>600167</v>
      </c>
      <c r="B2245" t="s">
        <v>2415</v>
      </c>
      <c r="C2245">
        <v>0.76</v>
      </c>
      <c r="D2245">
        <v>10.57</v>
      </c>
      <c r="E2245">
        <v>0.08</v>
      </c>
      <c r="F2245">
        <v>10.54</v>
      </c>
      <c r="G2245">
        <v>10.57</v>
      </c>
      <c r="H2245">
        <v>32243</v>
      </c>
      <c r="I2245">
        <v>50</v>
      </c>
      <c r="J2245">
        <v>0</v>
      </c>
      <c r="K2245">
        <v>0.39</v>
      </c>
      <c r="L2245">
        <v>10.51</v>
      </c>
      <c r="M2245">
        <v>10.7</v>
      </c>
      <c r="N2245">
        <v>10.5</v>
      </c>
      <c r="O2245">
        <v>10.49</v>
      </c>
      <c r="P2245">
        <v>7.82</v>
      </c>
      <c r="Q2245">
        <v>34087756</v>
      </c>
      <c r="R2245">
        <v>1.98</v>
      </c>
      <c r="S2245" t="s">
        <v>174</v>
      </c>
      <c r="T2245" t="s">
        <v>111</v>
      </c>
      <c r="U2245">
        <v>1.91</v>
      </c>
      <c r="V2245">
        <v>10.57</v>
      </c>
      <c r="W2245">
        <v>18364</v>
      </c>
      <c r="X2245">
        <v>13878</v>
      </c>
      <c r="Y2245">
        <v>1.32</v>
      </c>
      <c r="Z2245">
        <v>3</v>
      </c>
      <c r="AA2245">
        <v>326</v>
      </c>
      <c r="AB2245" t="s">
        <v>32</v>
      </c>
      <c r="AC2245">
        <v>8.22</v>
      </c>
    </row>
    <row r="2246" spans="1:29">
      <c r="A2246" t="str">
        <f>"600168"</f>
        <v>600168</v>
      </c>
      <c r="B2246" t="s">
        <v>2416</v>
      </c>
      <c r="C2246">
        <v>2.01</v>
      </c>
      <c r="D2246">
        <v>6.61</v>
      </c>
      <c r="E2246">
        <v>0.13</v>
      </c>
      <c r="F2246">
        <v>6.59</v>
      </c>
      <c r="G2246">
        <v>6.61</v>
      </c>
      <c r="H2246">
        <v>34985</v>
      </c>
      <c r="I2246">
        <v>380</v>
      </c>
      <c r="J2246">
        <v>0</v>
      </c>
      <c r="K2246">
        <v>0.49</v>
      </c>
      <c r="L2246">
        <v>6.48</v>
      </c>
      <c r="M2246">
        <v>6.63</v>
      </c>
      <c r="N2246">
        <v>6.48</v>
      </c>
      <c r="O2246">
        <v>6.48</v>
      </c>
      <c r="P2246">
        <v>15.34</v>
      </c>
      <c r="Q2246">
        <v>23028034</v>
      </c>
      <c r="R2246">
        <v>2.05</v>
      </c>
      <c r="S2246" t="s">
        <v>308</v>
      </c>
      <c r="T2246" t="s">
        <v>193</v>
      </c>
      <c r="U2246">
        <v>2.31</v>
      </c>
      <c r="V2246">
        <v>6.58</v>
      </c>
      <c r="W2246">
        <v>14172</v>
      </c>
      <c r="X2246">
        <v>20812</v>
      </c>
      <c r="Y2246">
        <v>0.68</v>
      </c>
      <c r="Z2246">
        <v>382</v>
      </c>
      <c r="AA2246">
        <v>36</v>
      </c>
      <c r="AB2246" t="s">
        <v>32</v>
      </c>
      <c r="AC2246">
        <v>7.1</v>
      </c>
    </row>
    <row r="2247" spans="1:29">
      <c r="A2247" t="str">
        <f>"600169"</f>
        <v>600169</v>
      </c>
      <c r="B2247" t="s">
        <v>2417</v>
      </c>
      <c r="C2247">
        <v>5.08</v>
      </c>
      <c r="D2247">
        <v>2.48</v>
      </c>
      <c r="E2247">
        <v>0.12</v>
      </c>
      <c r="F2247">
        <v>2.48</v>
      </c>
      <c r="G2247">
        <v>2.49</v>
      </c>
      <c r="H2247">
        <v>279034</v>
      </c>
      <c r="I2247">
        <v>96</v>
      </c>
      <c r="J2247">
        <v>-0.39</v>
      </c>
      <c r="K2247">
        <v>1.09</v>
      </c>
      <c r="L2247">
        <v>2.35</v>
      </c>
      <c r="M2247">
        <v>2.55</v>
      </c>
      <c r="N2247">
        <v>2.34</v>
      </c>
      <c r="O2247">
        <v>2.36</v>
      </c>
      <c r="P2247">
        <v>527.2</v>
      </c>
      <c r="Q2247">
        <v>68430920</v>
      </c>
      <c r="R2247">
        <v>4.8</v>
      </c>
      <c r="S2247" t="s">
        <v>151</v>
      </c>
      <c r="T2247" t="s">
        <v>169</v>
      </c>
      <c r="U2247">
        <v>8.9</v>
      </c>
      <c r="V2247">
        <v>2.45</v>
      </c>
      <c r="W2247">
        <v>105048</v>
      </c>
      <c r="X2247">
        <v>173986</v>
      </c>
      <c r="Y2247">
        <v>0.6</v>
      </c>
      <c r="Z2247">
        <v>78</v>
      </c>
      <c r="AA2247">
        <v>2671</v>
      </c>
      <c r="AB2247" t="s">
        <v>32</v>
      </c>
      <c r="AC2247">
        <v>25.64</v>
      </c>
    </row>
    <row r="2248" spans="1:29">
      <c r="A2248" t="str">
        <f>"600170"</f>
        <v>600170</v>
      </c>
      <c r="B2248" t="s">
        <v>2418</v>
      </c>
      <c r="C2248">
        <v>6.13</v>
      </c>
      <c r="D2248">
        <v>3.29</v>
      </c>
      <c r="E2248">
        <v>0.19</v>
      </c>
      <c r="F2248">
        <v>3.29</v>
      </c>
      <c r="G2248">
        <v>3.3</v>
      </c>
      <c r="H2248">
        <v>690386</v>
      </c>
      <c r="I2248">
        <v>42</v>
      </c>
      <c r="J2248">
        <v>0</v>
      </c>
      <c r="K2248">
        <v>0.81</v>
      </c>
      <c r="L2248">
        <v>3.15</v>
      </c>
      <c r="M2248">
        <v>3.3</v>
      </c>
      <c r="N2248">
        <v>3.14</v>
      </c>
      <c r="O2248">
        <v>3.1</v>
      </c>
      <c r="P2248">
        <v>13.75</v>
      </c>
      <c r="Q2248">
        <v>224797120</v>
      </c>
      <c r="R2248">
        <v>4.71</v>
      </c>
      <c r="S2248" t="s">
        <v>49</v>
      </c>
      <c r="T2248" t="s">
        <v>366</v>
      </c>
      <c r="U2248">
        <v>5.16</v>
      </c>
      <c r="V2248">
        <v>3.26</v>
      </c>
      <c r="W2248">
        <v>334198</v>
      </c>
      <c r="X2248">
        <v>356188</v>
      </c>
      <c r="Y2248">
        <v>0.94</v>
      </c>
      <c r="Z2248">
        <v>1330</v>
      </c>
      <c r="AA2248">
        <v>24196</v>
      </c>
      <c r="AB2248" t="s">
        <v>32</v>
      </c>
      <c r="AC2248">
        <v>84.87</v>
      </c>
    </row>
    <row r="2249" spans="1:29">
      <c r="A2249" t="str">
        <f>"600171"</f>
        <v>600171</v>
      </c>
      <c r="B2249" t="s">
        <v>2419</v>
      </c>
      <c r="C2249">
        <v>1.16</v>
      </c>
      <c r="D2249">
        <v>12.21</v>
      </c>
      <c r="E2249">
        <v>0.14</v>
      </c>
      <c r="F2249">
        <v>12.21</v>
      </c>
      <c r="G2249">
        <v>12.22</v>
      </c>
      <c r="H2249">
        <v>183891</v>
      </c>
      <c r="I2249">
        <v>34</v>
      </c>
      <c r="J2249">
        <v>0.16</v>
      </c>
      <c r="K2249">
        <v>2.73</v>
      </c>
      <c r="L2249">
        <v>12.03</v>
      </c>
      <c r="M2249">
        <v>12.31</v>
      </c>
      <c r="N2249">
        <v>11.98</v>
      </c>
      <c r="O2249">
        <v>12.07</v>
      </c>
      <c r="P2249">
        <v>113.36</v>
      </c>
      <c r="Q2249">
        <v>223626048</v>
      </c>
      <c r="R2249">
        <v>1.43</v>
      </c>
      <c r="S2249" t="s">
        <v>699</v>
      </c>
      <c r="T2249" t="s">
        <v>366</v>
      </c>
      <c r="U2249">
        <v>2.73</v>
      </c>
      <c r="V2249">
        <v>12.16</v>
      </c>
      <c r="W2249">
        <v>86354</v>
      </c>
      <c r="X2249">
        <v>97537</v>
      </c>
      <c r="Y2249">
        <v>0.89</v>
      </c>
      <c r="Z2249">
        <v>330</v>
      </c>
      <c r="AA2249">
        <v>391</v>
      </c>
      <c r="AB2249" t="s">
        <v>32</v>
      </c>
      <c r="AC2249">
        <v>6.74</v>
      </c>
    </row>
    <row r="2250" spans="1:29">
      <c r="A2250" t="str">
        <f>"600172"</f>
        <v>600172</v>
      </c>
      <c r="B2250" t="s">
        <v>2420</v>
      </c>
      <c r="C2250">
        <v>1.57</v>
      </c>
      <c r="D2250">
        <v>4.53</v>
      </c>
      <c r="E2250">
        <v>0.07</v>
      </c>
      <c r="F2250">
        <v>4.52</v>
      </c>
      <c r="G2250">
        <v>4.53</v>
      </c>
      <c r="H2250">
        <v>116501</v>
      </c>
      <c r="I2250">
        <v>10</v>
      </c>
      <c r="J2250">
        <v>0</v>
      </c>
      <c r="K2250">
        <v>1</v>
      </c>
      <c r="L2250">
        <v>4.48</v>
      </c>
      <c r="M2250">
        <v>4.58</v>
      </c>
      <c r="N2250">
        <v>4.43</v>
      </c>
      <c r="O2250">
        <v>4.46</v>
      </c>
      <c r="P2250">
        <v>23.38</v>
      </c>
      <c r="Q2250">
        <v>52589024</v>
      </c>
      <c r="R2250">
        <v>0.64</v>
      </c>
      <c r="S2250" t="s">
        <v>227</v>
      </c>
      <c r="T2250" t="s">
        <v>164</v>
      </c>
      <c r="U2250">
        <v>3.36</v>
      </c>
      <c r="V2250">
        <v>4.51</v>
      </c>
      <c r="W2250">
        <v>55593</v>
      </c>
      <c r="X2250">
        <v>60907</v>
      </c>
      <c r="Y2250">
        <v>0.91</v>
      </c>
      <c r="Z2250">
        <v>1771</v>
      </c>
      <c r="AA2250">
        <v>2434</v>
      </c>
      <c r="AB2250" t="s">
        <v>32</v>
      </c>
      <c r="AC2250">
        <v>11.69</v>
      </c>
    </row>
    <row r="2251" spans="1:29">
      <c r="A2251" t="str">
        <f>"600173"</f>
        <v>600173</v>
      </c>
      <c r="B2251" t="s">
        <v>2421</v>
      </c>
      <c r="C2251">
        <v>1.83</v>
      </c>
      <c r="D2251">
        <v>4.46</v>
      </c>
      <c r="E2251">
        <v>0.08</v>
      </c>
      <c r="F2251">
        <v>4.45</v>
      </c>
      <c r="G2251">
        <v>4.46</v>
      </c>
      <c r="H2251">
        <v>29401</v>
      </c>
      <c r="I2251">
        <v>12</v>
      </c>
      <c r="J2251">
        <v>0.45</v>
      </c>
      <c r="K2251">
        <v>0.41</v>
      </c>
      <c r="L2251">
        <v>4.38</v>
      </c>
      <c r="M2251">
        <v>4.46</v>
      </c>
      <c r="N2251">
        <v>4.36</v>
      </c>
      <c r="O2251">
        <v>4.38</v>
      </c>
      <c r="P2251">
        <v>6.71</v>
      </c>
      <c r="Q2251">
        <v>13050351</v>
      </c>
      <c r="R2251">
        <v>2.08</v>
      </c>
      <c r="S2251" t="s">
        <v>34</v>
      </c>
      <c r="T2251" t="s">
        <v>149</v>
      </c>
      <c r="U2251">
        <v>2.28</v>
      </c>
      <c r="V2251">
        <v>4.44</v>
      </c>
      <c r="W2251">
        <v>16426</v>
      </c>
      <c r="X2251">
        <v>12975</v>
      </c>
      <c r="Y2251">
        <v>1.27</v>
      </c>
      <c r="Z2251">
        <v>927</v>
      </c>
      <c r="AA2251">
        <v>384</v>
      </c>
      <c r="AB2251" t="s">
        <v>32</v>
      </c>
      <c r="AC2251">
        <v>7.25</v>
      </c>
    </row>
    <row r="2252" spans="1:29">
      <c r="A2252" t="str">
        <f>"600175"</f>
        <v>600175</v>
      </c>
      <c r="B2252" t="s">
        <v>2422</v>
      </c>
      <c r="C2252">
        <v>0</v>
      </c>
      <c r="D2252">
        <v>4.16</v>
      </c>
      <c r="E2252">
        <v>0</v>
      </c>
      <c r="F2252" t="s">
        <v>32</v>
      </c>
      <c r="G2252" t="s">
        <v>32</v>
      </c>
      <c r="H2252">
        <v>0</v>
      </c>
      <c r="I2252">
        <v>0</v>
      </c>
      <c r="J2252">
        <v>0</v>
      </c>
      <c r="K2252">
        <v>0</v>
      </c>
      <c r="L2252" t="s">
        <v>32</v>
      </c>
      <c r="M2252" t="s">
        <v>32</v>
      </c>
      <c r="N2252" t="s">
        <v>32</v>
      </c>
      <c r="O2252">
        <v>4.16</v>
      </c>
      <c r="P2252">
        <v>77.14</v>
      </c>
      <c r="Q2252">
        <v>0</v>
      </c>
      <c r="R2252">
        <v>0</v>
      </c>
      <c r="S2252" t="s">
        <v>47</v>
      </c>
      <c r="T2252" t="s">
        <v>149</v>
      </c>
      <c r="U2252">
        <v>0</v>
      </c>
      <c r="V2252">
        <v>4.16</v>
      </c>
      <c r="W2252">
        <v>0</v>
      </c>
      <c r="X2252">
        <v>0</v>
      </c>
      <c r="Y2252" t="s">
        <v>32</v>
      </c>
      <c r="Z2252">
        <v>0</v>
      </c>
      <c r="AA2252">
        <v>0</v>
      </c>
      <c r="AB2252" t="s">
        <v>32</v>
      </c>
      <c r="AC2252">
        <v>24.51</v>
      </c>
    </row>
    <row r="2253" spans="1:29">
      <c r="A2253" t="str">
        <f>"600176"</f>
        <v>600176</v>
      </c>
      <c r="B2253" t="s">
        <v>2423</v>
      </c>
      <c r="C2253">
        <v>5.17</v>
      </c>
      <c r="D2253">
        <v>11.6</v>
      </c>
      <c r="E2253">
        <v>0.57</v>
      </c>
      <c r="F2253">
        <v>11.59</v>
      </c>
      <c r="G2253">
        <v>11.6</v>
      </c>
      <c r="H2253">
        <v>621894</v>
      </c>
      <c r="I2253">
        <v>120</v>
      </c>
      <c r="J2253">
        <v>0.35</v>
      </c>
      <c r="K2253">
        <v>1.78</v>
      </c>
      <c r="L2253">
        <v>11.08</v>
      </c>
      <c r="M2253">
        <v>11.78</v>
      </c>
      <c r="N2253">
        <v>11.08</v>
      </c>
      <c r="O2253">
        <v>11.03</v>
      </c>
      <c r="P2253">
        <v>16.46</v>
      </c>
      <c r="Q2253">
        <v>716080192</v>
      </c>
      <c r="R2253">
        <v>1.51</v>
      </c>
      <c r="S2253" t="s">
        <v>52</v>
      </c>
      <c r="T2253" t="s">
        <v>149</v>
      </c>
      <c r="U2253">
        <v>6.35</v>
      </c>
      <c r="V2253">
        <v>11.51</v>
      </c>
      <c r="W2253">
        <v>295552</v>
      </c>
      <c r="X2253">
        <v>326341</v>
      </c>
      <c r="Y2253">
        <v>0.91</v>
      </c>
      <c r="Z2253">
        <v>191</v>
      </c>
      <c r="AA2253">
        <v>31</v>
      </c>
      <c r="AB2253" t="s">
        <v>32</v>
      </c>
      <c r="AC2253">
        <v>35.02</v>
      </c>
    </row>
    <row r="2254" spans="1:29">
      <c r="A2254" t="str">
        <f>"600177"</f>
        <v>600177</v>
      </c>
      <c r="B2254" t="s">
        <v>2424</v>
      </c>
      <c r="C2254">
        <v>2.9</v>
      </c>
      <c r="D2254">
        <v>7.45</v>
      </c>
      <c r="E2254">
        <v>0.21</v>
      </c>
      <c r="F2254">
        <v>7.44</v>
      </c>
      <c r="G2254">
        <v>7.46</v>
      </c>
      <c r="H2254">
        <v>149799</v>
      </c>
      <c r="I2254">
        <v>153</v>
      </c>
      <c r="J2254">
        <v>0.27</v>
      </c>
      <c r="K2254">
        <v>0.42</v>
      </c>
      <c r="L2254">
        <v>7.25</v>
      </c>
      <c r="M2254">
        <v>7.46</v>
      </c>
      <c r="N2254">
        <v>7.25</v>
      </c>
      <c r="O2254">
        <v>7.24</v>
      </c>
      <c r="P2254">
        <v>13.1</v>
      </c>
      <c r="Q2254">
        <v>110171424</v>
      </c>
      <c r="R2254">
        <v>2.69</v>
      </c>
      <c r="S2254" t="s">
        <v>622</v>
      </c>
      <c r="T2254" t="s">
        <v>149</v>
      </c>
      <c r="U2254">
        <v>2.9</v>
      </c>
      <c r="V2254">
        <v>7.35</v>
      </c>
      <c r="W2254">
        <v>66598</v>
      </c>
      <c r="X2254">
        <v>83200</v>
      </c>
      <c r="Y2254">
        <v>0.8</v>
      </c>
      <c r="Z2254">
        <v>123</v>
      </c>
      <c r="AA2254">
        <v>776</v>
      </c>
      <c r="AB2254" t="s">
        <v>32</v>
      </c>
      <c r="AC2254">
        <v>35.81</v>
      </c>
    </row>
    <row r="2255" spans="1:29">
      <c r="A2255" t="str">
        <f>"600178"</f>
        <v>600178</v>
      </c>
      <c r="B2255" t="s">
        <v>2425</v>
      </c>
      <c r="C2255">
        <v>1.2</v>
      </c>
      <c r="D2255">
        <v>5.05</v>
      </c>
      <c r="E2255">
        <v>0.06</v>
      </c>
      <c r="F2255">
        <v>5.04</v>
      </c>
      <c r="G2255">
        <v>5.05</v>
      </c>
      <c r="H2255">
        <v>54483</v>
      </c>
      <c r="I2255">
        <v>28</v>
      </c>
      <c r="J2255">
        <v>0.4</v>
      </c>
      <c r="K2255">
        <v>1.18</v>
      </c>
      <c r="L2255">
        <v>4.91</v>
      </c>
      <c r="M2255">
        <v>5.2</v>
      </c>
      <c r="N2255">
        <v>4.88</v>
      </c>
      <c r="O2255">
        <v>4.99</v>
      </c>
      <c r="P2255">
        <v>155.23</v>
      </c>
      <c r="Q2255">
        <v>27314150</v>
      </c>
      <c r="R2255">
        <v>1.94</v>
      </c>
      <c r="S2255" t="s">
        <v>80</v>
      </c>
      <c r="T2255" t="s">
        <v>297</v>
      </c>
      <c r="U2255">
        <v>6.41</v>
      </c>
      <c r="V2255">
        <v>5.01</v>
      </c>
      <c r="W2255">
        <v>29785</v>
      </c>
      <c r="X2255">
        <v>24697</v>
      </c>
      <c r="Y2255">
        <v>1.21</v>
      </c>
      <c r="Z2255">
        <v>100</v>
      </c>
      <c r="AA2255">
        <v>99</v>
      </c>
      <c r="AB2255" t="s">
        <v>32</v>
      </c>
      <c r="AC2255">
        <v>4.62</v>
      </c>
    </row>
    <row r="2256" spans="1:29">
      <c r="A2256" t="str">
        <f>"600179"</f>
        <v>600179</v>
      </c>
      <c r="B2256" t="s">
        <v>2426</v>
      </c>
      <c r="C2256">
        <v>0</v>
      </c>
      <c r="D2256">
        <v>10.14</v>
      </c>
      <c r="E2256">
        <v>0</v>
      </c>
      <c r="F2256">
        <v>10.14</v>
      </c>
      <c r="G2256">
        <v>10.15</v>
      </c>
      <c r="H2256">
        <v>28388</v>
      </c>
      <c r="I2256">
        <v>5</v>
      </c>
      <c r="J2256">
        <v>0</v>
      </c>
      <c r="K2256">
        <v>0.42</v>
      </c>
      <c r="L2256">
        <v>10.14</v>
      </c>
      <c r="M2256">
        <v>10.28</v>
      </c>
      <c r="N2256">
        <v>10.01</v>
      </c>
      <c r="O2256">
        <v>10.14</v>
      </c>
      <c r="P2256">
        <v>22.16</v>
      </c>
      <c r="Q2256">
        <v>28846492</v>
      </c>
      <c r="R2256">
        <v>0.65</v>
      </c>
      <c r="S2256" t="s">
        <v>742</v>
      </c>
      <c r="T2256" t="s">
        <v>297</v>
      </c>
      <c r="U2256">
        <v>2.66</v>
      </c>
      <c r="V2256">
        <v>10.16</v>
      </c>
      <c r="W2256">
        <v>14625</v>
      </c>
      <c r="X2256">
        <v>13763</v>
      </c>
      <c r="Y2256">
        <v>1.06</v>
      </c>
      <c r="Z2256">
        <v>3</v>
      </c>
      <c r="AA2256">
        <v>107</v>
      </c>
      <c r="AB2256" t="s">
        <v>32</v>
      </c>
      <c r="AC2256">
        <v>6.74</v>
      </c>
    </row>
    <row r="2257" spans="1:29">
      <c r="A2257" t="str">
        <f>"600180"</f>
        <v>600180</v>
      </c>
      <c r="B2257" t="s">
        <v>2427</v>
      </c>
      <c r="C2257">
        <v>1.94</v>
      </c>
      <c r="D2257">
        <v>9.48</v>
      </c>
      <c r="E2257">
        <v>0.18</v>
      </c>
      <c r="F2257">
        <v>9.46</v>
      </c>
      <c r="G2257">
        <v>9.47</v>
      </c>
      <c r="H2257">
        <v>21533</v>
      </c>
      <c r="I2257">
        <v>55</v>
      </c>
      <c r="J2257">
        <v>0</v>
      </c>
      <c r="K2257">
        <v>0.21</v>
      </c>
      <c r="L2257">
        <v>9.35</v>
      </c>
      <c r="M2257">
        <v>9.53</v>
      </c>
      <c r="N2257">
        <v>9.33</v>
      </c>
      <c r="O2257">
        <v>9.3</v>
      </c>
      <c r="P2257">
        <v>9.25</v>
      </c>
      <c r="Q2257">
        <v>20323940</v>
      </c>
      <c r="R2257">
        <v>1.63</v>
      </c>
      <c r="S2257" t="s">
        <v>742</v>
      </c>
      <c r="T2257" t="s">
        <v>162</v>
      </c>
      <c r="U2257">
        <v>2.15</v>
      </c>
      <c r="V2257">
        <v>9.44</v>
      </c>
      <c r="W2257">
        <v>10094</v>
      </c>
      <c r="X2257">
        <v>11439</v>
      </c>
      <c r="Y2257">
        <v>0.88</v>
      </c>
      <c r="Z2257">
        <v>49</v>
      </c>
      <c r="AA2257">
        <v>6</v>
      </c>
      <c r="AB2257" t="s">
        <v>32</v>
      </c>
      <c r="AC2257">
        <v>10.16</v>
      </c>
    </row>
    <row r="2258" spans="1:29">
      <c r="A2258" t="str">
        <f>"600182"</f>
        <v>600182</v>
      </c>
      <c r="B2258" t="s">
        <v>2428</v>
      </c>
      <c r="C2258">
        <v>0.61</v>
      </c>
      <c r="D2258">
        <v>24.61</v>
      </c>
      <c r="E2258">
        <v>0.15</v>
      </c>
      <c r="F2258">
        <v>24.59</v>
      </c>
      <c r="G2258">
        <v>24.6</v>
      </c>
      <c r="H2258">
        <v>10071</v>
      </c>
      <c r="I2258">
        <v>24</v>
      </c>
      <c r="J2258">
        <v>0.2</v>
      </c>
      <c r="K2258">
        <v>0.59</v>
      </c>
      <c r="L2258">
        <v>24.46</v>
      </c>
      <c r="M2258">
        <v>24.71</v>
      </c>
      <c r="N2258">
        <v>24.39</v>
      </c>
      <c r="O2258">
        <v>24.46</v>
      </c>
      <c r="P2258">
        <v>94.56</v>
      </c>
      <c r="Q2258">
        <v>24758668</v>
      </c>
      <c r="R2258">
        <v>0.93</v>
      </c>
      <c r="S2258" t="s">
        <v>80</v>
      </c>
      <c r="T2258" t="s">
        <v>297</v>
      </c>
      <c r="U2258">
        <v>1.31</v>
      </c>
      <c r="V2258">
        <v>24.58</v>
      </c>
      <c r="W2258">
        <v>4996</v>
      </c>
      <c r="X2258">
        <v>5075</v>
      </c>
      <c r="Y2258">
        <v>0.98</v>
      </c>
      <c r="Z2258">
        <v>6</v>
      </c>
      <c r="AA2258">
        <v>2</v>
      </c>
      <c r="AB2258" t="s">
        <v>32</v>
      </c>
      <c r="AC2258">
        <v>1.7</v>
      </c>
    </row>
    <row r="2259" spans="1:29">
      <c r="A2259" t="str">
        <f>"600183"</f>
        <v>600183</v>
      </c>
      <c r="B2259" t="s">
        <v>2429</v>
      </c>
      <c r="C2259">
        <v>0.19</v>
      </c>
      <c r="D2259">
        <v>10.6</v>
      </c>
      <c r="E2259">
        <v>0.02</v>
      </c>
      <c r="F2259">
        <v>10.6</v>
      </c>
      <c r="G2259">
        <v>10.61</v>
      </c>
      <c r="H2259">
        <v>206015</v>
      </c>
      <c r="I2259">
        <v>22</v>
      </c>
      <c r="J2259">
        <v>0</v>
      </c>
      <c r="K2259">
        <v>0.97</v>
      </c>
      <c r="L2259">
        <v>10.58</v>
      </c>
      <c r="M2259">
        <v>10.67</v>
      </c>
      <c r="N2259">
        <v>10.4</v>
      </c>
      <c r="O2259">
        <v>10.58</v>
      </c>
      <c r="P2259">
        <v>22.5</v>
      </c>
      <c r="Q2259">
        <v>217831360</v>
      </c>
      <c r="R2259">
        <v>0.67</v>
      </c>
      <c r="S2259" t="s">
        <v>63</v>
      </c>
      <c r="T2259" t="s">
        <v>136</v>
      </c>
      <c r="U2259">
        <v>2.55</v>
      </c>
      <c r="V2259">
        <v>10.57</v>
      </c>
      <c r="W2259">
        <v>97457</v>
      </c>
      <c r="X2259">
        <v>108557</v>
      </c>
      <c r="Y2259">
        <v>0.9</v>
      </c>
      <c r="Z2259">
        <v>54</v>
      </c>
      <c r="AA2259">
        <v>492</v>
      </c>
      <c r="AB2259" t="s">
        <v>32</v>
      </c>
      <c r="AC2259">
        <v>21.17</v>
      </c>
    </row>
    <row r="2260" spans="1:29">
      <c r="A2260" t="str">
        <f>"600184"</f>
        <v>600184</v>
      </c>
      <c r="B2260" t="s">
        <v>2430</v>
      </c>
      <c r="C2260">
        <v>1.38</v>
      </c>
      <c r="D2260">
        <v>13.25</v>
      </c>
      <c r="E2260">
        <v>0.18</v>
      </c>
      <c r="F2260">
        <v>13.25</v>
      </c>
      <c r="G2260">
        <v>13.26</v>
      </c>
      <c r="H2260">
        <v>20909</v>
      </c>
      <c r="I2260">
        <v>15</v>
      </c>
      <c r="J2260">
        <v>-0.37</v>
      </c>
      <c r="K2260">
        <v>0.5</v>
      </c>
      <c r="L2260">
        <v>13.05</v>
      </c>
      <c r="M2260">
        <v>13.55</v>
      </c>
      <c r="N2260">
        <v>13.01</v>
      </c>
      <c r="O2260">
        <v>13.07</v>
      </c>
      <c r="P2260">
        <v>523.2</v>
      </c>
      <c r="Q2260">
        <v>27775768</v>
      </c>
      <c r="R2260">
        <v>1.43</v>
      </c>
      <c r="S2260" t="s">
        <v>171</v>
      </c>
      <c r="T2260" t="s">
        <v>193</v>
      </c>
      <c r="U2260">
        <v>4.13</v>
      </c>
      <c r="V2260">
        <v>13.28</v>
      </c>
      <c r="W2260">
        <v>9900</v>
      </c>
      <c r="X2260">
        <v>11008</v>
      </c>
      <c r="Y2260">
        <v>0.9</v>
      </c>
      <c r="Z2260">
        <v>79</v>
      </c>
      <c r="AA2260">
        <v>59</v>
      </c>
      <c r="AB2260" t="s">
        <v>32</v>
      </c>
      <c r="AC2260">
        <v>4.19</v>
      </c>
    </row>
    <row r="2261" spans="1:29">
      <c r="A2261" t="str">
        <f>"600185"</f>
        <v>600185</v>
      </c>
      <c r="B2261" t="s">
        <v>2431</v>
      </c>
      <c r="C2261">
        <v>3.78</v>
      </c>
      <c r="D2261">
        <v>4.67</v>
      </c>
      <c r="E2261">
        <v>0.17</v>
      </c>
      <c r="F2261">
        <v>4.67</v>
      </c>
      <c r="G2261">
        <v>4.68</v>
      </c>
      <c r="H2261">
        <v>143558</v>
      </c>
      <c r="I2261">
        <v>1</v>
      </c>
      <c r="J2261">
        <v>-0.2</v>
      </c>
      <c r="K2261">
        <v>0.7</v>
      </c>
      <c r="L2261">
        <v>4.51</v>
      </c>
      <c r="M2261">
        <v>4.7</v>
      </c>
      <c r="N2261">
        <v>4.51</v>
      </c>
      <c r="O2261">
        <v>4.5</v>
      </c>
      <c r="P2261">
        <v>11.21</v>
      </c>
      <c r="Q2261">
        <v>66484848</v>
      </c>
      <c r="R2261">
        <v>2.46</v>
      </c>
      <c r="S2261" t="s">
        <v>40</v>
      </c>
      <c r="T2261" t="s">
        <v>136</v>
      </c>
      <c r="U2261">
        <v>4.22</v>
      </c>
      <c r="V2261">
        <v>4.63</v>
      </c>
      <c r="W2261">
        <v>60265</v>
      </c>
      <c r="X2261">
        <v>83292</v>
      </c>
      <c r="Y2261">
        <v>0.72</v>
      </c>
      <c r="Z2261">
        <v>406</v>
      </c>
      <c r="AA2261">
        <v>2502</v>
      </c>
      <c r="AB2261" t="s">
        <v>32</v>
      </c>
      <c r="AC2261">
        <v>20.6</v>
      </c>
    </row>
    <row r="2262" spans="1:29">
      <c r="A2262" t="str">
        <f>"600186"</f>
        <v>600186</v>
      </c>
      <c r="B2262" t="s">
        <v>2432</v>
      </c>
      <c r="C2262">
        <v>1.55</v>
      </c>
      <c r="D2262">
        <v>1.96</v>
      </c>
      <c r="E2262">
        <v>0.03</v>
      </c>
      <c r="F2262">
        <v>1.96</v>
      </c>
      <c r="G2262">
        <v>1.97</v>
      </c>
      <c r="H2262">
        <v>110666</v>
      </c>
      <c r="I2262">
        <v>4</v>
      </c>
      <c r="J2262">
        <v>0</v>
      </c>
      <c r="K2262">
        <v>1.04</v>
      </c>
      <c r="L2262">
        <v>1.93</v>
      </c>
      <c r="M2262">
        <v>1.97</v>
      </c>
      <c r="N2262">
        <v>1.92</v>
      </c>
      <c r="O2262">
        <v>1.93</v>
      </c>
      <c r="P2262" t="s">
        <v>32</v>
      </c>
      <c r="Q2262">
        <v>21598934</v>
      </c>
      <c r="R2262">
        <v>1.97</v>
      </c>
      <c r="S2262" t="s">
        <v>213</v>
      </c>
      <c r="T2262" t="s">
        <v>164</v>
      </c>
      <c r="U2262">
        <v>2.59</v>
      </c>
      <c r="V2262">
        <v>1.95</v>
      </c>
      <c r="W2262">
        <v>39724</v>
      </c>
      <c r="X2262">
        <v>70942</v>
      </c>
      <c r="Y2262">
        <v>0.56</v>
      </c>
      <c r="Z2262">
        <v>3213</v>
      </c>
      <c r="AA2262">
        <v>12554</v>
      </c>
      <c r="AB2262" t="s">
        <v>32</v>
      </c>
      <c r="AC2262">
        <v>10.62</v>
      </c>
    </row>
    <row r="2263" spans="1:29">
      <c r="A2263" t="str">
        <f>"600187"</f>
        <v>600187</v>
      </c>
      <c r="B2263" t="s">
        <v>2433</v>
      </c>
      <c r="C2263">
        <v>2.82</v>
      </c>
      <c r="D2263">
        <v>2.92</v>
      </c>
      <c r="E2263">
        <v>0.08</v>
      </c>
      <c r="F2263">
        <v>2.91</v>
      </c>
      <c r="G2263">
        <v>2.92</v>
      </c>
      <c r="H2263">
        <v>258912</v>
      </c>
      <c r="I2263">
        <v>102</v>
      </c>
      <c r="J2263">
        <v>0</v>
      </c>
      <c r="K2263">
        <v>1.78</v>
      </c>
      <c r="L2263">
        <v>2.84</v>
      </c>
      <c r="M2263">
        <v>3.05</v>
      </c>
      <c r="N2263">
        <v>2.83</v>
      </c>
      <c r="O2263">
        <v>2.84</v>
      </c>
      <c r="P2263" t="s">
        <v>32</v>
      </c>
      <c r="Q2263">
        <v>76045288</v>
      </c>
      <c r="R2263">
        <v>2.32</v>
      </c>
      <c r="S2263" t="s">
        <v>308</v>
      </c>
      <c r="T2263" t="s">
        <v>297</v>
      </c>
      <c r="U2263">
        <v>7.75</v>
      </c>
      <c r="V2263">
        <v>2.94</v>
      </c>
      <c r="W2263">
        <v>118984</v>
      </c>
      <c r="X2263">
        <v>139928</v>
      </c>
      <c r="Y2263">
        <v>0.85</v>
      </c>
      <c r="Z2263">
        <v>244</v>
      </c>
      <c r="AA2263">
        <v>483</v>
      </c>
      <c r="AB2263" t="s">
        <v>32</v>
      </c>
      <c r="AC2263">
        <v>14.56</v>
      </c>
    </row>
    <row r="2264" spans="1:29">
      <c r="A2264" t="str">
        <f>"600188"</f>
        <v>600188</v>
      </c>
      <c r="B2264" t="s">
        <v>2434</v>
      </c>
      <c r="C2264">
        <v>4.4</v>
      </c>
      <c r="D2264">
        <v>12.34</v>
      </c>
      <c r="E2264">
        <v>0.52</v>
      </c>
      <c r="F2264">
        <v>12.32</v>
      </c>
      <c r="G2264">
        <v>12.33</v>
      </c>
      <c r="H2264">
        <v>686632</v>
      </c>
      <c r="I2264">
        <v>10</v>
      </c>
      <c r="J2264">
        <v>0.08</v>
      </c>
      <c r="K2264">
        <v>2.32</v>
      </c>
      <c r="L2264">
        <v>11.83</v>
      </c>
      <c r="M2264">
        <v>12.45</v>
      </c>
      <c r="N2264">
        <v>11.83</v>
      </c>
      <c r="O2264">
        <v>11.82</v>
      </c>
      <c r="P2264">
        <v>6.8</v>
      </c>
      <c r="Q2264">
        <v>836493952</v>
      </c>
      <c r="R2264">
        <v>1.83</v>
      </c>
      <c r="S2264" t="s">
        <v>265</v>
      </c>
      <c r="T2264" t="s">
        <v>162</v>
      </c>
      <c r="U2264">
        <v>5.25</v>
      </c>
      <c r="V2264">
        <v>12.18</v>
      </c>
      <c r="W2264">
        <v>327128</v>
      </c>
      <c r="X2264">
        <v>359503</v>
      </c>
      <c r="Y2264">
        <v>0.91</v>
      </c>
      <c r="Z2264">
        <v>570</v>
      </c>
      <c r="AA2264">
        <v>651</v>
      </c>
      <c r="AB2264" t="s">
        <v>32</v>
      </c>
      <c r="AC2264">
        <v>29.6</v>
      </c>
    </row>
    <row r="2265" spans="1:29">
      <c r="A2265" t="str">
        <f>"600189"</f>
        <v>600189</v>
      </c>
      <c r="B2265" t="s">
        <v>2435</v>
      </c>
      <c r="C2265">
        <v>2.2</v>
      </c>
      <c r="D2265">
        <v>4.65</v>
      </c>
      <c r="E2265">
        <v>0.1</v>
      </c>
      <c r="F2265">
        <v>4.64</v>
      </c>
      <c r="G2265">
        <v>4.65</v>
      </c>
      <c r="H2265">
        <v>23129</v>
      </c>
      <c r="I2265">
        <v>16</v>
      </c>
      <c r="J2265">
        <v>-0.2</v>
      </c>
      <c r="K2265">
        <v>0.57</v>
      </c>
      <c r="L2265">
        <v>4.51</v>
      </c>
      <c r="M2265">
        <v>4.66</v>
      </c>
      <c r="N2265">
        <v>4.51</v>
      </c>
      <c r="O2265">
        <v>4.55</v>
      </c>
      <c r="P2265">
        <v>44.85</v>
      </c>
      <c r="Q2265">
        <v>10634587</v>
      </c>
      <c r="R2265">
        <v>1.66</v>
      </c>
      <c r="S2265" t="s">
        <v>302</v>
      </c>
      <c r="T2265" t="s">
        <v>81</v>
      </c>
      <c r="U2265">
        <v>3.3</v>
      </c>
      <c r="V2265">
        <v>4.6</v>
      </c>
      <c r="W2265">
        <v>8278</v>
      </c>
      <c r="X2265">
        <v>14851</v>
      </c>
      <c r="Y2265">
        <v>0.56</v>
      </c>
      <c r="Z2265">
        <v>224</v>
      </c>
      <c r="AA2265">
        <v>202</v>
      </c>
      <c r="AB2265" t="s">
        <v>32</v>
      </c>
      <c r="AC2265">
        <v>4.04</v>
      </c>
    </row>
    <row r="2266" spans="1:29">
      <c r="A2266" t="str">
        <f>"600190"</f>
        <v>600190</v>
      </c>
      <c r="B2266" t="s">
        <v>2436</v>
      </c>
      <c r="C2266">
        <v>1.59</v>
      </c>
      <c r="D2266">
        <v>3.2</v>
      </c>
      <c r="E2266">
        <v>0.05</v>
      </c>
      <c r="F2266">
        <v>3.19</v>
      </c>
      <c r="G2266">
        <v>3.21</v>
      </c>
      <c r="H2266">
        <v>23149</v>
      </c>
      <c r="I2266">
        <v>387</v>
      </c>
      <c r="J2266">
        <v>-0.3</v>
      </c>
      <c r="K2266">
        <v>0.13</v>
      </c>
      <c r="L2266">
        <v>3.13</v>
      </c>
      <c r="M2266">
        <v>3.23</v>
      </c>
      <c r="N2266">
        <v>3.13</v>
      </c>
      <c r="O2266">
        <v>3.15</v>
      </c>
      <c r="P2266">
        <v>36.34</v>
      </c>
      <c r="Q2266">
        <v>7392737</v>
      </c>
      <c r="R2266">
        <v>1.82</v>
      </c>
      <c r="S2266" t="s">
        <v>67</v>
      </c>
      <c r="T2266" t="s">
        <v>111</v>
      </c>
      <c r="U2266">
        <v>3.17</v>
      </c>
      <c r="V2266">
        <v>3.19</v>
      </c>
      <c r="W2266">
        <v>8837</v>
      </c>
      <c r="X2266">
        <v>14312</v>
      </c>
      <c r="Y2266">
        <v>0.62</v>
      </c>
      <c r="Z2266">
        <v>529</v>
      </c>
      <c r="AA2266">
        <v>550</v>
      </c>
      <c r="AB2266" t="s">
        <v>32</v>
      </c>
      <c r="AC2266">
        <v>17.79</v>
      </c>
    </row>
    <row r="2267" spans="1:29">
      <c r="A2267" t="str">
        <f>"600191"</f>
        <v>600191</v>
      </c>
      <c r="B2267" t="s">
        <v>2437</v>
      </c>
      <c r="C2267">
        <v>5.31</v>
      </c>
      <c r="D2267">
        <v>4.96</v>
      </c>
      <c r="E2267">
        <v>0.25</v>
      </c>
      <c r="F2267">
        <v>4.94</v>
      </c>
      <c r="G2267">
        <v>4.95</v>
      </c>
      <c r="H2267">
        <v>95754</v>
      </c>
      <c r="I2267">
        <v>40</v>
      </c>
      <c r="J2267">
        <v>0.2</v>
      </c>
      <c r="K2267">
        <v>1.97</v>
      </c>
      <c r="L2267">
        <v>4.74</v>
      </c>
      <c r="M2267">
        <v>5.1</v>
      </c>
      <c r="N2267">
        <v>4.68</v>
      </c>
      <c r="O2267">
        <v>4.71</v>
      </c>
      <c r="P2267" t="s">
        <v>32</v>
      </c>
      <c r="Q2267">
        <v>47036120</v>
      </c>
      <c r="R2267">
        <v>2.83</v>
      </c>
      <c r="S2267" t="s">
        <v>213</v>
      </c>
      <c r="T2267" t="s">
        <v>198</v>
      </c>
      <c r="U2267">
        <v>8.92</v>
      </c>
      <c r="V2267">
        <v>4.91</v>
      </c>
      <c r="W2267">
        <v>38699</v>
      </c>
      <c r="X2267">
        <v>57054</v>
      </c>
      <c r="Y2267">
        <v>0.68</v>
      </c>
      <c r="Z2267">
        <v>531</v>
      </c>
      <c r="AA2267">
        <v>83</v>
      </c>
      <c r="AB2267" t="s">
        <v>32</v>
      </c>
      <c r="AC2267">
        <v>4.85</v>
      </c>
    </row>
    <row r="2268" spans="1:29">
      <c r="A2268" t="str">
        <f>"600192"</f>
        <v>600192</v>
      </c>
      <c r="B2268" t="s">
        <v>2438</v>
      </c>
      <c r="C2268">
        <v>1.25</v>
      </c>
      <c r="D2268">
        <v>4.85</v>
      </c>
      <c r="E2268">
        <v>0.06</v>
      </c>
      <c r="F2268">
        <v>4.85</v>
      </c>
      <c r="G2268">
        <v>4.86</v>
      </c>
      <c r="H2268">
        <v>34705</v>
      </c>
      <c r="I2268">
        <v>2</v>
      </c>
      <c r="J2268">
        <v>0.21</v>
      </c>
      <c r="K2268">
        <v>0.79</v>
      </c>
      <c r="L2268">
        <v>4.77</v>
      </c>
      <c r="M2268">
        <v>4.87</v>
      </c>
      <c r="N2268">
        <v>4.75</v>
      </c>
      <c r="O2268">
        <v>4.79</v>
      </c>
      <c r="P2268">
        <v>227.05</v>
      </c>
      <c r="Q2268">
        <v>16760283</v>
      </c>
      <c r="R2268">
        <v>1.06</v>
      </c>
      <c r="S2268" t="s">
        <v>104</v>
      </c>
      <c r="T2268" t="s">
        <v>266</v>
      </c>
      <c r="U2268">
        <v>2.51</v>
      </c>
      <c r="V2268">
        <v>4.83</v>
      </c>
      <c r="W2268">
        <v>16394</v>
      </c>
      <c r="X2268">
        <v>18310</v>
      </c>
      <c r="Y2268">
        <v>0.9</v>
      </c>
      <c r="Z2268">
        <v>115</v>
      </c>
      <c r="AA2268">
        <v>505</v>
      </c>
      <c r="AB2268" t="s">
        <v>32</v>
      </c>
      <c r="AC2268">
        <v>4.42</v>
      </c>
    </row>
    <row r="2269" spans="1:29">
      <c r="A2269" t="str">
        <f>"600193"</f>
        <v>600193</v>
      </c>
      <c r="B2269" t="s">
        <v>2439</v>
      </c>
      <c r="C2269">
        <v>1.57</v>
      </c>
      <c r="D2269">
        <v>2.59</v>
      </c>
      <c r="E2269">
        <v>0.04</v>
      </c>
      <c r="F2269">
        <v>2.59</v>
      </c>
      <c r="G2269">
        <v>2.6</v>
      </c>
      <c r="H2269">
        <v>26227</v>
      </c>
      <c r="I2269">
        <v>50</v>
      </c>
      <c r="J2269">
        <v>0.39</v>
      </c>
      <c r="K2269">
        <v>0.62</v>
      </c>
      <c r="L2269">
        <v>2.55</v>
      </c>
      <c r="M2269">
        <v>2.6</v>
      </c>
      <c r="N2269">
        <v>2.54</v>
      </c>
      <c r="O2269">
        <v>2.55</v>
      </c>
      <c r="P2269" t="s">
        <v>32</v>
      </c>
      <c r="Q2269">
        <v>6752821</v>
      </c>
      <c r="R2269">
        <v>1.33</v>
      </c>
      <c r="S2269" t="s">
        <v>59</v>
      </c>
      <c r="T2269" t="s">
        <v>366</v>
      </c>
      <c r="U2269">
        <v>2.35</v>
      </c>
      <c r="V2269">
        <v>2.57</v>
      </c>
      <c r="W2269">
        <v>14091</v>
      </c>
      <c r="X2269">
        <v>12136</v>
      </c>
      <c r="Y2269">
        <v>1.16</v>
      </c>
      <c r="Z2269">
        <v>440</v>
      </c>
      <c r="AA2269">
        <v>1781</v>
      </c>
      <c r="AB2269" t="s">
        <v>32</v>
      </c>
      <c r="AC2269">
        <v>4.25</v>
      </c>
    </row>
    <row r="2270" spans="1:29">
      <c r="A2270" t="str">
        <f>"600195"</f>
        <v>600195</v>
      </c>
      <c r="B2270" t="s">
        <v>2440</v>
      </c>
      <c r="C2270">
        <v>2.87</v>
      </c>
      <c r="D2270">
        <v>13.99</v>
      </c>
      <c r="E2270">
        <v>0.39</v>
      </c>
      <c r="F2270">
        <v>13.98</v>
      </c>
      <c r="G2270">
        <v>13.99</v>
      </c>
      <c r="H2270">
        <v>76804</v>
      </c>
      <c r="I2270">
        <v>8</v>
      </c>
      <c r="J2270">
        <v>0.07</v>
      </c>
      <c r="K2270">
        <v>1.28</v>
      </c>
      <c r="L2270">
        <v>13.62</v>
      </c>
      <c r="M2270">
        <v>14.06</v>
      </c>
      <c r="N2270">
        <v>13.55</v>
      </c>
      <c r="O2270">
        <v>13.6</v>
      </c>
      <c r="P2270">
        <v>16.85</v>
      </c>
      <c r="Q2270">
        <v>106391816</v>
      </c>
      <c r="R2270">
        <v>1.6</v>
      </c>
      <c r="S2270" t="s">
        <v>102</v>
      </c>
      <c r="T2270" t="s">
        <v>45</v>
      </c>
      <c r="U2270">
        <v>3.75</v>
      </c>
      <c r="V2270">
        <v>13.85</v>
      </c>
      <c r="W2270">
        <v>38391</v>
      </c>
      <c r="X2270">
        <v>38412</v>
      </c>
      <c r="Y2270">
        <v>1</v>
      </c>
      <c r="Z2270">
        <v>17</v>
      </c>
      <c r="AA2270">
        <v>349</v>
      </c>
      <c r="AB2270" t="s">
        <v>32</v>
      </c>
      <c r="AC2270">
        <v>6.02</v>
      </c>
    </row>
    <row r="2271" spans="1:29">
      <c r="A2271" t="str">
        <f>"600196"</f>
        <v>600196</v>
      </c>
      <c r="B2271" t="s">
        <v>2441</v>
      </c>
      <c r="C2271">
        <v>2.74</v>
      </c>
      <c r="D2271">
        <v>38.94</v>
      </c>
      <c r="E2271">
        <v>1.04</v>
      </c>
      <c r="F2271">
        <v>38.94</v>
      </c>
      <c r="G2271">
        <v>38.96</v>
      </c>
      <c r="H2271">
        <v>312399</v>
      </c>
      <c r="I2271">
        <v>6</v>
      </c>
      <c r="J2271">
        <v>0.08</v>
      </c>
      <c r="K2271">
        <v>1.64</v>
      </c>
      <c r="L2271">
        <v>37.8</v>
      </c>
      <c r="M2271">
        <v>39.45</v>
      </c>
      <c r="N2271">
        <v>37.51</v>
      </c>
      <c r="O2271">
        <v>37.9</v>
      </c>
      <c r="P2271">
        <v>34.41</v>
      </c>
      <c r="Q2271">
        <v>1208780800</v>
      </c>
      <c r="R2271">
        <v>1.35</v>
      </c>
      <c r="S2271" t="s">
        <v>142</v>
      </c>
      <c r="T2271" t="s">
        <v>366</v>
      </c>
      <c r="U2271">
        <v>5.12</v>
      </c>
      <c r="V2271">
        <v>38.69</v>
      </c>
      <c r="W2271">
        <v>169862</v>
      </c>
      <c r="X2271">
        <v>142536</v>
      </c>
      <c r="Y2271">
        <v>1.19</v>
      </c>
      <c r="Z2271">
        <v>618</v>
      </c>
      <c r="AA2271">
        <v>60</v>
      </c>
      <c r="AB2271" t="s">
        <v>32</v>
      </c>
      <c r="AC2271">
        <v>19.1</v>
      </c>
    </row>
    <row r="2272" spans="1:29">
      <c r="A2272" t="str">
        <f>"600197"</f>
        <v>600197</v>
      </c>
      <c r="B2272" t="s">
        <v>2442</v>
      </c>
      <c r="C2272">
        <v>5.56</v>
      </c>
      <c r="D2272">
        <v>23.94</v>
      </c>
      <c r="E2272">
        <v>1.26</v>
      </c>
      <c r="F2272">
        <v>23.92</v>
      </c>
      <c r="G2272">
        <v>23.94</v>
      </c>
      <c r="H2272">
        <v>94994</v>
      </c>
      <c r="I2272">
        <v>66</v>
      </c>
      <c r="J2272">
        <v>-0.16</v>
      </c>
      <c r="K2272">
        <v>2.15</v>
      </c>
      <c r="L2272">
        <v>22.83</v>
      </c>
      <c r="M2272">
        <v>24.2</v>
      </c>
      <c r="N2272">
        <v>22.48</v>
      </c>
      <c r="O2272">
        <v>22.68</v>
      </c>
      <c r="P2272">
        <v>21.88</v>
      </c>
      <c r="Q2272">
        <v>222898112</v>
      </c>
      <c r="R2272">
        <v>1.3</v>
      </c>
      <c r="S2272" t="s">
        <v>285</v>
      </c>
      <c r="T2272" t="s">
        <v>156</v>
      </c>
      <c r="U2272">
        <v>7.58</v>
      </c>
      <c r="V2272">
        <v>23.46</v>
      </c>
      <c r="W2272">
        <v>36594</v>
      </c>
      <c r="X2272">
        <v>58400</v>
      </c>
      <c r="Y2272">
        <v>0.63</v>
      </c>
      <c r="Z2272">
        <v>12</v>
      </c>
      <c r="AA2272">
        <v>34</v>
      </c>
      <c r="AB2272" t="s">
        <v>32</v>
      </c>
      <c r="AC2272">
        <v>4.41</v>
      </c>
    </row>
    <row r="2273" spans="1:29">
      <c r="A2273" t="str">
        <f>"600198"</f>
        <v>600198</v>
      </c>
      <c r="B2273" t="s">
        <v>2443</v>
      </c>
      <c r="C2273">
        <v>0.33</v>
      </c>
      <c r="D2273">
        <v>6.14</v>
      </c>
      <c r="E2273">
        <v>0.02</v>
      </c>
      <c r="F2273">
        <v>6.13</v>
      </c>
      <c r="G2273">
        <v>6.14</v>
      </c>
      <c r="H2273">
        <v>98124</v>
      </c>
      <c r="I2273">
        <v>2</v>
      </c>
      <c r="J2273">
        <v>0</v>
      </c>
      <c r="K2273">
        <v>1.12</v>
      </c>
      <c r="L2273">
        <v>6.12</v>
      </c>
      <c r="M2273">
        <v>6.2</v>
      </c>
      <c r="N2273">
        <v>6.03</v>
      </c>
      <c r="O2273">
        <v>6.12</v>
      </c>
      <c r="P2273" t="s">
        <v>32</v>
      </c>
      <c r="Q2273">
        <v>59948612</v>
      </c>
      <c r="R2273">
        <v>1.64</v>
      </c>
      <c r="S2273" t="s">
        <v>119</v>
      </c>
      <c r="T2273" t="s">
        <v>45</v>
      </c>
      <c r="U2273">
        <v>2.78</v>
      </c>
      <c r="V2273">
        <v>6.11</v>
      </c>
      <c r="W2273">
        <v>51027</v>
      </c>
      <c r="X2273">
        <v>47097</v>
      </c>
      <c r="Y2273">
        <v>1.08</v>
      </c>
      <c r="Z2273">
        <v>1010</v>
      </c>
      <c r="AA2273">
        <v>233</v>
      </c>
      <c r="AB2273" t="s">
        <v>32</v>
      </c>
      <c r="AC2273">
        <v>8.75</v>
      </c>
    </row>
    <row r="2274" spans="1:29">
      <c r="A2274" t="str">
        <f>"600199"</f>
        <v>600199</v>
      </c>
      <c r="B2274" t="s">
        <v>2444</v>
      </c>
      <c r="C2274">
        <v>3.14</v>
      </c>
      <c r="D2274">
        <v>6.25</v>
      </c>
      <c r="E2274">
        <v>0.19</v>
      </c>
      <c r="F2274">
        <v>6.25</v>
      </c>
      <c r="G2274">
        <v>6.26</v>
      </c>
      <c r="H2274">
        <v>131904</v>
      </c>
      <c r="I2274">
        <v>6</v>
      </c>
      <c r="J2274">
        <v>0.16</v>
      </c>
      <c r="K2274">
        <v>2.37</v>
      </c>
      <c r="L2274">
        <v>6.01</v>
      </c>
      <c r="M2274">
        <v>6.28</v>
      </c>
      <c r="N2274">
        <v>6</v>
      </c>
      <c r="O2274">
        <v>6.06</v>
      </c>
      <c r="P2274">
        <v>117.44</v>
      </c>
      <c r="Q2274">
        <v>81195368</v>
      </c>
      <c r="R2274">
        <v>2.14</v>
      </c>
      <c r="S2274" t="s">
        <v>285</v>
      </c>
      <c r="T2274" t="s">
        <v>143</v>
      </c>
      <c r="U2274">
        <v>4.62</v>
      </c>
      <c r="V2274">
        <v>6.16</v>
      </c>
      <c r="W2274">
        <v>47941</v>
      </c>
      <c r="X2274">
        <v>83963</v>
      </c>
      <c r="Y2274">
        <v>0.57</v>
      </c>
      <c r="Z2274">
        <v>49</v>
      </c>
      <c r="AA2274">
        <v>766</v>
      </c>
      <c r="AB2274" t="s">
        <v>32</v>
      </c>
      <c r="AC2274">
        <v>5.56</v>
      </c>
    </row>
    <row r="2275" spans="1:29">
      <c r="A2275" t="str">
        <f>"600200"</f>
        <v>600200</v>
      </c>
      <c r="B2275" t="s">
        <v>2445</v>
      </c>
      <c r="C2275">
        <v>3.03</v>
      </c>
      <c r="D2275">
        <v>7.49</v>
      </c>
      <c r="E2275">
        <v>0.22</v>
      </c>
      <c r="F2275">
        <v>7.49</v>
      </c>
      <c r="G2275">
        <v>7.5</v>
      </c>
      <c r="H2275">
        <v>68418</v>
      </c>
      <c r="I2275">
        <v>10</v>
      </c>
      <c r="J2275">
        <v>-0.39</v>
      </c>
      <c r="K2275">
        <v>0.96</v>
      </c>
      <c r="L2275">
        <v>7.3</v>
      </c>
      <c r="M2275">
        <v>7.54</v>
      </c>
      <c r="N2275">
        <v>7.27</v>
      </c>
      <c r="O2275">
        <v>7.27</v>
      </c>
      <c r="P2275">
        <v>64.55</v>
      </c>
      <c r="Q2275">
        <v>50867100</v>
      </c>
      <c r="R2275">
        <v>1.7</v>
      </c>
      <c r="S2275" t="s">
        <v>47</v>
      </c>
      <c r="T2275" t="s">
        <v>87</v>
      </c>
      <c r="U2275">
        <v>3.71</v>
      </c>
      <c r="V2275">
        <v>7.43</v>
      </c>
      <c r="W2275">
        <v>26293</v>
      </c>
      <c r="X2275">
        <v>42125</v>
      </c>
      <c r="Y2275">
        <v>0.62</v>
      </c>
      <c r="Z2275">
        <v>28</v>
      </c>
      <c r="AA2275">
        <v>121</v>
      </c>
      <c r="AB2275" t="s">
        <v>32</v>
      </c>
      <c r="AC2275">
        <v>7.15</v>
      </c>
    </row>
    <row r="2276" spans="1:29">
      <c r="A2276" t="str">
        <f>"600201"</f>
        <v>600201</v>
      </c>
      <c r="B2276" t="s">
        <v>2446</v>
      </c>
      <c r="C2276">
        <v>4.01</v>
      </c>
      <c r="D2276">
        <v>16.87</v>
      </c>
      <c r="E2276">
        <v>0.65</v>
      </c>
      <c r="F2276">
        <v>16.83</v>
      </c>
      <c r="G2276">
        <v>16.84</v>
      </c>
      <c r="H2276">
        <v>121333</v>
      </c>
      <c r="I2276">
        <v>28</v>
      </c>
      <c r="J2276">
        <v>-0.17</v>
      </c>
      <c r="K2276">
        <v>1.07</v>
      </c>
      <c r="L2276">
        <v>16.11</v>
      </c>
      <c r="M2276">
        <v>17.22</v>
      </c>
      <c r="N2276">
        <v>16.03</v>
      </c>
      <c r="O2276">
        <v>16.22</v>
      </c>
      <c r="P2276">
        <v>16.66</v>
      </c>
      <c r="Q2276">
        <v>202646912</v>
      </c>
      <c r="R2276">
        <v>1.4</v>
      </c>
      <c r="S2276" t="s">
        <v>36</v>
      </c>
      <c r="T2276" t="s">
        <v>198</v>
      </c>
      <c r="U2276">
        <v>7.34</v>
      </c>
      <c r="V2276">
        <v>16.7</v>
      </c>
      <c r="W2276">
        <v>61662</v>
      </c>
      <c r="X2276">
        <v>59671</v>
      </c>
      <c r="Y2276">
        <v>1.03</v>
      </c>
      <c r="Z2276">
        <v>14</v>
      </c>
      <c r="AA2276">
        <v>47</v>
      </c>
      <c r="AB2276" t="s">
        <v>32</v>
      </c>
      <c r="AC2276">
        <v>11.37</v>
      </c>
    </row>
    <row r="2277" spans="1:29">
      <c r="A2277" t="str">
        <f>"600202"</f>
        <v>600202</v>
      </c>
      <c r="B2277" t="s">
        <v>2447</v>
      </c>
      <c r="C2277">
        <v>1.76</v>
      </c>
      <c r="D2277">
        <v>3.47</v>
      </c>
      <c r="E2277">
        <v>0.06</v>
      </c>
      <c r="F2277">
        <v>3.46</v>
      </c>
      <c r="G2277">
        <v>3.47</v>
      </c>
      <c r="H2277">
        <v>18328</v>
      </c>
      <c r="I2277">
        <v>14</v>
      </c>
      <c r="J2277">
        <v>0.29</v>
      </c>
      <c r="K2277">
        <v>0.48</v>
      </c>
      <c r="L2277">
        <v>3.41</v>
      </c>
      <c r="M2277">
        <v>3.47</v>
      </c>
      <c r="N2277">
        <v>3.4</v>
      </c>
      <c r="O2277">
        <v>3.41</v>
      </c>
      <c r="P2277" t="s">
        <v>32</v>
      </c>
      <c r="Q2277">
        <v>6318801</v>
      </c>
      <c r="R2277">
        <v>0.83</v>
      </c>
      <c r="S2277" t="s">
        <v>104</v>
      </c>
      <c r="T2277" t="s">
        <v>297</v>
      </c>
      <c r="U2277">
        <v>2.05</v>
      </c>
      <c r="V2277">
        <v>3.45</v>
      </c>
      <c r="W2277">
        <v>7064</v>
      </c>
      <c r="X2277">
        <v>11263</v>
      </c>
      <c r="Y2277">
        <v>0.63</v>
      </c>
      <c r="Z2277">
        <v>275</v>
      </c>
      <c r="AA2277">
        <v>139</v>
      </c>
      <c r="AB2277" t="s">
        <v>32</v>
      </c>
      <c r="AC2277">
        <v>3.83</v>
      </c>
    </row>
    <row r="2278" spans="1:29">
      <c r="A2278" t="str">
        <f>"600203"</f>
        <v>600203</v>
      </c>
      <c r="B2278" t="s">
        <v>2448</v>
      </c>
      <c r="C2278">
        <v>2.7</v>
      </c>
      <c r="D2278">
        <v>6.08</v>
      </c>
      <c r="E2278">
        <v>0.16</v>
      </c>
      <c r="F2278">
        <v>6.07</v>
      </c>
      <c r="G2278">
        <v>6.08</v>
      </c>
      <c r="H2278">
        <v>174077</v>
      </c>
      <c r="I2278">
        <v>70</v>
      </c>
      <c r="J2278">
        <v>0</v>
      </c>
      <c r="K2278">
        <v>4.83</v>
      </c>
      <c r="L2278">
        <v>5.91</v>
      </c>
      <c r="M2278">
        <v>6.12</v>
      </c>
      <c r="N2278">
        <v>5.89</v>
      </c>
      <c r="O2278">
        <v>5.92</v>
      </c>
      <c r="P2278">
        <v>21.53</v>
      </c>
      <c r="Q2278">
        <v>104604208</v>
      </c>
      <c r="R2278">
        <v>0.84</v>
      </c>
      <c r="S2278" t="s">
        <v>63</v>
      </c>
      <c r="T2278" t="s">
        <v>236</v>
      </c>
      <c r="U2278">
        <v>3.89</v>
      </c>
      <c r="V2278">
        <v>6.01</v>
      </c>
      <c r="W2278">
        <v>71248</v>
      </c>
      <c r="X2278">
        <v>102828</v>
      </c>
      <c r="Y2278">
        <v>0.69</v>
      </c>
      <c r="Z2278">
        <v>1024</v>
      </c>
      <c r="AA2278">
        <v>30</v>
      </c>
      <c r="AB2278" t="s">
        <v>32</v>
      </c>
      <c r="AC2278">
        <v>3.6</v>
      </c>
    </row>
    <row r="2279" spans="1:29">
      <c r="A2279" t="str">
        <f>"600206"</f>
        <v>600206</v>
      </c>
      <c r="B2279" t="s">
        <v>2449</v>
      </c>
      <c r="C2279">
        <v>1.25</v>
      </c>
      <c r="D2279">
        <v>8.94</v>
      </c>
      <c r="E2279">
        <v>0.11</v>
      </c>
      <c r="F2279">
        <v>8.93</v>
      </c>
      <c r="G2279">
        <v>8.94</v>
      </c>
      <c r="H2279">
        <v>187454</v>
      </c>
      <c r="I2279">
        <v>10</v>
      </c>
      <c r="J2279">
        <v>0.11</v>
      </c>
      <c r="K2279">
        <v>2.23</v>
      </c>
      <c r="L2279">
        <v>8.78</v>
      </c>
      <c r="M2279">
        <v>9.02</v>
      </c>
      <c r="N2279">
        <v>8.76</v>
      </c>
      <c r="O2279">
        <v>8.83</v>
      </c>
      <c r="P2279">
        <v>812.96</v>
      </c>
      <c r="Q2279">
        <v>167092304</v>
      </c>
      <c r="R2279">
        <v>1.74</v>
      </c>
      <c r="S2279" t="s">
        <v>699</v>
      </c>
      <c r="T2279" t="s">
        <v>45</v>
      </c>
      <c r="U2279">
        <v>2.94</v>
      </c>
      <c r="V2279">
        <v>8.91</v>
      </c>
      <c r="W2279">
        <v>85281</v>
      </c>
      <c r="X2279">
        <v>102172</v>
      </c>
      <c r="Y2279">
        <v>0.83</v>
      </c>
      <c r="Z2279">
        <v>52</v>
      </c>
      <c r="AA2279">
        <v>166</v>
      </c>
      <c r="AB2279" t="s">
        <v>32</v>
      </c>
      <c r="AC2279">
        <v>8.39</v>
      </c>
    </row>
    <row r="2280" spans="1:29">
      <c r="A2280" t="str">
        <f>"600207"</f>
        <v>600207</v>
      </c>
      <c r="B2280" t="s">
        <v>2450</v>
      </c>
      <c r="C2280">
        <v>1.93</v>
      </c>
      <c r="D2280">
        <v>6.35</v>
      </c>
      <c r="E2280">
        <v>0.12</v>
      </c>
      <c r="F2280">
        <v>6.35</v>
      </c>
      <c r="G2280">
        <v>6.36</v>
      </c>
      <c r="H2280">
        <v>87366</v>
      </c>
      <c r="I2280">
        <v>50</v>
      </c>
      <c r="J2280">
        <v>0</v>
      </c>
      <c r="K2280">
        <v>1.27</v>
      </c>
      <c r="L2280">
        <v>6.23</v>
      </c>
      <c r="M2280">
        <v>6.4</v>
      </c>
      <c r="N2280">
        <v>6.2</v>
      </c>
      <c r="O2280">
        <v>6.23</v>
      </c>
      <c r="P2280" t="s">
        <v>32</v>
      </c>
      <c r="Q2280">
        <v>55197136</v>
      </c>
      <c r="R2280">
        <v>1.53</v>
      </c>
      <c r="S2280" t="s">
        <v>63</v>
      </c>
      <c r="T2280" t="s">
        <v>164</v>
      </c>
      <c r="U2280">
        <v>3.21</v>
      </c>
      <c r="V2280">
        <v>6.32</v>
      </c>
      <c r="W2280">
        <v>37984</v>
      </c>
      <c r="X2280">
        <v>49382</v>
      </c>
      <c r="Y2280">
        <v>0.77</v>
      </c>
      <c r="Z2280">
        <v>119</v>
      </c>
      <c r="AA2280">
        <v>959</v>
      </c>
      <c r="AB2280" t="s">
        <v>32</v>
      </c>
      <c r="AC2280">
        <v>6.9</v>
      </c>
    </row>
    <row r="2281" spans="1:29">
      <c r="A2281" t="str">
        <f>"600208"</f>
        <v>600208</v>
      </c>
      <c r="B2281" t="s">
        <v>2451</v>
      </c>
      <c r="C2281">
        <v>3.1</v>
      </c>
      <c r="D2281">
        <v>3.66</v>
      </c>
      <c r="E2281">
        <v>0.11</v>
      </c>
      <c r="F2281">
        <v>3.65</v>
      </c>
      <c r="G2281">
        <v>3.66</v>
      </c>
      <c r="H2281">
        <v>217131</v>
      </c>
      <c r="I2281">
        <v>9</v>
      </c>
      <c r="J2281">
        <v>0</v>
      </c>
      <c r="K2281">
        <v>0.25</v>
      </c>
      <c r="L2281">
        <v>3.55</v>
      </c>
      <c r="M2281">
        <v>3.67</v>
      </c>
      <c r="N2281">
        <v>3.55</v>
      </c>
      <c r="O2281">
        <v>3.55</v>
      </c>
      <c r="P2281">
        <v>9.99</v>
      </c>
      <c r="Q2281">
        <v>78804048</v>
      </c>
      <c r="R2281">
        <v>1.44</v>
      </c>
      <c r="S2281" t="s">
        <v>34</v>
      </c>
      <c r="T2281" t="s">
        <v>149</v>
      </c>
      <c r="U2281">
        <v>3.38</v>
      </c>
      <c r="V2281">
        <v>3.63</v>
      </c>
      <c r="W2281">
        <v>100069</v>
      </c>
      <c r="X2281">
        <v>117062</v>
      </c>
      <c r="Y2281">
        <v>0.85</v>
      </c>
      <c r="Z2281">
        <v>1272</v>
      </c>
      <c r="AA2281">
        <v>5586</v>
      </c>
      <c r="AB2281" t="s">
        <v>32</v>
      </c>
      <c r="AC2281">
        <v>85.98</v>
      </c>
    </row>
    <row r="2282" spans="1:29">
      <c r="A2282" t="str">
        <f>"600209"</f>
        <v>600209</v>
      </c>
      <c r="B2282" t="s">
        <v>2452</v>
      </c>
      <c r="C2282">
        <v>-3.25</v>
      </c>
      <c r="D2282">
        <v>3.87</v>
      </c>
      <c r="E2282">
        <v>-0.13</v>
      </c>
      <c r="F2282">
        <v>3.87</v>
      </c>
      <c r="G2282">
        <v>3.88</v>
      </c>
      <c r="H2282">
        <v>184804</v>
      </c>
      <c r="I2282">
        <v>20</v>
      </c>
      <c r="J2282">
        <v>-0.5</v>
      </c>
      <c r="K2282">
        <v>4.21</v>
      </c>
      <c r="L2282">
        <v>3.8</v>
      </c>
      <c r="M2282">
        <v>3.95</v>
      </c>
      <c r="N2282">
        <v>3.8</v>
      </c>
      <c r="O2282">
        <v>4</v>
      </c>
      <c r="P2282" t="s">
        <v>32</v>
      </c>
      <c r="Q2282">
        <v>71049064</v>
      </c>
      <c r="R2282">
        <v>5.17</v>
      </c>
      <c r="S2282" t="s">
        <v>47</v>
      </c>
      <c r="T2282" t="s">
        <v>209</v>
      </c>
      <c r="U2282">
        <v>3.75</v>
      </c>
      <c r="V2282">
        <v>3.84</v>
      </c>
      <c r="W2282">
        <v>95432</v>
      </c>
      <c r="X2282">
        <v>89371</v>
      </c>
      <c r="Y2282">
        <v>1.07</v>
      </c>
      <c r="Z2282">
        <v>60</v>
      </c>
      <c r="AA2282">
        <v>550</v>
      </c>
      <c r="AB2282" t="s">
        <v>32</v>
      </c>
      <c r="AC2282">
        <v>4.39</v>
      </c>
    </row>
    <row r="2283" spans="1:29">
      <c r="A2283" t="str">
        <f>"600210"</f>
        <v>600210</v>
      </c>
      <c r="B2283" t="s">
        <v>2453</v>
      </c>
      <c r="C2283">
        <v>2.11</v>
      </c>
      <c r="D2283">
        <v>3.38</v>
      </c>
      <c r="E2283">
        <v>0.07</v>
      </c>
      <c r="F2283">
        <v>3.37</v>
      </c>
      <c r="G2283">
        <v>3.38</v>
      </c>
      <c r="H2283">
        <v>104041</v>
      </c>
      <c r="I2283">
        <v>4</v>
      </c>
      <c r="J2283">
        <v>0.3</v>
      </c>
      <c r="K2283">
        <v>0.69</v>
      </c>
      <c r="L2283">
        <v>3.31</v>
      </c>
      <c r="M2283">
        <v>3.38</v>
      </c>
      <c r="N2283">
        <v>3.31</v>
      </c>
      <c r="O2283">
        <v>3.31</v>
      </c>
      <c r="P2283">
        <v>20.22</v>
      </c>
      <c r="Q2283">
        <v>34941608</v>
      </c>
      <c r="R2283">
        <v>2.25</v>
      </c>
      <c r="S2283" t="s">
        <v>91</v>
      </c>
      <c r="T2283" t="s">
        <v>366</v>
      </c>
      <c r="U2283">
        <v>2.11</v>
      </c>
      <c r="V2283">
        <v>3.36</v>
      </c>
      <c r="W2283">
        <v>43227</v>
      </c>
      <c r="X2283">
        <v>60813</v>
      </c>
      <c r="Y2283">
        <v>0.71</v>
      </c>
      <c r="Z2283">
        <v>373</v>
      </c>
      <c r="AA2283">
        <v>2727</v>
      </c>
      <c r="AB2283" t="s">
        <v>32</v>
      </c>
      <c r="AC2283">
        <v>15.17</v>
      </c>
    </row>
    <row r="2284" spans="1:29">
      <c r="A2284" t="str">
        <f>"600211"</f>
        <v>600211</v>
      </c>
      <c r="B2284" t="s">
        <v>2454</v>
      </c>
      <c r="C2284">
        <v>2.91</v>
      </c>
      <c r="D2284">
        <v>36.12</v>
      </c>
      <c r="E2284">
        <v>1.02</v>
      </c>
      <c r="F2284">
        <v>36.06</v>
      </c>
      <c r="G2284">
        <v>36.15</v>
      </c>
      <c r="H2284">
        <v>14961</v>
      </c>
      <c r="I2284">
        <v>24</v>
      </c>
      <c r="J2284">
        <v>-0.16</v>
      </c>
      <c r="K2284">
        <v>1.03</v>
      </c>
      <c r="L2284">
        <v>35.18</v>
      </c>
      <c r="M2284">
        <v>36.36</v>
      </c>
      <c r="N2284">
        <v>34.7</v>
      </c>
      <c r="O2284">
        <v>35.1</v>
      </c>
      <c r="P2284">
        <v>23.62</v>
      </c>
      <c r="Q2284">
        <v>53293776</v>
      </c>
      <c r="R2284">
        <v>1.09</v>
      </c>
      <c r="S2284" t="s">
        <v>195</v>
      </c>
      <c r="T2284" t="s">
        <v>432</v>
      </c>
      <c r="U2284">
        <v>4.73</v>
      </c>
      <c r="V2284">
        <v>35.62</v>
      </c>
      <c r="W2284">
        <v>7123</v>
      </c>
      <c r="X2284">
        <v>7838</v>
      </c>
      <c r="Y2284">
        <v>0.91</v>
      </c>
      <c r="Z2284">
        <v>2</v>
      </c>
      <c r="AA2284">
        <v>16</v>
      </c>
      <c r="AB2284" t="s">
        <v>32</v>
      </c>
      <c r="AC2284">
        <v>1.46</v>
      </c>
    </row>
    <row r="2285" spans="1:29">
      <c r="A2285" t="str">
        <f>"600212"</f>
        <v>600212</v>
      </c>
      <c r="B2285" t="s">
        <v>2455</v>
      </c>
      <c r="C2285">
        <v>-0.93</v>
      </c>
      <c r="D2285">
        <v>4.26</v>
      </c>
      <c r="E2285">
        <v>-0.04</v>
      </c>
      <c r="F2285">
        <v>4.26</v>
      </c>
      <c r="G2285">
        <v>4.27</v>
      </c>
      <c r="H2285">
        <v>394393</v>
      </c>
      <c r="I2285">
        <v>1</v>
      </c>
      <c r="J2285">
        <v>0</v>
      </c>
      <c r="K2285">
        <v>7.71</v>
      </c>
      <c r="L2285">
        <v>4.18</v>
      </c>
      <c r="M2285">
        <v>4.4</v>
      </c>
      <c r="N2285">
        <v>4.08</v>
      </c>
      <c r="O2285">
        <v>4.3</v>
      </c>
      <c r="P2285">
        <v>707.55</v>
      </c>
      <c r="Q2285">
        <v>166623040</v>
      </c>
      <c r="R2285">
        <v>0.67</v>
      </c>
      <c r="S2285" t="s">
        <v>47</v>
      </c>
      <c r="T2285" t="s">
        <v>162</v>
      </c>
      <c r="U2285">
        <v>7.44</v>
      </c>
      <c r="V2285">
        <v>4.22</v>
      </c>
      <c r="W2285">
        <v>206772</v>
      </c>
      <c r="X2285">
        <v>187620</v>
      </c>
      <c r="Y2285">
        <v>1.1</v>
      </c>
      <c r="Z2285">
        <v>207</v>
      </c>
      <c r="AA2285">
        <v>1500</v>
      </c>
      <c r="AB2285" t="s">
        <v>32</v>
      </c>
      <c r="AC2285">
        <v>5.12</v>
      </c>
    </row>
    <row r="2286" spans="1:29">
      <c r="A2286" t="str">
        <f>"600213"</f>
        <v>600213</v>
      </c>
      <c r="B2286" t="s">
        <v>2456</v>
      </c>
      <c r="C2286">
        <v>2.13</v>
      </c>
      <c r="D2286">
        <v>8.14</v>
      </c>
      <c r="E2286">
        <v>0.17</v>
      </c>
      <c r="F2286">
        <v>8.13</v>
      </c>
      <c r="G2286">
        <v>8.14</v>
      </c>
      <c r="H2286">
        <v>30314</v>
      </c>
      <c r="I2286">
        <v>91</v>
      </c>
      <c r="J2286">
        <v>0.12</v>
      </c>
      <c r="K2286">
        <v>1.38</v>
      </c>
      <c r="L2286">
        <v>8</v>
      </c>
      <c r="M2286">
        <v>8.2</v>
      </c>
      <c r="N2286">
        <v>7.88</v>
      </c>
      <c r="O2286">
        <v>7.97</v>
      </c>
      <c r="P2286">
        <v>142.05</v>
      </c>
      <c r="Q2286">
        <v>24566420</v>
      </c>
      <c r="R2286">
        <v>1.26</v>
      </c>
      <c r="S2286" t="s">
        <v>262</v>
      </c>
      <c r="T2286" t="s">
        <v>87</v>
      </c>
      <c r="U2286">
        <v>4.02</v>
      </c>
      <c r="V2286">
        <v>8.1</v>
      </c>
      <c r="W2286">
        <v>13959</v>
      </c>
      <c r="X2286">
        <v>16354</v>
      </c>
      <c r="Y2286">
        <v>0.85</v>
      </c>
      <c r="Z2286">
        <v>129</v>
      </c>
      <c r="AA2286">
        <v>39</v>
      </c>
      <c r="AB2286" t="s">
        <v>32</v>
      </c>
      <c r="AC2286">
        <v>2.2</v>
      </c>
    </row>
    <row r="2287" spans="1:29">
      <c r="A2287" t="str">
        <f>"600215"</f>
        <v>600215</v>
      </c>
      <c r="B2287" t="s">
        <v>2457</v>
      </c>
      <c r="C2287">
        <v>0.92</v>
      </c>
      <c r="D2287">
        <v>7.67</v>
      </c>
      <c r="E2287">
        <v>0.07</v>
      </c>
      <c r="F2287">
        <v>7.67</v>
      </c>
      <c r="G2287">
        <v>7.68</v>
      </c>
      <c r="H2287">
        <v>27675</v>
      </c>
      <c r="I2287">
        <v>20</v>
      </c>
      <c r="J2287">
        <v>-0.12</v>
      </c>
      <c r="K2287">
        <v>0.6</v>
      </c>
      <c r="L2287">
        <v>7.58</v>
      </c>
      <c r="M2287">
        <v>7.69</v>
      </c>
      <c r="N2287">
        <v>7.51</v>
      </c>
      <c r="O2287">
        <v>7.6</v>
      </c>
      <c r="P2287" t="s">
        <v>32</v>
      </c>
      <c r="Q2287">
        <v>21164252</v>
      </c>
      <c r="R2287">
        <v>2.18</v>
      </c>
      <c r="S2287" t="s">
        <v>338</v>
      </c>
      <c r="T2287" t="s">
        <v>81</v>
      </c>
      <c r="U2287">
        <v>2.37</v>
      </c>
      <c r="V2287">
        <v>7.65</v>
      </c>
      <c r="W2287">
        <v>11634</v>
      </c>
      <c r="X2287">
        <v>16041</v>
      </c>
      <c r="Y2287">
        <v>0.73</v>
      </c>
      <c r="Z2287">
        <v>30</v>
      </c>
      <c r="AA2287">
        <v>30</v>
      </c>
      <c r="AB2287" t="s">
        <v>32</v>
      </c>
      <c r="AC2287">
        <v>4.65</v>
      </c>
    </row>
    <row r="2288" spans="1:29">
      <c r="A2288" t="str">
        <f>"600216"</f>
        <v>600216</v>
      </c>
      <c r="B2288" t="s">
        <v>2458</v>
      </c>
      <c r="C2288">
        <v>4.31</v>
      </c>
      <c r="D2288">
        <v>12.84</v>
      </c>
      <c r="E2288">
        <v>0.53</v>
      </c>
      <c r="F2288">
        <v>12.84</v>
      </c>
      <c r="G2288">
        <v>12.85</v>
      </c>
      <c r="H2288">
        <v>263941</v>
      </c>
      <c r="I2288">
        <v>110</v>
      </c>
      <c r="J2288">
        <v>0.08</v>
      </c>
      <c r="K2288">
        <v>2.79</v>
      </c>
      <c r="L2288">
        <v>12.25</v>
      </c>
      <c r="M2288">
        <v>12.85</v>
      </c>
      <c r="N2288">
        <v>12.11</v>
      </c>
      <c r="O2288">
        <v>12.31</v>
      </c>
      <c r="P2288">
        <v>6.66</v>
      </c>
      <c r="Q2288">
        <v>332532928</v>
      </c>
      <c r="R2288">
        <v>1.61</v>
      </c>
      <c r="S2288" t="s">
        <v>142</v>
      </c>
      <c r="T2288" t="s">
        <v>149</v>
      </c>
      <c r="U2288">
        <v>6.01</v>
      </c>
      <c r="V2288">
        <v>12.6</v>
      </c>
      <c r="W2288">
        <v>116197</v>
      </c>
      <c r="X2288">
        <v>147743</v>
      </c>
      <c r="Y2288">
        <v>0.79</v>
      </c>
      <c r="Z2288">
        <v>66</v>
      </c>
      <c r="AA2288">
        <v>182</v>
      </c>
      <c r="AB2288" t="s">
        <v>32</v>
      </c>
      <c r="AC2288">
        <v>9.47</v>
      </c>
    </row>
    <row r="2289" spans="1:29">
      <c r="A2289" t="str">
        <f>"600217"</f>
        <v>600217</v>
      </c>
      <c r="B2289" t="s">
        <v>2459</v>
      </c>
      <c r="C2289">
        <v>0</v>
      </c>
      <c r="D2289">
        <v>6.13</v>
      </c>
      <c r="E2289">
        <v>0</v>
      </c>
      <c r="F2289" t="s">
        <v>32</v>
      </c>
      <c r="G2289" t="s">
        <v>32</v>
      </c>
      <c r="H2289">
        <v>0</v>
      </c>
      <c r="I2289">
        <v>0</v>
      </c>
      <c r="J2289">
        <v>0</v>
      </c>
      <c r="K2289">
        <v>0</v>
      </c>
      <c r="L2289" t="s">
        <v>32</v>
      </c>
      <c r="M2289" t="s">
        <v>32</v>
      </c>
      <c r="N2289" t="s">
        <v>32</v>
      </c>
      <c r="O2289">
        <v>6.13</v>
      </c>
      <c r="P2289">
        <v>36.28</v>
      </c>
      <c r="Q2289">
        <v>0</v>
      </c>
      <c r="R2289">
        <v>0</v>
      </c>
      <c r="S2289" t="s">
        <v>86</v>
      </c>
      <c r="T2289" t="s">
        <v>223</v>
      </c>
      <c r="U2289">
        <v>0</v>
      </c>
      <c r="V2289">
        <v>6.13</v>
      </c>
      <c r="W2289">
        <v>0</v>
      </c>
      <c r="X2289">
        <v>0</v>
      </c>
      <c r="Y2289" t="s">
        <v>32</v>
      </c>
      <c r="Z2289">
        <v>0</v>
      </c>
      <c r="AA2289">
        <v>0</v>
      </c>
      <c r="AB2289" t="s">
        <v>32</v>
      </c>
      <c r="AC2289">
        <v>13.19</v>
      </c>
    </row>
    <row r="2290" spans="1:29">
      <c r="A2290" t="str">
        <f>"600218"</f>
        <v>600218</v>
      </c>
      <c r="B2290" t="s">
        <v>2460</v>
      </c>
      <c r="C2290">
        <v>1.76</v>
      </c>
      <c r="D2290">
        <v>5.21</v>
      </c>
      <c r="E2290">
        <v>0.09</v>
      </c>
      <c r="F2290">
        <v>5.21</v>
      </c>
      <c r="G2290">
        <v>5.22</v>
      </c>
      <c r="H2290">
        <v>35345</v>
      </c>
      <c r="I2290">
        <v>50</v>
      </c>
      <c r="J2290">
        <v>-0.18</v>
      </c>
      <c r="K2290">
        <v>0.96</v>
      </c>
      <c r="L2290">
        <v>5.08</v>
      </c>
      <c r="M2290">
        <v>5.24</v>
      </c>
      <c r="N2290">
        <v>5.08</v>
      </c>
      <c r="O2290">
        <v>5.12</v>
      </c>
      <c r="P2290">
        <v>20.03</v>
      </c>
      <c r="Q2290">
        <v>18285414</v>
      </c>
      <c r="R2290">
        <v>1.67</v>
      </c>
      <c r="S2290" t="s">
        <v>481</v>
      </c>
      <c r="T2290" t="s">
        <v>143</v>
      </c>
      <c r="U2290">
        <v>3.13</v>
      </c>
      <c r="V2290">
        <v>5.17</v>
      </c>
      <c r="W2290">
        <v>16243</v>
      </c>
      <c r="X2290">
        <v>19101</v>
      </c>
      <c r="Y2290">
        <v>0.85</v>
      </c>
      <c r="Z2290">
        <v>271</v>
      </c>
      <c r="AA2290">
        <v>477</v>
      </c>
      <c r="AB2290" t="s">
        <v>32</v>
      </c>
      <c r="AC2290">
        <v>3.69</v>
      </c>
    </row>
    <row r="2291" spans="1:29">
      <c r="A2291" t="str">
        <f>"600219"</f>
        <v>600219</v>
      </c>
      <c r="B2291" t="s">
        <v>2461</v>
      </c>
      <c r="C2291">
        <v>2.49</v>
      </c>
      <c r="D2291">
        <v>2.88</v>
      </c>
      <c r="E2291">
        <v>0.07</v>
      </c>
      <c r="F2291">
        <v>2.88</v>
      </c>
      <c r="G2291">
        <v>2.89</v>
      </c>
      <c r="H2291">
        <v>833407</v>
      </c>
      <c r="I2291">
        <v>100</v>
      </c>
      <c r="J2291">
        <v>0</v>
      </c>
      <c r="K2291">
        <v>1.18</v>
      </c>
      <c r="L2291">
        <v>2.82</v>
      </c>
      <c r="M2291">
        <v>2.94</v>
      </c>
      <c r="N2291">
        <v>2.81</v>
      </c>
      <c r="O2291">
        <v>2.81</v>
      </c>
      <c r="P2291">
        <v>22.39</v>
      </c>
      <c r="Q2291">
        <v>239910928</v>
      </c>
      <c r="R2291">
        <v>2.53</v>
      </c>
      <c r="S2291" t="s">
        <v>324</v>
      </c>
      <c r="T2291" t="s">
        <v>162</v>
      </c>
      <c r="U2291">
        <v>4.63</v>
      </c>
      <c r="V2291">
        <v>2.88</v>
      </c>
      <c r="W2291">
        <v>354995</v>
      </c>
      <c r="X2291">
        <v>478411</v>
      </c>
      <c r="Y2291">
        <v>0.74</v>
      </c>
      <c r="Z2291">
        <v>10312</v>
      </c>
      <c r="AA2291">
        <v>9079</v>
      </c>
      <c r="AB2291" t="s">
        <v>32</v>
      </c>
      <c r="AC2291">
        <v>70.88</v>
      </c>
    </row>
    <row r="2292" spans="1:29">
      <c r="A2292" t="str">
        <f>"600220"</f>
        <v>600220</v>
      </c>
      <c r="B2292" t="s">
        <v>2462</v>
      </c>
      <c r="C2292">
        <v>2.34</v>
      </c>
      <c r="D2292">
        <v>2.19</v>
      </c>
      <c r="E2292">
        <v>0.05</v>
      </c>
      <c r="F2292">
        <v>2.18</v>
      </c>
      <c r="G2292">
        <v>2.19</v>
      </c>
      <c r="H2292">
        <v>104960</v>
      </c>
      <c r="I2292">
        <v>835</v>
      </c>
      <c r="J2292">
        <v>0</v>
      </c>
      <c r="K2292">
        <v>0.59</v>
      </c>
      <c r="L2292">
        <v>2.14</v>
      </c>
      <c r="M2292">
        <v>2.2</v>
      </c>
      <c r="N2292">
        <v>2.13</v>
      </c>
      <c r="O2292">
        <v>2.14</v>
      </c>
      <c r="P2292" t="s">
        <v>32</v>
      </c>
      <c r="Q2292">
        <v>22765072</v>
      </c>
      <c r="R2292">
        <v>2.24</v>
      </c>
      <c r="S2292" t="s">
        <v>99</v>
      </c>
      <c r="T2292" t="s">
        <v>87</v>
      </c>
      <c r="U2292">
        <v>3.27</v>
      </c>
      <c r="V2292">
        <v>2.17</v>
      </c>
      <c r="W2292">
        <v>39956</v>
      </c>
      <c r="X2292">
        <v>65003</v>
      </c>
      <c r="Y2292">
        <v>0.61</v>
      </c>
      <c r="Z2292">
        <v>1978</v>
      </c>
      <c r="AA2292">
        <v>2994</v>
      </c>
      <c r="AB2292" t="s">
        <v>32</v>
      </c>
      <c r="AC2292">
        <v>17.83</v>
      </c>
    </row>
    <row r="2293" spans="1:29">
      <c r="A2293" t="str">
        <f>"600221"</f>
        <v>600221</v>
      </c>
      <c r="B2293" t="s">
        <v>2463</v>
      </c>
      <c r="C2293">
        <v>-0.76</v>
      </c>
      <c r="D2293">
        <v>2.6</v>
      </c>
      <c r="E2293">
        <v>-0.02</v>
      </c>
      <c r="F2293">
        <v>2.6</v>
      </c>
      <c r="G2293">
        <v>2.61</v>
      </c>
      <c r="H2293">
        <v>2656890</v>
      </c>
      <c r="I2293">
        <v>167</v>
      </c>
      <c r="J2293">
        <v>0.39</v>
      </c>
      <c r="K2293">
        <v>1.62</v>
      </c>
      <c r="L2293">
        <v>2.5</v>
      </c>
      <c r="M2293">
        <v>2.67</v>
      </c>
      <c r="N2293">
        <v>2.49</v>
      </c>
      <c r="O2293">
        <v>2.62</v>
      </c>
      <c r="P2293">
        <v>8.17</v>
      </c>
      <c r="Q2293">
        <v>685559936</v>
      </c>
      <c r="R2293">
        <v>4.88</v>
      </c>
      <c r="S2293" t="s">
        <v>134</v>
      </c>
      <c r="T2293" t="s">
        <v>209</v>
      </c>
      <c r="U2293">
        <v>6.87</v>
      </c>
      <c r="V2293">
        <v>2.58</v>
      </c>
      <c r="W2293">
        <v>1126458</v>
      </c>
      <c r="X2293">
        <v>1530432</v>
      </c>
      <c r="Y2293">
        <v>0.74</v>
      </c>
      <c r="Z2293">
        <v>114</v>
      </c>
      <c r="AA2293">
        <v>13416</v>
      </c>
      <c r="AB2293" t="s">
        <v>32</v>
      </c>
      <c r="AC2293">
        <v>164.36</v>
      </c>
    </row>
    <row r="2294" spans="1:29">
      <c r="A2294" t="str">
        <f>"600222"</f>
        <v>600222</v>
      </c>
      <c r="B2294" t="s">
        <v>2464</v>
      </c>
      <c r="C2294">
        <v>1.86</v>
      </c>
      <c r="D2294">
        <v>4.37</v>
      </c>
      <c r="E2294">
        <v>0.08</v>
      </c>
      <c r="F2294">
        <v>4.36</v>
      </c>
      <c r="G2294">
        <v>4.38</v>
      </c>
      <c r="H2294">
        <v>61464</v>
      </c>
      <c r="I2294">
        <v>200</v>
      </c>
      <c r="J2294">
        <v>-0.22</v>
      </c>
      <c r="K2294">
        <v>1.08</v>
      </c>
      <c r="L2294">
        <v>4.26</v>
      </c>
      <c r="M2294">
        <v>4.39</v>
      </c>
      <c r="N2294">
        <v>4.26</v>
      </c>
      <c r="O2294">
        <v>4.29</v>
      </c>
      <c r="P2294">
        <v>301.57</v>
      </c>
      <c r="Q2294">
        <v>26704396</v>
      </c>
      <c r="R2294">
        <v>1</v>
      </c>
      <c r="S2294" t="s">
        <v>195</v>
      </c>
      <c r="T2294" t="s">
        <v>164</v>
      </c>
      <c r="U2294">
        <v>3.03</v>
      </c>
      <c r="V2294">
        <v>4.34</v>
      </c>
      <c r="W2294">
        <v>27759</v>
      </c>
      <c r="X2294">
        <v>33704</v>
      </c>
      <c r="Y2294">
        <v>0.82</v>
      </c>
      <c r="Z2294">
        <v>5</v>
      </c>
      <c r="AA2294">
        <v>1122</v>
      </c>
      <c r="AB2294" t="s">
        <v>32</v>
      </c>
      <c r="AC2294">
        <v>5.67</v>
      </c>
    </row>
    <row r="2295" spans="1:29">
      <c r="A2295" t="str">
        <f>"600223"</f>
        <v>600223</v>
      </c>
      <c r="B2295" t="s">
        <v>2465</v>
      </c>
      <c r="C2295">
        <v>2.53</v>
      </c>
      <c r="D2295">
        <v>2.84</v>
      </c>
      <c r="E2295">
        <v>0.07</v>
      </c>
      <c r="F2295">
        <v>2.84</v>
      </c>
      <c r="G2295">
        <v>2.85</v>
      </c>
      <c r="H2295">
        <v>52763</v>
      </c>
      <c r="I2295">
        <v>12</v>
      </c>
      <c r="J2295">
        <v>0</v>
      </c>
      <c r="K2295">
        <v>0.53</v>
      </c>
      <c r="L2295">
        <v>2.76</v>
      </c>
      <c r="M2295">
        <v>2.86</v>
      </c>
      <c r="N2295">
        <v>2.75</v>
      </c>
      <c r="O2295">
        <v>2.77</v>
      </c>
      <c r="P2295">
        <v>32.87</v>
      </c>
      <c r="Q2295">
        <v>14880311</v>
      </c>
      <c r="R2295">
        <v>2.07</v>
      </c>
      <c r="S2295" t="s">
        <v>40</v>
      </c>
      <c r="T2295" t="s">
        <v>162</v>
      </c>
      <c r="U2295">
        <v>3.97</v>
      </c>
      <c r="V2295">
        <v>2.82</v>
      </c>
      <c r="W2295">
        <v>17233</v>
      </c>
      <c r="X2295">
        <v>35530</v>
      </c>
      <c r="Y2295">
        <v>0.49</v>
      </c>
      <c r="Z2295">
        <v>39</v>
      </c>
      <c r="AA2295">
        <v>1587</v>
      </c>
      <c r="AB2295" t="s">
        <v>32</v>
      </c>
      <c r="AC2295">
        <v>10.01</v>
      </c>
    </row>
    <row r="2296" spans="1:29">
      <c r="A2296" t="str">
        <f>"600225"</f>
        <v>600225</v>
      </c>
      <c r="B2296" t="s">
        <v>2466</v>
      </c>
      <c r="C2296">
        <v>3.66</v>
      </c>
      <c r="D2296">
        <v>2.83</v>
      </c>
      <c r="E2296">
        <v>0.1</v>
      </c>
      <c r="F2296">
        <v>2.82</v>
      </c>
      <c r="G2296">
        <v>2.83</v>
      </c>
      <c r="H2296">
        <v>62326</v>
      </c>
      <c r="I2296">
        <v>1</v>
      </c>
      <c r="J2296">
        <v>0.35</v>
      </c>
      <c r="K2296">
        <v>0.67</v>
      </c>
      <c r="L2296">
        <v>2.73</v>
      </c>
      <c r="M2296">
        <v>2.83</v>
      </c>
      <c r="N2296">
        <v>2.71</v>
      </c>
      <c r="O2296">
        <v>2.73</v>
      </c>
      <c r="P2296" t="s">
        <v>32</v>
      </c>
      <c r="Q2296">
        <v>17385488</v>
      </c>
      <c r="R2296">
        <v>1.97</v>
      </c>
      <c r="S2296" t="s">
        <v>40</v>
      </c>
      <c r="T2296" t="s">
        <v>248</v>
      </c>
      <c r="U2296">
        <v>4.4</v>
      </c>
      <c r="V2296">
        <v>2.79</v>
      </c>
      <c r="W2296">
        <v>20593</v>
      </c>
      <c r="X2296">
        <v>41732</v>
      </c>
      <c r="Y2296">
        <v>0.49</v>
      </c>
      <c r="Z2296">
        <v>700</v>
      </c>
      <c r="AA2296">
        <v>1283</v>
      </c>
      <c r="AB2296" t="s">
        <v>32</v>
      </c>
      <c r="AC2296">
        <v>9.32</v>
      </c>
    </row>
    <row r="2297" spans="1:29">
      <c r="A2297" t="str">
        <f>"600226"</f>
        <v>600226</v>
      </c>
      <c r="B2297" t="s">
        <v>2467</v>
      </c>
      <c r="C2297">
        <v>0</v>
      </c>
      <c r="D2297">
        <v>4.56</v>
      </c>
      <c r="E2297">
        <v>0</v>
      </c>
      <c r="F2297" t="s">
        <v>32</v>
      </c>
      <c r="G2297" t="s">
        <v>32</v>
      </c>
      <c r="H2297">
        <v>0</v>
      </c>
      <c r="I2297">
        <v>0</v>
      </c>
      <c r="J2297">
        <v>0</v>
      </c>
      <c r="K2297">
        <v>0</v>
      </c>
      <c r="L2297" t="s">
        <v>32</v>
      </c>
      <c r="M2297" t="s">
        <v>32</v>
      </c>
      <c r="N2297" t="s">
        <v>32</v>
      </c>
      <c r="O2297">
        <v>4.56</v>
      </c>
      <c r="P2297">
        <v>60.44</v>
      </c>
      <c r="Q2297">
        <v>0</v>
      </c>
      <c r="R2297">
        <v>0</v>
      </c>
      <c r="S2297" t="s">
        <v>145</v>
      </c>
      <c r="T2297" t="s">
        <v>149</v>
      </c>
      <c r="U2297">
        <v>0</v>
      </c>
      <c r="V2297">
        <v>4.56</v>
      </c>
      <c r="W2297">
        <v>0</v>
      </c>
      <c r="X2297">
        <v>0</v>
      </c>
      <c r="Y2297" t="s">
        <v>32</v>
      </c>
      <c r="Z2297">
        <v>0</v>
      </c>
      <c r="AA2297">
        <v>0</v>
      </c>
      <c r="AB2297" t="s">
        <v>32</v>
      </c>
      <c r="AC2297">
        <v>19.93</v>
      </c>
    </row>
    <row r="2298" spans="1:29">
      <c r="A2298" t="str">
        <f>"600227"</f>
        <v>600227</v>
      </c>
      <c r="B2298" t="s">
        <v>2468</v>
      </c>
      <c r="C2298">
        <v>2.3</v>
      </c>
      <c r="D2298">
        <v>3.56</v>
      </c>
      <c r="E2298">
        <v>0.08</v>
      </c>
      <c r="F2298">
        <v>3.55</v>
      </c>
      <c r="G2298">
        <v>3.56</v>
      </c>
      <c r="H2298">
        <v>271207</v>
      </c>
      <c r="I2298">
        <v>29</v>
      </c>
      <c r="J2298">
        <v>0</v>
      </c>
      <c r="K2298">
        <v>2.18</v>
      </c>
      <c r="L2298">
        <v>3.47</v>
      </c>
      <c r="M2298">
        <v>3.6</v>
      </c>
      <c r="N2298">
        <v>3.44</v>
      </c>
      <c r="O2298">
        <v>3.48</v>
      </c>
      <c r="P2298">
        <v>34.99</v>
      </c>
      <c r="Q2298">
        <v>95435520</v>
      </c>
      <c r="R2298">
        <v>1.43</v>
      </c>
      <c r="S2298" t="s">
        <v>145</v>
      </c>
      <c r="T2298" t="s">
        <v>253</v>
      </c>
      <c r="U2298">
        <v>4.6</v>
      </c>
      <c r="V2298">
        <v>3.52</v>
      </c>
      <c r="W2298">
        <v>113881</v>
      </c>
      <c r="X2298">
        <v>157326</v>
      </c>
      <c r="Y2298">
        <v>0.72</v>
      </c>
      <c r="Z2298">
        <v>4586</v>
      </c>
      <c r="AA2298">
        <v>2441</v>
      </c>
      <c r="AB2298" t="s">
        <v>32</v>
      </c>
      <c r="AC2298">
        <v>12.45</v>
      </c>
    </row>
    <row r="2299" spans="1:29">
      <c r="A2299" t="str">
        <f>"600228"</f>
        <v>600228</v>
      </c>
      <c r="B2299" t="s">
        <v>2469</v>
      </c>
      <c r="C2299">
        <v>0.8</v>
      </c>
      <c r="D2299">
        <v>8.87</v>
      </c>
      <c r="E2299">
        <v>0.07</v>
      </c>
      <c r="F2299">
        <v>8.86</v>
      </c>
      <c r="G2299">
        <v>8.87</v>
      </c>
      <c r="H2299">
        <v>4694</v>
      </c>
      <c r="I2299">
        <v>5</v>
      </c>
      <c r="J2299">
        <v>-0.21</v>
      </c>
      <c r="K2299">
        <v>0.19</v>
      </c>
      <c r="L2299">
        <v>8.78</v>
      </c>
      <c r="M2299">
        <v>8.95</v>
      </c>
      <c r="N2299">
        <v>8.78</v>
      </c>
      <c r="O2299">
        <v>8.8</v>
      </c>
      <c r="P2299">
        <v>1461.7</v>
      </c>
      <c r="Q2299">
        <v>4155541</v>
      </c>
      <c r="R2299">
        <v>0.85</v>
      </c>
      <c r="S2299" t="s">
        <v>218</v>
      </c>
      <c r="T2299" t="s">
        <v>172</v>
      </c>
      <c r="U2299">
        <v>1.93</v>
      </c>
      <c r="V2299">
        <v>8.85</v>
      </c>
      <c r="W2299">
        <v>1909</v>
      </c>
      <c r="X2299">
        <v>2785</v>
      </c>
      <c r="Y2299">
        <v>0.69</v>
      </c>
      <c r="Z2299">
        <v>33</v>
      </c>
      <c r="AA2299">
        <v>115</v>
      </c>
      <c r="AB2299" t="s">
        <v>32</v>
      </c>
      <c r="AC2299">
        <v>2.41</v>
      </c>
    </row>
    <row r="2300" spans="1:29">
      <c r="A2300" t="str">
        <f>"600229"</f>
        <v>600229</v>
      </c>
      <c r="B2300" t="s">
        <v>2470</v>
      </c>
      <c r="C2300">
        <v>1.38</v>
      </c>
      <c r="D2300">
        <v>8.06</v>
      </c>
      <c r="E2300">
        <v>0.11</v>
      </c>
      <c r="F2300">
        <v>8.06</v>
      </c>
      <c r="G2300">
        <v>8.07</v>
      </c>
      <c r="H2300">
        <v>23381</v>
      </c>
      <c r="I2300">
        <v>5</v>
      </c>
      <c r="J2300">
        <v>0.25</v>
      </c>
      <c r="K2300">
        <v>0.54</v>
      </c>
      <c r="L2300">
        <v>7.97</v>
      </c>
      <c r="M2300">
        <v>8.09</v>
      </c>
      <c r="N2300">
        <v>7.94</v>
      </c>
      <c r="O2300">
        <v>7.95</v>
      </c>
      <c r="P2300">
        <v>17.78</v>
      </c>
      <c r="Q2300">
        <v>18775476</v>
      </c>
      <c r="R2300">
        <v>2.63</v>
      </c>
      <c r="S2300" t="s">
        <v>211</v>
      </c>
      <c r="T2300" t="s">
        <v>162</v>
      </c>
      <c r="U2300">
        <v>1.89</v>
      </c>
      <c r="V2300">
        <v>8.03</v>
      </c>
      <c r="W2300">
        <v>11249</v>
      </c>
      <c r="X2300">
        <v>12132</v>
      </c>
      <c r="Y2300">
        <v>0.93</v>
      </c>
      <c r="Z2300">
        <v>11</v>
      </c>
      <c r="AA2300">
        <v>224</v>
      </c>
      <c r="AB2300" t="s">
        <v>32</v>
      </c>
      <c r="AC2300">
        <v>4.3</v>
      </c>
    </row>
    <row r="2301" spans="1:29">
      <c r="A2301" t="str">
        <f>"600230"</f>
        <v>600230</v>
      </c>
      <c r="B2301" t="s">
        <v>2471</v>
      </c>
      <c r="C2301">
        <v>0.41</v>
      </c>
      <c r="D2301">
        <v>27.25</v>
      </c>
      <c r="E2301">
        <v>0.11</v>
      </c>
      <c r="F2301">
        <v>27.24</v>
      </c>
      <c r="G2301">
        <v>27.25</v>
      </c>
      <c r="H2301">
        <v>165580</v>
      </c>
      <c r="I2301">
        <v>27</v>
      </c>
      <c r="J2301">
        <v>0.18</v>
      </c>
      <c r="K2301">
        <v>4.02</v>
      </c>
      <c r="L2301">
        <v>27.16</v>
      </c>
      <c r="M2301">
        <v>27.78</v>
      </c>
      <c r="N2301">
        <v>26.78</v>
      </c>
      <c r="O2301">
        <v>27.14</v>
      </c>
      <c r="P2301">
        <v>7.06</v>
      </c>
      <c r="Q2301">
        <v>450213344</v>
      </c>
      <c r="R2301">
        <v>1.2</v>
      </c>
      <c r="S2301" t="s">
        <v>145</v>
      </c>
      <c r="T2301" t="s">
        <v>154</v>
      </c>
      <c r="U2301">
        <v>3.68</v>
      </c>
      <c r="V2301">
        <v>27.19</v>
      </c>
      <c r="W2301">
        <v>88493</v>
      </c>
      <c r="X2301">
        <v>77086</v>
      </c>
      <c r="Y2301">
        <v>1.15</v>
      </c>
      <c r="Z2301">
        <v>97</v>
      </c>
      <c r="AA2301">
        <v>105</v>
      </c>
      <c r="AB2301" t="s">
        <v>32</v>
      </c>
      <c r="AC2301">
        <v>4.12</v>
      </c>
    </row>
    <row r="2302" spans="1:29">
      <c r="A2302" t="str">
        <f>"600231"</f>
        <v>600231</v>
      </c>
      <c r="B2302" t="s">
        <v>2472</v>
      </c>
      <c r="C2302">
        <v>1.95</v>
      </c>
      <c r="D2302">
        <v>3.66</v>
      </c>
      <c r="E2302">
        <v>0.07</v>
      </c>
      <c r="F2302">
        <v>3.66</v>
      </c>
      <c r="G2302">
        <v>3.67</v>
      </c>
      <c r="H2302">
        <v>669963</v>
      </c>
      <c r="I2302">
        <v>25</v>
      </c>
      <c r="J2302">
        <v>0</v>
      </c>
      <c r="K2302">
        <v>3.79</v>
      </c>
      <c r="L2302">
        <v>3.61</v>
      </c>
      <c r="M2302">
        <v>3.8</v>
      </c>
      <c r="N2302">
        <v>3.61</v>
      </c>
      <c r="O2302">
        <v>3.59</v>
      </c>
      <c r="P2302">
        <v>9.95</v>
      </c>
      <c r="Q2302">
        <v>248453968</v>
      </c>
      <c r="R2302">
        <v>2.82</v>
      </c>
      <c r="S2302" t="s">
        <v>353</v>
      </c>
      <c r="T2302" t="s">
        <v>111</v>
      </c>
      <c r="U2302">
        <v>5.29</v>
      </c>
      <c r="V2302">
        <v>3.71</v>
      </c>
      <c r="W2302">
        <v>328959</v>
      </c>
      <c r="X2302">
        <v>341004</v>
      </c>
      <c r="Y2302">
        <v>0.96</v>
      </c>
      <c r="Z2302">
        <v>145</v>
      </c>
      <c r="AA2302">
        <v>8311</v>
      </c>
      <c r="AB2302" t="s">
        <v>32</v>
      </c>
      <c r="AC2302">
        <v>17.69</v>
      </c>
    </row>
    <row r="2303" spans="1:29">
      <c r="A2303" t="str">
        <f>"600232"</f>
        <v>600232</v>
      </c>
      <c r="B2303" t="s">
        <v>2473</v>
      </c>
      <c r="C2303">
        <v>0</v>
      </c>
      <c r="D2303">
        <v>5.77</v>
      </c>
      <c r="E2303">
        <v>0</v>
      </c>
      <c r="F2303" t="s">
        <v>32</v>
      </c>
      <c r="G2303" t="s">
        <v>32</v>
      </c>
      <c r="H2303">
        <v>0</v>
      </c>
      <c r="I2303">
        <v>0</v>
      </c>
      <c r="J2303">
        <v>0</v>
      </c>
      <c r="K2303">
        <v>0</v>
      </c>
      <c r="L2303" t="s">
        <v>32</v>
      </c>
      <c r="M2303" t="s">
        <v>32</v>
      </c>
      <c r="N2303" t="s">
        <v>32</v>
      </c>
      <c r="O2303">
        <v>5.77</v>
      </c>
      <c r="P2303">
        <v>137.34</v>
      </c>
      <c r="Q2303">
        <v>0</v>
      </c>
      <c r="R2303">
        <v>0</v>
      </c>
      <c r="S2303" t="s">
        <v>99</v>
      </c>
      <c r="T2303" t="s">
        <v>149</v>
      </c>
      <c r="U2303">
        <v>0</v>
      </c>
      <c r="V2303">
        <v>5.77</v>
      </c>
      <c r="W2303">
        <v>0</v>
      </c>
      <c r="X2303">
        <v>0</v>
      </c>
      <c r="Y2303" t="s">
        <v>32</v>
      </c>
      <c r="Z2303">
        <v>0</v>
      </c>
      <c r="AA2303">
        <v>0</v>
      </c>
      <c r="AB2303" t="s">
        <v>32</v>
      </c>
      <c r="AC2303">
        <v>3.65</v>
      </c>
    </row>
    <row r="2304" spans="1:29">
      <c r="A2304" t="str">
        <f>"600233"</f>
        <v>600233</v>
      </c>
      <c r="B2304" t="s">
        <v>2474</v>
      </c>
      <c r="C2304">
        <v>1.13</v>
      </c>
      <c r="D2304">
        <v>13.48</v>
      </c>
      <c r="E2304">
        <v>0.15</v>
      </c>
      <c r="F2304">
        <v>13.47</v>
      </c>
      <c r="G2304">
        <v>13.48</v>
      </c>
      <c r="H2304">
        <v>38172</v>
      </c>
      <c r="I2304">
        <v>36</v>
      </c>
      <c r="J2304">
        <v>-0.06</v>
      </c>
      <c r="K2304">
        <v>0.49</v>
      </c>
      <c r="L2304">
        <v>13.31</v>
      </c>
      <c r="M2304">
        <v>13.8</v>
      </c>
      <c r="N2304">
        <v>13.17</v>
      </c>
      <c r="O2304">
        <v>13.33</v>
      </c>
      <c r="P2304">
        <v>30.23</v>
      </c>
      <c r="Q2304">
        <v>51512768</v>
      </c>
      <c r="R2304">
        <v>0.87</v>
      </c>
      <c r="S2304" t="s">
        <v>742</v>
      </c>
      <c r="T2304" t="s">
        <v>111</v>
      </c>
      <c r="U2304">
        <v>4.73</v>
      </c>
      <c r="V2304">
        <v>13.49</v>
      </c>
      <c r="W2304">
        <v>18327</v>
      </c>
      <c r="X2304">
        <v>19845</v>
      </c>
      <c r="Y2304">
        <v>0.92</v>
      </c>
      <c r="Z2304">
        <v>396</v>
      </c>
      <c r="AA2304">
        <v>794</v>
      </c>
      <c r="AB2304" t="s">
        <v>32</v>
      </c>
      <c r="AC2304">
        <v>7.83</v>
      </c>
    </row>
    <row r="2305" spans="1:29">
      <c r="A2305" t="str">
        <f>"600234"</f>
        <v>600234</v>
      </c>
      <c r="B2305" t="s">
        <v>2475</v>
      </c>
      <c r="C2305">
        <v>2.3</v>
      </c>
      <c r="D2305">
        <v>7.13</v>
      </c>
      <c r="E2305">
        <v>0.16</v>
      </c>
      <c r="F2305">
        <v>7.09</v>
      </c>
      <c r="G2305">
        <v>7.13</v>
      </c>
      <c r="H2305">
        <v>1974</v>
      </c>
      <c r="I2305">
        <v>3</v>
      </c>
      <c r="J2305">
        <v>0.28</v>
      </c>
      <c r="K2305">
        <v>0.1</v>
      </c>
      <c r="L2305">
        <v>6.76</v>
      </c>
      <c r="M2305">
        <v>7.18</v>
      </c>
      <c r="N2305">
        <v>6.76</v>
      </c>
      <c r="O2305">
        <v>6.97</v>
      </c>
      <c r="P2305">
        <v>269.92</v>
      </c>
      <c r="Q2305">
        <v>1395445</v>
      </c>
      <c r="R2305">
        <v>0.48</v>
      </c>
      <c r="S2305" t="s">
        <v>57</v>
      </c>
      <c r="T2305" t="s">
        <v>169</v>
      </c>
      <c r="U2305">
        <v>6.03</v>
      </c>
      <c r="V2305">
        <v>7.07</v>
      </c>
      <c r="W2305">
        <v>769</v>
      </c>
      <c r="X2305">
        <v>1205</v>
      </c>
      <c r="Y2305">
        <v>0.64</v>
      </c>
      <c r="Z2305">
        <v>85</v>
      </c>
      <c r="AA2305">
        <v>172</v>
      </c>
      <c r="AB2305" t="s">
        <v>32</v>
      </c>
      <c r="AC2305">
        <v>2.02</v>
      </c>
    </row>
    <row r="2306" spans="1:29">
      <c r="A2306" t="str">
        <f>"600235"</f>
        <v>600235</v>
      </c>
      <c r="B2306" t="s">
        <v>2476</v>
      </c>
      <c r="C2306">
        <v>10</v>
      </c>
      <c r="D2306">
        <v>5.17</v>
      </c>
      <c r="E2306">
        <v>0.47</v>
      </c>
      <c r="F2306">
        <v>5.17</v>
      </c>
      <c r="G2306" t="s">
        <v>32</v>
      </c>
      <c r="H2306">
        <v>82860</v>
      </c>
      <c r="I2306">
        <v>45</v>
      </c>
      <c r="J2306">
        <v>0</v>
      </c>
      <c r="K2306">
        <v>2.36</v>
      </c>
      <c r="L2306">
        <v>4.71</v>
      </c>
      <c r="M2306">
        <v>5.17</v>
      </c>
      <c r="N2306">
        <v>4.7</v>
      </c>
      <c r="O2306">
        <v>4.7</v>
      </c>
      <c r="P2306">
        <v>68.54</v>
      </c>
      <c r="Q2306">
        <v>41273916</v>
      </c>
      <c r="R2306">
        <v>5.48</v>
      </c>
      <c r="S2306" t="s">
        <v>204</v>
      </c>
      <c r="T2306" t="s">
        <v>149</v>
      </c>
      <c r="U2306">
        <v>10</v>
      </c>
      <c r="V2306">
        <v>4.98</v>
      </c>
      <c r="W2306">
        <v>36456</v>
      </c>
      <c r="X2306">
        <v>46403</v>
      </c>
      <c r="Y2306">
        <v>0.79</v>
      </c>
      <c r="Z2306">
        <v>10508</v>
      </c>
      <c r="AA2306">
        <v>0</v>
      </c>
      <c r="AB2306" t="s">
        <v>32</v>
      </c>
      <c r="AC2306">
        <v>3.51</v>
      </c>
    </row>
    <row r="2307" spans="1:29">
      <c r="A2307" t="str">
        <f>"600236"</f>
        <v>600236</v>
      </c>
      <c r="B2307" t="s">
        <v>2477</v>
      </c>
      <c r="C2307">
        <v>-0.34</v>
      </c>
      <c r="D2307">
        <v>5.83</v>
      </c>
      <c r="E2307">
        <v>-0.02</v>
      </c>
      <c r="F2307">
        <v>5.83</v>
      </c>
      <c r="G2307">
        <v>5.84</v>
      </c>
      <c r="H2307">
        <v>119343</v>
      </c>
      <c r="I2307">
        <v>46</v>
      </c>
      <c r="J2307">
        <v>0</v>
      </c>
      <c r="K2307">
        <v>0.33</v>
      </c>
      <c r="L2307">
        <v>5.82</v>
      </c>
      <c r="M2307">
        <v>5.96</v>
      </c>
      <c r="N2307">
        <v>5.77</v>
      </c>
      <c r="O2307">
        <v>5.85</v>
      </c>
      <c r="P2307">
        <v>13.76</v>
      </c>
      <c r="Q2307">
        <v>69811384</v>
      </c>
      <c r="R2307">
        <v>1.03</v>
      </c>
      <c r="S2307" t="s">
        <v>312</v>
      </c>
      <c r="T2307" t="s">
        <v>238</v>
      </c>
      <c r="U2307">
        <v>3.25</v>
      </c>
      <c r="V2307">
        <v>5.85</v>
      </c>
      <c r="W2307">
        <v>79170</v>
      </c>
      <c r="X2307">
        <v>40173</v>
      </c>
      <c r="Y2307">
        <v>1.97</v>
      </c>
      <c r="Z2307">
        <v>117</v>
      </c>
      <c r="AA2307">
        <v>386</v>
      </c>
      <c r="AB2307" t="s">
        <v>32</v>
      </c>
      <c r="AC2307">
        <v>36.04</v>
      </c>
    </row>
    <row r="2308" spans="1:29">
      <c r="A2308" t="str">
        <f>"600237"</f>
        <v>600237</v>
      </c>
      <c r="B2308" t="s">
        <v>2478</v>
      </c>
      <c r="C2308">
        <v>0.24</v>
      </c>
      <c r="D2308">
        <v>4.11</v>
      </c>
      <c r="E2308">
        <v>0.01</v>
      </c>
      <c r="F2308">
        <v>4.1</v>
      </c>
      <c r="G2308">
        <v>4.11</v>
      </c>
      <c r="H2308">
        <v>87102</v>
      </c>
      <c r="I2308">
        <v>5</v>
      </c>
      <c r="J2308">
        <v>0.24</v>
      </c>
      <c r="K2308">
        <v>1.54</v>
      </c>
      <c r="L2308">
        <v>4.09</v>
      </c>
      <c r="M2308">
        <v>4.19</v>
      </c>
      <c r="N2308">
        <v>4.03</v>
      </c>
      <c r="O2308">
        <v>4.1</v>
      </c>
      <c r="P2308">
        <v>200.2</v>
      </c>
      <c r="Q2308">
        <v>35668172</v>
      </c>
      <c r="R2308">
        <v>0.81</v>
      </c>
      <c r="S2308" t="s">
        <v>63</v>
      </c>
      <c r="T2308" t="s">
        <v>143</v>
      </c>
      <c r="U2308">
        <v>3.9</v>
      </c>
      <c r="V2308">
        <v>4.09</v>
      </c>
      <c r="W2308">
        <v>49725</v>
      </c>
      <c r="X2308">
        <v>37377</v>
      </c>
      <c r="Y2308">
        <v>1.33</v>
      </c>
      <c r="Z2308">
        <v>394</v>
      </c>
      <c r="AA2308">
        <v>626</v>
      </c>
      <c r="AB2308" t="s">
        <v>32</v>
      </c>
      <c r="AC2308">
        <v>5.64</v>
      </c>
    </row>
    <row r="2309" spans="1:29">
      <c r="A2309" t="str">
        <f>"600238"</f>
        <v>600238</v>
      </c>
      <c r="B2309" t="s">
        <v>2479</v>
      </c>
      <c r="C2309">
        <v>-0.47</v>
      </c>
      <c r="D2309">
        <v>6.39</v>
      </c>
      <c r="E2309">
        <v>-0.03</v>
      </c>
      <c r="F2309">
        <v>6.39</v>
      </c>
      <c r="G2309">
        <v>6.4</v>
      </c>
      <c r="H2309">
        <v>19715</v>
      </c>
      <c r="I2309">
        <v>1</v>
      </c>
      <c r="J2309">
        <v>-0.15</v>
      </c>
      <c r="K2309">
        <v>0.44</v>
      </c>
      <c r="L2309">
        <v>6.39</v>
      </c>
      <c r="M2309">
        <v>6.45</v>
      </c>
      <c r="N2309">
        <v>6.33</v>
      </c>
      <c r="O2309">
        <v>6.42</v>
      </c>
      <c r="P2309" t="s">
        <v>32</v>
      </c>
      <c r="Q2309">
        <v>12596112</v>
      </c>
      <c r="R2309">
        <v>1.64</v>
      </c>
      <c r="S2309" t="s">
        <v>272</v>
      </c>
      <c r="T2309" t="s">
        <v>209</v>
      </c>
      <c r="U2309">
        <v>1.87</v>
      </c>
      <c r="V2309">
        <v>6.39</v>
      </c>
      <c r="W2309">
        <v>12533</v>
      </c>
      <c r="X2309">
        <v>7182</v>
      </c>
      <c r="Y2309">
        <v>1.75</v>
      </c>
      <c r="Z2309">
        <v>55</v>
      </c>
      <c r="AA2309">
        <v>504</v>
      </c>
      <c r="AB2309" t="s">
        <v>32</v>
      </c>
      <c r="AC2309">
        <v>4.45</v>
      </c>
    </row>
    <row r="2310" spans="1:29">
      <c r="A2310" t="str">
        <f>"600239"</f>
        <v>600239</v>
      </c>
      <c r="B2310" t="s">
        <v>2480</v>
      </c>
      <c r="C2310">
        <v>2.66</v>
      </c>
      <c r="D2310">
        <v>4.24</v>
      </c>
      <c r="E2310">
        <v>0.11</v>
      </c>
      <c r="F2310">
        <v>4.23</v>
      </c>
      <c r="G2310">
        <v>4.24</v>
      </c>
      <c r="H2310">
        <v>54840</v>
      </c>
      <c r="I2310">
        <v>10</v>
      </c>
      <c r="J2310">
        <v>0.24</v>
      </c>
      <c r="K2310">
        <v>0.34</v>
      </c>
      <c r="L2310">
        <v>4.19</v>
      </c>
      <c r="M2310">
        <v>4.25</v>
      </c>
      <c r="N2310">
        <v>4.16</v>
      </c>
      <c r="O2310">
        <v>4.13</v>
      </c>
      <c r="P2310" t="s">
        <v>32</v>
      </c>
      <c r="Q2310">
        <v>23133696</v>
      </c>
      <c r="R2310">
        <v>1.13</v>
      </c>
      <c r="S2310" t="s">
        <v>40</v>
      </c>
      <c r="T2310" t="s">
        <v>250</v>
      </c>
      <c r="U2310">
        <v>2.18</v>
      </c>
      <c r="V2310">
        <v>4.22</v>
      </c>
      <c r="W2310">
        <v>25123</v>
      </c>
      <c r="X2310">
        <v>29717</v>
      </c>
      <c r="Y2310">
        <v>0.85</v>
      </c>
      <c r="Z2310">
        <v>244</v>
      </c>
      <c r="AA2310">
        <v>1624</v>
      </c>
      <c r="AB2310" t="s">
        <v>32</v>
      </c>
      <c r="AC2310">
        <v>16.06</v>
      </c>
    </row>
    <row r="2311" spans="1:29">
      <c r="A2311" t="str">
        <f>"600240"</f>
        <v>600240</v>
      </c>
      <c r="B2311" t="s">
        <v>2481</v>
      </c>
      <c r="C2311">
        <v>0.98</v>
      </c>
      <c r="D2311">
        <v>7.21</v>
      </c>
      <c r="E2311">
        <v>0.07</v>
      </c>
      <c r="F2311">
        <v>7.21</v>
      </c>
      <c r="G2311">
        <v>7.22</v>
      </c>
      <c r="H2311">
        <v>28980</v>
      </c>
      <c r="I2311">
        <v>50</v>
      </c>
      <c r="J2311">
        <v>-0.13</v>
      </c>
      <c r="K2311">
        <v>0.2</v>
      </c>
      <c r="L2311">
        <v>7.15</v>
      </c>
      <c r="M2311">
        <v>7.25</v>
      </c>
      <c r="N2311">
        <v>7.15</v>
      </c>
      <c r="O2311">
        <v>7.14</v>
      </c>
      <c r="P2311">
        <v>15.75</v>
      </c>
      <c r="Q2311">
        <v>20914216</v>
      </c>
      <c r="R2311">
        <v>0.81</v>
      </c>
      <c r="S2311" t="s">
        <v>34</v>
      </c>
      <c r="T2311" t="s">
        <v>45</v>
      </c>
      <c r="U2311">
        <v>1.4</v>
      </c>
      <c r="V2311">
        <v>7.22</v>
      </c>
      <c r="W2311">
        <v>12391</v>
      </c>
      <c r="X2311">
        <v>16589</v>
      </c>
      <c r="Y2311">
        <v>0.75</v>
      </c>
      <c r="Z2311">
        <v>403</v>
      </c>
      <c r="AA2311">
        <v>337</v>
      </c>
      <c r="AB2311" t="s">
        <v>32</v>
      </c>
      <c r="AC2311">
        <v>14.24</v>
      </c>
    </row>
    <row r="2312" spans="1:29">
      <c r="A2312" t="str">
        <f>"600241"</f>
        <v>600241</v>
      </c>
      <c r="B2312" t="s">
        <v>2482</v>
      </c>
      <c r="C2312">
        <v>0.89</v>
      </c>
      <c r="D2312">
        <v>7.93</v>
      </c>
      <c r="E2312">
        <v>0.07</v>
      </c>
      <c r="F2312">
        <v>7.92</v>
      </c>
      <c r="G2312">
        <v>7.93</v>
      </c>
      <c r="H2312">
        <v>16408</v>
      </c>
      <c r="I2312">
        <v>3</v>
      </c>
      <c r="J2312">
        <v>0</v>
      </c>
      <c r="K2312">
        <v>0.85</v>
      </c>
      <c r="L2312">
        <v>7.86</v>
      </c>
      <c r="M2312">
        <v>8.01</v>
      </c>
      <c r="N2312">
        <v>7.81</v>
      </c>
      <c r="O2312">
        <v>7.86</v>
      </c>
      <c r="P2312" t="s">
        <v>32</v>
      </c>
      <c r="Q2312">
        <v>13021921</v>
      </c>
      <c r="R2312">
        <v>2.07</v>
      </c>
      <c r="S2312" t="s">
        <v>140</v>
      </c>
      <c r="T2312" t="s">
        <v>111</v>
      </c>
      <c r="U2312">
        <v>2.54</v>
      </c>
      <c r="V2312">
        <v>7.94</v>
      </c>
      <c r="W2312">
        <v>6251</v>
      </c>
      <c r="X2312">
        <v>10156</v>
      </c>
      <c r="Y2312">
        <v>0.62</v>
      </c>
      <c r="Z2312">
        <v>290</v>
      </c>
      <c r="AA2312">
        <v>10</v>
      </c>
      <c r="AB2312" t="s">
        <v>32</v>
      </c>
      <c r="AC2312">
        <v>1.93</v>
      </c>
    </row>
    <row r="2313" spans="1:29">
      <c r="A2313" t="str">
        <f>"600242"</f>
        <v>600242</v>
      </c>
      <c r="B2313" t="s">
        <v>2483</v>
      </c>
      <c r="C2313">
        <v>-0.15</v>
      </c>
      <c r="D2313">
        <v>13.46</v>
      </c>
      <c r="E2313">
        <v>-0.02</v>
      </c>
      <c r="F2313">
        <v>13.44</v>
      </c>
      <c r="G2313">
        <v>13.47</v>
      </c>
      <c r="H2313">
        <v>7323</v>
      </c>
      <c r="I2313">
        <v>5</v>
      </c>
      <c r="J2313">
        <v>0.15</v>
      </c>
      <c r="K2313">
        <v>0.24</v>
      </c>
      <c r="L2313">
        <v>13.48</v>
      </c>
      <c r="M2313">
        <v>13.49</v>
      </c>
      <c r="N2313">
        <v>13.4</v>
      </c>
      <c r="O2313">
        <v>13.48</v>
      </c>
      <c r="P2313">
        <v>123.38</v>
      </c>
      <c r="Q2313">
        <v>9839186</v>
      </c>
      <c r="R2313">
        <v>0.87</v>
      </c>
      <c r="S2313" t="s">
        <v>270</v>
      </c>
      <c r="T2313" t="s">
        <v>136</v>
      </c>
      <c r="U2313">
        <v>0.67</v>
      </c>
      <c r="V2313">
        <v>13.44</v>
      </c>
      <c r="W2313">
        <v>3761</v>
      </c>
      <c r="X2313">
        <v>3562</v>
      </c>
      <c r="Y2313">
        <v>1.06</v>
      </c>
      <c r="Z2313">
        <v>2</v>
      </c>
      <c r="AA2313">
        <v>76</v>
      </c>
      <c r="AB2313" t="s">
        <v>32</v>
      </c>
      <c r="AC2313">
        <v>3.03</v>
      </c>
    </row>
    <row r="2314" spans="1:29">
      <c r="A2314" t="str">
        <f>"600243"</f>
        <v>600243</v>
      </c>
      <c r="B2314" t="s">
        <v>2484</v>
      </c>
      <c r="C2314">
        <v>1.2</v>
      </c>
      <c r="D2314">
        <v>5.07</v>
      </c>
      <c r="E2314">
        <v>0.06</v>
      </c>
      <c r="F2314">
        <v>5.06</v>
      </c>
      <c r="G2314">
        <v>5.07</v>
      </c>
      <c r="H2314">
        <v>22906</v>
      </c>
      <c r="I2314">
        <v>50</v>
      </c>
      <c r="J2314">
        <v>0.2</v>
      </c>
      <c r="K2314">
        <v>0.97</v>
      </c>
      <c r="L2314">
        <v>5</v>
      </c>
      <c r="M2314">
        <v>5.14</v>
      </c>
      <c r="N2314">
        <v>4.97</v>
      </c>
      <c r="O2314">
        <v>5.01</v>
      </c>
      <c r="P2314" t="s">
        <v>32</v>
      </c>
      <c r="Q2314">
        <v>11588363</v>
      </c>
      <c r="R2314">
        <v>1.07</v>
      </c>
      <c r="S2314" t="s">
        <v>179</v>
      </c>
      <c r="T2314" t="s">
        <v>176</v>
      </c>
      <c r="U2314">
        <v>3.39</v>
      </c>
      <c r="V2314">
        <v>5.06</v>
      </c>
      <c r="W2314">
        <v>11388</v>
      </c>
      <c r="X2314">
        <v>11518</v>
      </c>
      <c r="Y2314">
        <v>0.99</v>
      </c>
      <c r="Z2314">
        <v>120</v>
      </c>
      <c r="AA2314">
        <v>184</v>
      </c>
      <c r="AB2314" t="s">
        <v>32</v>
      </c>
      <c r="AC2314">
        <v>2.37</v>
      </c>
    </row>
    <row r="2315" spans="1:29">
      <c r="A2315" t="str">
        <f>"600246"</f>
        <v>600246</v>
      </c>
      <c r="B2315" t="s">
        <v>2485</v>
      </c>
      <c r="C2315">
        <v>0.95</v>
      </c>
      <c r="D2315">
        <v>4.27</v>
      </c>
      <c r="E2315">
        <v>0.04</v>
      </c>
      <c r="F2315">
        <v>4.26</v>
      </c>
      <c r="G2315">
        <v>4.27</v>
      </c>
      <c r="H2315">
        <v>19651</v>
      </c>
      <c r="I2315">
        <v>176</v>
      </c>
      <c r="J2315">
        <v>0.23</v>
      </c>
      <c r="K2315">
        <v>0.16</v>
      </c>
      <c r="L2315">
        <v>4.23</v>
      </c>
      <c r="M2315">
        <v>4.28</v>
      </c>
      <c r="N2315">
        <v>4.22</v>
      </c>
      <c r="O2315">
        <v>4.23</v>
      </c>
      <c r="P2315">
        <v>267.41</v>
      </c>
      <c r="Q2315">
        <v>8371802</v>
      </c>
      <c r="R2315">
        <v>1.57</v>
      </c>
      <c r="S2315" t="s">
        <v>40</v>
      </c>
      <c r="T2315" t="s">
        <v>45</v>
      </c>
      <c r="U2315">
        <v>1.42</v>
      </c>
      <c r="V2315">
        <v>4.26</v>
      </c>
      <c r="W2315">
        <v>11994</v>
      </c>
      <c r="X2315">
        <v>7657</v>
      </c>
      <c r="Y2315">
        <v>1.57</v>
      </c>
      <c r="Z2315">
        <v>348</v>
      </c>
      <c r="AA2315">
        <v>872</v>
      </c>
      <c r="AB2315" t="s">
        <v>32</v>
      </c>
      <c r="AC2315">
        <v>12.17</v>
      </c>
    </row>
    <row r="2316" spans="1:29">
      <c r="A2316" t="str">
        <f>"600247"</f>
        <v>600247</v>
      </c>
      <c r="B2316" t="s">
        <v>2486</v>
      </c>
      <c r="C2316">
        <v>2.79</v>
      </c>
      <c r="D2316">
        <v>4.79</v>
      </c>
      <c r="E2316">
        <v>0.13</v>
      </c>
      <c r="F2316">
        <v>4.77</v>
      </c>
      <c r="G2316">
        <v>4.79</v>
      </c>
      <c r="H2316">
        <v>36280</v>
      </c>
      <c r="I2316">
        <v>9</v>
      </c>
      <c r="J2316">
        <v>0</v>
      </c>
      <c r="K2316">
        <v>1.08</v>
      </c>
      <c r="L2316">
        <v>4.66</v>
      </c>
      <c r="M2316">
        <v>4.89</v>
      </c>
      <c r="N2316">
        <v>4.65</v>
      </c>
      <c r="O2316">
        <v>4.66</v>
      </c>
      <c r="P2316">
        <v>14.78</v>
      </c>
      <c r="Q2316">
        <v>17384606</v>
      </c>
      <c r="R2316">
        <v>2.22</v>
      </c>
      <c r="S2316" t="s">
        <v>140</v>
      </c>
      <c r="T2316" t="s">
        <v>81</v>
      </c>
      <c r="U2316">
        <v>5.15</v>
      </c>
      <c r="V2316">
        <v>4.79</v>
      </c>
      <c r="W2316">
        <v>26282</v>
      </c>
      <c r="X2316">
        <v>9997</v>
      </c>
      <c r="Y2316">
        <v>2.63</v>
      </c>
      <c r="Z2316">
        <v>443</v>
      </c>
      <c r="AA2316">
        <v>156</v>
      </c>
      <c r="AB2316" t="s">
        <v>32</v>
      </c>
      <c r="AC2316">
        <v>3.36</v>
      </c>
    </row>
    <row r="2317" spans="1:29">
      <c r="A2317" t="str">
        <f>"600248"</f>
        <v>600248</v>
      </c>
      <c r="B2317" t="s">
        <v>2487</v>
      </c>
      <c r="C2317">
        <v>0</v>
      </c>
      <c r="D2317">
        <v>4.95</v>
      </c>
      <c r="E2317">
        <v>0</v>
      </c>
      <c r="F2317" t="s">
        <v>32</v>
      </c>
      <c r="G2317" t="s">
        <v>32</v>
      </c>
      <c r="H2317">
        <v>0</v>
      </c>
      <c r="I2317">
        <v>0</v>
      </c>
      <c r="J2317">
        <v>0</v>
      </c>
      <c r="K2317">
        <v>0</v>
      </c>
      <c r="L2317" t="s">
        <v>32</v>
      </c>
      <c r="M2317" t="s">
        <v>32</v>
      </c>
      <c r="N2317" t="s">
        <v>32</v>
      </c>
      <c r="O2317">
        <v>4.95</v>
      </c>
      <c r="P2317">
        <v>34.35</v>
      </c>
      <c r="Q2317">
        <v>0</v>
      </c>
      <c r="R2317">
        <v>0</v>
      </c>
      <c r="S2317" t="s">
        <v>49</v>
      </c>
      <c r="T2317" t="s">
        <v>223</v>
      </c>
      <c r="U2317">
        <v>0</v>
      </c>
      <c r="V2317">
        <v>4.95</v>
      </c>
      <c r="W2317">
        <v>0</v>
      </c>
      <c r="X2317">
        <v>0</v>
      </c>
      <c r="Y2317" t="s">
        <v>32</v>
      </c>
      <c r="Z2317">
        <v>0</v>
      </c>
      <c r="AA2317">
        <v>0</v>
      </c>
      <c r="AB2317" t="s">
        <v>32</v>
      </c>
      <c r="AC2317">
        <v>6.08</v>
      </c>
    </row>
    <row r="2318" spans="1:29">
      <c r="A2318" t="str">
        <f>"600249"</f>
        <v>600249</v>
      </c>
      <c r="B2318" t="s">
        <v>2488</v>
      </c>
      <c r="C2318">
        <v>2.2</v>
      </c>
      <c r="D2318">
        <v>4.19</v>
      </c>
      <c r="E2318">
        <v>0.09</v>
      </c>
      <c r="F2318">
        <v>4.17</v>
      </c>
      <c r="G2318">
        <v>4.18</v>
      </c>
      <c r="H2318">
        <v>54295</v>
      </c>
      <c r="I2318">
        <v>51</v>
      </c>
      <c r="J2318">
        <v>0.24</v>
      </c>
      <c r="K2318">
        <v>0.99</v>
      </c>
      <c r="L2318">
        <v>4.08</v>
      </c>
      <c r="M2318">
        <v>4.19</v>
      </c>
      <c r="N2318">
        <v>4.08</v>
      </c>
      <c r="O2318">
        <v>4.1</v>
      </c>
      <c r="P2318" t="s">
        <v>32</v>
      </c>
      <c r="Q2318">
        <v>22528368</v>
      </c>
      <c r="R2318">
        <v>1.01</v>
      </c>
      <c r="S2318" t="s">
        <v>232</v>
      </c>
      <c r="T2318" t="s">
        <v>238</v>
      </c>
      <c r="U2318">
        <v>2.68</v>
      </c>
      <c r="V2318">
        <v>4.15</v>
      </c>
      <c r="W2318">
        <v>23466</v>
      </c>
      <c r="X2318">
        <v>30828</v>
      </c>
      <c r="Y2318">
        <v>0.76</v>
      </c>
      <c r="Z2318">
        <v>1817</v>
      </c>
      <c r="AA2318">
        <v>23</v>
      </c>
      <c r="AB2318" t="s">
        <v>32</v>
      </c>
      <c r="AC2318">
        <v>5.5</v>
      </c>
    </row>
    <row r="2319" spans="1:29">
      <c r="A2319" t="str">
        <f>"600250"</f>
        <v>600250</v>
      </c>
      <c r="B2319" t="s">
        <v>2489</v>
      </c>
      <c r="C2319">
        <v>1.95</v>
      </c>
      <c r="D2319">
        <v>6.8</v>
      </c>
      <c r="E2319">
        <v>0.13</v>
      </c>
      <c r="F2319">
        <v>6.78</v>
      </c>
      <c r="G2319">
        <v>6.79</v>
      </c>
      <c r="H2319">
        <v>22790</v>
      </c>
      <c r="I2319">
        <v>13</v>
      </c>
      <c r="J2319">
        <v>0.44</v>
      </c>
      <c r="K2319">
        <v>0.88</v>
      </c>
      <c r="L2319">
        <v>6.73</v>
      </c>
      <c r="M2319">
        <v>6.8</v>
      </c>
      <c r="N2319">
        <v>6.62</v>
      </c>
      <c r="O2319">
        <v>6.67</v>
      </c>
      <c r="P2319" t="s">
        <v>32</v>
      </c>
      <c r="Q2319">
        <v>15299925</v>
      </c>
      <c r="R2319">
        <v>0.64</v>
      </c>
      <c r="S2319" t="s">
        <v>140</v>
      </c>
      <c r="T2319" t="s">
        <v>87</v>
      </c>
      <c r="U2319">
        <v>2.7</v>
      </c>
      <c r="V2319">
        <v>6.71</v>
      </c>
      <c r="W2319">
        <v>12117</v>
      </c>
      <c r="X2319">
        <v>10673</v>
      </c>
      <c r="Y2319">
        <v>1.14</v>
      </c>
      <c r="Z2319">
        <v>66</v>
      </c>
      <c r="AA2319">
        <v>10</v>
      </c>
      <c r="AB2319" t="s">
        <v>32</v>
      </c>
      <c r="AC2319">
        <v>2.59</v>
      </c>
    </row>
    <row r="2320" spans="1:29">
      <c r="A2320" t="str">
        <f>"600251"</f>
        <v>600251</v>
      </c>
      <c r="B2320" t="s">
        <v>2490</v>
      </c>
      <c r="C2320">
        <v>2.14</v>
      </c>
      <c r="D2320">
        <v>5.74</v>
      </c>
      <c r="E2320">
        <v>0.12</v>
      </c>
      <c r="F2320">
        <v>5.73</v>
      </c>
      <c r="G2320">
        <v>5.74</v>
      </c>
      <c r="H2320">
        <v>72176</v>
      </c>
      <c r="I2320">
        <v>3</v>
      </c>
      <c r="J2320">
        <v>0.17</v>
      </c>
      <c r="K2320">
        <v>0.92</v>
      </c>
      <c r="L2320">
        <v>5.62</v>
      </c>
      <c r="M2320">
        <v>5.83</v>
      </c>
      <c r="N2320">
        <v>5.6</v>
      </c>
      <c r="O2320">
        <v>5.62</v>
      </c>
      <c r="P2320">
        <v>15.19</v>
      </c>
      <c r="Q2320">
        <v>41332144</v>
      </c>
      <c r="R2320">
        <v>1.64</v>
      </c>
      <c r="S2320" t="s">
        <v>115</v>
      </c>
      <c r="T2320" t="s">
        <v>156</v>
      </c>
      <c r="U2320">
        <v>4.09</v>
      </c>
      <c r="V2320">
        <v>5.73</v>
      </c>
      <c r="W2320">
        <v>34898</v>
      </c>
      <c r="X2320">
        <v>37278</v>
      </c>
      <c r="Y2320">
        <v>0.94</v>
      </c>
      <c r="Z2320">
        <v>86</v>
      </c>
      <c r="AA2320">
        <v>342</v>
      </c>
      <c r="AB2320" t="s">
        <v>32</v>
      </c>
      <c r="AC2320">
        <v>7.85</v>
      </c>
    </row>
    <row r="2321" spans="1:29">
      <c r="A2321" t="str">
        <f>"600252"</f>
        <v>600252</v>
      </c>
      <c r="B2321" t="s">
        <v>2491</v>
      </c>
      <c r="C2321">
        <v>2.27</v>
      </c>
      <c r="D2321">
        <v>3.15</v>
      </c>
      <c r="E2321">
        <v>0.07</v>
      </c>
      <c r="F2321">
        <v>3.14</v>
      </c>
      <c r="G2321">
        <v>3.15</v>
      </c>
      <c r="H2321">
        <v>118706</v>
      </c>
      <c r="I2321">
        <v>100</v>
      </c>
      <c r="J2321">
        <v>0.32</v>
      </c>
      <c r="K2321">
        <v>0.34</v>
      </c>
      <c r="L2321">
        <v>3.09</v>
      </c>
      <c r="M2321">
        <v>3.16</v>
      </c>
      <c r="N2321">
        <v>3.09</v>
      </c>
      <c r="O2321">
        <v>3.08</v>
      </c>
      <c r="P2321">
        <v>23.27</v>
      </c>
      <c r="Q2321">
        <v>37248844</v>
      </c>
      <c r="R2321">
        <v>1.72</v>
      </c>
      <c r="S2321" t="s">
        <v>195</v>
      </c>
      <c r="T2321" t="s">
        <v>238</v>
      </c>
      <c r="U2321">
        <v>2.27</v>
      </c>
      <c r="V2321">
        <v>3.14</v>
      </c>
      <c r="W2321">
        <v>45182</v>
      </c>
      <c r="X2321">
        <v>73523</v>
      </c>
      <c r="Y2321">
        <v>0.61</v>
      </c>
      <c r="Z2321">
        <v>1614</v>
      </c>
      <c r="AA2321">
        <v>6914</v>
      </c>
      <c r="AB2321" t="s">
        <v>32</v>
      </c>
      <c r="AC2321">
        <v>34.75</v>
      </c>
    </row>
    <row r="2322" spans="1:29">
      <c r="A2322" t="str">
        <f>"600255"</f>
        <v>600255</v>
      </c>
      <c r="B2322" t="s">
        <v>2492</v>
      </c>
      <c r="C2322">
        <v>4.09</v>
      </c>
      <c r="D2322">
        <v>2.29</v>
      </c>
      <c r="E2322">
        <v>0.09</v>
      </c>
      <c r="F2322">
        <v>2.28</v>
      </c>
      <c r="G2322">
        <v>2.29</v>
      </c>
      <c r="H2322">
        <v>209647</v>
      </c>
      <c r="I2322">
        <v>50</v>
      </c>
      <c r="J2322">
        <v>0.88</v>
      </c>
      <c r="K2322">
        <v>1.18</v>
      </c>
      <c r="L2322">
        <v>2.2</v>
      </c>
      <c r="M2322">
        <v>2.29</v>
      </c>
      <c r="N2322">
        <v>2.18</v>
      </c>
      <c r="O2322">
        <v>2.2</v>
      </c>
      <c r="P2322">
        <v>2033.5</v>
      </c>
      <c r="Q2322">
        <v>47159584</v>
      </c>
      <c r="R2322">
        <v>2</v>
      </c>
      <c r="S2322" t="s">
        <v>340</v>
      </c>
      <c r="T2322" t="s">
        <v>143</v>
      </c>
      <c r="U2322">
        <v>5</v>
      </c>
      <c r="V2322">
        <v>2.25</v>
      </c>
      <c r="W2322">
        <v>73077</v>
      </c>
      <c r="X2322">
        <v>136570</v>
      </c>
      <c r="Y2322">
        <v>0.54</v>
      </c>
      <c r="Z2322">
        <v>1270</v>
      </c>
      <c r="AA2322">
        <v>1804</v>
      </c>
      <c r="AB2322" t="s">
        <v>32</v>
      </c>
      <c r="AC2322">
        <v>17.7</v>
      </c>
    </row>
    <row r="2323" spans="1:29">
      <c r="A2323" t="str">
        <f>"600256"</f>
        <v>600256</v>
      </c>
      <c r="B2323" t="s">
        <v>2493</v>
      </c>
      <c r="C2323">
        <v>0.45</v>
      </c>
      <c r="D2323">
        <v>4.48</v>
      </c>
      <c r="E2323">
        <v>0.02</v>
      </c>
      <c r="F2323">
        <v>4.48</v>
      </c>
      <c r="G2323">
        <v>4.49</v>
      </c>
      <c r="H2323">
        <v>702876</v>
      </c>
      <c r="I2323">
        <v>100</v>
      </c>
      <c r="J2323">
        <v>-0.21</v>
      </c>
      <c r="K2323">
        <v>1.04</v>
      </c>
      <c r="L2323">
        <v>4.45</v>
      </c>
      <c r="M2323">
        <v>4.53</v>
      </c>
      <c r="N2323">
        <v>4.41</v>
      </c>
      <c r="O2323">
        <v>4.46</v>
      </c>
      <c r="P2323">
        <v>14.24</v>
      </c>
      <c r="Q2323">
        <v>315101760</v>
      </c>
      <c r="R2323">
        <v>1.04</v>
      </c>
      <c r="S2323" t="s">
        <v>831</v>
      </c>
      <c r="T2323" t="s">
        <v>156</v>
      </c>
      <c r="U2323">
        <v>2.69</v>
      </c>
      <c r="V2323">
        <v>4.48</v>
      </c>
      <c r="W2323">
        <v>363202</v>
      </c>
      <c r="X2323">
        <v>339674</v>
      </c>
      <c r="Y2323">
        <v>1.07</v>
      </c>
      <c r="Z2323">
        <v>927</v>
      </c>
      <c r="AA2323">
        <v>10147</v>
      </c>
      <c r="AB2323" t="s">
        <v>32</v>
      </c>
      <c r="AC2323">
        <v>67.37</v>
      </c>
    </row>
    <row r="2324" spans="1:29">
      <c r="A2324" t="str">
        <f>"600257"</f>
        <v>600257</v>
      </c>
      <c r="B2324" t="s">
        <v>2494</v>
      </c>
      <c r="C2324">
        <v>1.75</v>
      </c>
      <c r="D2324">
        <v>4.65</v>
      </c>
      <c r="E2324">
        <v>0.08</v>
      </c>
      <c r="F2324">
        <v>4.65</v>
      </c>
      <c r="G2324">
        <v>4.66</v>
      </c>
      <c r="H2324">
        <v>44059</v>
      </c>
      <c r="I2324">
        <v>3</v>
      </c>
      <c r="J2324">
        <v>0</v>
      </c>
      <c r="K2324">
        <v>1.03</v>
      </c>
      <c r="L2324">
        <v>4.59</v>
      </c>
      <c r="M2324">
        <v>4.73</v>
      </c>
      <c r="N2324">
        <v>4.58</v>
      </c>
      <c r="O2324">
        <v>4.57</v>
      </c>
      <c r="P2324">
        <v>77.03</v>
      </c>
      <c r="Q2324">
        <v>20511208</v>
      </c>
      <c r="R2324">
        <v>1.2</v>
      </c>
      <c r="S2324" t="s">
        <v>466</v>
      </c>
      <c r="T2324" t="s">
        <v>152</v>
      </c>
      <c r="U2324">
        <v>3.28</v>
      </c>
      <c r="V2324">
        <v>4.66</v>
      </c>
      <c r="W2324">
        <v>21391</v>
      </c>
      <c r="X2324">
        <v>22668</v>
      </c>
      <c r="Y2324">
        <v>0.94</v>
      </c>
      <c r="Z2324">
        <v>200</v>
      </c>
      <c r="AA2324">
        <v>530</v>
      </c>
      <c r="AB2324" t="s">
        <v>32</v>
      </c>
      <c r="AC2324">
        <v>4.27</v>
      </c>
    </row>
    <row r="2325" spans="1:29">
      <c r="A2325" t="str">
        <f>"600258"</f>
        <v>600258</v>
      </c>
      <c r="B2325" t="s">
        <v>2495</v>
      </c>
      <c r="C2325">
        <v>3.72</v>
      </c>
      <c r="D2325">
        <v>25.68</v>
      </c>
      <c r="E2325">
        <v>0.92</v>
      </c>
      <c r="F2325">
        <v>25.68</v>
      </c>
      <c r="G2325">
        <v>25.7</v>
      </c>
      <c r="H2325">
        <v>58557</v>
      </c>
      <c r="I2325">
        <v>7</v>
      </c>
      <c r="J2325">
        <v>-0.22</v>
      </c>
      <c r="K2325">
        <v>0.94</v>
      </c>
      <c r="L2325">
        <v>24.74</v>
      </c>
      <c r="M2325">
        <v>25.8</v>
      </c>
      <c r="N2325">
        <v>24.7</v>
      </c>
      <c r="O2325">
        <v>24.76</v>
      </c>
      <c r="P2325">
        <v>83.36</v>
      </c>
      <c r="Q2325">
        <v>148836864</v>
      </c>
      <c r="R2325">
        <v>1.36</v>
      </c>
      <c r="S2325" t="s">
        <v>42</v>
      </c>
      <c r="T2325" t="s">
        <v>45</v>
      </c>
      <c r="U2325">
        <v>4.44</v>
      </c>
      <c r="V2325">
        <v>25.42</v>
      </c>
      <c r="W2325">
        <v>25240</v>
      </c>
      <c r="X2325">
        <v>33316</v>
      </c>
      <c r="Y2325">
        <v>0.76</v>
      </c>
      <c r="Z2325">
        <v>11</v>
      </c>
      <c r="AA2325">
        <v>14</v>
      </c>
      <c r="AB2325" t="s">
        <v>32</v>
      </c>
      <c r="AC2325">
        <v>6.25</v>
      </c>
    </row>
    <row r="2326" spans="1:29">
      <c r="A2326" t="str">
        <f>"600259"</f>
        <v>600259</v>
      </c>
      <c r="B2326" t="s">
        <v>2496</v>
      </c>
      <c r="C2326">
        <v>2.02</v>
      </c>
      <c r="D2326">
        <v>28.25</v>
      </c>
      <c r="E2326">
        <v>0.56</v>
      </c>
      <c r="F2326">
        <v>28.23</v>
      </c>
      <c r="G2326">
        <v>28.24</v>
      </c>
      <c r="H2326">
        <v>39461</v>
      </c>
      <c r="I2326">
        <v>4</v>
      </c>
      <c r="J2326">
        <v>0.11</v>
      </c>
      <c r="K2326">
        <v>1.51</v>
      </c>
      <c r="L2326">
        <v>27.9</v>
      </c>
      <c r="M2326">
        <v>28.48</v>
      </c>
      <c r="N2326">
        <v>27.61</v>
      </c>
      <c r="O2326">
        <v>27.69</v>
      </c>
      <c r="P2326">
        <v>607.09</v>
      </c>
      <c r="Q2326">
        <v>111236296</v>
      </c>
      <c r="R2326">
        <v>2.74</v>
      </c>
      <c r="S2326" t="s">
        <v>356</v>
      </c>
      <c r="T2326" t="s">
        <v>209</v>
      </c>
      <c r="U2326">
        <v>3.14</v>
      </c>
      <c r="V2326">
        <v>28.19</v>
      </c>
      <c r="W2326">
        <v>17655</v>
      </c>
      <c r="X2326">
        <v>21806</v>
      </c>
      <c r="Y2326">
        <v>0.81</v>
      </c>
      <c r="Z2326">
        <v>22</v>
      </c>
      <c r="AA2326">
        <v>3</v>
      </c>
      <c r="AB2326" t="s">
        <v>32</v>
      </c>
      <c r="AC2326">
        <v>2.62</v>
      </c>
    </row>
    <row r="2327" spans="1:29">
      <c r="A2327" t="str">
        <f>"600260"</f>
        <v>600260</v>
      </c>
      <c r="B2327" t="s">
        <v>2497</v>
      </c>
      <c r="C2327">
        <v>0.25</v>
      </c>
      <c r="D2327">
        <v>27.68</v>
      </c>
      <c r="E2327">
        <v>0.07</v>
      </c>
      <c r="F2327">
        <v>27.7</v>
      </c>
      <c r="G2327">
        <v>27.71</v>
      </c>
      <c r="H2327">
        <v>99653</v>
      </c>
      <c r="I2327">
        <v>37</v>
      </c>
      <c r="J2327">
        <v>0.11</v>
      </c>
      <c r="K2327">
        <v>1.59</v>
      </c>
      <c r="L2327">
        <v>27.72</v>
      </c>
      <c r="M2327">
        <v>28.08</v>
      </c>
      <c r="N2327">
        <v>27.2</v>
      </c>
      <c r="O2327">
        <v>27.61</v>
      </c>
      <c r="P2327">
        <v>16.16</v>
      </c>
      <c r="Q2327">
        <v>276450336</v>
      </c>
      <c r="R2327">
        <v>0.79</v>
      </c>
      <c r="S2327" t="s">
        <v>119</v>
      </c>
      <c r="T2327" t="s">
        <v>193</v>
      </c>
      <c r="U2327">
        <v>3.19</v>
      </c>
      <c r="V2327">
        <v>27.74</v>
      </c>
      <c r="W2327">
        <v>50484</v>
      </c>
      <c r="X2327">
        <v>49168</v>
      </c>
      <c r="Y2327">
        <v>1.03</v>
      </c>
      <c r="Z2327">
        <v>27</v>
      </c>
      <c r="AA2327">
        <v>55</v>
      </c>
      <c r="AB2327" t="s">
        <v>32</v>
      </c>
      <c r="AC2327">
        <v>6.28</v>
      </c>
    </row>
    <row r="2328" spans="1:29">
      <c r="A2328" t="str">
        <f>"600261"</f>
        <v>600261</v>
      </c>
      <c r="B2328" t="s">
        <v>2498</v>
      </c>
      <c r="C2328">
        <v>1.9</v>
      </c>
      <c r="D2328">
        <v>3.75</v>
      </c>
      <c r="E2328">
        <v>0.07</v>
      </c>
      <c r="F2328">
        <v>3.74</v>
      </c>
      <c r="G2328">
        <v>3.75</v>
      </c>
      <c r="H2328">
        <v>100024</v>
      </c>
      <c r="I2328">
        <v>40</v>
      </c>
      <c r="J2328">
        <v>0.27</v>
      </c>
      <c r="K2328">
        <v>0.69</v>
      </c>
      <c r="L2328">
        <v>3.66</v>
      </c>
      <c r="M2328">
        <v>3.78</v>
      </c>
      <c r="N2328">
        <v>3.66</v>
      </c>
      <c r="O2328">
        <v>3.68</v>
      </c>
      <c r="P2328">
        <v>19.18</v>
      </c>
      <c r="Q2328">
        <v>37261468</v>
      </c>
      <c r="R2328">
        <v>2.38</v>
      </c>
      <c r="S2328" t="s">
        <v>55</v>
      </c>
      <c r="T2328" t="s">
        <v>149</v>
      </c>
      <c r="U2328">
        <v>3.26</v>
      </c>
      <c r="V2328">
        <v>3.73</v>
      </c>
      <c r="W2328">
        <v>40216</v>
      </c>
      <c r="X2328">
        <v>59807</v>
      </c>
      <c r="Y2328">
        <v>0.67</v>
      </c>
      <c r="Z2328">
        <v>1200</v>
      </c>
      <c r="AA2328">
        <v>215</v>
      </c>
      <c r="AB2328" t="s">
        <v>32</v>
      </c>
      <c r="AC2328">
        <v>14.52</v>
      </c>
    </row>
    <row r="2329" spans="1:29">
      <c r="A2329" t="str">
        <f>"600262"</f>
        <v>600262</v>
      </c>
      <c r="B2329" t="s">
        <v>2499</v>
      </c>
      <c r="C2329">
        <v>0.45</v>
      </c>
      <c r="D2329">
        <v>20.09</v>
      </c>
      <c r="E2329">
        <v>0.09</v>
      </c>
      <c r="F2329">
        <v>20.1</v>
      </c>
      <c r="G2329">
        <v>20.12</v>
      </c>
      <c r="H2329">
        <v>5193</v>
      </c>
      <c r="I2329">
        <v>7</v>
      </c>
      <c r="J2329">
        <v>0.15</v>
      </c>
      <c r="K2329">
        <v>0.31</v>
      </c>
      <c r="L2329">
        <v>19.51</v>
      </c>
      <c r="M2329">
        <v>20.39</v>
      </c>
      <c r="N2329">
        <v>19.51</v>
      </c>
      <c r="O2329">
        <v>20</v>
      </c>
      <c r="P2329">
        <v>142.57</v>
      </c>
      <c r="Q2329">
        <v>10418101</v>
      </c>
      <c r="R2329">
        <v>0.94</v>
      </c>
      <c r="S2329" t="s">
        <v>262</v>
      </c>
      <c r="T2329" t="s">
        <v>198</v>
      </c>
      <c r="U2329">
        <v>4.4</v>
      </c>
      <c r="V2329">
        <v>20.06</v>
      </c>
      <c r="W2329">
        <v>2841</v>
      </c>
      <c r="X2329">
        <v>2352</v>
      </c>
      <c r="Y2329">
        <v>1.21</v>
      </c>
      <c r="Z2329">
        <v>2</v>
      </c>
      <c r="AA2329">
        <v>17</v>
      </c>
      <c r="AB2329" t="s">
        <v>32</v>
      </c>
      <c r="AC2329">
        <v>1.7</v>
      </c>
    </row>
    <row r="2330" spans="1:29">
      <c r="A2330" t="str">
        <f>"600265"</f>
        <v>600265</v>
      </c>
      <c r="B2330" t="s">
        <v>2500</v>
      </c>
      <c r="C2330">
        <v>0.19</v>
      </c>
      <c r="D2330">
        <v>26.27</v>
      </c>
      <c r="E2330">
        <v>0.05</v>
      </c>
      <c r="F2330">
        <v>26.2</v>
      </c>
      <c r="G2330">
        <v>26.27</v>
      </c>
      <c r="H2330">
        <v>2153</v>
      </c>
      <c r="I2330">
        <v>1</v>
      </c>
      <c r="J2330">
        <v>0.42</v>
      </c>
      <c r="K2330">
        <v>0.17</v>
      </c>
      <c r="L2330">
        <v>26.12</v>
      </c>
      <c r="M2330">
        <v>26.49</v>
      </c>
      <c r="N2330">
        <v>26.05</v>
      </c>
      <c r="O2330">
        <v>26.22</v>
      </c>
      <c r="P2330" t="s">
        <v>32</v>
      </c>
      <c r="Q2330">
        <v>5661417</v>
      </c>
      <c r="R2330">
        <v>1.12</v>
      </c>
      <c r="S2330" t="s">
        <v>302</v>
      </c>
      <c r="T2330" t="s">
        <v>250</v>
      </c>
      <c r="U2330">
        <v>1.68</v>
      </c>
      <c r="V2330">
        <v>26.3</v>
      </c>
      <c r="W2330">
        <v>1295</v>
      </c>
      <c r="X2330">
        <v>858</v>
      </c>
      <c r="Y2330">
        <v>1.51</v>
      </c>
      <c r="Z2330">
        <v>5</v>
      </c>
      <c r="AA2330">
        <v>1</v>
      </c>
      <c r="AB2330" t="s">
        <v>32</v>
      </c>
      <c r="AC2330">
        <v>1.3</v>
      </c>
    </row>
    <row r="2331" spans="1:29">
      <c r="A2331" t="str">
        <f>"600266"</f>
        <v>600266</v>
      </c>
      <c r="B2331" t="s">
        <v>2501</v>
      </c>
      <c r="C2331">
        <v>3.91</v>
      </c>
      <c r="D2331">
        <v>9.29</v>
      </c>
      <c r="E2331">
        <v>0.35</v>
      </c>
      <c r="F2331">
        <v>9.29</v>
      </c>
      <c r="G2331">
        <v>9.3</v>
      </c>
      <c r="H2331">
        <v>102495</v>
      </c>
      <c r="I2331">
        <v>12</v>
      </c>
      <c r="J2331">
        <v>0</v>
      </c>
      <c r="K2331">
        <v>0.65</v>
      </c>
      <c r="L2331">
        <v>8.98</v>
      </c>
      <c r="M2331">
        <v>9.49</v>
      </c>
      <c r="N2331">
        <v>8.94</v>
      </c>
      <c r="O2331">
        <v>8.94</v>
      </c>
      <c r="P2331">
        <v>31.76</v>
      </c>
      <c r="Q2331">
        <v>95086792</v>
      </c>
      <c r="R2331">
        <v>2.65</v>
      </c>
      <c r="S2331" t="s">
        <v>40</v>
      </c>
      <c r="T2331" t="s">
        <v>45</v>
      </c>
      <c r="U2331">
        <v>6.15</v>
      </c>
      <c r="V2331">
        <v>9.28</v>
      </c>
      <c r="W2331">
        <v>48518</v>
      </c>
      <c r="X2331">
        <v>53977</v>
      </c>
      <c r="Y2331">
        <v>0.9</v>
      </c>
      <c r="Z2331">
        <v>84</v>
      </c>
      <c r="AA2331">
        <v>324</v>
      </c>
      <c r="AB2331" t="s">
        <v>32</v>
      </c>
      <c r="AC2331">
        <v>15.67</v>
      </c>
    </row>
    <row r="2332" spans="1:29">
      <c r="A2332" t="str">
        <f>"600267"</f>
        <v>600267</v>
      </c>
      <c r="B2332" t="s">
        <v>2502</v>
      </c>
      <c r="C2332">
        <v>1.94</v>
      </c>
      <c r="D2332">
        <v>14.17</v>
      </c>
      <c r="E2332">
        <v>0.27</v>
      </c>
      <c r="F2332">
        <v>14.17</v>
      </c>
      <c r="G2332">
        <v>14.18</v>
      </c>
      <c r="H2332">
        <v>92092</v>
      </c>
      <c r="I2332">
        <v>5</v>
      </c>
      <c r="J2332">
        <v>0.28</v>
      </c>
      <c r="K2332">
        <v>0.95</v>
      </c>
      <c r="L2332">
        <v>13.89</v>
      </c>
      <c r="M2332">
        <v>14.34</v>
      </c>
      <c r="N2332">
        <v>13.65</v>
      </c>
      <c r="O2332">
        <v>13.9</v>
      </c>
      <c r="P2332">
        <v>316.98</v>
      </c>
      <c r="Q2332">
        <v>129766224</v>
      </c>
      <c r="R2332">
        <v>1.45</v>
      </c>
      <c r="S2332" t="s">
        <v>142</v>
      </c>
      <c r="T2332" t="s">
        <v>149</v>
      </c>
      <c r="U2332">
        <v>4.96</v>
      </c>
      <c r="V2332">
        <v>14.09</v>
      </c>
      <c r="W2332">
        <v>48424</v>
      </c>
      <c r="X2332">
        <v>43667</v>
      </c>
      <c r="Y2332">
        <v>1.11</v>
      </c>
      <c r="Z2332">
        <v>16</v>
      </c>
      <c r="AA2332">
        <v>396</v>
      </c>
      <c r="AB2332" t="s">
        <v>32</v>
      </c>
      <c r="AC2332">
        <v>9.66</v>
      </c>
    </row>
    <row r="2333" spans="1:29">
      <c r="A2333" t="str">
        <f>"600268"</f>
        <v>600268</v>
      </c>
      <c r="B2333" t="s">
        <v>2503</v>
      </c>
      <c r="C2333">
        <v>1.85</v>
      </c>
      <c r="D2333">
        <v>4.41</v>
      </c>
      <c r="E2333">
        <v>0.08</v>
      </c>
      <c r="F2333">
        <v>4.4</v>
      </c>
      <c r="G2333">
        <v>4.41</v>
      </c>
      <c r="H2333">
        <v>45282</v>
      </c>
      <c r="I2333">
        <v>2</v>
      </c>
      <c r="J2333">
        <v>0</v>
      </c>
      <c r="K2333">
        <v>0.71</v>
      </c>
      <c r="L2333">
        <v>4.31</v>
      </c>
      <c r="M2333">
        <v>4.44</v>
      </c>
      <c r="N2333">
        <v>4.31</v>
      </c>
      <c r="O2333">
        <v>4.33</v>
      </c>
      <c r="P2333" t="s">
        <v>32</v>
      </c>
      <c r="Q2333">
        <v>19880628</v>
      </c>
      <c r="R2333">
        <v>1.75</v>
      </c>
      <c r="S2333" t="s">
        <v>104</v>
      </c>
      <c r="T2333" t="s">
        <v>87</v>
      </c>
      <c r="U2333">
        <v>3</v>
      </c>
      <c r="V2333">
        <v>4.39</v>
      </c>
      <c r="W2333">
        <v>18544</v>
      </c>
      <c r="X2333">
        <v>26737</v>
      </c>
      <c r="Y2333">
        <v>0.69</v>
      </c>
      <c r="Z2333">
        <v>1279</v>
      </c>
      <c r="AA2333">
        <v>105</v>
      </c>
      <c r="AB2333" t="s">
        <v>32</v>
      </c>
      <c r="AC2333">
        <v>6.35</v>
      </c>
    </row>
    <row r="2334" spans="1:29">
      <c r="A2334" t="str">
        <f>"600269"</f>
        <v>600269</v>
      </c>
      <c r="B2334" t="s">
        <v>2504</v>
      </c>
      <c r="C2334">
        <v>2.13</v>
      </c>
      <c r="D2334">
        <v>4.32</v>
      </c>
      <c r="E2334">
        <v>0.09</v>
      </c>
      <c r="F2334">
        <v>4.31</v>
      </c>
      <c r="G2334">
        <v>4.32</v>
      </c>
      <c r="H2334">
        <v>131716</v>
      </c>
      <c r="I2334">
        <v>5</v>
      </c>
      <c r="J2334">
        <v>0.23</v>
      </c>
      <c r="K2334">
        <v>0.56</v>
      </c>
      <c r="L2334">
        <v>4.23</v>
      </c>
      <c r="M2334">
        <v>4.32</v>
      </c>
      <c r="N2334">
        <v>4.21</v>
      </c>
      <c r="O2334">
        <v>4.23</v>
      </c>
      <c r="P2334">
        <v>10.94</v>
      </c>
      <c r="Q2334">
        <v>56479816</v>
      </c>
      <c r="R2334">
        <v>2.66</v>
      </c>
      <c r="S2334" t="s">
        <v>201</v>
      </c>
      <c r="T2334" t="s">
        <v>172</v>
      </c>
      <c r="U2334">
        <v>2.6</v>
      </c>
      <c r="V2334">
        <v>4.29</v>
      </c>
      <c r="W2334">
        <v>48798</v>
      </c>
      <c r="X2334">
        <v>82918</v>
      </c>
      <c r="Y2334">
        <v>0.59</v>
      </c>
      <c r="Z2334">
        <v>431</v>
      </c>
      <c r="AA2334">
        <v>1456</v>
      </c>
      <c r="AB2334" t="s">
        <v>32</v>
      </c>
      <c r="AC2334">
        <v>23.35</v>
      </c>
    </row>
    <row r="2335" spans="1:29">
      <c r="A2335" t="str">
        <f>"600270"</f>
        <v>600270</v>
      </c>
      <c r="B2335" t="s">
        <v>2505</v>
      </c>
      <c r="C2335">
        <v>-0.97</v>
      </c>
      <c r="D2335">
        <v>21.38</v>
      </c>
      <c r="E2335">
        <v>-0.21</v>
      </c>
      <c r="F2335">
        <v>21.4</v>
      </c>
      <c r="G2335">
        <v>21.42</v>
      </c>
      <c r="H2335">
        <v>42354</v>
      </c>
      <c r="I2335">
        <v>38</v>
      </c>
      <c r="J2335">
        <v>0.09</v>
      </c>
      <c r="K2335">
        <v>0.47</v>
      </c>
      <c r="L2335">
        <v>21.56</v>
      </c>
      <c r="M2335">
        <v>21.65</v>
      </c>
      <c r="N2335">
        <v>21.34</v>
      </c>
      <c r="O2335">
        <v>21.59</v>
      </c>
      <c r="P2335">
        <v>23.83</v>
      </c>
      <c r="Q2335">
        <v>90846432</v>
      </c>
      <c r="R2335">
        <v>0.94</v>
      </c>
      <c r="S2335" t="s">
        <v>742</v>
      </c>
      <c r="T2335" t="s">
        <v>45</v>
      </c>
      <c r="U2335">
        <v>1.44</v>
      </c>
      <c r="V2335">
        <v>21.45</v>
      </c>
      <c r="W2335">
        <v>24704</v>
      </c>
      <c r="X2335">
        <v>17650</v>
      </c>
      <c r="Y2335">
        <v>1.4</v>
      </c>
      <c r="Z2335">
        <v>2</v>
      </c>
      <c r="AA2335">
        <v>143</v>
      </c>
      <c r="AB2335" t="s">
        <v>32</v>
      </c>
      <c r="AC2335">
        <v>9.05</v>
      </c>
    </row>
    <row r="2336" spans="1:29">
      <c r="A2336" t="str">
        <f>"600271"</f>
        <v>600271</v>
      </c>
      <c r="B2336" t="s">
        <v>2506</v>
      </c>
      <c r="C2336">
        <v>1.55</v>
      </c>
      <c r="D2336">
        <v>28.86</v>
      </c>
      <c r="E2336">
        <v>0.44</v>
      </c>
      <c r="F2336">
        <v>28.84</v>
      </c>
      <c r="G2336">
        <v>28.85</v>
      </c>
      <c r="H2336">
        <v>317855</v>
      </c>
      <c r="I2336">
        <v>142</v>
      </c>
      <c r="J2336">
        <v>0.07</v>
      </c>
      <c r="K2336">
        <v>1.72</v>
      </c>
      <c r="L2336">
        <v>28.48</v>
      </c>
      <c r="M2336">
        <v>29.27</v>
      </c>
      <c r="N2336">
        <v>28.22</v>
      </c>
      <c r="O2336">
        <v>28.42</v>
      </c>
      <c r="P2336">
        <v>132.77</v>
      </c>
      <c r="Q2336">
        <v>913469952</v>
      </c>
      <c r="R2336">
        <v>1.43</v>
      </c>
      <c r="S2336" t="s">
        <v>65</v>
      </c>
      <c r="T2336" t="s">
        <v>45</v>
      </c>
      <c r="U2336">
        <v>3.69</v>
      </c>
      <c r="V2336">
        <v>28.74</v>
      </c>
      <c r="W2336">
        <v>162310</v>
      </c>
      <c r="X2336">
        <v>155545</v>
      </c>
      <c r="Y2336">
        <v>1.04</v>
      </c>
      <c r="Z2336">
        <v>20</v>
      </c>
      <c r="AA2336">
        <v>2</v>
      </c>
      <c r="AB2336" t="s">
        <v>32</v>
      </c>
      <c r="AC2336">
        <v>18.47</v>
      </c>
    </row>
    <row r="2337" spans="1:29">
      <c r="A2337" t="str">
        <f>"600272"</f>
        <v>600272</v>
      </c>
      <c r="B2337" t="s">
        <v>2507</v>
      </c>
      <c r="C2337">
        <v>1.27</v>
      </c>
      <c r="D2337">
        <v>8</v>
      </c>
      <c r="E2337">
        <v>0.1</v>
      </c>
      <c r="F2337">
        <v>7.99</v>
      </c>
      <c r="G2337">
        <v>8</v>
      </c>
      <c r="H2337">
        <v>17701</v>
      </c>
      <c r="I2337">
        <v>48</v>
      </c>
      <c r="J2337">
        <v>0</v>
      </c>
      <c r="K2337">
        <v>1.11</v>
      </c>
      <c r="L2337">
        <v>7.89</v>
      </c>
      <c r="M2337">
        <v>8.07</v>
      </c>
      <c r="N2337">
        <v>7.89</v>
      </c>
      <c r="O2337">
        <v>7.9</v>
      </c>
      <c r="P2337">
        <v>60.57</v>
      </c>
      <c r="Q2337">
        <v>14132453</v>
      </c>
      <c r="R2337">
        <v>1.51</v>
      </c>
      <c r="S2337" t="s">
        <v>195</v>
      </c>
      <c r="T2337" t="s">
        <v>366</v>
      </c>
      <c r="U2337">
        <v>2.28</v>
      </c>
      <c r="V2337">
        <v>7.98</v>
      </c>
      <c r="W2337">
        <v>8412</v>
      </c>
      <c r="X2337">
        <v>9288</v>
      </c>
      <c r="Y2337">
        <v>0.91</v>
      </c>
      <c r="Z2337">
        <v>158</v>
      </c>
      <c r="AA2337">
        <v>17</v>
      </c>
      <c r="AB2337" t="s">
        <v>32</v>
      </c>
      <c r="AC2337">
        <v>1.6</v>
      </c>
    </row>
    <row r="2338" spans="1:29">
      <c r="A2338" t="str">
        <f>"600273"</f>
        <v>600273</v>
      </c>
      <c r="B2338" t="s">
        <v>2508</v>
      </c>
      <c r="C2338">
        <v>1.26</v>
      </c>
      <c r="D2338">
        <v>9.68</v>
      </c>
      <c r="E2338">
        <v>0.12</v>
      </c>
      <c r="F2338">
        <v>9.67</v>
      </c>
      <c r="G2338">
        <v>9.68</v>
      </c>
      <c r="H2338">
        <v>287778</v>
      </c>
      <c r="I2338">
        <v>10</v>
      </c>
      <c r="J2338">
        <v>0</v>
      </c>
      <c r="K2338">
        <v>1.96</v>
      </c>
      <c r="L2338">
        <v>9.55</v>
      </c>
      <c r="M2338">
        <v>9.88</v>
      </c>
      <c r="N2338">
        <v>9.47</v>
      </c>
      <c r="O2338">
        <v>9.56</v>
      </c>
      <c r="P2338">
        <v>12.21</v>
      </c>
      <c r="Q2338">
        <v>278578592</v>
      </c>
      <c r="R2338">
        <v>1.69</v>
      </c>
      <c r="S2338" t="s">
        <v>218</v>
      </c>
      <c r="T2338" t="s">
        <v>149</v>
      </c>
      <c r="U2338">
        <v>4.29</v>
      </c>
      <c r="V2338">
        <v>9.68</v>
      </c>
      <c r="W2338">
        <v>104311</v>
      </c>
      <c r="X2338">
        <v>183467</v>
      </c>
      <c r="Y2338">
        <v>0.57</v>
      </c>
      <c r="Z2338">
        <v>18</v>
      </c>
      <c r="AA2338">
        <v>45</v>
      </c>
      <c r="AB2338" t="s">
        <v>32</v>
      </c>
      <c r="AC2338">
        <v>14.66</v>
      </c>
    </row>
    <row r="2339" spans="1:29">
      <c r="A2339" t="str">
        <f>"600275"</f>
        <v>600275</v>
      </c>
      <c r="B2339" t="s">
        <v>2509</v>
      </c>
      <c r="C2339">
        <v>0.67</v>
      </c>
      <c r="D2339">
        <v>3</v>
      </c>
      <c r="E2339">
        <v>0.02</v>
      </c>
      <c r="F2339">
        <v>3</v>
      </c>
      <c r="G2339">
        <v>3.01</v>
      </c>
      <c r="H2339">
        <v>21648</v>
      </c>
      <c r="I2339">
        <v>1</v>
      </c>
      <c r="J2339">
        <v>-0.32</v>
      </c>
      <c r="K2339">
        <v>0.43</v>
      </c>
      <c r="L2339">
        <v>2.97</v>
      </c>
      <c r="M2339">
        <v>3.03</v>
      </c>
      <c r="N2339">
        <v>2.96</v>
      </c>
      <c r="O2339">
        <v>2.98</v>
      </c>
      <c r="P2339" t="s">
        <v>32</v>
      </c>
      <c r="Q2339">
        <v>6494449</v>
      </c>
      <c r="R2339">
        <v>1.19</v>
      </c>
      <c r="S2339" t="s">
        <v>115</v>
      </c>
      <c r="T2339" t="s">
        <v>193</v>
      </c>
      <c r="U2339">
        <v>2.35</v>
      </c>
      <c r="V2339">
        <v>3</v>
      </c>
      <c r="W2339">
        <v>11792</v>
      </c>
      <c r="X2339">
        <v>9856</v>
      </c>
      <c r="Y2339">
        <v>1.2</v>
      </c>
      <c r="Z2339">
        <v>656</v>
      </c>
      <c r="AA2339">
        <v>254</v>
      </c>
      <c r="AB2339" t="s">
        <v>32</v>
      </c>
      <c r="AC2339">
        <v>5.09</v>
      </c>
    </row>
    <row r="2340" spans="1:29">
      <c r="A2340" t="str">
        <f>"600276"</f>
        <v>600276</v>
      </c>
      <c r="B2340" t="s">
        <v>2510</v>
      </c>
      <c r="C2340">
        <v>1.17</v>
      </c>
      <c r="D2340">
        <v>71.01</v>
      </c>
      <c r="E2340">
        <v>0.82</v>
      </c>
      <c r="F2340">
        <v>71.01</v>
      </c>
      <c r="G2340">
        <v>71.02</v>
      </c>
      <c r="H2340">
        <v>260237</v>
      </c>
      <c r="I2340">
        <v>3</v>
      </c>
      <c r="J2340">
        <v>0</v>
      </c>
      <c r="K2340">
        <v>0.71</v>
      </c>
      <c r="L2340">
        <v>69.7</v>
      </c>
      <c r="M2340">
        <v>72.2</v>
      </c>
      <c r="N2340">
        <v>69.18</v>
      </c>
      <c r="O2340">
        <v>70.19</v>
      </c>
      <c r="P2340">
        <v>68.85</v>
      </c>
      <c r="Q2340">
        <v>1845466624</v>
      </c>
      <c r="R2340">
        <v>1.17</v>
      </c>
      <c r="S2340" t="s">
        <v>142</v>
      </c>
      <c r="T2340" t="s">
        <v>87</v>
      </c>
      <c r="U2340">
        <v>4.3</v>
      </c>
      <c r="V2340">
        <v>70.91</v>
      </c>
      <c r="W2340">
        <v>120514</v>
      </c>
      <c r="X2340">
        <v>139723</v>
      </c>
      <c r="Y2340">
        <v>0.86</v>
      </c>
      <c r="Z2340">
        <v>81</v>
      </c>
      <c r="AA2340">
        <v>32</v>
      </c>
      <c r="AB2340" t="s">
        <v>32</v>
      </c>
      <c r="AC2340">
        <v>36.62</v>
      </c>
    </row>
    <row r="2341" spans="1:29">
      <c r="A2341" t="str">
        <f>"600277"</f>
        <v>600277</v>
      </c>
      <c r="B2341" t="s">
        <v>2511</v>
      </c>
      <c r="C2341">
        <v>0.19</v>
      </c>
      <c r="D2341">
        <v>5.38</v>
      </c>
      <c r="E2341">
        <v>0.01</v>
      </c>
      <c r="F2341">
        <v>5.38</v>
      </c>
      <c r="G2341">
        <v>5.39</v>
      </c>
      <c r="H2341">
        <v>64188</v>
      </c>
      <c r="I2341">
        <v>1</v>
      </c>
      <c r="J2341">
        <v>-0.18</v>
      </c>
      <c r="K2341">
        <v>0.24</v>
      </c>
      <c r="L2341">
        <v>5.37</v>
      </c>
      <c r="M2341">
        <v>5.42</v>
      </c>
      <c r="N2341">
        <v>5.32</v>
      </c>
      <c r="O2341">
        <v>5.37</v>
      </c>
      <c r="P2341">
        <v>27.46</v>
      </c>
      <c r="Q2341">
        <v>34603368</v>
      </c>
      <c r="R2341">
        <v>1.07</v>
      </c>
      <c r="S2341" t="s">
        <v>47</v>
      </c>
      <c r="T2341" t="s">
        <v>198</v>
      </c>
      <c r="U2341">
        <v>1.86</v>
      </c>
      <c r="V2341">
        <v>5.39</v>
      </c>
      <c r="W2341">
        <v>31580</v>
      </c>
      <c r="X2341">
        <v>32607</v>
      </c>
      <c r="Y2341">
        <v>0.97</v>
      </c>
      <c r="Z2341">
        <v>41</v>
      </c>
      <c r="AA2341">
        <v>458</v>
      </c>
      <c r="AB2341" t="s">
        <v>32</v>
      </c>
      <c r="AC2341">
        <v>26.74</v>
      </c>
    </row>
    <row r="2342" spans="1:29">
      <c r="A2342" t="str">
        <f>"600278"</f>
        <v>600278</v>
      </c>
      <c r="B2342" t="s">
        <v>2512</v>
      </c>
      <c r="C2342">
        <v>1.84</v>
      </c>
      <c r="D2342">
        <v>8.29</v>
      </c>
      <c r="E2342">
        <v>0.15</v>
      </c>
      <c r="F2342">
        <v>8.29</v>
      </c>
      <c r="G2342">
        <v>8.31</v>
      </c>
      <c r="H2342">
        <v>30612</v>
      </c>
      <c r="I2342">
        <v>15</v>
      </c>
      <c r="J2342">
        <v>0.12</v>
      </c>
      <c r="K2342">
        <v>0.59</v>
      </c>
      <c r="L2342">
        <v>8.12</v>
      </c>
      <c r="M2342">
        <v>8.31</v>
      </c>
      <c r="N2342">
        <v>8.12</v>
      </c>
      <c r="O2342">
        <v>8.14</v>
      </c>
      <c r="P2342">
        <v>21.41</v>
      </c>
      <c r="Q2342">
        <v>25238298</v>
      </c>
      <c r="R2342">
        <v>1.72</v>
      </c>
      <c r="S2342" t="s">
        <v>140</v>
      </c>
      <c r="T2342" t="s">
        <v>366</v>
      </c>
      <c r="U2342">
        <v>2.33</v>
      </c>
      <c r="V2342">
        <v>8.24</v>
      </c>
      <c r="W2342">
        <v>13212</v>
      </c>
      <c r="X2342">
        <v>17400</v>
      </c>
      <c r="Y2342">
        <v>0.76</v>
      </c>
      <c r="Z2342">
        <v>61</v>
      </c>
      <c r="AA2342">
        <v>415</v>
      </c>
      <c r="AB2342" t="s">
        <v>32</v>
      </c>
      <c r="AC2342">
        <v>5.22</v>
      </c>
    </row>
    <row r="2343" spans="1:29">
      <c r="A2343" t="str">
        <f>"600279"</f>
        <v>600279</v>
      </c>
      <c r="B2343" t="s">
        <v>2513</v>
      </c>
      <c r="C2343">
        <v>2.47</v>
      </c>
      <c r="D2343">
        <v>4.57</v>
      </c>
      <c r="E2343">
        <v>0.11</v>
      </c>
      <c r="F2343">
        <v>4.56</v>
      </c>
      <c r="G2343">
        <v>4.57</v>
      </c>
      <c r="H2343">
        <v>53010</v>
      </c>
      <c r="I2343">
        <v>36</v>
      </c>
      <c r="J2343">
        <v>0</v>
      </c>
      <c r="K2343">
        <v>0.76</v>
      </c>
      <c r="L2343">
        <v>4.43</v>
      </c>
      <c r="M2343">
        <v>4.61</v>
      </c>
      <c r="N2343">
        <v>4.42</v>
      </c>
      <c r="O2343">
        <v>4.46</v>
      </c>
      <c r="P2343">
        <v>39.08</v>
      </c>
      <c r="Q2343">
        <v>24090566</v>
      </c>
      <c r="R2343">
        <v>2.03</v>
      </c>
      <c r="S2343" t="s">
        <v>67</v>
      </c>
      <c r="T2343" t="s">
        <v>221</v>
      </c>
      <c r="U2343">
        <v>4.26</v>
      </c>
      <c r="V2343">
        <v>4.54</v>
      </c>
      <c r="W2343">
        <v>21879</v>
      </c>
      <c r="X2343">
        <v>31131</v>
      </c>
      <c r="Y2343">
        <v>0.7</v>
      </c>
      <c r="Z2343">
        <v>488</v>
      </c>
      <c r="AA2343">
        <v>66</v>
      </c>
      <c r="AB2343" t="s">
        <v>32</v>
      </c>
      <c r="AC2343">
        <v>6.93</v>
      </c>
    </row>
    <row r="2344" spans="1:29">
      <c r="A2344" t="str">
        <f>"600280"</f>
        <v>600280</v>
      </c>
      <c r="B2344" t="s">
        <v>2514</v>
      </c>
      <c r="C2344">
        <v>-1.79</v>
      </c>
      <c r="D2344">
        <v>9.33</v>
      </c>
      <c r="E2344">
        <v>-0.17</v>
      </c>
      <c r="F2344">
        <v>9.38</v>
      </c>
      <c r="G2344">
        <v>9.39</v>
      </c>
      <c r="H2344">
        <v>123382</v>
      </c>
      <c r="I2344">
        <v>2</v>
      </c>
      <c r="J2344">
        <v>-0.31</v>
      </c>
      <c r="K2344">
        <v>1.07</v>
      </c>
      <c r="L2344">
        <v>9.51</v>
      </c>
      <c r="M2344">
        <v>9.6</v>
      </c>
      <c r="N2344">
        <v>9.3</v>
      </c>
      <c r="O2344">
        <v>9.5</v>
      </c>
      <c r="P2344">
        <v>67.39</v>
      </c>
      <c r="Q2344">
        <v>116211672</v>
      </c>
      <c r="R2344">
        <v>1.21</v>
      </c>
      <c r="S2344" t="s">
        <v>186</v>
      </c>
      <c r="T2344" t="s">
        <v>87</v>
      </c>
      <c r="U2344">
        <v>3.16</v>
      </c>
      <c r="V2344">
        <v>9.42</v>
      </c>
      <c r="W2344">
        <v>59738</v>
      </c>
      <c r="X2344">
        <v>63644</v>
      </c>
      <c r="Y2344">
        <v>0.94</v>
      </c>
      <c r="Z2344">
        <v>141</v>
      </c>
      <c r="AA2344">
        <v>162</v>
      </c>
      <c r="AB2344" t="s">
        <v>32</v>
      </c>
      <c r="AC2344">
        <v>11.48</v>
      </c>
    </row>
    <row r="2345" spans="1:29">
      <c r="A2345" t="str">
        <f>"600281"</f>
        <v>600281</v>
      </c>
      <c r="B2345" t="s">
        <v>2515</v>
      </c>
      <c r="C2345">
        <v>3.69</v>
      </c>
      <c r="D2345">
        <v>3.65</v>
      </c>
      <c r="E2345">
        <v>0.13</v>
      </c>
      <c r="F2345">
        <v>3.63</v>
      </c>
      <c r="G2345">
        <v>3.65</v>
      </c>
      <c r="H2345">
        <v>29479</v>
      </c>
      <c r="I2345">
        <v>340</v>
      </c>
      <c r="J2345">
        <v>0</v>
      </c>
      <c r="K2345">
        <v>0.57</v>
      </c>
      <c r="L2345">
        <v>3.51</v>
      </c>
      <c r="M2345">
        <v>3.69</v>
      </c>
      <c r="N2345">
        <v>3.51</v>
      </c>
      <c r="O2345">
        <v>3.52</v>
      </c>
      <c r="P2345" t="s">
        <v>32</v>
      </c>
      <c r="Q2345">
        <v>10687142</v>
      </c>
      <c r="R2345">
        <v>2.46</v>
      </c>
      <c r="S2345" t="s">
        <v>218</v>
      </c>
      <c r="T2345" t="s">
        <v>169</v>
      </c>
      <c r="U2345">
        <v>5.11</v>
      </c>
      <c r="V2345">
        <v>3.63</v>
      </c>
      <c r="W2345">
        <v>11027</v>
      </c>
      <c r="X2345">
        <v>18452</v>
      </c>
      <c r="Y2345">
        <v>0.6</v>
      </c>
      <c r="Z2345">
        <v>335</v>
      </c>
      <c r="AA2345">
        <v>120</v>
      </c>
      <c r="AB2345" t="s">
        <v>32</v>
      </c>
      <c r="AC2345">
        <v>5.14</v>
      </c>
    </row>
    <row r="2346" spans="1:29">
      <c r="A2346" t="str">
        <f>"600282"</f>
        <v>600282</v>
      </c>
      <c r="B2346" t="s">
        <v>2516</v>
      </c>
      <c r="C2346">
        <v>1.23</v>
      </c>
      <c r="D2346">
        <v>4.95</v>
      </c>
      <c r="E2346">
        <v>0.06</v>
      </c>
      <c r="F2346">
        <v>4.95</v>
      </c>
      <c r="G2346">
        <v>4.96</v>
      </c>
      <c r="H2346">
        <v>1883980</v>
      </c>
      <c r="I2346">
        <v>710</v>
      </c>
      <c r="J2346">
        <v>0.2</v>
      </c>
      <c r="K2346">
        <v>4.85</v>
      </c>
      <c r="L2346">
        <v>5.05</v>
      </c>
      <c r="M2346">
        <v>5.22</v>
      </c>
      <c r="N2346">
        <v>4.93</v>
      </c>
      <c r="O2346">
        <v>4.89</v>
      </c>
      <c r="P2346">
        <v>5.43</v>
      </c>
      <c r="Q2346">
        <v>955491648</v>
      </c>
      <c r="R2346">
        <v>2.66</v>
      </c>
      <c r="S2346" t="s">
        <v>353</v>
      </c>
      <c r="T2346" t="s">
        <v>87</v>
      </c>
      <c r="U2346">
        <v>5.93</v>
      </c>
      <c r="V2346">
        <v>5.07</v>
      </c>
      <c r="W2346">
        <v>939476</v>
      </c>
      <c r="X2346">
        <v>944504</v>
      </c>
      <c r="Y2346">
        <v>0.99</v>
      </c>
      <c r="Z2346">
        <v>2057</v>
      </c>
      <c r="AA2346">
        <v>2915</v>
      </c>
      <c r="AB2346" t="s">
        <v>32</v>
      </c>
      <c r="AC2346">
        <v>38.86</v>
      </c>
    </row>
    <row r="2347" spans="1:29">
      <c r="A2347" t="str">
        <f>"600283"</f>
        <v>600283</v>
      </c>
      <c r="B2347" t="s">
        <v>2517</v>
      </c>
      <c r="C2347">
        <v>2.83</v>
      </c>
      <c r="D2347">
        <v>11.63</v>
      </c>
      <c r="E2347">
        <v>0.32</v>
      </c>
      <c r="F2347">
        <v>11.63</v>
      </c>
      <c r="G2347">
        <v>11.64</v>
      </c>
      <c r="H2347">
        <v>24050</v>
      </c>
      <c r="I2347">
        <v>33</v>
      </c>
      <c r="J2347">
        <v>-0.08</v>
      </c>
      <c r="K2347">
        <v>0.68</v>
      </c>
      <c r="L2347">
        <v>11.33</v>
      </c>
      <c r="M2347">
        <v>11.7</v>
      </c>
      <c r="N2347">
        <v>11.33</v>
      </c>
      <c r="O2347">
        <v>11.31</v>
      </c>
      <c r="P2347">
        <v>34.7</v>
      </c>
      <c r="Q2347">
        <v>27874726</v>
      </c>
      <c r="R2347">
        <v>2.86</v>
      </c>
      <c r="S2347" t="s">
        <v>308</v>
      </c>
      <c r="T2347" t="s">
        <v>149</v>
      </c>
      <c r="U2347">
        <v>3.27</v>
      </c>
      <c r="V2347">
        <v>11.59</v>
      </c>
      <c r="W2347">
        <v>9391</v>
      </c>
      <c r="X2347">
        <v>14658</v>
      </c>
      <c r="Y2347">
        <v>0.64</v>
      </c>
      <c r="Z2347">
        <v>16</v>
      </c>
      <c r="AA2347">
        <v>31</v>
      </c>
      <c r="AB2347" t="s">
        <v>32</v>
      </c>
      <c r="AC2347">
        <v>3.53</v>
      </c>
    </row>
    <row r="2348" spans="1:29">
      <c r="A2348" t="str">
        <f>"600284"</f>
        <v>600284</v>
      </c>
      <c r="B2348" t="s">
        <v>2518</v>
      </c>
      <c r="C2348">
        <v>10.1</v>
      </c>
      <c r="D2348">
        <v>5.45</v>
      </c>
      <c r="E2348">
        <v>0.5</v>
      </c>
      <c r="F2348">
        <v>5.45</v>
      </c>
      <c r="G2348" t="s">
        <v>32</v>
      </c>
      <c r="H2348">
        <v>275228</v>
      </c>
      <c r="I2348">
        <v>14</v>
      </c>
      <c r="J2348">
        <v>0</v>
      </c>
      <c r="K2348">
        <v>2.84</v>
      </c>
      <c r="L2348">
        <v>4.96</v>
      </c>
      <c r="M2348">
        <v>5.45</v>
      </c>
      <c r="N2348">
        <v>4.96</v>
      </c>
      <c r="O2348">
        <v>4.95</v>
      </c>
      <c r="P2348">
        <v>18.05</v>
      </c>
      <c r="Q2348">
        <v>146537744</v>
      </c>
      <c r="R2348">
        <v>9.03</v>
      </c>
      <c r="S2348" t="s">
        <v>49</v>
      </c>
      <c r="T2348" t="s">
        <v>366</v>
      </c>
      <c r="U2348">
        <v>9.9</v>
      </c>
      <c r="V2348">
        <v>5.32</v>
      </c>
      <c r="W2348">
        <v>143670</v>
      </c>
      <c r="X2348">
        <v>131558</v>
      </c>
      <c r="Y2348">
        <v>1.09</v>
      </c>
      <c r="Z2348">
        <v>5795</v>
      </c>
      <c r="AA2348">
        <v>0</v>
      </c>
      <c r="AB2348" t="s">
        <v>32</v>
      </c>
      <c r="AC2348">
        <v>9.7</v>
      </c>
    </row>
    <row r="2349" spans="1:29">
      <c r="A2349" t="str">
        <f>"600285"</f>
        <v>600285</v>
      </c>
      <c r="B2349" t="s">
        <v>2519</v>
      </c>
      <c r="C2349">
        <v>1.06</v>
      </c>
      <c r="D2349">
        <v>9.49</v>
      </c>
      <c r="E2349">
        <v>0.1</v>
      </c>
      <c r="F2349">
        <v>9.48</v>
      </c>
      <c r="G2349">
        <v>9.5</v>
      </c>
      <c r="H2349">
        <v>76283</v>
      </c>
      <c r="I2349">
        <v>10</v>
      </c>
      <c r="J2349">
        <v>0</v>
      </c>
      <c r="K2349">
        <v>1.42</v>
      </c>
      <c r="L2349">
        <v>9.39</v>
      </c>
      <c r="M2349">
        <v>9.65</v>
      </c>
      <c r="N2349">
        <v>9.24</v>
      </c>
      <c r="O2349">
        <v>9.39</v>
      </c>
      <c r="P2349">
        <v>18.9</v>
      </c>
      <c r="Q2349">
        <v>72181264</v>
      </c>
      <c r="R2349">
        <v>1.04</v>
      </c>
      <c r="S2349" t="s">
        <v>195</v>
      </c>
      <c r="T2349" t="s">
        <v>164</v>
      </c>
      <c r="U2349">
        <v>4.37</v>
      </c>
      <c r="V2349">
        <v>9.46</v>
      </c>
      <c r="W2349">
        <v>38886</v>
      </c>
      <c r="X2349">
        <v>37397</v>
      </c>
      <c r="Y2349">
        <v>1.04</v>
      </c>
      <c r="Z2349">
        <v>333</v>
      </c>
      <c r="AA2349">
        <v>67</v>
      </c>
      <c r="AB2349" t="s">
        <v>32</v>
      </c>
      <c r="AC2349">
        <v>5.35</v>
      </c>
    </row>
    <row r="2350" spans="1:29">
      <c r="A2350" t="str">
        <f>"600287"</f>
        <v>600287</v>
      </c>
      <c r="B2350" t="s">
        <v>2520</v>
      </c>
      <c r="C2350">
        <v>-0.18</v>
      </c>
      <c r="D2350">
        <v>5.44</v>
      </c>
      <c r="E2350">
        <v>-0.01</v>
      </c>
      <c r="F2350">
        <v>5.45</v>
      </c>
      <c r="G2350">
        <v>5.46</v>
      </c>
      <c r="H2350">
        <v>27673</v>
      </c>
      <c r="I2350">
        <v>119</v>
      </c>
      <c r="J2350">
        <v>0</v>
      </c>
      <c r="K2350">
        <v>0.63</v>
      </c>
      <c r="L2350">
        <v>5.41</v>
      </c>
      <c r="M2350">
        <v>5.5</v>
      </c>
      <c r="N2350">
        <v>5.41</v>
      </c>
      <c r="O2350">
        <v>5.45</v>
      </c>
      <c r="P2350">
        <v>37.17</v>
      </c>
      <c r="Q2350">
        <v>15087851</v>
      </c>
      <c r="R2350">
        <v>0.96</v>
      </c>
      <c r="S2350" t="s">
        <v>140</v>
      </c>
      <c r="T2350" t="s">
        <v>87</v>
      </c>
      <c r="U2350">
        <v>1.65</v>
      </c>
      <c r="V2350">
        <v>5.45</v>
      </c>
      <c r="W2350">
        <v>17375</v>
      </c>
      <c r="X2350">
        <v>10297</v>
      </c>
      <c r="Y2350">
        <v>1.69</v>
      </c>
      <c r="Z2350">
        <v>124</v>
      </c>
      <c r="AA2350">
        <v>194</v>
      </c>
      <c r="AB2350" t="s">
        <v>32</v>
      </c>
      <c r="AC2350">
        <v>4.37</v>
      </c>
    </row>
    <row r="2351" spans="1:29">
      <c r="A2351" t="str">
        <f>"600288"</f>
        <v>600288</v>
      </c>
      <c r="B2351" t="s">
        <v>2521</v>
      </c>
      <c r="C2351">
        <v>-1.07</v>
      </c>
      <c r="D2351">
        <v>8.32</v>
      </c>
      <c r="E2351">
        <v>-0.09</v>
      </c>
      <c r="F2351">
        <v>8.32</v>
      </c>
      <c r="G2351">
        <v>8.33</v>
      </c>
      <c r="H2351">
        <v>142804</v>
      </c>
      <c r="I2351">
        <v>5</v>
      </c>
      <c r="J2351">
        <v>0</v>
      </c>
      <c r="K2351">
        <v>3.27</v>
      </c>
      <c r="L2351">
        <v>8.34</v>
      </c>
      <c r="M2351">
        <v>8.45</v>
      </c>
      <c r="N2351">
        <v>8.16</v>
      </c>
      <c r="O2351">
        <v>8.41</v>
      </c>
      <c r="P2351">
        <v>97.49</v>
      </c>
      <c r="Q2351">
        <v>118077872</v>
      </c>
      <c r="R2351">
        <v>0.95</v>
      </c>
      <c r="S2351" t="s">
        <v>270</v>
      </c>
      <c r="T2351" t="s">
        <v>45</v>
      </c>
      <c r="U2351">
        <v>3.45</v>
      </c>
      <c r="V2351">
        <v>8.27</v>
      </c>
      <c r="W2351">
        <v>82077</v>
      </c>
      <c r="X2351">
        <v>60727</v>
      </c>
      <c r="Y2351">
        <v>1.35</v>
      </c>
      <c r="Z2351">
        <v>291</v>
      </c>
      <c r="AA2351">
        <v>648</v>
      </c>
      <c r="AB2351" t="s">
        <v>32</v>
      </c>
      <c r="AC2351">
        <v>4.37</v>
      </c>
    </row>
    <row r="2352" spans="1:29">
      <c r="A2352" t="str">
        <f>"600289"</f>
        <v>600289</v>
      </c>
      <c r="B2352" t="s">
        <v>2522</v>
      </c>
      <c r="C2352">
        <v>0.8</v>
      </c>
      <c r="D2352">
        <v>2.51</v>
      </c>
      <c r="E2352">
        <v>0.02</v>
      </c>
      <c r="F2352">
        <v>2.51</v>
      </c>
      <c r="G2352">
        <v>2.52</v>
      </c>
      <c r="H2352">
        <v>27719</v>
      </c>
      <c r="I2352">
        <v>20</v>
      </c>
      <c r="J2352">
        <v>0</v>
      </c>
      <c r="K2352">
        <v>0.49</v>
      </c>
      <c r="L2352">
        <v>2.48</v>
      </c>
      <c r="M2352">
        <v>2.52</v>
      </c>
      <c r="N2352">
        <v>2.47</v>
      </c>
      <c r="O2352">
        <v>2.49</v>
      </c>
      <c r="P2352" t="s">
        <v>32</v>
      </c>
      <c r="Q2352">
        <v>6920303</v>
      </c>
      <c r="R2352">
        <v>1.14</v>
      </c>
      <c r="S2352" t="s">
        <v>270</v>
      </c>
      <c r="T2352" t="s">
        <v>297</v>
      </c>
      <c r="U2352">
        <v>2.01</v>
      </c>
      <c r="V2352">
        <v>2.5</v>
      </c>
      <c r="W2352">
        <v>15911</v>
      </c>
      <c r="X2352">
        <v>11808</v>
      </c>
      <c r="Y2352">
        <v>1.35</v>
      </c>
      <c r="Z2352">
        <v>600</v>
      </c>
      <c r="AA2352">
        <v>2746</v>
      </c>
      <c r="AB2352" t="s">
        <v>32</v>
      </c>
      <c r="AC2352">
        <v>5.66</v>
      </c>
    </row>
    <row r="2353" spans="1:29">
      <c r="A2353" t="str">
        <f>"600290"</f>
        <v>600290</v>
      </c>
      <c r="B2353" t="s">
        <v>2523</v>
      </c>
      <c r="C2353">
        <v>2.16</v>
      </c>
      <c r="D2353">
        <v>5.21</v>
      </c>
      <c r="E2353">
        <v>0.11</v>
      </c>
      <c r="F2353">
        <v>5.21</v>
      </c>
      <c r="G2353">
        <v>5.22</v>
      </c>
      <c r="H2353">
        <v>287165</v>
      </c>
      <c r="I2353">
        <v>10</v>
      </c>
      <c r="J2353">
        <v>0.19</v>
      </c>
      <c r="K2353">
        <v>5.45</v>
      </c>
      <c r="L2353">
        <v>5.1</v>
      </c>
      <c r="M2353">
        <v>5.23</v>
      </c>
      <c r="N2353">
        <v>5.04</v>
      </c>
      <c r="O2353">
        <v>5.1</v>
      </c>
      <c r="P2353">
        <v>223.4</v>
      </c>
      <c r="Q2353">
        <v>147958704</v>
      </c>
      <c r="R2353">
        <v>0.7</v>
      </c>
      <c r="S2353" t="s">
        <v>104</v>
      </c>
      <c r="T2353" t="s">
        <v>149</v>
      </c>
      <c r="U2353">
        <v>3.73</v>
      </c>
      <c r="V2353">
        <v>5.15</v>
      </c>
      <c r="W2353">
        <v>132196</v>
      </c>
      <c r="X2353">
        <v>154968</v>
      </c>
      <c r="Y2353">
        <v>0.85</v>
      </c>
      <c r="Z2353">
        <v>160</v>
      </c>
      <c r="AA2353">
        <v>1236</v>
      </c>
      <c r="AB2353" t="s">
        <v>32</v>
      </c>
      <c r="AC2353">
        <v>5.27</v>
      </c>
    </row>
    <row r="2354" spans="1:29">
      <c r="A2354" t="str">
        <f>"600291"</f>
        <v>600291</v>
      </c>
      <c r="B2354" t="s">
        <v>2524</v>
      </c>
      <c r="C2354">
        <v>6.98</v>
      </c>
      <c r="D2354">
        <v>14.56</v>
      </c>
      <c r="E2354">
        <v>0.95</v>
      </c>
      <c r="F2354">
        <v>14.55</v>
      </c>
      <c r="G2354">
        <v>14.56</v>
      </c>
      <c r="H2354">
        <v>333003</v>
      </c>
      <c r="I2354">
        <v>10</v>
      </c>
      <c r="J2354">
        <v>0.07</v>
      </c>
      <c r="K2354">
        <v>3.4</v>
      </c>
      <c r="L2354">
        <v>13.61</v>
      </c>
      <c r="M2354">
        <v>14.9</v>
      </c>
      <c r="N2354">
        <v>13.5</v>
      </c>
      <c r="O2354">
        <v>13.61</v>
      </c>
      <c r="P2354">
        <v>18.63</v>
      </c>
      <c r="Q2354">
        <v>474191840</v>
      </c>
      <c r="R2354">
        <v>2.5</v>
      </c>
      <c r="S2354" t="s">
        <v>336</v>
      </c>
      <c r="T2354" t="s">
        <v>198</v>
      </c>
      <c r="U2354">
        <v>10.29</v>
      </c>
      <c r="V2354">
        <v>14.24</v>
      </c>
      <c r="W2354">
        <v>156416</v>
      </c>
      <c r="X2354">
        <v>176587</v>
      </c>
      <c r="Y2354">
        <v>0.89</v>
      </c>
      <c r="Z2354">
        <v>148</v>
      </c>
      <c r="AA2354">
        <v>131</v>
      </c>
      <c r="AB2354" t="s">
        <v>32</v>
      </c>
      <c r="AC2354">
        <v>9.79</v>
      </c>
    </row>
    <row r="2355" spans="1:29">
      <c r="A2355" t="str">
        <f>"600292"</f>
        <v>600292</v>
      </c>
      <c r="B2355" t="s">
        <v>2525</v>
      </c>
      <c r="C2355">
        <v>1.98</v>
      </c>
      <c r="D2355">
        <v>6.17</v>
      </c>
      <c r="E2355">
        <v>0.12</v>
      </c>
      <c r="F2355">
        <v>6.16</v>
      </c>
      <c r="G2355">
        <v>6.17</v>
      </c>
      <c r="H2355">
        <v>60374</v>
      </c>
      <c r="I2355">
        <v>60</v>
      </c>
      <c r="J2355">
        <v>0.16</v>
      </c>
      <c r="K2355">
        <v>0.77</v>
      </c>
      <c r="L2355">
        <v>6.05</v>
      </c>
      <c r="M2355">
        <v>6.19</v>
      </c>
      <c r="N2355">
        <v>6.02</v>
      </c>
      <c r="O2355">
        <v>6.05</v>
      </c>
      <c r="P2355">
        <v>50.31</v>
      </c>
      <c r="Q2355">
        <v>36957960</v>
      </c>
      <c r="R2355">
        <v>1.73</v>
      </c>
      <c r="S2355" t="s">
        <v>86</v>
      </c>
      <c r="T2355" t="s">
        <v>221</v>
      </c>
      <c r="U2355">
        <v>2.81</v>
      </c>
      <c r="V2355">
        <v>6.12</v>
      </c>
      <c r="W2355">
        <v>24780</v>
      </c>
      <c r="X2355">
        <v>35593</v>
      </c>
      <c r="Y2355">
        <v>0.7</v>
      </c>
      <c r="Z2355">
        <v>122</v>
      </c>
      <c r="AA2355">
        <v>319</v>
      </c>
      <c r="AB2355" t="s">
        <v>32</v>
      </c>
      <c r="AC2355">
        <v>7.81</v>
      </c>
    </row>
    <row r="2356" spans="1:29">
      <c r="A2356" t="str">
        <f>"600293"</f>
        <v>600293</v>
      </c>
      <c r="B2356" t="s">
        <v>2526</v>
      </c>
      <c r="C2356">
        <v>0</v>
      </c>
      <c r="D2356">
        <v>5.68</v>
      </c>
      <c r="E2356">
        <v>0</v>
      </c>
      <c r="F2356" t="s">
        <v>32</v>
      </c>
      <c r="G2356" t="s">
        <v>32</v>
      </c>
      <c r="H2356">
        <v>0</v>
      </c>
      <c r="I2356">
        <v>0</v>
      </c>
      <c r="J2356">
        <v>0</v>
      </c>
      <c r="K2356">
        <v>0</v>
      </c>
      <c r="L2356" t="s">
        <v>32</v>
      </c>
      <c r="M2356" t="s">
        <v>32</v>
      </c>
      <c r="N2356" t="s">
        <v>32</v>
      </c>
      <c r="O2356">
        <v>5.68</v>
      </c>
      <c r="P2356">
        <v>15.52</v>
      </c>
      <c r="Q2356">
        <v>0</v>
      </c>
      <c r="R2356">
        <v>0</v>
      </c>
      <c r="S2356" t="s">
        <v>52</v>
      </c>
      <c r="T2356" t="s">
        <v>193</v>
      </c>
      <c r="U2356">
        <v>0</v>
      </c>
      <c r="V2356">
        <v>5.68</v>
      </c>
      <c r="W2356">
        <v>0</v>
      </c>
      <c r="X2356">
        <v>0</v>
      </c>
      <c r="Y2356" t="s">
        <v>32</v>
      </c>
      <c r="Z2356">
        <v>0</v>
      </c>
      <c r="AA2356">
        <v>0</v>
      </c>
      <c r="AB2356" t="s">
        <v>32</v>
      </c>
      <c r="AC2356">
        <v>5.17</v>
      </c>
    </row>
    <row r="2357" spans="1:29">
      <c r="A2357" t="str">
        <f>"600295"</f>
        <v>600295</v>
      </c>
      <c r="B2357" t="s">
        <v>2527</v>
      </c>
      <c r="C2357">
        <v>1.95</v>
      </c>
      <c r="D2357">
        <v>9.43</v>
      </c>
      <c r="E2357">
        <v>0.18</v>
      </c>
      <c r="F2357">
        <v>9.42</v>
      </c>
      <c r="G2357">
        <v>9.45</v>
      </c>
      <c r="H2357">
        <v>136314</v>
      </c>
      <c r="I2357">
        <v>50</v>
      </c>
      <c r="J2357">
        <v>0.64</v>
      </c>
      <c r="K2357">
        <v>2.23</v>
      </c>
      <c r="L2357">
        <v>9.21</v>
      </c>
      <c r="M2357">
        <v>9.7</v>
      </c>
      <c r="N2357">
        <v>9.2</v>
      </c>
      <c r="O2357">
        <v>9.25</v>
      </c>
      <c r="P2357">
        <v>11.7</v>
      </c>
      <c r="Q2357">
        <v>128533312</v>
      </c>
      <c r="R2357">
        <v>2.3</v>
      </c>
      <c r="S2357" t="s">
        <v>356</v>
      </c>
      <c r="T2357" t="s">
        <v>198</v>
      </c>
      <c r="U2357">
        <v>5.41</v>
      </c>
      <c r="V2357">
        <v>9.43</v>
      </c>
      <c r="W2357">
        <v>68895</v>
      </c>
      <c r="X2357">
        <v>67418</v>
      </c>
      <c r="Y2357">
        <v>1.02</v>
      </c>
      <c r="Z2357">
        <v>29</v>
      </c>
      <c r="AA2357">
        <v>87</v>
      </c>
      <c r="AB2357" t="s">
        <v>32</v>
      </c>
      <c r="AC2357">
        <v>6.12</v>
      </c>
    </row>
    <row r="2358" spans="1:29">
      <c r="A2358" t="str">
        <f>"600297"</f>
        <v>600297</v>
      </c>
      <c r="B2358" t="s">
        <v>2528</v>
      </c>
      <c r="C2358">
        <v>2.33</v>
      </c>
      <c r="D2358">
        <v>5.72</v>
      </c>
      <c r="E2358">
        <v>0.13</v>
      </c>
      <c r="F2358">
        <v>5.72</v>
      </c>
      <c r="G2358">
        <v>5.73</v>
      </c>
      <c r="H2358">
        <v>161266</v>
      </c>
      <c r="I2358">
        <v>19</v>
      </c>
      <c r="J2358">
        <v>-0.16</v>
      </c>
      <c r="K2358">
        <v>0.23</v>
      </c>
      <c r="L2358">
        <v>5.59</v>
      </c>
      <c r="M2358">
        <v>5.82</v>
      </c>
      <c r="N2358">
        <v>5.57</v>
      </c>
      <c r="O2358">
        <v>5.59</v>
      </c>
      <c r="P2358">
        <v>10.52</v>
      </c>
      <c r="Q2358">
        <v>92275304</v>
      </c>
      <c r="R2358">
        <v>1.01</v>
      </c>
      <c r="S2358" t="s">
        <v>71</v>
      </c>
      <c r="T2358" t="s">
        <v>111</v>
      </c>
      <c r="U2358">
        <v>4.47</v>
      </c>
      <c r="V2358">
        <v>5.72</v>
      </c>
      <c r="W2358">
        <v>79331</v>
      </c>
      <c r="X2358">
        <v>81935</v>
      </c>
      <c r="Y2358">
        <v>0.97</v>
      </c>
      <c r="Z2358">
        <v>281</v>
      </c>
      <c r="AA2358">
        <v>971</v>
      </c>
      <c r="AB2358" t="s">
        <v>32</v>
      </c>
      <c r="AC2358">
        <v>71.51</v>
      </c>
    </row>
    <row r="2359" spans="1:29">
      <c r="A2359" t="str">
        <f>"600298"</f>
        <v>600298</v>
      </c>
      <c r="B2359" t="s">
        <v>2529</v>
      </c>
      <c r="C2359">
        <v>0.9</v>
      </c>
      <c r="D2359">
        <v>35.87</v>
      </c>
      <c r="E2359">
        <v>0.32</v>
      </c>
      <c r="F2359">
        <v>35.9</v>
      </c>
      <c r="G2359">
        <v>35.93</v>
      </c>
      <c r="H2359">
        <v>70772</v>
      </c>
      <c r="I2359">
        <v>2</v>
      </c>
      <c r="J2359">
        <v>-0.3</v>
      </c>
      <c r="K2359">
        <v>0.86</v>
      </c>
      <c r="L2359">
        <v>35.63</v>
      </c>
      <c r="M2359">
        <v>36.39</v>
      </c>
      <c r="N2359">
        <v>35.04</v>
      </c>
      <c r="O2359">
        <v>35.55</v>
      </c>
      <c r="P2359">
        <v>26.65</v>
      </c>
      <c r="Q2359">
        <v>253788080</v>
      </c>
      <c r="R2359">
        <v>1.6</v>
      </c>
      <c r="S2359" t="s">
        <v>213</v>
      </c>
      <c r="T2359" t="s">
        <v>193</v>
      </c>
      <c r="U2359">
        <v>3.8</v>
      </c>
      <c r="V2359">
        <v>35.86</v>
      </c>
      <c r="W2359">
        <v>31792</v>
      </c>
      <c r="X2359">
        <v>38980</v>
      </c>
      <c r="Y2359">
        <v>0.82</v>
      </c>
      <c r="Z2359">
        <v>34</v>
      </c>
      <c r="AA2359">
        <v>1</v>
      </c>
      <c r="AB2359" t="s">
        <v>32</v>
      </c>
      <c r="AC2359">
        <v>8.24</v>
      </c>
    </row>
    <row r="2360" spans="1:29">
      <c r="A2360" t="str">
        <f>"600299"</f>
        <v>600299</v>
      </c>
      <c r="B2360" t="s">
        <v>2530</v>
      </c>
      <c r="C2360">
        <v>2.78</v>
      </c>
      <c r="D2360">
        <v>11.48</v>
      </c>
      <c r="E2360">
        <v>0.31</v>
      </c>
      <c r="F2360">
        <v>11.47</v>
      </c>
      <c r="G2360">
        <v>11.48</v>
      </c>
      <c r="H2360">
        <v>27544</v>
      </c>
      <c r="I2360">
        <v>57</v>
      </c>
      <c r="J2360">
        <v>-0.08</v>
      </c>
      <c r="K2360">
        <v>0.48</v>
      </c>
      <c r="L2360">
        <v>11.17</v>
      </c>
      <c r="M2360">
        <v>11.56</v>
      </c>
      <c r="N2360">
        <v>11.1</v>
      </c>
      <c r="O2360">
        <v>11.17</v>
      </c>
      <c r="P2360">
        <v>21.88</v>
      </c>
      <c r="Q2360">
        <v>31421628</v>
      </c>
      <c r="R2360">
        <v>1.35</v>
      </c>
      <c r="S2360" t="s">
        <v>142</v>
      </c>
      <c r="T2360" t="s">
        <v>45</v>
      </c>
      <c r="U2360">
        <v>4.12</v>
      </c>
      <c r="V2360">
        <v>11.41</v>
      </c>
      <c r="W2360">
        <v>14059</v>
      </c>
      <c r="X2360">
        <v>13484</v>
      </c>
      <c r="Y2360">
        <v>1.04</v>
      </c>
      <c r="Z2360">
        <v>75</v>
      </c>
      <c r="AA2360">
        <v>8</v>
      </c>
      <c r="AB2360" t="s">
        <v>32</v>
      </c>
      <c r="AC2360">
        <v>5.75</v>
      </c>
    </row>
    <row r="2361" spans="1:29">
      <c r="A2361" t="str">
        <f>"600300"</f>
        <v>600300</v>
      </c>
      <c r="B2361" t="s">
        <v>2531</v>
      </c>
      <c r="C2361">
        <v>1.87</v>
      </c>
      <c r="D2361">
        <v>3.26</v>
      </c>
      <c r="E2361">
        <v>0.06</v>
      </c>
      <c r="F2361">
        <v>3.26</v>
      </c>
      <c r="G2361">
        <v>3.27</v>
      </c>
      <c r="H2361">
        <v>172028</v>
      </c>
      <c r="I2361">
        <v>10</v>
      </c>
      <c r="J2361">
        <v>0</v>
      </c>
      <c r="K2361">
        <v>1.03</v>
      </c>
      <c r="L2361">
        <v>3.19</v>
      </c>
      <c r="M2361">
        <v>3.27</v>
      </c>
      <c r="N2361">
        <v>3.18</v>
      </c>
      <c r="O2361">
        <v>3.2</v>
      </c>
      <c r="P2361">
        <v>27.72</v>
      </c>
      <c r="Q2361">
        <v>55647900</v>
      </c>
      <c r="R2361">
        <v>2.05</v>
      </c>
      <c r="S2361" t="s">
        <v>61</v>
      </c>
      <c r="T2361" t="s">
        <v>87</v>
      </c>
      <c r="U2361">
        <v>2.81</v>
      </c>
      <c r="V2361">
        <v>3.23</v>
      </c>
      <c r="W2361">
        <v>70683</v>
      </c>
      <c r="X2361">
        <v>101345</v>
      </c>
      <c r="Y2361">
        <v>0.7</v>
      </c>
      <c r="Z2361">
        <v>3572</v>
      </c>
      <c r="AA2361">
        <v>6517</v>
      </c>
      <c r="AB2361" t="s">
        <v>32</v>
      </c>
      <c r="AC2361">
        <v>16.72</v>
      </c>
    </row>
    <row r="2362" spans="1:29">
      <c r="A2362" t="str">
        <f>"600301"</f>
        <v>600301</v>
      </c>
      <c r="B2362" t="s">
        <v>2532</v>
      </c>
      <c r="C2362">
        <v>0.57</v>
      </c>
      <c r="D2362">
        <v>5.26</v>
      </c>
      <c r="E2362">
        <v>0.03</v>
      </c>
      <c r="F2362">
        <v>5.24</v>
      </c>
      <c r="G2362">
        <v>5.27</v>
      </c>
      <c r="H2362">
        <v>7678</v>
      </c>
      <c r="I2362">
        <v>70</v>
      </c>
      <c r="J2362">
        <v>0.57</v>
      </c>
      <c r="K2362">
        <v>0.33</v>
      </c>
      <c r="L2362">
        <v>5.25</v>
      </c>
      <c r="M2362">
        <v>5.39</v>
      </c>
      <c r="N2362">
        <v>5.23</v>
      </c>
      <c r="O2362">
        <v>5.23</v>
      </c>
      <c r="P2362" t="s">
        <v>32</v>
      </c>
      <c r="Q2362">
        <v>4049110</v>
      </c>
      <c r="R2362">
        <v>2.29</v>
      </c>
      <c r="S2362" t="s">
        <v>218</v>
      </c>
      <c r="T2362" t="s">
        <v>238</v>
      </c>
      <c r="U2362">
        <v>3.06</v>
      </c>
      <c r="V2362">
        <v>5.27</v>
      </c>
      <c r="W2362">
        <v>4422</v>
      </c>
      <c r="X2362">
        <v>3256</v>
      </c>
      <c r="Y2362">
        <v>1.36</v>
      </c>
      <c r="Z2362">
        <v>60</v>
      </c>
      <c r="AA2362">
        <v>52</v>
      </c>
      <c r="AB2362" t="s">
        <v>32</v>
      </c>
      <c r="AC2362">
        <v>2.35</v>
      </c>
    </row>
    <row r="2363" spans="1:29">
      <c r="A2363" t="str">
        <f>"600302"</f>
        <v>600302</v>
      </c>
      <c r="B2363" t="s">
        <v>2533</v>
      </c>
      <c r="C2363">
        <v>1.12</v>
      </c>
      <c r="D2363">
        <v>4.5</v>
      </c>
      <c r="E2363">
        <v>0.05</v>
      </c>
      <c r="F2363">
        <v>4.5</v>
      </c>
      <c r="G2363">
        <v>4.51</v>
      </c>
      <c r="H2363">
        <v>19888</v>
      </c>
      <c r="I2363">
        <v>100</v>
      </c>
      <c r="J2363">
        <v>0</v>
      </c>
      <c r="K2363">
        <v>0.57</v>
      </c>
      <c r="L2363">
        <v>4.45</v>
      </c>
      <c r="M2363">
        <v>4.5</v>
      </c>
      <c r="N2363">
        <v>4.43</v>
      </c>
      <c r="O2363">
        <v>4.45</v>
      </c>
      <c r="P2363" t="s">
        <v>32</v>
      </c>
      <c r="Q2363">
        <v>8891249</v>
      </c>
      <c r="R2363">
        <v>1.36</v>
      </c>
      <c r="S2363" t="s">
        <v>363</v>
      </c>
      <c r="T2363" t="s">
        <v>223</v>
      </c>
      <c r="U2363">
        <v>1.57</v>
      </c>
      <c r="V2363">
        <v>4.47</v>
      </c>
      <c r="W2363">
        <v>7971</v>
      </c>
      <c r="X2363">
        <v>11916</v>
      </c>
      <c r="Y2363">
        <v>0.67</v>
      </c>
      <c r="Z2363">
        <v>460</v>
      </c>
      <c r="AA2363">
        <v>83</v>
      </c>
      <c r="AB2363" t="s">
        <v>32</v>
      </c>
      <c r="AC2363">
        <v>3.46</v>
      </c>
    </row>
    <row r="2364" spans="1:29">
      <c r="A2364" t="str">
        <f>"600303"</f>
        <v>600303</v>
      </c>
      <c r="B2364" t="s">
        <v>2534</v>
      </c>
      <c r="C2364">
        <v>1.97</v>
      </c>
      <c r="D2364">
        <v>5.18</v>
      </c>
      <c r="E2364">
        <v>0.1</v>
      </c>
      <c r="F2364">
        <v>5.17</v>
      </c>
      <c r="G2364">
        <v>5.18</v>
      </c>
      <c r="H2364">
        <v>68739</v>
      </c>
      <c r="I2364">
        <v>20</v>
      </c>
      <c r="J2364">
        <v>0.19</v>
      </c>
      <c r="K2364">
        <v>1.11</v>
      </c>
      <c r="L2364">
        <v>5.08</v>
      </c>
      <c r="M2364">
        <v>5.19</v>
      </c>
      <c r="N2364">
        <v>5.05</v>
      </c>
      <c r="O2364">
        <v>5.08</v>
      </c>
      <c r="P2364">
        <v>62.99</v>
      </c>
      <c r="Q2364">
        <v>35345124</v>
      </c>
      <c r="R2364">
        <v>1.72</v>
      </c>
      <c r="S2364" t="s">
        <v>262</v>
      </c>
      <c r="T2364" t="s">
        <v>111</v>
      </c>
      <c r="U2364">
        <v>2.76</v>
      </c>
      <c r="V2364">
        <v>5.14</v>
      </c>
      <c r="W2364">
        <v>29435</v>
      </c>
      <c r="X2364">
        <v>39304</v>
      </c>
      <c r="Y2364">
        <v>0.75</v>
      </c>
      <c r="Z2364">
        <v>798</v>
      </c>
      <c r="AA2364">
        <v>1717</v>
      </c>
      <c r="AB2364" t="s">
        <v>32</v>
      </c>
      <c r="AC2364">
        <v>6.2</v>
      </c>
    </row>
    <row r="2365" spans="1:29">
      <c r="A2365" t="str">
        <f>"600305"</f>
        <v>600305</v>
      </c>
      <c r="B2365" t="s">
        <v>2535</v>
      </c>
      <c r="C2365">
        <v>1.31</v>
      </c>
      <c r="D2365">
        <v>10.09</v>
      </c>
      <c r="E2365">
        <v>0.13</v>
      </c>
      <c r="F2365">
        <v>10.08</v>
      </c>
      <c r="G2365">
        <v>10.09</v>
      </c>
      <c r="H2365">
        <v>156011</v>
      </c>
      <c r="I2365">
        <v>23</v>
      </c>
      <c r="J2365">
        <v>0.1</v>
      </c>
      <c r="K2365">
        <v>1.99</v>
      </c>
      <c r="L2365">
        <v>10</v>
      </c>
      <c r="M2365">
        <v>10.14</v>
      </c>
      <c r="N2365">
        <v>9.8</v>
      </c>
      <c r="O2365">
        <v>9.96</v>
      </c>
      <c r="P2365">
        <v>33.35</v>
      </c>
      <c r="Q2365">
        <v>156448192</v>
      </c>
      <c r="R2365">
        <v>0.9</v>
      </c>
      <c r="S2365" t="s">
        <v>213</v>
      </c>
      <c r="T2365" t="s">
        <v>87</v>
      </c>
      <c r="U2365">
        <v>3.41</v>
      </c>
      <c r="V2365">
        <v>10.03</v>
      </c>
      <c r="W2365">
        <v>77296</v>
      </c>
      <c r="X2365">
        <v>78715</v>
      </c>
      <c r="Y2365">
        <v>0.98</v>
      </c>
      <c r="Z2365">
        <v>479</v>
      </c>
      <c r="AA2365">
        <v>511</v>
      </c>
      <c r="AB2365" t="s">
        <v>32</v>
      </c>
      <c r="AC2365">
        <v>7.84</v>
      </c>
    </row>
    <row r="2366" spans="1:29">
      <c r="A2366" t="str">
        <f>"600306"</f>
        <v>600306</v>
      </c>
      <c r="B2366" t="s">
        <v>2536</v>
      </c>
      <c r="C2366">
        <v>2.06</v>
      </c>
      <c r="D2366">
        <v>6.92</v>
      </c>
      <c r="E2366">
        <v>0.14</v>
      </c>
      <c r="F2366">
        <v>6.91</v>
      </c>
      <c r="G2366">
        <v>6.92</v>
      </c>
      <c r="H2366">
        <v>12742</v>
      </c>
      <c r="I2366">
        <v>5</v>
      </c>
      <c r="J2366">
        <v>0.14</v>
      </c>
      <c r="K2366">
        <v>0.72</v>
      </c>
      <c r="L2366">
        <v>6.71</v>
      </c>
      <c r="M2366">
        <v>6.95</v>
      </c>
      <c r="N2366">
        <v>6.71</v>
      </c>
      <c r="O2366">
        <v>6.78</v>
      </c>
      <c r="P2366" t="s">
        <v>32</v>
      </c>
      <c r="Q2366">
        <v>8743081</v>
      </c>
      <c r="R2366">
        <v>1.15</v>
      </c>
      <c r="S2366" t="s">
        <v>186</v>
      </c>
      <c r="T2366" t="s">
        <v>111</v>
      </c>
      <c r="U2366">
        <v>3.54</v>
      </c>
      <c r="V2366">
        <v>6.86</v>
      </c>
      <c r="W2366">
        <v>4659</v>
      </c>
      <c r="X2366">
        <v>8082</v>
      </c>
      <c r="Y2366">
        <v>0.58</v>
      </c>
      <c r="Z2366">
        <v>158</v>
      </c>
      <c r="AA2366">
        <v>308</v>
      </c>
      <c r="AB2366" t="s">
        <v>32</v>
      </c>
      <c r="AC2366">
        <v>1.77</v>
      </c>
    </row>
    <row r="2367" spans="1:29">
      <c r="A2367" t="str">
        <f>"600307"</f>
        <v>600307</v>
      </c>
      <c r="B2367" t="s">
        <v>2537</v>
      </c>
      <c r="C2367">
        <v>3.77</v>
      </c>
      <c r="D2367">
        <v>2.2</v>
      </c>
      <c r="E2367">
        <v>0.08</v>
      </c>
      <c r="F2367">
        <v>2.19</v>
      </c>
      <c r="G2367">
        <v>2.2</v>
      </c>
      <c r="H2367">
        <v>922068</v>
      </c>
      <c r="I2367">
        <v>1</v>
      </c>
      <c r="J2367">
        <v>0.46</v>
      </c>
      <c r="K2367">
        <v>1.47</v>
      </c>
      <c r="L2367">
        <v>2.12</v>
      </c>
      <c r="M2367">
        <v>2.21</v>
      </c>
      <c r="N2367">
        <v>2.12</v>
      </c>
      <c r="O2367">
        <v>2.12</v>
      </c>
      <c r="P2367">
        <v>28.07</v>
      </c>
      <c r="Q2367">
        <v>200674288</v>
      </c>
      <c r="R2367">
        <v>4.38</v>
      </c>
      <c r="S2367" t="s">
        <v>353</v>
      </c>
      <c r="T2367" t="s">
        <v>266</v>
      </c>
      <c r="U2367">
        <v>4.25</v>
      </c>
      <c r="V2367">
        <v>2.18</v>
      </c>
      <c r="W2367">
        <v>349653</v>
      </c>
      <c r="X2367">
        <v>572415</v>
      </c>
      <c r="Y2367">
        <v>0.61</v>
      </c>
      <c r="Z2367">
        <v>12184</v>
      </c>
      <c r="AA2367">
        <v>30084</v>
      </c>
      <c r="AB2367" t="s">
        <v>32</v>
      </c>
      <c r="AC2367">
        <v>62.63</v>
      </c>
    </row>
    <row r="2368" spans="1:29">
      <c r="A2368" t="str">
        <f>"600308"</f>
        <v>600308</v>
      </c>
      <c r="B2368" t="s">
        <v>2538</v>
      </c>
      <c r="C2368">
        <v>3.83</v>
      </c>
      <c r="D2368">
        <v>4.88</v>
      </c>
      <c r="E2368">
        <v>0.18</v>
      </c>
      <c r="F2368">
        <v>4.88</v>
      </c>
      <c r="G2368">
        <v>4.89</v>
      </c>
      <c r="H2368">
        <v>193670</v>
      </c>
      <c r="I2368">
        <v>7</v>
      </c>
      <c r="J2368">
        <v>0</v>
      </c>
      <c r="K2368">
        <v>1.66</v>
      </c>
      <c r="L2368">
        <v>4.68</v>
      </c>
      <c r="M2368">
        <v>4.9</v>
      </c>
      <c r="N2368">
        <v>4.68</v>
      </c>
      <c r="O2368">
        <v>4.7</v>
      </c>
      <c r="P2368">
        <v>8.52</v>
      </c>
      <c r="Q2368">
        <v>93673392</v>
      </c>
      <c r="R2368">
        <v>2.35</v>
      </c>
      <c r="S2368" t="s">
        <v>204</v>
      </c>
      <c r="T2368" t="s">
        <v>162</v>
      </c>
      <c r="U2368">
        <v>4.68</v>
      </c>
      <c r="V2368">
        <v>4.84</v>
      </c>
      <c r="W2368">
        <v>67907</v>
      </c>
      <c r="X2368">
        <v>125762</v>
      </c>
      <c r="Y2368">
        <v>0.54</v>
      </c>
      <c r="Z2368">
        <v>133</v>
      </c>
      <c r="AA2368">
        <v>1964</v>
      </c>
      <c r="AB2368" t="s">
        <v>32</v>
      </c>
      <c r="AC2368">
        <v>11.68</v>
      </c>
    </row>
    <row r="2369" spans="1:29">
      <c r="A2369" t="str">
        <f>"600309"</f>
        <v>600309</v>
      </c>
      <c r="B2369" t="s">
        <v>2539</v>
      </c>
      <c r="C2369">
        <v>-0.75</v>
      </c>
      <c r="D2369">
        <v>52.9</v>
      </c>
      <c r="E2369">
        <v>-0.4</v>
      </c>
      <c r="F2369">
        <v>52.92</v>
      </c>
      <c r="G2369">
        <v>52.93</v>
      </c>
      <c r="H2369">
        <v>506151</v>
      </c>
      <c r="I2369">
        <v>2</v>
      </c>
      <c r="J2369">
        <v>0.04</v>
      </c>
      <c r="K2369">
        <v>1.85</v>
      </c>
      <c r="L2369">
        <v>53.75</v>
      </c>
      <c r="M2369">
        <v>54.93</v>
      </c>
      <c r="N2369">
        <v>52.43</v>
      </c>
      <c r="O2369">
        <v>53.3</v>
      </c>
      <c r="P2369">
        <v>10.2</v>
      </c>
      <c r="Q2369">
        <v>2699888896</v>
      </c>
      <c r="R2369">
        <v>0.95</v>
      </c>
      <c r="S2369" t="s">
        <v>218</v>
      </c>
      <c r="T2369" t="s">
        <v>162</v>
      </c>
      <c r="U2369">
        <v>4.69</v>
      </c>
      <c r="V2369">
        <v>53.34</v>
      </c>
      <c r="W2369">
        <v>281697</v>
      </c>
      <c r="X2369">
        <v>224453</v>
      </c>
      <c r="Y2369">
        <v>1.26</v>
      </c>
      <c r="Z2369">
        <v>100</v>
      </c>
      <c r="AA2369">
        <v>77</v>
      </c>
      <c r="AB2369" t="s">
        <v>32</v>
      </c>
      <c r="AC2369">
        <v>27.34</v>
      </c>
    </row>
    <row r="2370" spans="1:29">
      <c r="A2370" t="str">
        <f>"600310"</f>
        <v>600310</v>
      </c>
      <c r="B2370" t="s">
        <v>2540</v>
      </c>
      <c r="C2370">
        <v>9.97</v>
      </c>
      <c r="D2370">
        <v>4.08</v>
      </c>
      <c r="E2370">
        <v>0.37</v>
      </c>
      <c r="F2370">
        <v>4.08</v>
      </c>
      <c r="G2370" t="s">
        <v>32</v>
      </c>
      <c r="H2370">
        <v>151917</v>
      </c>
      <c r="I2370">
        <v>2</v>
      </c>
      <c r="J2370">
        <v>0</v>
      </c>
      <c r="K2370">
        <v>1.84</v>
      </c>
      <c r="L2370">
        <v>3.73</v>
      </c>
      <c r="M2370">
        <v>4.08</v>
      </c>
      <c r="N2370">
        <v>3.7</v>
      </c>
      <c r="O2370">
        <v>3.71</v>
      </c>
      <c r="P2370" t="s">
        <v>32</v>
      </c>
      <c r="Q2370">
        <v>60573584</v>
      </c>
      <c r="R2370">
        <v>4.69</v>
      </c>
      <c r="S2370" t="s">
        <v>312</v>
      </c>
      <c r="T2370" t="s">
        <v>238</v>
      </c>
      <c r="U2370">
        <v>10.24</v>
      </c>
      <c r="V2370">
        <v>3.99</v>
      </c>
      <c r="W2370">
        <v>84487</v>
      </c>
      <c r="X2370">
        <v>67430</v>
      </c>
      <c r="Y2370">
        <v>1.25</v>
      </c>
      <c r="Z2370">
        <v>8740</v>
      </c>
      <c r="AA2370">
        <v>0</v>
      </c>
      <c r="AB2370" t="s">
        <v>32</v>
      </c>
      <c r="AC2370">
        <v>8.28</v>
      </c>
    </row>
    <row r="2371" spans="1:29">
      <c r="A2371" t="str">
        <f>"600311"</f>
        <v>600311</v>
      </c>
      <c r="B2371" t="s">
        <v>2541</v>
      </c>
      <c r="C2371">
        <v>2.73</v>
      </c>
      <c r="D2371">
        <v>3.01</v>
      </c>
      <c r="E2371">
        <v>0.08</v>
      </c>
      <c r="F2371">
        <v>3</v>
      </c>
      <c r="G2371">
        <v>3.01</v>
      </c>
      <c r="H2371">
        <v>109952</v>
      </c>
      <c r="I2371">
        <v>150</v>
      </c>
      <c r="J2371">
        <v>0</v>
      </c>
      <c r="K2371">
        <v>1.65</v>
      </c>
      <c r="L2371">
        <v>2.91</v>
      </c>
      <c r="M2371">
        <v>3.02</v>
      </c>
      <c r="N2371">
        <v>2.91</v>
      </c>
      <c r="O2371">
        <v>2.93</v>
      </c>
      <c r="P2371">
        <v>2480.75</v>
      </c>
      <c r="Q2371">
        <v>32832056</v>
      </c>
      <c r="R2371">
        <v>2.18</v>
      </c>
      <c r="S2371" t="s">
        <v>778</v>
      </c>
      <c r="T2371" t="s">
        <v>266</v>
      </c>
      <c r="U2371">
        <v>3.75</v>
      </c>
      <c r="V2371">
        <v>2.99</v>
      </c>
      <c r="W2371">
        <v>41839</v>
      </c>
      <c r="X2371">
        <v>68113</v>
      </c>
      <c r="Y2371">
        <v>0.61</v>
      </c>
      <c r="Z2371">
        <v>780</v>
      </c>
      <c r="AA2371">
        <v>163</v>
      </c>
      <c r="AB2371" t="s">
        <v>32</v>
      </c>
      <c r="AC2371">
        <v>6.66</v>
      </c>
    </row>
    <row r="2372" spans="1:29">
      <c r="A2372" t="str">
        <f>"600312"</f>
        <v>600312</v>
      </c>
      <c r="B2372" t="s">
        <v>2542</v>
      </c>
      <c r="C2372">
        <v>3.05</v>
      </c>
      <c r="D2372">
        <v>5.74</v>
      </c>
      <c r="E2372">
        <v>0.17</v>
      </c>
      <c r="F2372">
        <v>5.73</v>
      </c>
      <c r="G2372">
        <v>5.74</v>
      </c>
      <c r="H2372">
        <v>88410</v>
      </c>
      <c r="I2372">
        <v>78</v>
      </c>
      <c r="J2372">
        <v>0.17</v>
      </c>
      <c r="K2372">
        <v>0.65</v>
      </c>
      <c r="L2372">
        <v>5.55</v>
      </c>
      <c r="M2372">
        <v>5.75</v>
      </c>
      <c r="N2372">
        <v>5.54</v>
      </c>
      <c r="O2372">
        <v>5.57</v>
      </c>
      <c r="P2372" t="s">
        <v>32</v>
      </c>
      <c r="Q2372">
        <v>50294836</v>
      </c>
      <c r="R2372">
        <v>1.36</v>
      </c>
      <c r="S2372" t="s">
        <v>104</v>
      </c>
      <c r="T2372" t="s">
        <v>164</v>
      </c>
      <c r="U2372">
        <v>3.77</v>
      </c>
      <c r="V2372">
        <v>5.69</v>
      </c>
      <c r="W2372">
        <v>43615</v>
      </c>
      <c r="X2372">
        <v>44794</v>
      </c>
      <c r="Y2372">
        <v>0.97</v>
      </c>
      <c r="Z2372">
        <v>672</v>
      </c>
      <c r="AA2372">
        <v>584</v>
      </c>
      <c r="AB2372" t="s">
        <v>32</v>
      </c>
      <c r="AC2372">
        <v>13.57</v>
      </c>
    </row>
    <row r="2373" spans="1:29">
      <c r="A2373" t="str">
        <f>"600313"</f>
        <v>600313</v>
      </c>
      <c r="B2373" t="s">
        <v>2543</v>
      </c>
      <c r="C2373">
        <v>1</v>
      </c>
      <c r="D2373">
        <v>3.02</v>
      </c>
      <c r="E2373">
        <v>0.03</v>
      </c>
      <c r="F2373">
        <v>3.01</v>
      </c>
      <c r="G2373">
        <v>3.02</v>
      </c>
      <c r="H2373">
        <v>184868</v>
      </c>
      <c r="I2373">
        <v>85</v>
      </c>
      <c r="J2373">
        <v>0.33</v>
      </c>
      <c r="K2373">
        <v>1.86</v>
      </c>
      <c r="L2373">
        <v>2.97</v>
      </c>
      <c r="M2373">
        <v>3.02</v>
      </c>
      <c r="N2373">
        <v>2.96</v>
      </c>
      <c r="O2373">
        <v>2.99</v>
      </c>
      <c r="P2373" t="s">
        <v>32</v>
      </c>
      <c r="Q2373">
        <v>55442972</v>
      </c>
      <c r="R2373">
        <v>0.92</v>
      </c>
      <c r="S2373" t="s">
        <v>404</v>
      </c>
      <c r="T2373" t="s">
        <v>45</v>
      </c>
      <c r="U2373">
        <v>2.01</v>
      </c>
      <c r="V2373">
        <v>3</v>
      </c>
      <c r="W2373">
        <v>96783</v>
      </c>
      <c r="X2373">
        <v>88085</v>
      </c>
      <c r="Y2373">
        <v>1.1</v>
      </c>
      <c r="Z2373">
        <v>2790</v>
      </c>
      <c r="AA2373">
        <v>1991</v>
      </c>
      <c r="AB2373" t="s">
        <v>32</v>
      </c>
      <c r="AC2373">
        <v>9.94</v>
      </c>
    </row>
    <row r="2374" spans="1:29">
      <c r="A2374" t="str">
        <f>"600315"</f>
        <v>600315</v>
      </c>
      <c r="B2374" t="s">
        <v>2544</v>
      </c>
      <c r="C2374">
        <v>2.1</v>
      </c>
      <c r="D2374">
        <v>40.3</v>
      </c>
      <c r="E2374">
        <v>0.83</v>
      </c>
      <c r="F2374">
        <v>40.23</v>
      </c>
      <c r="G2374">
        <v>40.24</v>
      </c>
      <c r="H2374">
        <v>33247</v>
      </c>
      <c r="I2374">
        <v>14</v>
      </c>
      <c r="J2374">
        <v>0.25</v>
      </c>
      <c r="K2374">
        <v>0.5</v>
      </c>
      <c r="L2374">
        <v>39.45</v>
      </c>
      <c r="M2374">
        <v>40.6</v>
      </c>
      <c r="N2374">
        <v>39.2</v>
      </c>
      <c r="O2374">
        <v>39.47</v>
      </c>
      <c r="P2374">
        <v>44.91</v>
      </c>
      <c r="Q2374">
        <v>133253976</v>
      </c>
      <c r="R2374">
        <v>1.2</v>
      </c>
      <c r="S2374" t="s">
        <v>232</v>
      </c>
      <c r="T2374" t="s">
        <v>366</v>
      </c>
      <c r="U2374">
        <v>3.55</v>
      </c>
      <c r="V2374">
        <v>40.08</v>
      </c>
      <c r="W2374">
        <v>15687</v>
      </c>
      <c r="X2374">
        <v>17559</v>
      </c>
      <c r="Y2374">
        <v>0.89</v>
      </c>
      <c r="Z2374">
        <v>40</v>
      </c>
      <c r="AA2374">
        <v>1</v>
      </c>
      <c r="AB2374" t="s">
        <v>32</v>
      </c>
      <c r="AC2374">
        <v>6.71</v>
      </c>
    </row>
    <row r="2375" spans="1:29">
      <c r="A2375" t="str">
        <f>"600316"</f>
        <v>600316</v>
      </c>
      <c r="B2375" t="s">
        <v>2545</v>
      </c>
      <c r="C2375">
        <v>1.23</v>
      </c>
      <c r="D2375">
        <v>9.89</v>
      </c>
      <c r="E2375">
        <v>0.12</v>
      </c>
      <c r="F2375">
        <v>9.89</v>
      </c>
      <c r="G2375">
        <v>9.9</v>
      </c>
      <c r="H2375">
        <v>90930</v>
      </c>
      <c r="I2375">
        <v>30</v>
      </c>
      <c r="J2375">
        <v>-0.19</v>
      </c>
      <c r="K2375">
        <v>1.27</v>
      </c>
      <c r="L2375">
        <v>9.78</v>
      </c>
      <c r="M2375">
        <v>9.94</v>
      </c>
      <c r="N2375">
        <v>9.72</v>
      </c>
      <c r="O2375">
        <v>9.77</v>
      </c>
      <c r="P2375" t="s">
        <v>32</v>
      </c>
      <c r="Q2375">
        <v>89589944</v>
      </c>
      <c r="R2375">
        <v>1.81</v>
      </c>
      <c r="S2375" t="s">
        <v>389</v>
      </c>
      <c r="T2375" t="s">
        <v>172</v>
      </c>
      <c r="U2375">
        <v>2.25</v>
      </c>
      <c r="V2375">
        <v>9.85</v>
      </c>
      <c r="W2375">
        <v>41031</v>
      </c>
      <c r="X2375">
        <v>49899</v>
      </c>
      <c r="Y2375">
        <v>0.82</v>
      </c>
      <c r="Z2375">
        <v>239</v>
      </c>
      <c r="AA2375">
        <v>109</v>
      </c>
      <c r="AB2375" t="s">
        <v>32</v>
      </c>
      <c r="AC2375">
        <v>7.17</v>
      </c>
    </row>
    <row r="2376" spans="1:29">
      <c r="A2376" t="str">
        <f>"600317"</f>
        <v>600317</v>
      </c>
      <c r="B2376" t="s">
        <v>2546</v>
      </c>
      <c r="C2376">
        <v>1.76</v>
      </c>
      <c r="D2376">
        <v>2.31</v>
      </c>
      <c r="E2376">
        <v>0.04</v>
      </c>
      <c r="F2376">
        <v>2.31</v>
      </c>
      <c r="G2376">
        <v>2.32</v>
      </c>
      <c r="H2376">
        <v>91712</v>
      </c>
      <c r="I2376">
        <v>4</v>
      </c>
      <c r="J2376">
        <v>-0.42</v>
      </c>
      <c r="K2376">
        <v>0.14</v>
      </c>
      <c r="L2376">
        <v>2.26</v>
      </c>
      <c r="M2376">
        <v>2.32</v>
      </c>
      <c r="N2376">
        <v>2.25</v>
      </c>
      <c r="O2376">
        <v>2.27</v>
      </c>
      <c r="P2376">
        <v>19.39</v>
      </c>
      <c r="Q2376">
        <v>21090824</v>
      </c>
      <c r="R2376">
        <v>2.29</v>
      </c>
      <c r="S2376" t="s">
        <v>67</v>
      </c>
      <c r="T2376" t="s">
        <v>111</v>
      </c>
      <c r="U2376">
        <v>3.08</v>
      </c>
      <c r="V2376">
        <v>2.3</v>
      </c>
      <c r="W2376">
        <v>32123</v>
      </c>
      <c r="X2376">
        <v>59588</v>
      </c>
      <c r="Y2376">
        <v>0.54</v>
      </c>
      <c r="Z2376">
        <v>1011</v>
      </c>
      <c r="AA2376">
        <v>3403</v>
      </c>
      <c r="AB2376" t="s">
        <v>32</v>
      </c>
      <c r="AC2376">
        <v>64.73</v>
      </c>
    </row>
    <row r="2377" spans="1:29">
      <c r="A2377" t="str">
        <f>"600318"</f>
        <v>600318</v>
      </c>
      <c r="B2377" t="s">
        <v>2547</v>
      </c>
      <c r="C2377">
        <v>0</v>
      </c>
      <c r="D2377">
        <v>11.04</v>
      </c>
      <c r="E2377">
        <v>0</v>
      </c>
      <c r="F2377" t="s">
        <v>32</v>
      </c>
      <c r="G2377" t="s">
        <v>32</v>
      </c>
      <c r="H2377">
        <v>0</v>
      </c>
      <c r="I2377">
        <v>0</v>
      </c>
      <c r="J2377">
        <v>0</v>
      </c>
      <c r="K2377">
        <v>0</v>
      </c>
      <c r="L2377" t="s">
        <v>32</v>
      </c>
      <c r="M2377" t="s">
        <v>32</v>
      </c>
      <c r="N2377" t="s">
        <v>32</v>
      </c>
      <c r="O2377">
        <v>11.04</v>
      </c>
      <c r="P2377">
        <v>75.71</v>
      </c>
      <c r="Q2377">
        <v>0</v>
      </c>
      <c r="R2377">
        <v>0</v>
      </c>
      <c r="S2377" t="s">
        <v>183</v>
      </c>
      <c r="T2377" t="s">
        <v>143</v>
      </c>
      <c r="U2377">
        <v>0</v>
      </c>
      <c r="V2377">
        <v>11.04</v>
      </c>
      <c r="W2377">
        <v>0</v>
      </c>
      <c r="X2377">
        <v>0</v>
      </c>
      <c r="Y2377" t="s">
        <v>32</v>
      </c>
      <c r="Z2377">
        <v>0</v>
      </c>
      <c r="AA2377">
        <v>0</v>
      </c>
      <c r="AB2377" t="s">
        <v>32</v>
      </c>
      <c r="AC2377">
        <v>4.84</v>
      </c>
    </row>
    <row r="2378" spans="1:29">
      <c r="A2378" t="str">
        <f>"600319"</f>
        <v>600319</v>
      </c>
      <c r="B2378" t="s">
        <v>2548</v>
      </c>
      <c r="C2378">
        <v>-0.19</v>
      </c>
      <c r="D2378">
        <v>5.27</v>
      </c>
      <c r="E2378">
        <v>-0.01</v>
      </c>
      <c r="F2378">
        <v>5.28</v>
      </c>
      <c r="G2378">
        <v>5.29</v>
      </c>
      <c r="H2378">
        <v>141543</v>
      </c>
      <c r="I2378">
        <v>56</v>
      </c>
      <c r="J2378">
        <v>0</v>
      </c>
      <c r="K2378">
        <v>4.48</v>
      </c>
      <c r="L2378">
        <v>5.22</v>
      </c>
      <c r="M2378">
        <v>5.37</v>
      </c>
      <c r="N2378">
        <v>5.13</v>
      </c>
      <c r="O2378">
        <v>5.28</v>
      </c>
      <c r="P2378">
        <v>36.69</v>
      </c>
      <c r="Q2378">
        <v>74260456</v>
      </c>
      <c r="R2378">
        <v>0.92</v>
      </c>
      <c r="S2378" t="s">
        <v>218</v>
      </c>
      <c r="T2378" t="s">
        <v>162</v>
      </c>
      <c r="U2378">
        <v>4.55</v>
      </c>
      <c r="V2378">
        <v>5.25</v>
      </c>
      <c r="W2378">
        <v>78653</v>
      </c>
      <c r="X2378">
        <v>62890</v>
      </c>
      <c r="Y2378">
        <v>1.25</v>
      </c>
      <c r="Z2378">
        <v>358</v>
      </c>
      <c r="AA2378">
        <v>258</v>
      </c>
      <c r="AB2378" t="s">
        <v>32</v>
      </c>
      <c r="AC2378">
        <v>3.16</v>
      </c>
    </row>
    <row r="2379" spans="1:29">
      <c r="A2379" t="str">
        <f>"600320"</f>
        <v>600320</v>
      </c>
      <c r="B2379" t="s">
        <v>2549</v>
      </c>
      <c r="C2379">
        <v>2.37</v>
      </c>
      <c r="D2379">
        <v>4.32</v>
      </c>
      <c r="E2379">
        <v>0.1</v>
      </c>
      <c r="F2379">
        <v>4.32</v>
      </c>
      <c r="G2379">
        <v>4.33</v>
      </c>
      <c r="H2379">
        <v>128319</v>
      </c>
      <c r="I2379">
        <v>400</v>
      </c>
      <c r="J2379">
        <v>0</v>
      </c>
      <c r="K2379">
        <v>0.46</v>
      </c>
      <c r="L2379">
        <v>4.23</v>
      </c>
      <c r="M2379">
        <v>4.36</v>
      </c>
      <c r="N2379">
        <v>4.22</v>
      </c>
      <c r="O2379">
        <v>4.22</v>
      </c>
      <c r="P2379">
        <v>56.72</v>
      </c>
      <c r="Q2379">
        <v>55258212</v>
      </c>
      <c r="R2379">
        <v>2.49</v>
      </c>
      <c r="S2379" t="s">
        <v>151</v>
      </c>
      <c r="T2379" t="s">
        <v>366</v>
      </c>
      <c r="U2379">
        <v>3.32</v>
      </c>
      <c r="V2379">
        <v>4.31</v>
      </c>
      <c r="W2379">
        <v>59794</v>
      </c>
      <c r="X2379">
        <v>68525</v>
      </c>
      <c r="Y2379">
        <v>0.87</v>
      </c>
      <c r="Z2379">
        <v>539</v>
      </c>
      <c r="AA2379">
        <v>2292</v>
      </c>
      <c r="AB2379" t="s">
        <v>32</v>
      </c>
      <c r="AC2379">
        <v>27.68</v>
      </c>
    </row>
    <row r="2380" spans="1:29">
      <c r="A2380" t="str">
        <f>"600321"</f>
        <v>600321</v>
      </c>
      <c r="B2380" t="s">
        <v>2550</v>
      </c>
      <c r="C2380">
        <v>0.52</v>
      </c>
      <c r="D2380">
        <v>1.92</v>
      </c>
      <c r="E2380">
        <v>0.01</v>
      </c>
      <c r="F2380">
        <v>1.92</v>
      </c>
      <c r="G2380">
        <v>1.93</v>
      </c>
      <c r="H2380">
        <v>32408</v>
      </c>
      <c r="I2380">
        <v>106</v>
      </c>
      <c r="J2380">
        <v>0.52</v>
      </c>
      <c r="K2380">
        <v>0.21</v>
      </c>
      <c r="L2380">
        <v>1.92</v>
      </c>
      <c r="M2380">
        <v>1.93</v>
      </c>
      <c r="N2380">
        <v>1.9</v>
      </c>
      <c r="O2380">
        <v>1.91</v>
      </c>
      <c r="P2380">
        <v>252.35</v>
      </c>
      <c r="Q2380">
        <v>6207911</v>
      </c>
      <c r="R2380">
        <v>0.99</v>
      </c>
      <c r="S2380" t="s">
        <v>69</v>
      </c>
      <c r="T2380" t="s">
        <v>146</v>
      </c>
      <c r="U2380">
        <v>1.57</v>
      </c>
      <c r="V2380">
        <v>1.92</v>
      </c>
      <c r="W2380">
        <v>15109</v>
      </c>
      <c r="X2380">
        <v>17299</v>
      </c>
      <c r="Y2380">
        <v>0.87</v>
      </c>
      <c r="Z2380">
        <v>387</v>
      </c>
      <c r="AA2380">
        <v>2930</v>
      </c>
      <c r="AB2380" t="s">
        <v>32</v>
      </c>
      <c r="AC2380">
        <v>15.11</v>
      </c>
    </row>
    <row r="2381" spans="1:29">
      <c r="A2381" t="str">
        <f>"600322"</f>
        <v>600322</v>
      </c>
      <c r="B2381" t="s">
        <v>2551</v>
      </c>
      <c r="C2381">
        <v>0.41</v>
      </c>
      <c r="D2381">
        <v>4.91</v>
      </c>
      <c r="E2381">
        <v>0.02</v>
      </c>
      <c r="F2381">
        <v>4.91</v>
      </c>
      <c r="G2381">
        <v>4.92</v>
      </c>
      <c r="H2381">
        <v>48034</v>
      </c>
      <c r="I2381">
        <v>9</v>
      </c>
      <c r="J2381">
        <v>0</v>
      </c>
      <c r="K2381">
        <v>0.43</v>
      </c>
      <c r="L2381">
        <v>4.9</v>
      </c>
      <c r="M2381">
        <v>4.99</v>
      </c>
      <c r="N2381">
        <v>4.87</v>
      </c>
      <c r="O2381">
        <v>4.89</v>
      </c>
      <c r="P2381">
        <v>18.14</v>
      </c>
      <c r="Q2381">
        <v>23696156</v>
      </c>
      <c r="R2381">
        <v>3.23</v>
      </c>
      <c r="S2381" t="s">
        <v>40</v>
      </c>
      <c r="T2381" t="s">
        <v>248</v>
      </c>
      <c r="U2381">
        <v>2.45</v>
      </c>
      <c r="V2381">
        <v>4.93</v>
      </c>
      <c r="W2381">
        <v>27304</v>
      </c>
      <c r="X2381">
        <v>20729</v>
      </c>
      <c r="Y2381">
        <v>1.32</v>
      </c>
      <c r="Z2381">
        <v>434</v>
      </c>
      <c r="AA2381">
        <v>216</v>
      </c>
      <c r="AB2381" t="s">
        <v>32</v>
      </c>
      <c r="AC2381">
        <v>11.06</v>
      </c>
    </row>
    <row r="2382" spans="1:29">
      <c r="A2382" t="str">
        <f>"600323"</f>
        <v>600323</v>
      </c>
      <c r="B2382" t="s">
        <v>2552</v>
      </c>
      <c r="C2382">
        <v>0.55</v>
      </c>
      <c r="D2382">
        <v>16.38</v>
      </c>
      <c r="E2382">
        <v>0.09</v>
      </c>
      <c r="F2382">
        <v>16.37</v>
      </c>
      <c r="G2382">
        <v>16.38</v>
      </c>
      <c r="H2382">
        <v>114084</v>
      </c>
      <c r="I2382">
        <v>5</v>
      </c>
      <c r="J2382">
        <v>0.55</v>
      </c>
      <c r="K2382">
        <v>1.49</v>
      </c>
      <c r="L2382">
        <v>16.17</v>
      </c>
      <c r="M2382">
        <v>16.45</v>
      </c>
      <c r="N2382">
        <v>16.03</v>
      </c>
      <c r="O2382">
        <v>16.29</v>
      </c>
      <c r="P2382">
        <v>10.18</v>
      </c>
      <c r="Q2382">
        <v>185481984</v>
      </c>
      <c r="R2382">
        <v>1.46</v>
      </c>
      <c r="S2382" t="s">
        <v>308</v>
      </c>
      <c r="T2382" t="s">
        <v>136</v>
      </c>
      <c r="U2382">
        <v>2.58</v>
      </c>
      <c r="V2382">
        <v>16.26</v>
      </c>
      <c r="W2382">
        <v>57287</v>
      </c>
      <c r="X2382">
        <v>56796</v>
      </c>
      <c r="Y2382">
        <v>1.01</v>
      </c>
      <c r="Z2382">
        <v>280</v>
      </c>
      <c r="AA2382">
        <v>20</v>
      </c>
      <c r="AB2382" t="s">
        <v>32</v>
      </c>
      <c r="AC2382">
        <v>7.66</v>
      </c>
    </row>
    <row r="2383" spans="1:29">
      <c r="A2383" t="str">
        <f>"600325"</f>
        <v>600325</v>
      </c>
      <c r="B2383" t="s">
        <v>2553</v>
      </c>
      <c r="C2383">
        <v>2.8</v>
      </c>
      <c r="D2383">
        <v>6.61</v>
      </c>
      <c r="E2383">
        <v>0.18</v>
      </c>
      <c r="F2383">
        <v>6.61</v>
      </c>
      <c r="G2383">
        <v>6.62</v>
      </c>
      <c r="H2383">
        <v>295652</v>
      </c>
      <c r="I2383">
        <v>7</v>
      </c>
      <c r="J2383">
        <v>0</v>
      </c>
      <c r="K2383">
        <v>1.54</v>
      </c>
      <c r="L2383">
        <v>6.42</v>
      </c>
      <c r="M2383">
        <v>6.66</v>
      </c>
      <c r="N2383">
        <v>6.42</v>
      </c>
      <c r="O2383">
        <v>6.43</v>
      </c>
      <c r="P2383">
        <v>6.01</v>
      </c>
      <c r="Q2383">
        <v>194723504</v>
      </c>
      <c r="R2383">
        <v>1.78</v>
      </c>
      <c r="S2383" t="s">
        <v>40</v>
      </c>
      <c r="T2383" t="s">
        <v>136</v>
      </c>
      <c r="U2383">
        <v>3.73</v>
      </c>
      <c r="V2383">
        <v>6.59</v>
      </c>
      <c r="W2383">
        <v>137204</v>
      </c>
      <c r="X2383">
        <v>158447</v>
      </c>
      <c r="Y2383">
        <v>0.87</v>
      </c>
      <c r="Z2383">
        <v>1224</v>
      </c>
      <c r="AA2383">
        <v>1281</v>
      </c>
      <c r="AB2383" t="s">
        <v>32</v>
      </c>
      <c r="AC2383">
        <v>19.14</v>
      </c>
    </row>
    <row r="2384" spans="1:29">
      <c r="A2384" t="str">
        <f>"600326"</f>
        <v>600326</v>
      </c>
      <c r="B2384" t="s">
        <v>2554</v>
      </c>
      <c r="C2384">
        <v>9.95</v>
      </c>
      <c r="D2384">
        <v>6.63</v>
      </c>
      <c r="E2384">
        <v>0.6</v>
      </c>
      <c r="F2384">
        <v>6.63</v>
      </c>
      <c r="G2384" t="s">
        <v>32</v>
      </c>
      <c r="H2384">
        <v>330156</v>
      </c>
      <c r="I2384">
        <v>5</v>
      </c>
      <c r="J2384">
        <v>0</v>
      </c>
      <c r="K2384">
        <v>3.82</v>
      </c>
      <c r="L2384">
        <v>6.07</v>
      </c>
      <c r="M2384">
        <v>6.63</v>
      </c>
      <c r="N2384">
        <v>6.07</v>
      </c>
      <c r="O2384">
        <v>6.03</v>
      </c>
      <c r="P2384">
        <v>68.6</v>
      </c>
      <c r="Q2384">
        <v>212649152</v>
      </c>
      <c r="R2384">
        <v>3.76</v>
      </c>
      <c r="S2384" t="s">
        <v>49</v>
      </c>
      <c r="T2384" t="s">
        <v>432</v>
      </c>
      <c r="U2384">
        <v>9.29</v>
      </c>
      <c r="V2384">
        <v>6.44</v>
      </c>
      <c r="W2384">
        <v>149822</v>
      </c>
      <c r="X2384">
        <v>180333</v>
      </c>
      <c r="Y2384">
        <v>0.83</v>
      </c>
      <c r="Z2384">
        <v>51631</v>
      </c>
      <c r="AA2384">
        <v>0</v>
      </c>
      <c r="AB2384" t="s">
        <v>32</v>
      </c>
      <c r="AC2384">
        <v>8.65</v>
      </c>
    </row>
    <row r="2385" spans="1:29">
      <c r="A2385" t="str">
        <f>"600327"</f>
        <v>600327</v>
      </c>
      <c r="B2385" t="s">
        <v>2555</v>
      </c>
      <c r="C2385">
        <v>1.92</v>
      </c>
      <c r="D2385">
        <v>4.77</v>
      </c>
      <c r="E2385">
        <v>0.09</v>
      </c>
      <c r="F2385">
        <v>4.76</v>
      </c>
      <c r="G2385">
        <v>4.77</v>
      </c>
      <c r="H2385">
        <v>50263</v>
      </c>
      <c r="I2385">
        <v>1</v>
      </c>
      <c r="J2385">
        <v>-0.2</v>
      </c>
      <c r="K2385">
        <v>0.68</v>
      </c>
      <c r="L2385">
        <v>4.67</v>
      </c>
      <c r="M2385">
        <v>4.8</v>
      </c>
      <c r="N2385">
        <v>4.65</v>
      </c>
      <c r="O2385">
        <v>4.68</v>
      </c>
      <c r="P2385">
        <v>7.11</v>
      </c>
      <c r="Q2385">
        <v>23856028</v>
      </c>
      <c r="R2385">
        <v>1.42</v>
      </c>
      <c r="S2385" t="s">
        <v>186</v>
      </c>
      <c r="T2385" t="s">
        <v>87</v>
      </c>
      <c r="U2385">
        <v>3.21</v>
      </c>
      <c r="V2385">
        <v>4.75</v>
      </c>
      <c r="W2385">
        <v>19888</v>
      </c>
      <c r="X2385">
        <v>30374</v>
      </c>
      <c r="Y2385">
        <v>0.65</v>
      </c>
      <c r="Z2385">
        <v>849</v>
      </c>
      <c r="AA2385">
        <v>107</v>
      </c>
      <c r="AB2385" t="s">
        <v>32</v>
      </c>
      <c r="AC2385">
        <v>7.37</v>
      </c>
    </row>
    <row r="2386" spans="1:29">
      <c r="A2386" t="str">
        <f>"600328"</f>
        <v>600328</v>
      </c>
      <c r="B2386" t="s">
        <v>2556</v>
      </c>
      <c r="C2386">
        <v>1.85</v>
      </c>
      <c r="D2386">
        <v>7.7</v>
      </c>
      <c r="E2386">
        <v>0.14</v>
      </c>
      <c r="F2386">
        <v>7.69</v>
      </c>
      <c r="G2386">
        <v>7.7</v>
      </c>
      <c r="H2386">
        <v>109091</v>
      </c>
      <c r="I2386">
        <v>2</v>
      </c>
      <c r="J2386">
        <v>0</v>
      </c>
      <c r="K2386">
        <v>2.49</v>
      </c>
      <c r="L2386">
        <v>7.56</v>
      </c>
      <c r="M2386">
        <v>7.74</v>
      </c>
      <c r="N2386">
        <v>7.53</v>
      </c>
      <c r="O2386">
        <v>7.56</v>
      </c>
      <c r="P2386">
        <v>11.16</v>
      </c>
      <c r="Q2386">
        <v>83506000</v>
      </c>
      <c r="R2386">
        <v>1.89</v>
      </c>
      <c r="S2386" t="s">
        <v>218</v>
      </c>
      <c r="T2386" t="s">
        <v>198</v>
      </c>
      <c r="U2386">
        <v>2.78</v>
      </c>
      <c r="V2386">
        <v>7.65</v>
      </c>
      <c r="W2386">
        <v>60156</v>
      </c>
      <c r="X2386">
        <v>48935</v>
      </c>
      <c r="Y2386">
        <v>1.23</v>
      </c>
      <c r="Z2386">
        <v>130</v>
      </c>
      <c r="AA2386">
        <v>216</v>
      </c>
      <c r="AB2386" t="s">
        <v>32</v>
      </c>
      <c r="AC2386">
        <v>4.38</v>
      </c>
    </row>
    <row r="2387" spans="1:29">
      <c r="A2387" t="str">
        <f>"600329"</f>
        <v>600329</v>
      </c>
      <c r="B2387" t="s">
        <v>2557</v>
      </c>
      <c r="C2387">
        <v>3.08</v>
      </c>
      <c r="D2387">
        <v>20.09</v>
      </c>
      <c r="E2387">
        <v>0.6</v>
      </c>
      <c r="F2387">
        <v>20.09</v>
      </c>
      <c r="G2387">
        <v>20.1</v>
      </c>
      <c r="H2387">
        <v>110879</v>
      </c>
      <c r="I2387">
        <v>20</v>
      </c>
      <c r="J2387">
        <v>0.05</v>
      </c>
      <c r="K2387">
        <v>1.96</v>
      </c>
      <c r="L2387">
        <v>19.53</v>
      </c>
      <c r="M2387">
        <v>20.36</v>
      </c>
      <c r="N2387">
        <v>19.1</v>
      </c>
      <c r="O2387">
        <v>19.49</v>
      </c>
      <c r="P2387">
        <v>22.27</v>
      </c>
      <c r="Q2387">
        <v>219141888</v>
      </c>
      <c r="R2387">
        <v>0.99</v>
      </c>
      <c r="S2387" t="s">
        <v>195</v>
      </c>
      <c r="T2387" t="s">
        <v>248</v>
      </c>
      <c r="U2387">
        <v>6.46</v>
      </c>
      <c r="V2387">
        <v>19.76</v>
      </c>
      <c r="W2387">
        <v>47611</v>
      </c>
      <c r="X2387">
        <v>63268</v>
      </c>
      <c r="Y2387">
        <v>0.75</v>
      </c>
      <c r="Z2387">
        <v>78</v>
      </c>
      <c r="AA2387">
        <v>380</v>
      </c>
      <c r="AB2387" t="s">
        <v>32</v>
      </c>
      <c r="AC2387">
        <v>5.66</v>
      </c>
    </row>
    <row r="2388" spans="1:29">
      <c r="A2388" t="str">
        <f>"600330"</f>
        <v>600330</v>
      </c>
      <c r="B2388" t="s">
        <v>2558</v>
      </c>
      <c r="C2388">
        <v>1.65</v>
      </c>
      <c r="D2388">
        <v>7.38</v>
      </c>
      <c r="E2388">
        <v>0.12</v>
      </c>
      <c r="F2388">
        <v>7.37</v>
      </c>
      <c r="G2388">
        <v>7.38</v>
      </c>
      <c r="H2388">
        <v>188028</v>
      </c>
      <c r="I2388">
        <v>10</v>
      </c>
      <c r="J2388">
        <v>-0.13</v>
      </c>
      <c r="K2388">
        <v>1.89</v>
      </c>
      <c r="L2388">
        <v>7.28</v>
      </c>
      <c r="M2388">
        <v>7.4</v>
      </c>
      <c r="N2388">
        <v>7.19</v>
      </c>
      <c r="O2388">
        <v>7.26</v>
      </c>
      <c r="P2388">
        <v>22.4</v>
      </c>
      <c r="Q2388">
        <v>137496048</v>
      </c>
      <c r="R2388">
        <v>1.6</v>
      </c>
      <c r="S2388" t="s">
        <v>63</v>
      </c>
      <c r="T2388" t="s">
        <v>149</v>
      </c>
      <c r="U2388">
        <v>2.89</v>
      </c>
      <c r="V2388">
        <v>7.31</v>
      </c>
      <c r="W2388">
        <v>86872</v>
      </c>
      <c r="X2388">
        <v>101156</v>
      </c>
      <c r="Y2388">
        <v>0.86</v>
      </c>
      <c r="Z2388">
        <v>556</v>
      </c>
      <c r="AA2388">
        <v>178</v>
      </c>
      <c r="AB2388" t="s">
        <v>32</v>
      </c>
      <c r="AC2388">
        <v>9.97</v>
      </c>
    </row>
    <row r="2389" spans="1:29">
      <c r="A2389" t="str">
        <f>"600331"</f>
        <v>600331</v>
      </c>
      <c r="B2389" t="s">
        <v>2559</v>
      </c>
      <c r="C2389">
        <v>3.38</v>
      </c>
      <c r="D2389">
        <v>2.75</v>
      </c>
      <c r="E2389">
        <v>0.09</v>
      </c>
      <c r="F2389">
        <v>2.75</v>
      </c>
      <c r="G2389">
        <v>2.76</v>
      </c>
      <c r="H2389">
        <v>239165</v>
      </c>
      <c r="I2389">
        <v>169</v>
      </c>
      <c r="J2389">
        <v>0.36</v>
      </c>
      <c r="K2389">
        <v>1.18</v>
      </c>
      <c r="L2389">
        <v>2.66</v>
      </c>
      <c r="M2389">
        <v>2.78</v>
      </c>
      <c r="N2389">
        <v>2.64</v>
      </c>
      <c r="O2389">
        <v>2.66</v>
      </c>
      <c r="P2389">
        <v>127.3</v>
      </c>
      <c r="Q2389">
        <v>65134616</v>
      </c>
      <c r="R2389">
        <v>2.28</v>
      </c>
      <c r="S2389" t="s">
        <v>113</v>
      </c>
      <c r="T2389" t="s">
        <v>146</v>
      </c>
      <c r="U2389">
        <v>5.26</v>
      </c>
      <c r="V2389">
        <v>2.72</v>
      </c>
      <c r="W2389">
        <v>104377</v>
      </c>
      <c r="X2389">
        <v>134788</v>
      </c>
      <c r="Y2389">
        <v>0.77</v>
      </c>
      <c r="Z2389">
        <v>2873</v>
      </c>
      <c r="AA2389">
        <v>6322</v>
      </c>
      <c r="AB2389" t="s">
        <v>32</v>
      </c>
      <c r="AC2389">
        <v>20.32</v>
      </c>
    </row>
    <row r="2390" spans="1:29">
      <c r="A2390" t="str">
        <f>"600332"</f>
        <v>600332</v>
      </c>
      <c r="B2390" t="s">
        <v>2560</v>
      </c>
      <c r="C2390">
        <v>0.88</v>
      </c>
      <c r="D2390">
        <v>37.62</v>
      </c>
      <c r="E2390">
        <v>0.33</v>
      </c>
      <c r="F2390">
        <v>37.62</v>
      </c>
      <c r="G2390">
        <v>37.63</v>
      </c>
      <c r="H2390">
        <v>183988</v>
      </c>
      <c r="I2390">
        <v>10</v>
      </c>
      <c r="J2390">
        <v>-0.2</v>
      </c>
      <c r="K2390">
        <v>1.72</v>
      </c>
      <c r="L2390">
        <v>37</v>
      </c>
      <c r="M2390">
        <v>38.42</v>
      </c>
      <c r="N2390">
        <v>36.8</v>
      </c>
      <c r="O2390">
        <v>37.29</v>
      </c>
      <c r="P2390">
        <v>16.89</v>
      </c>
      <c r="Q2390">
        <v>694043584</v>
      </c>
      <c r="R2390">
        <v>1.13</v>
      </c>
      <c r="S2390" t="s">
        <v>195</v>
      </c>
      <c r="T2390" t="s">
        <v>136</v>
      </c>
      <c r="U2390">
        <v>4.34</v>
      </c>
      <c r="V2390">
        <v>37.72</v>
      </c>
      <c r="W2390">
        <v>92015</v>
      </c>
      <c r="X2390">
        <v>91973</v>
      </c>
      <c r="Y2390">
        <v>1</v>
      </c>
      <c r="Z2390">
        <v>23</v>
      </c>
      <c r="AA2390">
        <v>99</v>
      </c>
      <c r="AB2390" t="s">
        <v>32</v>
      </c>
      <c r="AC2390">
        <v>10.71</v>
      </c>
    </row>
    <row r="2391" spans="1:29">
      <c r="A2391" t="str">
        <f>"600333"</f>
        <v>600333</v>
      </c>
      <c r="B2391" t="s">
        <v>2561</v>
      </c>
      <c r="C2391">
        <v>0.2</v>
      </c>
      <c r="D2391">
        <v>5.07</v>
      </c>
      <c r="E2391">
        <v>0.01</v>
      </c>
      <c r="F2391">
        <v>5.07</v>
      </c>
      <c r="G2391">
        <v>5.08</v>
      </c>
      <c r="H2391">
        <v>61154</v>
      </c>
      <c r="I2391">
        <v>70</v>
      </c>
      <c r="J2391">
        <v>0</v>
      </c>
      <c r="K2391">
        <v>1.15</v>
      </c>
      <c r="L2391">
        <v>5</v>
      </c>
      <c r="M2391">
        <v>5.09</v>
      </c>
      <c r="N2391">
        <v>4.97</v>
      </c>
      <c r="O2391">
        <v>5.06</v>
      </c>
      <c r="P2391" t="s">
        <v>32</v>
      </c>
      <c r="Q2391">
        <v>30935768</v>
      </c>
      <c r="R2391">
        <v>1.34</v>
      </c>
      <c r="S2391" t="s">
        <v>174</v>
      </c>
      <c r="T2391" t="s">
        <v>81</v>
      </c>
      <c r="U2391">
        <v>2.37</v>
      </c>
      <c r="V2391">
        <v>5.06</v>
      </c>
      <c r="W2391">
        <v>34823</v>
      </c>
      <c r="X2391">
        <v>26331</v>
      </c>
      <c r="Y2391">
        <v>1.32</v>
      </c>
      <c r="Z2391">
        <v>168</v>
      </c>
      <c r="AA2391">
        <v>885</v>
      </c>
      <c r="AB2391" t="s">
        <v>32</v>
      </c>
      <c r="AC2391">
        <v>5.3</v>
      </c>
    </row>
    <row r="2392" spans="1:29">
      <c r="A2392" t="str">
        <f>"600335"</f>
        <v>600335</v>
      </c>
      <c r="B2392" t="s">
        <v>2562</v>
      </c>
      <c r="C2392">
        <v>0</v>
      </c>
      <c r="D2392">
        <v>10.43</v>
      </c>
      <c r="E2392">
        <v>0</v>
      </c>
      <c r="F2392" t="s">
        <v>32</v>
      </c>
      <c r="G2392" t="s">
        <v>32</v>
      </c>
      <c r="H2392">
        <v>0</v>
      </c>
      <c r="I2392">
        <v>0</v>
      </c>
      <c r="J2392">
        <v>0</v>
      </c>
      <c r="K2392">
        <v>0</v>
      </c>
      <c r="L2392" t="s">
        <v>32</v>
      </c>
      <c r="M2392" t="s">
        <v>32</v>
      </c>
      <c r="N2392" t="s">
        <v>32</v>
      </c>
      <c r="O2392">
        <v>10.43</v>
      </c>
      <c r="P2392">
        <v>13.3</v>
      </c>
      <c r="Q2392">
        <v>0</v>
      </c>
      <c r="R2392">
        <v>0</v>
      </c>
      <c r="S2392" t="s">
        <v>80</v>
      </c>
      <c r="T2392" t="s">
        <v>248</v>
      </c>
      <c r="U2392">
        <v>0</v>
      </c>
      <c r="V2392">
        <v>10.43</v>
      </c>
      <c r="W2392">
        <v>0</v>
      </c>
      <c r="X2392">
        <v>0</v>
      </c>
      <c r="Y2392" t="s">
        <v>32</v>
      </c>
      <c r="Z2392">
        <v>0</v>
      </c>
      <c r="AA2392">
        <v>0</v>
      </c>
      <c r="AB2392" t="s">
        <v>32</v>
      </c>
      <c r="AC2392">
        <v>10.3</v>
      </c>
    </row>
    <row r="2393" spans="1:29">
      <c r="A2393" t="str">
        <f>"600336"</f>
        <v>600336</v>
      </c>
      <c r="B2393" t="s">
        <v>2563</v>
      </c>
      <c r="C2393">
        <v>1.25</v>
      </c>
      <c r="D2393">
        <v>4.04</v>
      </c>
      <c r="E2393">
        <v>0.05</v>
      </c>
      <c r="F2393">
        <v>4.04</v>
      </c>
      <c r="G2393">
        <v>4.05</v>
      </c>
      <c r="H2393">
        <v>70231</v>
      </c>
      <c r="I2393">
        <v>21</v>
      </c>
      <c r="J2393">
        <v>-0.24</v>
      </c>
      <c r="K2393">
        <v>0.96</v>
      </c>
      <c r="L2393">
        <v>4</v>
      </c>
      <c r="M2393">
        <v>4.06</v>
      </c>
      <c r="N2393">
        <v>3.86</v>
      </c>
      <c r="O2393">
        <v>3.99</v>
      </c>
      <c r="P2393">
        <v>25.87</v>
      </c>
      <c r="Q2393">
        <v>27979288</v>
      </c>
      <c r="R2393">
        <v>1.6</v>
      </c>
      <c r="S2393" t="s">
        <v>55</v>
      </c>
      <c r="T2393" t="s">
        <v>162</v>
      </c>
      <c r="U2393">
        <v>5.01</v>
      </c>
      <c r="V2393">
        <v>3.98</v>
      </c>
      <c r="W2393">
        <v>37664</v>
      </c>
      <c r="X2393">
        <v>32566</v>
      </c>
      <c r="Y2393">
        <v>1.16</v>
      </c>
      <c r="Z2393">
        <v>33</v>
      </c>
      <c r="AA2393">
        <v>1680</v>
      </c>
      <c r="AB2393" t="s">
        <v>32</v>
      </c>
      <c r="AC2393">
        <v>7.32</v>
      </c>
    </row>
    <row r="2394" spans="1:29">
      <c r="A2394" t="str">
        <f>"600337"</f>
        <v>600337</v>
      </c>
      <c r="B2394" t="s">
        <v>2564</v>
      </c>
      <c r="C2394">
        <v>-0.94</v>
      </c>
      <c r="D2394">
        <v>5.26</v>
      </c>
      <c r="E2394">
        <v>-0.05</v>
      </c>
      <c r="F2394">
        <v>5.26</v>
      </c>
      <c r="G2394">
        <v>5.27</v>
      </c>
      <c r="H2394">
        <v>158641</v>
      </c>
      <c r="I2394">
        <v>6</v>
      </c>
      <c r="J2394">
        <v>-0.18</v>
      </c>
      <c r="K2394">
        <v>1.09</v>
      </c>
      <c r="L2394">
        <v>5.31</v>
      </c>
      <c r="M2394">
        <v>5.55</v>
      </c>
      <c r="N2394">
        <v>5.24</v>
      </c>
      <c r="O2394">
        <v>5.31</v>
      </c>
      <c r="P2394">
        <v>37.05</v>
      </c>
      <c r="Q2394">
        <v>85113520</v>
      </c>
      <c r="R2394">
        <v>6.12</v>
      </c>
      <c r="S2394" t="s">
        <v>545</v>
      </c>
      <c r="T2394" t="s">
        <v>156</v>
      </c>
      <c r="U2394">
        <v>5.84</v>
      </c>
      <c r="V2394">
        <v>5.37</v>
      </c>
      <c r="W2394">
        <v>88326</v>
      </c>
      <c r="X2394">
        <v>70315</v>
      </c>
      <c r="Y2394">
        <v>1.26</v>
      </c>
      <c r="Z2394">
        <v>60</v>
      </c>
      <c r="AA2394">
        <v>814</v>
      </c>
      <c r="AB2394" t="s">
        <v>32</v>
      </c>
      <c r="AC2394">
        <v>14.59</v>
      </c>
    </row>
    <row r="2395" spans="1:29">
      <c r="A2395" t="str">
        <f>"600338"</f>
        <v>600338</v>
      </c>
      <c r="B2395" t="s">
        <v>2565</v>
      </c>
      <c r="C2395">
        <v>4.53</v>
      </c>
      <c r="D2395">
        <v>23.06</v>
      </c>
      <c r="E2395">
        <v>1</v>
      </c>
      <c r="F2395">
        <v>23.06</v>
      </c>
      <c r="G2395">
        <v>23.07</v>
      </c>
      <c r="H2395">
        <v>118877</v>
      </c>
      <c r="I2395">
        <v>4</v>
      </c>
      <c r="J2395">
        <v>0.04</v>
      </c>
      <c r="K2395">
        <v>7.51</v>
      </c>
      <c r="L2395">
        <v>22.1</v>
      </c>
      <c r="M2395">
        <v>23.34</v>
      </c>
      <c r="N2395">
        <v>22.05</v>
      </c>
      <c r="O2395">
        <v>22.06</v>
      </c>
      <c r="P2395">
        <v>16.83</v>
      </c>
      <c r="Q2395">
        <v>272189728</v>
      </c>
      <c r="R2395">
        <v>1.3</v>
      </c>
      <c r="S2395" t="s">
        <v>113</v>
      </c>
      <c r="T2395" t="s">
        <v>432</v>
      </c>
      <c r="U2395">
        <v>5.85</v>
      </c>
      <c r="V2395">
        <v>22.9</v>
      </c>
      <c r="W2395">
        <v>61607</v>
      </c>
      <c r="X2395">
        <v>57270</v>
      </c>
      <c r="Y2395">
        <v>1.08</v>
      </c>
      <c r="Z2395">
        <v>89</v>
      </c>
      <c r="AA2395">
        <v>33</v>
      </c>
      <c r="AB2395" t="s">
        <v>32</v>
      </c>
      <c r="AC2395">
        <v>1.58</v>
      </c>
    </row>
    <row r="2396" spans="1:29">
      <c r="A2396" t="str">
        <f>"600339"</f>
        <v>600339</v>
      </c>
      <c r="B2396" t="s">
        <v>2566</v>
      </c>
      <c r="C2396">
        <v>4.14</v>
      </c>
      <c r="D2396">
        <v>4.28</v>
      </c>
      <c r="E2396">
        <v>0.17</v>
      </c>
      <c r="F2396">
        <v>4.28</v>
      </c>
      <c r="G2396">
        <v>4.29</v>
      </c>
      <c r="H2396">
        <v>176383</v>
      </c>
      <c r="I2396">
        <v>35</v>
      </c>
      <c r="J2396">
        <v>0.71</v>
      </c>
      <c r="K2396">
        <v>1.14</v>
      </c>
      <c r="L2396">
        <v>4.12</v>
      </c>
      <c r="M2396">
        <v>4.31</v>
      </c>
      <c r="N2396">
        <v>4.12</v>
      </c>
      <c r="O2396">
        <v>4.11</v>
      </c>
      <c r="P2396" t="s">
        <v>32</v>
      </c>
      <c r="Q2396">
        <v>74840568</v>
      </c>
      <c r="R2396">
        <v>2.75</v>
      </c>
      <c r="S2396" t="s">
        <v>110</v>
      </c>
      <c r="T2396" t="s">
        <v>156</v>
      </c>
      <c r="U2396">
        <v>4.62</v>
      </c>
      <c r="V2396">
        <v>4.24</v>
      </c>
      <c r="W2396">
        <v>67215</v>
      </c>
      <c r="X2396">
        <v>109168</v>
      </c>
      <c r="Y2396">
        <v>0.62</v>
      </c>
      <c r="Z2396">
        <v>160</v>
      </c>
      <c r="AA2396">
        <v>2729</v>
      </c>
      <c r="AB2396" t="s">
        <v>32</v>
      </c>
      <c r="AC2396">
        <v>15.52</v>
      </c>
    </row>
    <row r="2397" spans="1:29">
      <c r="A2397" t="str">
        <f>"600340"</f>
        <v>600340</v>
      </c>
      <c r="B2397" t="s">
        <v>2567</v>
      </c>
      <c r="C2397">
        <v>3.36</v>
      </c>
      <c r="D2397">
        <v>26.74</v>
      </c>
      <c r="E2397">
        <v>0.87</v>
      </c>
      <c r="F2397">
        <v>26.74</v>
      </c>
      <c r="G2397">
        <v>26.75</v>
      </c>
      <c r="H2397">
        <v>319268</v>
      </c>
      <c r="I2397">
        <v>10</v>
      </c>
      <c r="J2397">
        <v>0</v>
      </c>
      <c r="K2397">
        <v>1.08</v>
      </c>
      <c r="L2397">
        <v>26.12</v>
      </c>
      <c r="M2397">
        <v>27.34</v>
      </c>
      <c r="N2397">
        <v>26.12</v>
      </c>
      <c r="O2397">
        <v>25.87</v>
      </c>
      <c r="P2397">
        <v>8.64</v>
      </c>
      <c r="Q2397">
        <v>858176960</v>
      </c>
      <c r="R2397">
        <v>2.77</v>
      </c>
      <c r="S2397" t="s">
        <v>40</v>
      </c>
      <c r="T2397" t="s">
        <v>154</v>
      </c>
      <c r="U2397">
        <v>4.72</v>
      </c>
      <c r="V2397">
        <v>26.88</v>
      </c>
      <c r="W2397">
        <v>147132</v>
      </c>
      <c r="X2397">
        <v>172136</v>
      </c>
      <c r="Y2397">
        <v>0.85</v>
      </c>
      <c r="Z2397">
        <v>73</v>
      </c>
      <c r="AA2397">
        <v>516</v>
      </c>
      <c r="AB2397" t="s">
        <v>32</v>
      </c>
      <c r="AC2397">
        <v>29.55</v>
      </c>
    </row>
    <row r="2398" spans="1:29">
      <c r="A2398" t="str">
        <f>"600343"</f>
        <v>600343</v>
      </c>
      <c r="B2398" t="s">
        <v>2568</v>
      </c>
      <c r="C2398">
        <v>1.81</v>
      </c>
      <c r="D2398">
        <v>10.11</v>
      </c>
      <c r="E2398">
        <v>0.18</v>
      </c>
      <c r="F2398">
        <v>10.09</v>
      </c>
      <c r="G2398">
        <v>10.1</v>
      </c>
      <c r="H2398">
        <v>331542</v>
      </c>
      <c r="I2398">
        <v>152</v>
      </c>
      <c r="J2398">
        <v>0.2</v>
      </c>
      <c r="K2398">
        <v>5.19</v>
      </c>
      <c r="L2398">
        <v>10.28</v>
      </c>
      <c r="M2398">
        <v>10.4</v>
      </c>
      <c r="N2398">
        <v>10.05</v>
      </c>
      <c r="O2398">
        <v>9.93</v>
      </c>
      <c r="P2398">
        <v>468.78</v>
      </c>
      <c r="Q2398">
        <v>338101632</v>
      </c>
      <c r="R2398">
        <v>5.27</v>
      </c>
      <c r="S2398" t="s">
        <v>389</v>
      </c>
      <c r="T2398" t="s">
        <v>223</v>
      </c>
      <c r="U2398">
        <v>3.52</v>
      </c>
      <c r="V2398">
        <v>10.2</v>
      </c>
      <c r="W2398">
        <v>165161</v>
      </c>
      <c r="X2398">
        <v>166381</v>
      </c>
      <c r="Y2398">
        <v>0.99</v>
      </c>
      <c r="Z2398">
        <v>420</v>
      </c>
      <c r="AA2398">
        <v>152</v>
      </c>
      <c r="AB2398" t="s">
        <v>32</v>
      </c>
      <c r="AC2398">
        <v>6.38</v>
      </c>
    </row>
    <row r="2399" spans="1:29">
      <c r="A2399" t="str">
        <f>"600345"</f>
        <v>600345</v>
      </c>
      <c r="B2399" t="s">
        <v>2569</v>
      </c>
      <c r="C2399">
        <v>1.57</v>
      </c>
      <c r="D2399">
        <v>34.36</v>
      </c>
      <c r="E2399">
        <v>0.53</v>
      </c>
      <c r="F2399">
        <v>34.38</v>
      </c>
      <c r="G2399">
        <v>34.4</v>
      </c>
      <c r="H2399">
        <v>89197</v>
      </c>
      <c r="I2399">
        <v>3</v>
      </c>
      <c r="J2399">
        <v>-0.31</v>
      </c>
      <c r="K2399">
        <v>4.5</v>
      </c>
      <c r="L2399">
        <v>33.47</v>
      </c>
      <c r="M2399">
        <v>34.76</v>
      </c>
      <c r="N2399">
        <v>32.82</v>
      </c>
      <c r="O2399">
        <v>33.83</v>
      </c>
      <c r="P2399">
        <v>26.9</v>
      </c>
      <c r="Q2399">
        <v>300248000</v>
      </c>
      <c r="R2399">
        <v>0.94</v>
      </c>
      <c r="S2399" t="s">
        <v>119</v>
      </c>
      <c r="T2399" t="s">
        <v>193</v>
      </c>
      <c r="U2399">
        <v>5.73</v>
      </c>
      <c r="V2399">
        <v>33.66</v>
      </c>
      <c r="W2399">
        <v>43965</v>
      </c>
      <c r="X2399">
        <v>45231</v>
      </c>
      <c r="Y2399">
        <v>0.97</v>
      </c>
      <c r="Z2399">
        <v>3</v>
      </c>
      <c r="AA2399">
        <v>55</v>
      </c>
      <c r="AB2399" t="s">
        <v>32</v>
      </c>
      <c r="AC2399">
        <v>1.98</v>
      </c>
    </row>
    <row r="2400" spans="1:29">
      <c r="A2400" t="str">
        <f>"600346"</f>
        <v>600346</v>
      </c>
      <c r="B2400" t="s">
        <v>2570</v>
      </c>
      <c r="C2400">
        <v>8.85</v>
      </c>
      <c r="D2400">
        <v>16.6</v>
      </c>
      <c r="E2400">
        <v>1.35</v>
      </c>
      <c r="F2400">
        <v>16.59</v>
      </c>
      <c r="G2400">
        <v>16.61</v>
      </c>
      <c r="H2400">
        <v>314691</v>
      </c>
      <c r="I2400">
        <v>9</v>
      </c>
      <c r="J2400">
        <v>0.55</v>
      </c>
      <c r="K2400">
        <v>3.42</v>
      </c>
      <c r="L2400">
        <v>15.44</v>
      </c>
      <c r="M2400">
        <v>16.78</v>
      </c>
      <c r="N2400">
        <v>15.44</v>
      </c>
      <c r="O2400">
        <v>15.25</v>
      </c>
      <c r="P2400">
        <v>19</v>
      </c>
      <c r="Q2400">
        <v>515184576</v>
      </c>
      <c r="R2400">
        <v>3.51</v>
      </c>
      <c r="S2400" t="s">
        <v>190</v>
      </c>
      <c r="T2400" t="s">
        <v>111</v>
      </c>
      <c r="U2400">
        <v>8.79</v>
      </c>
      <c r="V2400">
        <v>16.37</v>
      </c>
      <c r="W2400">
        <v>125746</v>
      </c>
      <c r="X2400">
        <v>188945</v>
      </c>
      <c r="Y2400">
        <v>0.67</v>
      </c>
      <c r="Z2400">
        <v>439</v>
      </c>
      <c r="AA2400">
        <v>52</v>
      </c>
      <c r="AB2400" t="s">
        <v>32</v>
      </c>
      <c r="AC2400">
        <v>9.19</v>
      </c>
    </row>
    <row r="2401" spans="1:29">
      <c r="A2401" t="str">
        <f>"600348"</f>
        <v>600348</v>
      </c>
      <c r="B2401" t="s">
        <v>2571</v>
      </c>
      <c r="C2401">
        <v>2.38</v>
      </c>
      <c r="D2401">
        <v>6.46</v>
      </c>
      <c r="E2401">
        <v>0.15</v>
      </c>
      <c r="F2401">
        <v>6.46</v>
      </c>
      <c r="G2401">
        <v>6.47</v>
      </c>
      <c r="H2401">
        <v>304083</v>
      </c>
      <c r="I2401">
        <v>51</v>
      </c>
      <c r="J2401">
        <v>-0.14</v>
      </c>
      <c r="K2401">
        <v>1.26</v>
      </c>
      <c r="L2401">
        <v>6.3</v>
      </c>
      <c r="M2401">
        <v>6.5</v>
      </c>
      <c r="N2401">
        <v>6.29</v>
      </c>
      <c r="O2401">
        <v>6.31</v>
      </c>
      <c r="P2401">
        <v>7.76</v>
      </c>
      <c r="Q2401">
        <v>195502912</v>
      </c>
      <c r="R2401">
        <v>1.92</v>
      </c>
      <c r="S2401" t="s">
        <v>265</v>
      </c>
      <c r="T2401" t="s">
        <v>169</v>
      </c>
      <c r="U2401">
        <v>3.33</v>
      </c>
      <c r="V2401">
        <v>6.43</v>
      </c>
      <c r="W2401">
        <v>136198</v>
      </c>
      <c r="X2401">
        <v>167884</v>
      </c>
      <c r="Y2401">
        <v>0.81</v>
      </c>
      <c r="Z2401">
        <v>808</v>
      </c>
      <c r="AA2401">
        <v>1221</v>
      </c>
      <c r="AB2401" t="s">
        <v>32</v>
      </c>
      <c r="AC2401">
        <v>24.05</v>
      </c>
    </row>
    <row r="2402" spans="1:29">
      <c r="A2402" t="str">
        <f>"600350"</f>
        <v>600350</v>
      </c>
      <c r="B2402" t="s">
        <v>2572</v>
      </c>
      <c r="C2402">
        <v>3.13</v>
      </c>
      <c r="D2402">
        <v>4.28</v>
      </c>
      <c r="E2402">
        <v>0.13</v>
      </c>
      <c r="F2402">
        <v>4.27</v>
      </c>
      <c r="G2402">
        <v>4.28</v>
      </c>
      <c r="H2402">
        <v>150468</v>
      </c>
      <c r="I2402">
        <v>180</v>
      </c>
      <c r="J2402">
        <v>0</v>
      </c>
      <c r="K2402">
        <v>0.31</v>
      </c>
      <c r="L2402">
        <v>4.15</v>
      </c>
      <c r="M2402">
        <v>4.33</v>
      </c>
      <c r="N2402">
        <v>4.14</v>
      </c>
      <c r="O2402">
        <v>4.15</v>
      </c>
      <c r="P2402">
        <v>10.2</v>
      </c>
      <c r="Q2402">
        <v>64192800</v>
      </c>
      <c r="R2402">
        <v>2.38</v>
      </c>
      <c r="S2402" t="s">
        <v>201</v>
      </c>
      <c r="T2402" t="s">
        <v>162</v>
      </c>
      <c r="U2402">
        <v>4.58</v>
      </c>
      <c r="V2402">
        <v>4.27</v>
      </c>
      <c r="W2402">
        <v>67821</v>
      </c>
      <c r="X2402">
        <v>82647</v>
      </c>
      <c r="Y2402">
        <v>0.82</v>
      </c>
      <c r="Z2402">
        <v>1447</v>
      </c>
      <c r="AA2402">
        <v>332</v>
      </c>
      <c r="AB2402" t="s">
        <v>32</v>
      </c>
      <c r="AC2402">
        <v>48.11</v>
      </c>
    </row>
    <row r="2403" spans="1:29">
      <c r="A2403" t="str">
        <f>"600351"</f>
        <v>600351</v>
      </c>
      <c r="B2403" t="s">
        <v>2573</v>
      </c>
      <c r="C2403">
        <v>1.8</v>
      </c>
      <c r="D2403">
        <v>7.9</v>
      </c>
      <c r="E2403">
        <v>0.14</v>
      </c>
      <c r="F2403">
        <v>7.88</v>
      </c>
      <c r="G2403">
        <v>7.9</v>
      </c>
      <c r="H2403">
        <v>101590</v>
      </c>
      <c r="I2403">
        <v>5</v>
      </c>
      <c r="J2403">
        <v>0.51</v>
      </c>
      <c r="K2403">
        <v>1.47</v>
      </c>
      <c r="L2403">
        <v>7.7</v>
      </c>
      <c r="M2403">
        <v>7.91</v>
      </c>
      <c r="N2403">
        <v>7.6</v>
      </c>
      <c r="O2403">
        <v>7.76</v>
      </c>
      <c r="P2403">
        <v>25.89</v>
      </c>
      <c r="Q2403">
        <v>79240280</v>
      </c>
      <c r="R2403">
        <v>0.94</v>
      </c>
      <c r="S2403" t="s">
        <v>195</v>
      </c>
      <c r="T2403" t="s">
        <v>169</v>
      </c>
      <c r="U2403">
        <v>3.99</v>
      </c>
      <c r="V2403">
        <v>7.8</v>
      </c>
      <c r="W2403">
        <v>51647</v>
      </c>
      <c r="X2403">
        <v>49942</v>
      </c>
      <c r="Y2403">
        <v>1.03</v>
      </c>
      <c r="Z2403">
        <v>14</v>
      </c>
      <c r="AA2403">
        <v>428</v>
      </c>
      <c r="AB2403" t="s">
        <v>32</v>
      </c>
      <c r="AC2403">
        <v>6.92</v>
      </c>
    </row>
    <row r="2404" spans="1:29">
      <c r="A2404" t="str">
        <f>"600352"</f>
        <v>600352</v>
      </c>
      <c r="B2404" t="s">
        <v>2574</v>
      </c>
      <c r="C2404">
        <v>-1.95</v>
      </c>
      <c r="D2404">
        <v>12.07</v>
      </c>
      <c r="E2404">
        <v>-0.24</v>
      </c>
      <c r="F2404">
        <v>12.06</v>
      </c>
      <c r="G2404">
        <v>12.07</v>
      </c>
      <c r="H2404">
        <v>986652</v>
      </c>
      <c r="I2404">
        <v>15</v>
      </c>
      <c r="J2404">
        <v>-0.07</v>
      </c>
      <c r="K2404">
        <v>3.03</v>
      </c>
      <c r="L2404">
        <v>12.04</v>
      </c>
      <c r="M2404">
        <v>12.13</v>
      </c>
      <c r="N2404">
        <v>11.85</v>
      </c>
      <c r="O2404">
        <v>12.31</v>
      </c>
      <c r="P2404">
        <v>9.63</v>
      </c>
      <c r="Q2404">
        <v>1185521920</v>
      </c>
      <c r="R2404">
        <v>2.08</v>
      </c>
      <c r="S2404" t="s">
        <v>281</v>
      </c>
      <c r="T2404" t="s">
        <v>149</v>
      </c>
      <c r="U2404">
        <v>2.27</v>
      </c>
      <c r="V2404">
        <v>12.02</v>
      </c>
      <c r="W2404">
        <v>510000</v>
      </c>
      <c r="X2404">
        <v>476651</v>
      </c>
      <c r="Y2404">
        <v>1.07</v>
      </c>
      <c r="Z2404">
        <v>1791</v>
      </c>
      <c r="AA2404">
        <v>742</v>
      </c>
      <c r="AB2404" t="s">
        <v>32</v>
      </c>
      <c r="AC2404">
        <v>32.53</v>
      </c>
    </row>
    <row r="2405" spans="1:29">
      <c r="A2405" t="str">
        <f>"600353"</f>
        <v>600353</v>
      </c>
      <c r="B2405" t="s">
        <v>2575</v>
      </c>
      <c r="C2405">
        <v>1.77</v>
      </c>
      <c r="D2405">
        <v>5.17</v>
      </c>
      <c r="E2405">
        <v>0.09</v>
      </c>
      <c r="F2405">
        <v>5.17</v>
      </c>
      <c r="G2405">
        <v>5.18</v>
      </c>
      <c r="H2405">
        <v>36682</v>
      </c>
      <c r="I2405">
        <v>11</v>
      </c>
      <c r="J2405">
        <v>-0.18</v>
      </c>
      <c r="K2405">
        <v>0.67</v>
      </c>
      <c r="L2405">
        <v>5.1</v>
      </c>
      <c r="M2405">
        <v>5.19</v>
      </c>
      <c r="N2405">
        <v>5.05</v>
      </c>
      <c r="O2405">
        <v>5.08</v>
      </c>
      <c r="P2405">
        <v>67.08</v>
      </c>
      <c r="Q2405">
        <v>18811628</v>
      </c>
      <c r="R2405">
        <v>1.31</v>
      </c>
      <c r="S2405" t="s">
        <v>63</v>
      </c>
      <c r="T2405" t="s">
        <v>146</v>
      </c>
      <c r="U2405">
        <v>2.76</v>
      </c>
      <c r="V2405">
        <v>5.13</v>
      </c>
      <c r="W2405">
        <v>17137</v>
      </c>
      <c r="X2405">
        <v>19545</v>
      </c>
      <c r="Y2405">
        <v>0.88</v>
      </c>
      <c r="Z2405">
        <v>50</v>
      </c>
      <c r="AA2405">
        <v>1183</v>
      </c>
      <c r="AB2405" t="s">
        <v>32</v>
      </c>
      <c r="AC2405">
        <v>5.44</v>
      </c>
    </row>
    <row r="2406" spans="1:29">
      <c r="A2406" t="str">
        <f>"600354"</f>
        <v>600354</v>
      </c>
      <c r="B2406" t="s">
        <v>2576</v>
      </c>
      <c r="C2406">
        <v>1.92</v>
      </c>
      <c r="D2406">
        <v>5.3</v>
      </c>
      <c r="E2406">
        <v>0.1</v>
      </c>
      <c r="F2406">
        <v>5.29</v>
      </c>
      <c r="G2406">
        <v>5.3</v>
      </c>
      <c r="H2406">
        <v>104911</v>
      </c>
      <c r="I2406">
        <v>10</v>
      </c>
      <c r="J2406">
        <v>0.38</v>
      </c>
      <c r="K2406">
        <v>2.34</v>
      </c>
      <c r="L2406">
        <v>5.19</v>
      </c>
      <c r="M2406">
        <v>5.3</v>
      </c>
      <c r="N2406">
        <v>5.15</v>
      </c>
      <c r="O2406">
        <v>5.2</v>
      </c>
      <c r="P2406" t="s">
        <v>32</v>
      </c>
      <c r="Q2406">
        <v>55107036</v>
      </c>
      <c r="R2406">
        <v>1.26</v>
      </c>
      <c r="S2406" t="s">
        <v>404</v>
      </c>
      <c r="T2406" t="s">
        <v>266</v>
      </c>
      <c r="U2406">
        <v>2.88</v>
      </c>
      <c r="V2406">
        <v>5.25</v>
      </c>
      <c r="W2406">
        <v>50605</v>
      </c>
      <c r="X2406">
        <v>54305</v>
      </c>
      <c r="Y2406">
        <v>0.93</v>
      </c>
      <c r="Z2406">
        <v>210</v>
      </c>
      <c r="AA2406">
        <v>2416</v>
      </c>
      <c r="AB2406" t="s">
        <v>32</v>
      </c>
      <c r="AC2406">
        <v>4.48</v>
      </c>
    </row>
    <row r="2407" spans="1:29">
      <c r="A2407" t="str">
        <f>"600355"</f>
        <v>600355</v>
      </c>
      <c r="B2407" t="s">
        <v>2577</v>
      </c>
      <c r="C2407">
        <v>10.05</v>
      </c>
      <c r="D2407">
        <v>4.16</v>
      </c>
      <c r="E2407">
        <v>0.38</v>
      </c>
      <c r="F2407">
        <v>4.16</v>
      </c>
      <c r="G2407" t="s">
        <v>32</v>
      </c>
      <c r="H2407">
        <v>122289</v>
      </c>
      <c r="I2407">
        <v>6</v>
      </c>
      <c r="J2407">
        <v>0</v>
      </c>
      <c r="K2407">
        <v>2.49</v>
      </c>
      <c r="L2407">
        <v>3.76</v>
      </c>
      <c r="M2407">
        <v>4.16</v>
      </c>
      <c r="N2407">
        <v>3.75</v>
      </c>
      <c r="O2407">
        <v>3.78</v>
      </c>
      <c r="P2407" t="s">
        <v>32</v>
      </c>
      <c r="Q2407">
        <v>48599392</v>
      </c>
      <c r="R2407">
        <v>4.28</v>
      </c>
      <c r="S2407" t="s">
        <v>63</v>
      </c>
      <c r="T2407" t="s">
        <v>193</v>
      </c>
      <c r="U2407">
        <v>10.85</v>
      </c>
      <c r="V2407">
        <v>3.97</v>
      </c>
      <c r="W2407">
        <v>53315</v>
      </c>
      <c r="X2407">
        <v>68973</v>
      </c>
      <c r="Y2407">
        <v>0.77</v>
      </c>
      <c r="Z2407">
        <v>6633</v>
      </c>
      <c r="AA2407">
        <v>0</v>
      </c>
      <c r="AB2407" t="s">
        <v>32</v>
      </c>
      <c r="AC2407">
        <v>4.92</v>
      </c>
    </row>
    <row r="2408" spans="1:29">
      <c r="A2408" t="str">
        <f>"600356"</f>
        <v>600356</v>
      </c>
      <c r="B2408" t="s">
        <v>2578</v>
      </c>
      <c r="C2408">
        <v>1.98</v>
      </c>
      <c r="D2408">
        <v>6.18</v>
      </c>
      <c r="E2408">
        <v>0.12</v>
      </c>
      <c r="F2408">
        <v>6.17</v>
      </c>
      <c r="G2408">
        <v>6.18</v>
      </c>
      <c r="H2408">
        <v>24309</v>
      </c>
      <c r="I2408">
        <v>20</v>
      </c>
      <c r="J2408">
        <v>0</v>
      </c>
      <c r="K2408">
        <v>0.81</v>
      </c>
      <c r="L2408">
        <v>6.03</v>
      </c>
      <c r="M2408">
        <v>6.19</v>
      </c>
      <c r="N2408">
        <v>6.01</v>
      </c>
      <c r="O2408">
        <v>6.06</v>
      </c>
      <c r="P2408">
        <v>25.37</v>
      </c>
      <c r="Q2408">
        <v>14927922</v>
      </c>
      <c r="R2408">
        <v>1.99</v>
      </c>
      <c r="S2408" t="s">
        <v>204</v>
      </c>
      <c r="T2408" t="s">
        <v>297</v>
      </c>
      <c r="U2408">
        <v>2.97</v>
      </c>
      <c r="V2408">
        <v>6.14</v>
      </c>
      <c r="W2408">
        <v>9619</v>
      </c>
      <c r="X2408">
        <v>14690</v>
      </c>
      <c r="Y2408">
        <v>0.65</v>
      </c>
      <c r="Z2408">
        <v>259</v>
      </c>
      <c r="AA2408">
        <v>54</v>
      </c>
      <c r="AB2408" t="s">
        <v>32</v>
      </c>
      <c r="AC2408">
        <v>2.99</v>
      </c>
    </row>
    <row r="2409" spans="1:29">
      <c r="A2409" t="str">
        <f>"600358"</f>
        <v>600358</v>
      </c>
      <c r="B2409" t="s">
        <v>2579</v>
      </c>
      <c r="C2409">
        <v>2.12</v>
      </c>
      <c r="D2409">
        <v>4.81</v>
      </c>
      <c r="E2409">
        <v>0.1</v>
      </c>
      <c r="F2409">
        <v>4.81</v>
      </c>
      <c r="G2409">
        <v>4.82</v>
      </c>
      <c r="H2409">
        <v>61599</v>
      </c>
      <c r="I2409">
        <v>78</v>
      </c>
      <c r="J2409">
        <v>0</v>
      </c>
      <c r="K2409">
        <v>1.43</v>
      </c>
      <c r="L2409">
        <v>4.71</v>
      </c>
      <c r="M2409">
        <v>4.82</v>
      </c>
      <c r="N2409">
        <v>4.68</v>
      </c>
      <c r="O2409">
        <v>4.71</v>
      </c>
      <c r="P2409">
        <v>437.2</v>
      </c>
      <c r="Q2409">
        <v>29352580</v>
      </c>
      <c r="R2409">
        <v>0.94</v>
      </c>
      <c r="S2409" t="s">
        <v>321</v>
      </c>
      <c r="T2409" t="s">
        <v>87</v>
      </c>
      <c r="U2409">
        <v>2.97</v>
      </c>
      <c r="V2409">
        <v>4.77</v>
      </c>
      <c r="W2409">
        <v>26169</v>
      </c>
      <c r="X2409">
        <v>35429</v>
      </c>
      <c r="Y2409">
        <v>0.74</v>
      </c>
      <c r="Z2409">
        <v>43</v>
      </c>
      <c r="AA2409">
        <v>869</v>
      </c>
      <c r="AB2409" t="s">
        <v>32</v>
      </c>
      <c r="AC2409">
        <v>4.32</v>
      </c>
    </row>
    <row r="2410" spans="1:29">
      <c r="A2410" t="str">
        <f>"600359"</f>
        <v>600359</v>
      </c>
      <c r="B2410" t="s">
        <v>2580</v>
      </c>
      <c r="C2410">
        <v>1.77</v>
      </c>
      <c r="D2410">
        <v>4.61</v>
      </c>
      <c r="E2410">
        <v>0.08</v>
      </c>
      <c r="F2410">
        <v>4.59</v>
      </c>
      <c r="G2410">
        <v>4.6</v>
      </c>
      <c r="H2410">
        <v>29599</v>
      </c>
      <c r="I2410">
        <v>30</v>
      </c>
      <c r="J2410">
        <v>-0.21</v>
      </c>
      <c r="K2410">
        <v>0.78</v>
      </c>
      <c r="L2410">
        <v>4.52</v>
      </c>
      <c r="M2410">
        <v>4.64</v>
      </c>
      <c r="N2410">
        <v>4.5</v>
      </c>
      <c r="O2410">
        <v>4.53</v>
      </c>
      <c r="P2410" t="s">
        <v>32</v>
      </c>
      <c r="Q2410">
        <v>13576220</v>
      </c>
      <c r="R2410">
        <v>0.9</v>
      </c>
      <c r="S2410" t="s">
        <v>115</v>
      </c>
      <c r="T2410" t="s">
        <v>156</v>
      </c>
      <c r="U2410">
        <v>3.09</v>
      </c>
      <c r="V2410">
        <v>4.59</v>
      </c>
      <c r="W2410">
        <v>11043</v>
      </c>
      <c r="X2410">
        <v>18556</v>
      </c>
      <c r="Y2410">
        <v>0.6</v>
      </c>
      <c r="Z2410">
        <v>539</v>
      </c>
      <c r="AA2410">
        <v>49</v>
      </c>
      <c r="AB2410" t="s">
        <v>32</v>
      </c>
      <c r="AC2410">
        <v>3.82</v>
      </c>
    </row>
    <row r="2411" spans="1:29">
      <c r="A2411" t="str">
        <f>"600360"</f>
        <v>600360</v>
      </c>
      <c r="B2411" t="s">
        <v>2581</v>
      </c>
      <c r="C2411">
        <v>3.04</v>
      </c>
      <c r="D2411">
        <v>7.45</v>
      </c>
      <c r="E2411">
        <v>0.22</v>
      </c>
      <c r="F2411">
        <v>7.44</v>
      </c>
      <c r="G2411">
        <v>7.45</v>
      </c>
      <c r="H2411">
        <v>412473</v>
      </c>
      <c r="I2411">
        <v>89</v>
      </c>
      <c r="J2411">
        <v>0.13</v>
      </c>
      <c r="K2411">
        <v>5.59</v>
      </c>
      <c r="L2411">
        <v>7.19</v>
      </c>
      <c r="M2411">
        <v>7.78</v>
      </c>
      <c r="N2411">
        <v>7.16</v>
      </c>
      <c r="O2411">
        <v>7.23</v>
      </c>
      <c r="P2411">
        <v>64.5</v>
      </c>
      <c r="Q2411">
        <v>305846080</v>
      </c>
      <c r="R2411">
        <v>1.71</v>
      </c>
      <c r="S2411" t="s">
        <v>699</v>
      </c>
      <c r="T2411" t="s">
        <v>81</v>
      </c>
      <c r="U2411">
        <v>8.58</v>
      </c>
      <c r="V2411">
        <v>7.41</v>
      </c>
      <c r="W2411">
        <v>200269</v>
      </c>
      <c r="X2411">
        <v>212204</v>
      </c>
      <c r="Y2411">
        <v>0.94</v>
      </c>
      <c r="Z2411">
        <v>565</v>
      </c>
      <c r="AA2411">
        <v>2049</v>
      </c>
      <c r="AB2411" t="s">
        <v>32</v>
      </c>
      <c r="AC2411">
        <v>7.38</v>
      </c>
    </row>
    <row r="2412" spans="1:29">
      <c r="A2412" t="str">
        <f>"600361"</f>
        <v>600361</v>
      </c>
      <c r="B2412" t="s">
        <v>2582</v>
      </c>
      <c r="C2412">
        <v>2.16</v>
      </c>
      <c r="D2412">
        <v>4.26</v>
      </c>
      <c r="E2412">
        <v>0.09</v>
      </c>
      <c r="F2412">
        <v>4.25</v>
      </c>
      <c r="G2412">
        <v>4.26</v>
      </c>
      <c r="H2412">
        <v>49988</v>
      </c>
      <c r="I2412">
        <v>10</v>
      </c>
      <c r="J2412">
        <v>0</v>
      </c>
      <c r="K2412">
        <v>0.75</v>
      </c>
      <c r="L2412">
        <v>4.17</v>
      </c>
      <c r="M2412">
        <v>4.27</v>
      </c>
      <c r="N2412">
        <v>4.17</v>
      </c>
      <c r="O2412">
        <v>4.17</v>
      </c>
      <c r="P2412">
        <v>23.05</v>
      </c>
      <c r="Q2412">
        <v>21132628</v>
      </c>
      <c r="R2412">
        <v>1.69</v>
      </c>
      <c r="S2412" t="s">
        <v>439</v>
      </c>
      <c r="T2412" t="s">
        <v>45</v>
      </c>
      <c r="U2412">
        <v>2.4</v>
      </c>
      <c r="V2412">
        <v>4.23</v>
      </c>
      <c r="W2412">
        <v>24340</v>
      </c>
      <c r="X2412">
        <v>25648</v>
      </c>
      <c r="Y2412">
        <v>0.95</v>
      </c>
      <c r="Z2412">
        <v>1179</v>
      </c>
      <c r="AA2412">
        <v>300</v>
      </c>
      <c r="AB2412" t="s">
        <v>32</v>
      </c>
      <c r="AC2412">
        <v>6.66</v>
      </c>
    </row>
    <row r="2413" spans="1:29">
      <c r="A2413" t="str">
        <f>"600362"</f>
        <v>600362</v>
      </c>
      <c r="B2413" t="s">
        <v>2583</v>
      </c>
      <c r="C2413">
        <v>2.34</v>
      </c>
      <c r="D2413">
        <v>15.73</v>
      </c>
      <c r="E2413">
        <v>0.36</v>
      </c>
      <c r="F2413">
        <v>15.73</v>
      </c>
      <c r="G2413">
        <v>15.74</v>
      </c>
      <c r="H2413">
        <v>272995</v>
      </c>
      <c r="I2413">
        <v>213</v>
      </c>
      <c r="J2413">
        <v>0.13</v>
      </c>
      <c r="K2413">
        <v>1.32</v>
      </c>
      <c r="L2413">
        <v>15.3</v>
      </c>
      <c r="M2413">
        <v>15.95</v>
      </c>
      <c r="N2413">
        <v>15.25</v>
      </c>
      <c r="O2413">
        <v>15.37</v>
      </c>
      <c r="P2413">
        <v>17.78</v>
      </c>
      <c r="Q2413">
        <v>427677888</v>
      </c>
      <c r="R2413">
        <v>2.6</v>
      </c>
      <c r="S2413" t="s">
        <v>340</v>
      </c>
      <c r="T2413" t="s">
        <v>172</v>
      </c>
      <c r="U2413">
        <v>4.55</v>
      </c>
      <c r="V2413">
        <v>15.67</v>
      </c>
      <c r="W2413">
        <v>140011</v>
      </c>
      <c r="X2413">
        <v>132983</v>
      </c>
      <c r="Y2413">
        <v>1.05</v>
      </c>
      <c r="Z2413">
        <v>3</v>
      </c>
      <c r="AA2413">
        <v>324</v>
      </c>
      <c r="AB2413" t="s">
        <v>32</v>
      </c>
      <c r="AC2413">
        <v>20.75</v>
      </c>
    </row>
    <row r="2414" spans="1:29">
      <c r="A2414" t="str">
        <f>"600363"</f>
        <v>600363</v>
      </c>
      <c r="B2414" t="s">
        <v>2584</v>
      </c>
      <c r="C2414">
        <v>-0.31</v>
      </c>
      <c r="D2414">
        <v>9.55</v>
      </c>
      <c r="E2414">
        <v>-0.03</v>
      </c>
      <c r="F2414">
        <v>9.55</v>
      </c>
      <c r="G2414">
        <v>9.56</v>
      </c>
      <c r="H2414">
        <v>94710</v>
      </c>
      <c r="I2414">
        <v>12</v>
      </c>
      <c r="J2414">
        <v>0.32</v>
      </c>
      <c r="K2414">
        <v>2.14</v>
      </c>
      <c r="L2414">
        <v>9.57</v>
      </c>
      <c r="M2414">
        <v>9.68</v>
      </c>
      <c r="N2414">
        <v>9.5</v>
      </c>
      <c r="O2414">
        <v>9.58</v>
      </c>
      <c r="P2414">
        <v>26.79</v>
      </c>
      <c r="Q2414">
        <v>90669544</v>
      </c>
      <c r="R2414">
        <v>1.47</v>
      </c>
      <c r="S2414" t="s">
        <v>63</v>
      </c>
      <c r="T2414" t="s">
        <v>172</v>
      </c>
      <c r="U2414">
        <v>1.88</v>
      </c>
      <c r="V2414">
        <v>9.57</v>
      </c>
      <c r="W2414">
        <v>53038</v>
      </c>
      <c r="X2414">
        <v>41672</v>
      </c>
      <c r="Y2414">
        <v>1.27</v>
      </c>
      <c r="Z2414">
        <v>119</v>
      </c>
      <c r="AA2414">
        <v>260</v>
      </c>
      <c r="AB2414" t="s">
        <v>32</v>
      </c>
      <c r="AC2414">
        <v>4.43</v>
      </c>
    </row>
    <row r="2415" spans="1:29">
      <c r="A2415" t="str">
        <f>"600365"</f>
        <v>600365</v>
      </c>
      <c r="B2415" t="s">
        <v>2585</v>
      </c>
      <c r="C2415">
        <v>2.05</v>
      </c>
      <c r="D2415">
        <v>4.47</v>
      </c>
      <c r="E2415">
        <v>0.09</v>
      </c>
      <c r="F2415">
        <v>4.46</v>
      </c>
      <c r="G2415">
        <v>4.47</v>
      </c>
      <c r="H2415">
        <v>95223</v>
      </c>
      <c r="I2415">
        <v>10</v>
      </c>
      <c r="J2415">
        <v>0.45</v>
      </c>
      <c r="K2415">
        <v>2.38</v>
      </c>
      <c r="L2415">
        <v>4.35</v>
      </c>
      <c r="M2415">
        <v>4.48</v>
      </c>
      <c r="N2415">
        <v>4.33</v>
      </c>
      <c r="O2415">
        <v>4.38</v>
      </c>
      <c r="P2415">
        <v>165.04</v>
      </c>
      <c r="Q2415">
        <v>42052320</v>
      </c>
      <c r="R2415">
        <v>1.09</v>
      </c>
      <c r="S2415" t="s">
        <v>272</v>
      </c>
      <c r="T2415" t="s">
        <v>81</v>
      </c>
      <c r="U2415">
        <v>3.42</v>
      </c>
      <c r="V2415">
        <v>4.42</v>
      </c>
      <c r="W2415">
        <v>45183</v>
      </c>
      <c r="X2415">
        <v>50040</v>
      </c>
      <c r="Y2415">
        <v>0.9</v>
      </c>
      <c r="Z2415">
        <v>2638</v>
      </c>
      <c r="AA2415">
        <v>60</v>
      </c>
      <c r="AB2415" t="s">
        <v>32</v>
      </c>
      <c r="AC2415">
        <v>4</v>
      </c>
    </row>
    <row r="2416" spans="1:29">
      <c r="A2416" t="str">
        <f>"600366"</f>
        <v>600366</v>
      </c>
      <c r="B2416" t="s">
        <v>2586</v>
      </c>
      <c r="C2416">
        <v>2.82</v>
      </c>
      <c r="D2416">
        <v>6.2</v>
      </c>
      <c r="E2416">
        <v>0.17</v>
      </c>
      <c r="F2416">
        <v>6.19</v>
      </c>
      <c r="G2416">
        <v>6.2</v>
      </c>
      <c r="H2416">
        <v>138340</v>
      </c>
      <c r="I2416">
        <v>10</v>
      </c>
      <c r="J2416">
        <v>0.16</v>
      </c>
      <c r="K2416">
        <v>1.4</v>
      </c>
      <c r="L2416">
        <v>6.03</v>
      </c>
      <c r="M2416">
        <v>6.28</v>
      </c>
      <c r="N2416">
        <v>6</v>
      </c>
      <c r="O2416">
        <v>6.03</v>
      </c>
      <c r="P2416">
        <v>77.81</v>
      </c>
      <c r="Q2416">
        <v>85178736</v>
      </c>
      <c r="R2416">
        <v>2</v>
      </c>
      <c r="S2416" t="s">
        <v>606</v>
      </c>
      <c r="T2416" t="s">
        <v>149</v>
      </c>
      <c r="U2416">
        <v>4.64</v>
      </c>
      <c r="V2416">
        <v>6.16</v>
      </c>
      <c r="W2416">
        <v>57782</v>
      </c>
      <c r="X2416">
        <v>80557</v>
      </c>
      <c r="Y2416">
        <v>0.72</v>
      </c>
      <c r="Z2416">
        <v>549</v>
      </c>
      <c r="AA2416">
        <v>101</v>
      </c>
      <c r="AB2416" t="s">
        <v>32</v>
      </c>
      <c r="AC2416">
        <v>9.88</v>
      </c>
    </row>
    <row r="2417" spans="1:29">
      <c r="A2417" t="str">
        <f>"600367"</f>
        <v>600367</v>
      </c>
      <c r="B2417" t="s">
        <v>2587</v>
      </c>
      <c r="C2417">
        <v>-1.05</v>
      </c>
      <c r="D2417">
        <v>9.41</v>
      </c>
      <c r="E2417">
        <v>-0.1</v>
      </c>
      <c r="F2417">
        <v>9.4</v>
      </c>
      <c r="G2417">
        <v>9.41</v>
      </c>
      <c r="H2417">
        <v>108278</v>
      </c>
      <c r="I2417">
        <v>3</v>
      </c>
      <c r="J2417">
        <v>-0.2</v>
      </c>
      <c r="K2417">
        <v>3.72</v>
      </c>
      <c r="L2417">
        <v>9.37</v>
      </c>
      <c r="M2417">
        <v>9.54</v>
      </c>
      <c r="N2417">
        <v>9.22</v>
      </c>
      <c r="O2417">
        <v>9.51</v>
      </c>
      <c r="P2417">
        <v>32.27</v>
      </c>
      <c r="Q2417">
        <v>101649168</v>
      </c>
      <c r="R2417">
        <v>1.08</v>
      </c>
      <c r="S2417" t="s">
        <v>218</v>
      </c>
      <c r="T2417" t="s">
        <v>253</v>
      </c>
      <c r="U2417">
        <v>3.36</v>
      </c>
      <c r="V2417">
        <v>9.39</v>
      </c>
      <c r="W2417">
        <v>62440</v>
      </c>
      <c r="X2417">
        <v>45838</v>
      </c>
      <c r="Y2417">
        <v>1.36</v>
      </c>
      <c r="Z2417">
        <v>509</v>
      </c>
      <c r="AA2417">
        <v>231</v>
      </c>
      <c r="AB2417" t="s">
        <v>32</v>
      </c>
      <c r="AC2417">
        <v>2.91</v>
      </c>
    </row>
    <row r="2418" spans="1:29">
      <c r="A2418" t="str">
        <f>"600368"</f>
        <v>600368</v>
      </c>
      <c r="B2418" t="s">
        <v>2588</v>
      </c>
      <c r="C2418">
        <v>2.74</v>
      </c>
      <c r="D2418">
        <v>3.38</v>
      </c>
      <c r="E2418">
        <v>0.09</v>
      </c>
      <c r="F2418">
        <v>3.38</v>
      </c>
      <c r="G2418">
        <v>3.39</v>
      </c>
      <c r="H2418">
        <v>129316</v>
      </c>
      <c r="I2418">
        <v>191</v>
      </c>
      <c r="J2418">
        <v>0</v>
      </c>
      <c r="K2418">
        <v>1.15</v>
      </c>
      <c r="L2418">
        <v>3.28</v>
      </c>
      <c r="M2418">
        <v>3.42</v>
      </c>
      <c r="N2418">
        <v>3.24</v>
      </c>
      <c r="O2418">
        <v>3.29</v>
      </c>
      <c r="P2418">
        <v>6.08</v>
      </c>
      <c r="Q2418">
        <v>43198812</v>
      </c>
      <c r="R2418">
        <v>2.09</v>
      </c>
      <c r="S2418" t="s">
        <v>201</v>
      </c>
      <c r="T2418" t="s">
        <v>238</v>
      </c>
      <c r="U2418">
        <v>5.47</v>
      </c>
      <c r="V2418">
        <v>3.34</v>
      </c>
      <c r="W2418">
        <v>57826</v>
      </c>
      <c r="X2418">
        <v>71490</v>
      </c>
      <c r="Y2418">
        <v>0.81</v>
      </c>
      <c r="Z2418">
        <v>325</v>
      </c>
      <c r="AA2418">
        <v>2377</v>
      </c>
      <c r="AB2418" t="s">
        <v>32</v>
      </c>
      <c r="AC2418">
        <v>11.26</v>
      </c>
    </row>
    <row r="2419" spans="1:29">
      <c r="A2419" t="str">
        <f>"600369"</f>
        <v>600369</v>
      </c>
      <c r="B2419" t="s">
        <v>2589</v>
      </c>
      <c r="C2419">
        <v>3.17</v>
      </c>
      <c r="D2419">
        <v>3.91</v>
      </c>
      <c r="E2419">
        <v>0.12</v>
      </c>
      <c r="F2419">
        <v>3.91</v>
      </c>
      <c r="G2419">
        <v>3.92</v>
      </c>
      <c r="H2419">
        <v>324267</v>
      </c>
      <c r="I2419">
        <v>125</v>
      </c>
      <c r="J2419">
        <v>0</v>
      </c>
      <c r="K2419">
        <v>0.57</v>
      </c>
      <c r="L2419">
        <v>3.77</v>
      </c>
      <c r="M2419">
        <v>3.95</v>
      </c>
      <c r="N2419">
        <v>3.77</v>
      </c>
      <c r="O2419">
        <v>3.79</v>
      </c>
      <c r="P2419">
        <v>21.07</v>
      </c>
      <c r="Q2419">
        <v>126250952</v>
      </c>
      <c r="R2419">
        <v>2.83</v>
      </c>
      <c r="S2419" t="s">
        <v>158</v>
      </c>
      <c r="T2419" t="s">
        <v>221</v>
      </c>
      <c r="U2419">
        <v>4.75</v>
      </c>
      <c r="V2419">
        <v>3.89</v>
      </c>
      <c r="W2419">
        <v>131740</v>
      </c>
      <c r="X2419">
        <v>192527</v>
      </c>
      <c r="Y2419">
        <v>0.68</v>
      </c>
      <c r="Z2419">
        <v>813</v>
      </c>
      <c r="AA2419">
        <v>1879</v>
      </c>
      <c r="AB2419" t="s">
        <v>32</v>
      </c>
      <c r="AC2419">
        <v>56.45</v>
      </c>
    </row>
    <row r="2420" spans="1:29">
      <c r="A2420" t="str">
        <f>"600370"</f>
        <v>600370</v>
      </c>
      <c r="B2420" t="s">
        <v>2590</v>
      </c>
      <c r="C2420">
        <v>0.71</v>
      </c>
      <c r="D2420">
        <v>2.82</v>
      </c>
      <c r="E2420">
        <v>0.02</v>
      </c>
      <c r="F2420">
        <v>2.82</v>
      </c>
      <c r="G2420">
        <v>2.83</v>
      </c>
      <c r="H2420">
        <v>37338</v>
      </c>
      <c r="I2420">
        <v>50</v>
      </c>
      <c r="J2420">
        <v>-0.34</v>
      </c>
      <c r="K2420">
        <v>0.47</v>
      </c>
      <c r="L2420">
        <v>2.79</v>
      </c>
      <c r="M2420">
        <v>2.84</v>
      </c>
      <c r="N2420">
        <v>2.77</v>
      </c>
      <c r="O2420">
        <v>2.8</v>
      </c>
      <c r="P2420">
        <v>63.69</v>
      </c>
      <c r="Q2420">
        <v>10521044</v>
      </c>
      <c r="R2420">
        <v>1.69</v>
      </c>
      <c r="S2420" t="s">
        <v>99</v>
      </c>
      <c r="T2420" t="s">
        <v>87</v>
      </c>
      <c r="U2420">
        <v>2.5</v>
      </c>
      <c r="V2420">
        <v>2.82</v>
      </c>
      <c r="W2420">
        <v>15612</v>
      </c>
      <c r="X2420">
        <v>21726</v>
      </c>
      <c r="Y2420">
        <v>0.72</v>
      </c>
      <c r="Z2420">
        <v>2322</v>
      </c>
      <c r="AA2420">
        <v>1696</v>
      </c>
      <c r="AB2420" t="s">
        <v>32</v>
      </c>
      <c r="AC2420">
        <v>7.97</v>
      </c>
    </row>
    <row r="2421" spans="1:29">
      <c r="A2421" t="str">
        <f>"600371"</f>
        <v>600371</v>
      </c>
      <c r="B2421" t="s">
        <v>2591</v>
      </c>
      <c r="C2421">
        <v>1.01</v>
      </c>
      <c r="D2421">
        <v>9.02</v>
      </c>
      <c r="E2421">
        <v>0.09</v>
      </c>
      <c r="F2421">
        <v>9.01</v>
      </c>
      <c r="G2421">
        <v>9.02</v>
      </c>
      <c r="H2421">
        <v>31547</v>
      </c>
      <c r="I2421">
        <v>148</v>
      </c>
      <c r="J2421">
        <v>0</v>
      </c>
      <c r="K2421">
        <v>1.4</v>
      </c>
      <c r="L2421">
        <v>8.9</v>
      </c>
      <c r="M2421">
        <v>9.07</v>
      </c>
      <c r="N2421">
        <v>8.84</v>
      </c>
      <c r="O2421">
        <v>8.93</v>
      </c>
      <c r="P2421">
        <v>40.49</v>
      </c>
      <c r="Q2421">
        <v>28313474</v>
      </c>
      <c r="R2421">
        <v>1.22</v>
      </c>
      <c r="S2421" t="s">
        <v>404</v>
      </c>
      <c r="T2421" t="s">
        <v>297</v>
      </c>
      <c r="U2421">
        <v>2.58</v>
      </c>
      <c r="V2421">
        <v>8.97</v>
      </c>
      <c r="W2421">
        <v>15052</v>
      </c>
      <c r="X2421">
        <v>16495</v>
      </c>
      <c r="Y2421">
        <v>0.91</v>
      </c>
      <c r="Z2421">
        <v>61</v>
      </c>
      <c r="AA2421">
        <v>313</v>
      </c>
      <c r="AB2421" t="s">
        <v>32</v>
      </c>
      <c r="AC2421">
        <v>2.25</v>
      </c>
    </row>
    <row r="2422" spans="1:29">
      <c r="A2422" t="str">
        <f>"600372"</f>
        <v>600372</v>
      </c>
      <c r="B2422" t="s">
        <v>2592</v>
      </c>
      <c r="C2422">
        <v>2.01</v>
      </c>
      <c r="D2422">
        <v>14.21</v>
      </c>
      <c r="E2422">
        <v>0.28</v>
      </c>
      <c r="F2422">
        <v>14.21</v>
      </c>
      <c r="G2422">
        <v>14.22</v>
      </c>
      <c r="H2422">
        <v>128279</v>
      </c>
      <c r="I2422">
        <v>10</v>
      </c>
      <c r="J2422">
        <v>0.07</v>
      </c>
      <c r="K2422">
        <v>0.73</v>
      </c>
      <c r="L2422">
        <v>13.93</v>
      </c>
      <c r="M2422">
        <v>14.36</v>
      </c>
      <c r="N2422">
        <v>13.78</v>
      </c>
      <c r="O2422">
        <v>13.93</v>
      </c>
      <c r="P2422" t="s">
        <v>32</v>
      </c>
      <c r="Q2422">
        <v>181209168</v>
      </c>
      <c r="R2422">
        <v>2.04</v>
      </c>
      <c r="S2422" t="s">
        <v>389</v>
      </c>
      <c r="T2422" t="s">
        <v>45</v>
      </c>
      <c r="U2422">
        <v>4.16</v>
      </c>
      <c r="V2422">
        <v>14.13</v>
      </c>
      <c r="W2422">
        <v>61548</v>
      </c>
      <c r="X2422">
        <v>66731</v>
      </c>
      <c r="Y2422">
        <v>0.92</v>
      </c>
      <c r="Z2422">
        <v>57</v>
      </c>
      <c r="AA2422">
        <v>3</v>
      </c>
      <c r="AB2422" t="s">
        <v>32</v>
      </c>
      <c r="AC2422">
        <v>17.59</v>
      </c>
    </row>
    <row r="2423" spans="1:29">
      <c r="A2423" t="str">
        <f>"600373"</f>
        <v>600373</v>
      </c>
      <c r="B2423" t="s">
        <v>2593</v>
      </c>
      <c r="C2423">
        <v>3.57</v>
      </c>
      <c r="D2423">
        <v>12.49</v>
      </c>
      <c r="E2423">
        <v>0.43</v>
      </c>
      <c r="F2423">
        <v>12.47</v>
      </c>
      <c r="G2423">
        <v>12.49</v>
      </c>
      <c r="H2423">
        <v>66895</v>
      </c>
      <c r="I2423">
        <v>300</v>
      </c>
      <c r="J2423">
        <v>0</v>
      </c>
      <c r="K2423">
        <v>0.49</v>
      </c>
      <c r="L2423">
        <v>12.11</v>
      </c>
      <c r="M2423">
        <v>12.59</v>
      </c>
      <c r="N2423">
        <v>12.07</v>
      </c>
      <c r="O2423">
        <v>12.06</v>
      </c>
      <c r="P2423">
        <v>9.55</v>
      </c>
      <c r="Q2423">
        <v>82600112</v>
      </c>
      <c r="R2423">
        <v>2.19</v>
      </c>
      <c r="S2423" t="s">
        <v>211</v>
      </c>
      <c r="T2423" t="s">
        <v>172</v>
      </c>
      <c r="U2423">
        <v>4.31</v>
      </c>
      <c r="V2423">
        <v>12.35</v>
      </c>
      <c r="W2423">
        <v>24871</v>
      </c>
      <c r="X2423">
        <v>42024</v>
      </c>
      <c r="Y2423">
        <v>0.59</v>
      </c>
      <c r="Z2423">
        <v>47</v>
      </c>
      <c r="AA2423">
        <v>100</v>
      </c>
      <c r="AB2423" t="s">
        <v>32</v>
      </c>
      <c r="AC2423">
        <v>13.78</v>
      </c>
    </row>
    <row r="2424" spans="1:29">
      <c r="A2424" t="str">
        <f>"600375"</f>
        <v>600375</v>
      </c>
      <c r="B2424" t="s">
        <v>2594</v>
      </c>
      <c r="C2424">
        <v>1.04</v>
      </c>
      <c r="D2424">
        <v>4.87</v>
      </c>
      <c r="E2424">
        <v>0.05</v>
      </c>
      <c r="F2424">
        <v>4.85</v>
      </c>
      <c r="G2424">
        <v>4.86</v>
      </c>
      <c r="H2424">
        <v>41573</v>
      </c>
      <c r="I2424">
        <v>9</v>
      </c>
      <c r="J2424">
        <v>-0.19</v>
      </c>
      <c r="K2424">
        <v>0.75</v>
      </c>
      <c r="L2424">
        <v>4.82</v>
      </c>
      <c r="M2424">
        <v>4.9</v>
      </c>
      <c r="N2424">
        <v>4.8</v>
      </c>
      <c r="O2424">
        <v>4.82</v>
      </c>
      <c r="P2424">
        <v>69.53</v>
      </c>
      <c r="Q2424">
        <v>20208724</v>
      </c>
      <c r="R2424">
        <v>1.39</v>
      </c>
      <c r="S2424" t="s">
        <v>262</v>
      </c>
      <c r="T2424" t="s">
        <v>143</v>
      </c>
      <c r="U2424">
        <v>2.07</v>
      </c>
      <c r="V2424">
        <v>4.86</v>
      </c>
      <c r="W2424">
        <v>20876</v>
      </c>
      <c r="X2424">
        <v>20697</v>
      </c>
      <c r="Y2424">
        <v>1.01</v>
      </c>
      <c r="Z2424">
        <v>234</v>
      </c>
      <c r="AA2424">
        <v>12</v>
      </c>
      <c r="AB2424" t="s">
        <v>32</v>
      </c>
      <c r="AC2424">
        <v>5.56</v>
      </c>
    </row>
    <row r="2425" spans="1:29">
      <c r="A2425" t="str">
        <f>"600376"</f>
        <v>600376</v>
      </c>
      <c r="B2425" t="s">
        <v>2595</v>
      </c>
      <c r="C2425">
        <v>3.13</v>
      </c>
      <c r="D2425">
        <v>6.93</v>
      </c>
      <c r="E2425">
        <v>0.21</v>
      </c>
      <c r="F2425">
        <v>6.92</v>
      </c>
      <c r="G2425">
        <v>6.93</v>
      </c>
      <c r="H2425">
        <v>77385</v>
      </c>
      <c r="I2425">
        <v>5</v>
      </c>
      <c r="J2425">
        <v>0</v>
      </c>
      <c r="K2425">
        <v>0.3</v>
      </c>
      <c r="L2425">
        <v>6.74</v>
      </c>
      <c r="M2425">
        <v>6.95</v>
      </c>
      <c r="N2425">
        <v>6.69</v>
      </c>
      <c r="O2425">
        <v>6.72</v>
      </c>
      <c r="P2425">
        <v>13.58</v>
      </c>
      <c r="Q2425">
        <v>53202512</v>
      </c>
      <c r="R2425">
        <v>1.99</v>
      </c>
      <c r="S2425" t="s">
        <v>40</v>
      </c>
      <c r="T2425" t="s">
        <v>45</v>
      </c>
      <c r="U2425">
        <v>3.87</v>
      </c>
      <c r="V2425">
        <v>6.88</v>
      </c>
      <c r="W2425">
        <v>37356</v>
      </c>
      <c r="X2425">
        <v>40028</v>
      </c>
      <c r="Y2425">
        <v>0.93</v>
      </c>
      <c r="Z2425">
        <v>6</v>
      </c>
      <c r="AA2425">
        <v>226</v>
      </c>
      <c r="AB2425" t="s">
        <v>32</v>
      </c>
      <c r="AC2425">
        <v>25.46</v>
      </c>
    </row>
    <row r="2426" spans="1:29">
      <c r="A2426" t="str">
        <f>"600377"</f>
        <v>600377</v>
      </c>
      <c r="B2426" t="s">
        <v>2596</v>
      </c>
      <c r="C2426">
        <v>0.33</v>
      </c>
      <c r="D2426">
        <v>9.02</v>
      </c>
      <c r="E2426">
        <v>0.03</v>
      </c>
      <c r="F2426">
        <v>9.01</v>
      </c>
      <c r="G2426">
        <v>9.02</v>
      </c>
      <c r="H2426">
        <v>20279</v>
      </c>
      <c r="I2426">
        <v>371</v>
      </c>
      <c r="J2426">
        <v>0.22</v>
      </c>
      <c r="K2426">
        <v>0.05</v>
      </c>
      <c r="L2426">
        <v>8.99</v>
      </c>
      <c r="M2426">
        <v>9.06</v>
      </c>
      <c r="N2426">
        <v>8.98</v>
      </c>
      <c r="O2426">
        <v>8.99</v>
      </c>
      <c r="P2426">
        <v>11.17</v>
      </c>
      <c r="Q2426">
        <v>18295002</v>
      </c>
      <c r="R2426">
        <v>1.04</v>
      </c>
      <c r="S2426" t="s">
        <v>201</v>
      </c>
      <c r="T2426" t="s">
        <v>87</v>
      </c>
      <c r="U2426">
        <v>0.89</v>
      </c>
      <c r="V2426">
        <v>9.02</v>
      </c>
      <c r="W2426">
        <v>10022</v>
      </c>
      <c r="X2426">
        <v>10257</v>
      </c>
      <c r="Y2426">
        <v>0.98</v>
      </c>
      <c r="Z2426">
        <v>41</v>
      </c>
      <c r="AA2426">
        <v>658</v>
      </c>
      <c r="AB2426" t="s">
        <v>32</v>
      </c>
      <c r="AC2426">
        <v>37.98</v>
      </c>
    </row>
    <row r="2427" spans="1:29">
      <c r="A2427" t="str">
        <f>"600378"</f>
        <v>600378</v>
      </c>
      <c r="B2427" t="s">
        <v>2597</v>
      </c>
      <c r="C2427">
        <v>0.96</v>
      </c>
      <c r="D2427">
        <v>9.47</v>
      </c>
      <c r="E2427">
        <v>0.09</v>
      </c>
      <c r="F2427">
        <v>9.46</v>
      </c>
      <c r="G2427">
        <v>9.47</v>
      </c>
      <c r="H2427">
        <v>14181</v>
      </c>
      <c r="I2427">
        <v>148</v>
      </c>
      <c r="J2427">
        <v>0.11</v>
      </c>
      <c r="K2427">
        <v>0.48</v>
      </c>
      <c r="L2427">
        <v>9.36</v>
      </c>
      <c r="M2427">
        <v>9.48</v>
      </c>
      <c r="N2427">
        <v>9.3</v>
      </c>
      <c r="O2427">
        <v>9.38</v>
      </c>
      <c r="P2427">
        <v>137.22</v>
      </c>
      <c r="Q2427">
        <v>13359828</v>
      </c>
      <c r="R2427">
        <v>1.69</v>
      </c>
      <c r="S2427" t="s">
        <v>218</v>
      </c>
      <c r="T2427" t="s">
        <v>146</v>
      </c>
      <c r="U2427">
        <v>1.92</v>
      </c>
      <c r="V2427">
        <v>9.42</v>
      </c>
      <c r="W2427">
        <v>7451</v>
      </c>
      <c r="X2427">
        <v>6730</v>
      </c>
      <c r="Y2427">
        <v>1.11</v>
      </c>
      <c r="Z2427">
        <v>235</v>
      </c>
      <c r="AA2427">
        <v>177</v>
      </c>
      <c r="AB2427" t="s">
        <v>32</v>
      </c>
      <c r="AC2427">
        <v>2.97</v>
      </c>
    </row>
    <row r="2428" spans="1:29">
      <c r="A2428" t="str">
        <f>"600379"</f>
        <v>600379</v>
      </c>
      <c r="B2428" t="s">
        <v>2598</v>
      </c>
      <c r="C2428">
        <v>2.67</v>
      </c>
      <c r="D2428">
        <v>7.31</v>
      </c>
      <c r="E2428">
        <v>0.19</v>
      </c>
      <c r="F2428">
        <v>7.28</v>
      </c>
      <c r="G2428">
        <v>7.31</v>
      </c>
      <c r="H2428">
        <v>10475</v>
      </c>
      <c r="I2428">
        <v>27</v>
      </c>
      <c r="J2428">
        <v>0.14</v>
      </c>
      <c r="K2428">
        <v>0.44</v>
      </c>
      <c r="L2428">
        <v>7.16</v>
      </c>
      <c r="M2428">
        <v>7.33</v>
      </c>
      <c r="N2428">
        <v>7.11</v>
      </c>
      <c r="O2428">
        <v>7.12</v>
      </c>
      <c r="P2428">
        <v>89.85</v>
      </c>
      <c r="Q2428">
        <v>7577270</v>
      </c>
      <c r="R2428">
        <v>2.42</v>
      </c>
      <c r="S2428" t="s">
        <v>104</v>
      </c>
      <c r="T2428" t="s">
        <v>223</v>
      </c>
      <c r="U2428">
        <v>3.09</v>
      </c>
      <c r="V2428">
        <v>7.23</v>
      </c>
      <c r="W2428">
        <v>3880</v>
      </c>
      <c r="X2428">
        <v>6595</v>
      </c>
      <c r="Y2428">
        <v>0.59</v>
      </c>
      <c r="Z2428">
        <v>63</v>
      </c>
      <c r="AA2428">
        <v>53</v>
      </c>
      <c r="AB2428" t="s">
        <v>32</v>
      </c>
      <c r="AC2428">
        <v>2.36</v>
      </c>
    </row>
    <row r="2429" spans="1:29">
      <c r="A2429" t="str">
        <f>"600380"</f>
        <v>600380</v>
      </c>
      <c r="B2429" t="s">
        <v>2599</v>
      </c>
      <c r="C2429">
        <v>-0.08</v>
      </c>
      <c r="D2429">
        <v>11.97</v>
      </c>
      <c r="E2429">
        <v>-0.01</v>
      </c>
      <c r="F2429">
        <v>11.97</v>
      </c>
      <c r="G2429">
        <v>11.98</v>
      </c>
      <c r="H2429">
        <v>345587</v>
      </c>
      <c r="I2429">
        <v>30</v>
      </c>
      <c r="J2429">
        <v>-0.07</v>
      </c>
      <c r="K2429">
        <v>2.2</v>
      </c>
      <c r="L2429">
        <v>11.77</v>
      </c>
      <c r="M2429">
        <v>12.13</v>
      </c>
      <c r="N2429">
        <v>11.63</v>
      </c>
      <c r="O2429">
        <v>11.98</v>
      </c>
      <c r="P2429">
        <v>20.85</v>
      </c>
      <c r="Q2429">
        <v>412209664</v>
      </c>
      <c r="R2429">
        <v>1.03</v>
      </c>
      <c r="S2429" t="s">
        <v>142</v>
      </c>
      <c r="T2429" t="s">
        <v>31</v>
      </c>
      <c r="U2429">
        <v>4.17</v>
      </c>
      <c r="V2429">
        <v>11.93</v>
      </c>
      <c r="W2429">
        <v>179868</v>
      </c>
      <c r="X2429">
        <v>165719</v>
      </c>
      <c r="Y2429">
        <v>1.09</v>
      </c>
      <c r="Z2429">
        <v>288</v>
      </c>
      <c r="AA2429">
        <v>846</v>
      </c>
      <c r="AB2429" t="s">
        <v>32</v>
      </c>
      <c r="AC2429">
        <v>15.72</v>
      </c>
    </row>
    <row r="2430" spans="1:29">
      <c r="A2430" t="str">
        <f>"600381"</f>
        <v>600381</v>
      </c>
      <c r="B2430" t="s">
        <v>2600</v>
      </c>
      <c r="C2430">
        <v>1.87</v>
      </c>
      <c r="D2430">
        <v>8.17</v>
      </c>
      <c r="E2430">
        <v>0.15</v>
      </c>
      <c r="F2430">
        <v>8.17</v>
      </c>
      <c r="G2430">
        <v>8.18</v>
      </c>
      <c r="H2430">
        <v>37166</v>
      </c>
      <c r="I2430">
        <v>35</v>
      </c>
      <c r="J2430">
        <v>0</v>
      </c>
      <c r="K2430">
        <v>1.75</v>
      </c>
      <c r="L2430">
        <v>8</v>
      </c>
      <c r="M2430">
        <v>8.19</v>
      </c>
      <c r="N2430">
        <v>7.99</v>
      </c>
      <c r="O2430">
        <v>8.02</v>
      </c>
      <c r="P2430">
        <v>29.7</v>
      </c>
      <c r="Q2430">
        <v>30164988</v>
      </c>
      <c r="R2430">
        <v>1.61</v>
      </c>
      <c r="S2430" t="s">
        <v>138</v>
      </c>
      <c r="T2430" t="s">
        <v>176</v>
      </c>
      <c r="U2430">
        <v>2.49</v>
      </c>
      <c r="V2430">
        <v>8.12</v>
      </c>
      <c r="W2430">
        <v>17242</v>
      </c>
      <c r="X2430">
        <v>19923</v>
      </c>
      <c r="Y2430">
        <v>0.87</v>
      </c>
      <c r="Z2430">
        <v>61</v>
      </c>
      <c r="AA2430">
        <v>275</v>
      </c>
      <c r="AB2430" t="s">
        <v>32</v>
      </c>
      <c r="AC2430">
        <v>2.12</v>
      </c>
    </row>
    <row r="2431" spans="1:29">
      <c r="A2431" t="str">
        <f>"600382"</f>
        <v>600382</v>
      </c>
      <c r="B2431" t="s">
        <v>2601</v>
      </c>
      <c r="C2431">
        <v>1.35</v>
      </c>
      <c r="D2431">
        <v>10.53</v>
      </c>
      <c r="E2431">
        <v>0.14</v>
      </c>
      <c r="F2431">
        <v>10.51</v>
      </c>
      <c r="G2431">
        <v>10.53</v>
      </c>
      <c r="H2431">
        <v>21438</v>
      </c>
      <c r="I2431">
        <v>10</v>
      </c>
      <c r="J2431">
        <v>0.1</v>
      </c>
      <c r="K2431">
        <v>0.63</v>
      </c>
      <c r="L2431">
        <v>10.39</v>
      </c>
      <c r="M2431">
        <v>10.56</v>
      </c>
      <c r="N2431">
        <v>10.35</v>
      </c>
      <c r="O2431">
        <v>10.39</v>
      </c>
      <c r="P2431">
        <v>14.54</v>
      </c>
      <c r="Q2431">
        <v>22504332</v>
      </c>
      <c r="R2431">
        <v>1.86</v>
      </c>
      <c r="S2431" t="s">
        <v>140</v>
      </c>
      <c r="T2431" t="s">
        <v>136</v>
      </c>
      <c r="U2431">
        <v>2.02</v>
      </c>
      <c r="V2431">
        <v>10.5</v>
      </c>
      <c r="W2431">
        <v>9594</v>
      </c>
      <c r="X2431">
        <v>11844</v>
      </c>
      <c r="Y2431">
        <v>0.81</v>
      </c>
      <c r="Z2431">
        <v>67</v>
      </c>
      <c r="AA2431">
        <v>234</v>
      </c>
      <c r="AB2431" t="s">
        <v>32</v>
      </c>
      <c r="AC2431">
        <v>3.42</v>
      </c>
    </row>
    <row r="2432" spans="1:29">
      <c r="A2432" t="str">
        <f>"600383"</f>
        <v>600383</v>
      </c>
      <c r="B2432" t="s">
        <v>2602</v>
      </c>
      <c r="C2432">
        <v>2.8</v>
      </c>
      <c r="D2432">
        <v>9.19</v>
      </c>
      <c r="E2432">
        <v>0.25</v>
      </c>
      <c r="F2432">
        <v>9.18</v>
      </c>
      <c r="G2432">
        <v>9.19</v>
      </c>
      <c r="H2432">
        <v>304974</v>
      </c>
      <c r="I2432">
        <v>10</v>
      </c>
      <c r="J2432">
        <v>0.11</v>
      </c>
      <c r="K2432">
        <v>0.68</v>
      </c>
      <c r="L2432">
        <v>9.01</v>
      </c>
      <c r="M2432">
        <v>9.4</v>
      </c>
      <c r="N2432">
        <v>9.01</v>
      </c>
      <c r="O2432">
        <v>8.94</v>
      </c>
      <c r="P2432">
        <v>9.47</v>
      </c>
      <c r="Q2432">
        <v>281097120</v>
      </c>
      <c r="R2432">
        <v>2.14</v>
      </c>
      <c r="S2432" t="s">
        <v>34</v>
      </c>
      <c r="T2432" t="s">
        <v>31</v>
      </c>
      <c r="U2432">
        <v>4.36</v>
      </c>
      <c r="V2432">
        <v>9.22</v>
      </c>
      <c r="W2432">
        <v>166741</v>
      </c>
      <c r="X2432">
        <v>138233</v>
      </c>
      <c r="Y2432">
        <v>1.21</v>
      </c>
      <c r="Z2432">
        <v>483</v>
      </c>
      <c r="AA2432">
        <v>1042</v>
      </c>
      <c r="AB2432" t="s">
        <v>32</v>
      </c>
      <c r="AC2432">
        <v>45.15</v>
      </c>
    </row>
    <row r="2433" spans="1:29">
      <c r="A2433" t="str">
        <f>"600385"</f>
        <v>600385</v>
      </c>
      <c r="B2433" t="s">
        <v>2603</v>
      </c>
      <c r="C2433">
        <v>2.17</v>
      </c>
      <c r="D2433">
        <v>10.35</v>
      </c>
      <c r="E2433">
        <v>0.22</v>
      </c>
      <c r="F2433">
        <v>10.35</v>
      </c>
      <c r="G2433">
        <v>10.36</v>
      </c>
      <c r="H2433">
        <v>15209</v>
      </c>
      <c r="I2433">
        <v>7</v>
      </c>
      <c r="J2433">
        <v>-0.18</v>
      </c>
      <c r="K2433">
        <v>1.07</v>
      </c>
      <c r="L2433">
        <v>10.1</v>
      </c>
      <c r="M2433">
        <v>10.55</v>
      </c>
      <c r="N2433">
        <v>10.01</v>
      </c>
      <c r="O2433">
        <v>10.13</v>
      </c>
      <c r="P2433" t="s">
        <v>32</v>
      </c>
      <c r="Q2433">
        <v>15713105</v>
      </c>
      <c r="R2433">
        <v>2.19</v>
      </c>
      <c r="S2433" t="s">
        <v>778</v>
      </c>
      <c r="T2433" t="s">
        <v>162</v>
      </c>
      <c r="U2433">
        <v>5.33</v>
      </c>
      <c r="V2433">
        <v>10.33</v>
      </c>
      <c r="W2433">
        <v>5819</v>
      </c>
      <c r="X2433">
        <v>9390</v>
      </c>
      <c r="Y2433">
        <v>0.62</v>
      </c>
      <c r="Z2433">
        <v>0</v>
      </c>
      <c r="AA2433">
        <v>17</v>
      </c>
      <c r="AB2433" t="s">
        <v>32</v>
      </c>
      <c r="AC2433">
        <v>1.43</v>
      </c>
    </row>
    <row r="2434" spans="1:29">
      <c r="A2434" t="str">
        <f>"600386"</f>
        <v>600386</v>
      </c>
      <c r="B2434" t="s">
        <v>2604</v>
      </c>
      <c r="C2434">
        <v>2.07</v>
      </c>
      <c r="D2434">
        <v>3.95</v>
      </c>
      <c r="E2434">
        <v>0.08</v>
      </c>
      <c r="F2434">
        <v>3.95</v>
      </c>
      <c r="G2434">
        <v>3.96</v>
      </c>
      <c r="H2434">
        <v>46773</v>
      </c>
      <c r="I2434">
        <v>1</v>
      </c>
      <c r="J2434">
        <v>0</v>
      </c>
      <c r="K2434">
        <v>0.58</v>
      </c>
      <c r="L2434">
        <v>3.9</v>
      </c>
      <c r="M2434">
        <v>3.97</v>
      </c>
      <c r="N2434">
        <v>3.87</v>
      </c>
      <c r="O2434">
        <v>3.87</v>
      </c>
      <c r="P2434">
        <v>52.59</v>
      </c>
      <c r="Q2434">
        <v>18350524</v>
      </c>
      <c r="R2434">
        <v>2.63</v>
      </c>
      <c r="S2434" t="s">
        <v>1253</v>
      </c>
      <c r="T2434" t="s">
        <v>45</v>
      </c>
      <c r="U2434">
        <v>2.58</v>
      </c>
      <c r="V2434">
        <v>3.92</v>
      </c>
      <c r="W2434">
        <v>23087</v>
      </c>
      <c r="X2434">
        <v>23685</v>
      </c>
      <c r="Y2434">
        <v>0.97</v>
      </c>
      <c r="Z2434">
        <v>26</v>
      </c>
      <c r="AA2434">
        <v>1036</v>
      </c>
      <c r="AB2434" t="s">
        <v>32</v>
      </c>
      <c r="AC2434">
        <v>8.06</v>
      </c>
    </row>
    <row r="2435" spans="1:29">
      <c r="A2435" t="str">
        <f>"600387"</f>
        <v>600387</v>
      </c>
      <c r="B2435" t="s">
        <v>2605</v>
      </c>
      <c r="C2435">
        <v>2.48</v>
      </c>
      <c r="D2435">
        <v>9.52</v>
      </c>
      <c r="E2435">
        <v>0.23</v>
      </c>
      <c r="F2435">
        <v>9.51</v>
      </c>
      <c r="G2435">
        <v>9.52</v>
      </c>
      <c r="H2435">
        <v>76245</v>
      </c>
      <c r="I2435">
        <v>77</v>
      </c>
      <c r="J2435">
        <v>-0.3</v>
      </c>
      <c r="K2435">
        <v>1.98</v>
      </c>
      <c r="L2435">
        <v>9.25</v>
      </c>
      <c r="M2435">
        <v>9.61</v>
      </c>
      <c r="N2435">
        <v>9.21</v>
      </c>
      <c r="O2435">
        <v>9.29</v>
      </c>
      <c r="P2435">
        <v>10.93</v>
      </c>
      <c r="Q2435">
        <v>72324336</v>
      </c>
      <c r="R2435">
        <v>1.5</v>
      </c>
      <c r="S2435" t="s">
        <v>132</v>
      </c>
      <c r="T2435" t="s">
        <v>149</v>
      </c>
      <c r="U2435">
        <v>4.31</v>
      </c>
      <c r="V2435">
        <v>9.49</v>
      </c>
      <c r="W2435">
        <v>33480</v>
      </c>
      <c r="X2435">
        <v>42765</v>
      </c>
      <c r="Y2435">
        <v>0.78</v>
      </c>
      <c r="Z2435">
        <v>230</v>
      </c>
      <c r="AA2435">
        <v>346</v>
      </c>
      <c r="AB2435" t="s">
        <v>32</v>
      </c>
      <c r="AC2435">
        <v>3.86</v>
      </c>
    </row>
    <row r="2436" spans="1:29">
      <c r="A2436" t="str">
        <f>"600388"</f>
        <v>600388</v>
      </c>
      <c r="B2436" t="s">
        <v>2606</v>
      </c>
      <c r="C2436">
        <v>1.62</v>
      </c>
      <c r="D2436">
        <v>13.18</v>
      </c>
      <c r="E2436">
        <v>0.21</v>
      </c>
      <c r="F2436">
        <v>13.17</v>
      </c>
      <c r="G2436">
        <v>13.19</v>
      </c>
      <c r="H2436">
        <v>109532</v>
      </c>
      <c r="I2436">
        <v>50</v>
      </c>
      <c r="J2436">
        <v>0</v>
      </c>
      <c r="K2436">
        <v>1.02</v>
      </c>
      <c r="L2436">
        <v>12.99</v>
      </c>
      <c r="M2436">
        <v>13.26</v>
      </c>
      <c r="N2436">
        <v>12.91</v>
      </c>
      <c r="O2436">
        <v>12.97</v>
      </c>
      <c r="P2436">
        <v>37.71</v>
      </c>
      <c r="Q2436">
        <v>143934448</v>
      </c>
      <c r="R2436">
        <v>1.95</v>
      </c>
      <c r="S2436" t="s">
        <v>86</v>
      </c>
      <c r="T2436" t="s">
        <v>236</v>
      </c>
      <c r="U2436">
        <v>2.7</v>
      </c>
      <c r="V2436">
        <v>13.14</v>
      </c>
      <c r="W2436">
        <v>50082</v>
      </c>
      <c r="X2436">
        <v>59450</v>
      </c>
      <c r="Y2436">
        <v>0.84</v>
      </c>
      <c r="Z2436">
        <v>1134</v>
      </c>
      <c r="AA2436">
        <v>116</v>
      </c>
      <c r="AB2436" t="s">
        <v>32</v>
      </c>
      <c r="AC2436">
        <v>10.69</v>
      </c>
    </row>
    <row r="2437" spans="1:29">
      <c r="A2437" t="str">
        <f>"600389"</f>
        <v>600389</v>
      </c>
      <c r="B2437" t="s">
        <v>2607</v>
      </c>
      <c r="C2437">
        <v>0.32</v>
      </c>
      <c r="D2437">
        <v>21.81</v>
      </c>
      <c r="E2437">
        <v>0.07</v>
      </c>
      <c r="F2437">
        <v>21.79</v>
      </c>
      <c r="G2437">
        <v>21.84</v>
      </c>
      <c r="H2437">
        <v>26343</v>
      </c>
      <c r="I2437">
        <v>1</v>
      </c>
      <c r="J2437">
        <v>0.14</v>
      </c>
      <c r="K2437">
        <v>0.89</v>
      </c>
      <c r="L2437">
        <v>21.78</v>
      </c>
      <c r="M2437">
        <v>21.85</v>
      </c>
      <c r="N2437">
        <v>21.41</v>
      </c>
      <c r="O2437">
        <v>21.74</v>
      </c>
      <c r="P2437">
        <v>19.12</v>
      </c>
      <c r="Q2437">
        <v>56980312</v>
      </c>
      <c r="R2437">
        <v>1.07</v>
      </c>
      <c r="S2437" t="s">
        <v>145</v>
      </c>
      <c r="T2437" t="s">
        <v>87</v>
      </c>
      <c r="U2437">
        <v>2.02</v>
      </c>
      <c r="V2437">
        <v>21.63</v>
      </c>
      <c r="W2437">
        <v>14961</v>
      </c>
      <c r="X2437">
        <v>11382</v>
      </c>
      <c r="Y2437">
        <v>1.31</v>
      </c>
      <c r="Z2437">
        <v>13</v>
      </c>
      <c r="AA2437">
        <v>5</v>
      </c>
      <c r="AB2437" t="s">
        <v>32</v>
      </c>
      <c r="AC2437">
        <v>2.97</v>
      </c>
    </row>
    <row r="2438" spans="1:29">
      <c r="A2438" t="str">
        <f>"600390"</f>
        <v>600390</v>
      </c>
      <c r="B2438" t="s">
        <v>2608</v>
      </c>
      <c r="C2438">
        <v>0.25</v>
      </c>
      <c r="D2438">
        <v>8.14</v>
      </c>
      <c r="E2438">
        <v>0.02</v>
      </c>
      <c r="F2438">
        <v>8.12</v>
      </c>
      <c r="G2438">
        <v>8.13</v>
      </c>
      <c r="H2438">
        <v>108227</v>
      </c>
      <c r="I2438">
        <v>319</v>
      </c>
      <c r="J2438">
        <v>0.25</v>
      </c>
      <c r="K2438">
        <v>2.11</v>
      </c>
      <c r="L2438">
        <v>8.18</v>
      </c>
      <c r="M2438">
        <v>8.23</v>
      </c>
      <c r="N2438">
        <v>8.06</v>
      </c>
      <c r="O2438">
        <v>8.12</v>
      </c>
      <c r="P2438">
        <v>14.05</v>
      </c>
      <c r="Q2438">
        <v>88187168</v>
      </c>
      <c r="R2438">
        <v>1.85</v>
      </c>
      <c r="S2438" t="s">
        <v>183</v>
      </c>
      <c r="T2438" t="s">
        <v>152</v>
      </c>
      <c r="U2438">
        <v>2.09</v>
      </c>
      <c r="V2438">
        <v>8.15</v>
      </c>
      <c r="W2438">
        <v>56157</v>
      </c>
      <c r="X2438">
        <v>52069</v>
      </c>
      <c r="Y2438">
        <v>1.08</v>
      </c>
      <c r="Z2438">
        <v>1243</v>
      </c>
      <c r="AA2438">
        <v>0</v>
      </c>
      <c r="AB2438" t="s">
        <v>32</v>
      </c>
      <c r="AC2438">
        <v>5.14</v>
      </c>
    </row>
    <row r="2439" spans="1:29">
      <c r="A2439" t="str">
        <f>"600391"</f>
        <v>600391</v>
      </c>
      <c r="B2439" t="s">
        <v>2609</v>
      </c>
      <c r="C2439">
        <v>-0.37</v>
      </c>
      <c r="D2439">
        <v>16.03</v>
      </c>
      <c r="E2439">
        <v>-0.06</v>
      </c>
      <c r="F2439">
        <v>16.03</v>
      </c>
      <c r="G2439">
        <v>16.04</v>
      </c>
      <c r="H2439">
        <v>69111</v>
      </c>
      <c r="I2439">
        <v>21</v>
      </c>
      <c r="J2439">
        <v>0.06</v>
      </c>
      <c r="K2439">
        <v>2.09</v>
      </c>
      <c r="L2439">
        <v>16.09</v>
      </c>
      <c r="M2439">
        <v>16.16</v>
      </c>
      <c r="N2439">
        <v>15.86</v>
      </c>
      <c r="O2439">
        <v>16.09</v>
      </c>
      <c r="P2439" t="s">
        <v>32</v>
      </c>
      <c r="Q2439">
        <v>110663272</v>
      </c>
      <c r="R2439">
        <v>1.16</v>
      </c>
      <c r="S2439" t="s">
        <v>389</v>
      </c>
      <c r="T2439" t="s">
        <v>146</v>
      </c>
      <c r="U2439">
        <v>1.86</v>
      </c>
      <c r="V2439">
        <v>16.01</v>
      </c>
      <c r="W2439">
        <v>39041</v>
      </c>
      <c r="X2439">
        <v>30070</v>
      </c>
      <c r="Y2439">
        <v>1.3</v>
      </c>
      <c r="Z2439">
        <v>67</v>
      </c>
      <c r="AA2439">
        <v>27</v>
      </c>
      <c r="AB2439" t="s">
        <v>32</v>
      </c>
      <c r="AC2439">
        <v>3.3</v>
      </c>
    </row>
    <row r="2440" spans="1:29">
      <c r="A2440" t="str">
        <f>"600392"</f>
        <v>600392</v>
      </c>
      <c r="B2440" t="s">
        <v>2610</v>
      </c>
      <c r="C2440">
        <v>1.67</v>
      </c>
      <c r="D2440">
        <v>10.99</v>
      </c>
      <c r="E2440">
        <v>0.18</v>
      </c>
      <c r="F2440">
        <v>10.99</v>
      </c>
      <c r="G2440">
        <v>11</v>
      </c>
      <c r="H2440">
        <v>564467</v>
      </c>
      <c r="I2440">
        <v>212</v>
      </c>
      <c r="J2440">
        <v>0</v>
      </c>
      <c r="K2440">
        <v>4.04</v>
      </c>
      <c r="L2440">
        <v>10.76</v>
      </c>
      <c r="M2440">
        <v>11.29</v>
      </c>
      <c r="N2440">
        <v>10.7</v>
      </c>
      <c r="O2440">
        <v>10.81</v>
      </c>
      <c r="P2440">
        <v>62.75</v>
      </c>
      <c r="Q2440">
        <v>623336896</v>
      </c>
      <c r="R2440">
        <v>1.95</v>
      </c>
      <c r="S2440" t="s">
        <v>356</v>
      </c>
      <c r="T2440" t="s">
        <v>169</v>
      </c>
      <c r="U2440">
        <v>5.46</v>
      </c>
      <c r="V2440">
        <v>11.04</v>
      </c>
      <c r="W2440">
        <v>284587</v>
      </c>
      <c r="X2440">
        <v>279879</v>
      </c>
      <c r="Y2440">
        <v>1.02</v>
      </c>
      <c r="Z2440">
        <v>30</v>
      </c>
      <c r="AA2440">
        <v>1204</v>
      </c>
      <c r="AB2440" t="s">
        <v>32</v>
      </c>
      <c r="AC2440">
        <v>13.96</v>
      </c>
    </row>
    <row r="2441" spans="1:29">
      <c r="A2441" t="str">
        <f>"600393"</f>
        <v>600393</v>
      </c>
      <c r="B2441" t="s">
        <v>2611</v>
      </c>
      <c r="C2441">
        <v>6.35</v>
      </c>
      <c r="D2441">
        <v>3.18</v>
      </c>
      <c r="E2441">
        <v>0.19</v>
      </c>
      <c r="F2441">
        <v>3.15</v>
      </c>
      <c r="G2441">
        <v>3.16</v>
      </c>
      <c r="H2441">
        <v>246037</v>
      </c>
      <c r="I2441">
        <v>10</v>
      </c>
      <c r="J2441">
        <v>1.6</v>
      </c>
      <c r="K2441">
        <v>2.49</v>
      </c>
      <c r="L2441">
        <v>2.99</v>
      </c>
      <c r="M2441">
        <v>3.26</v>
      </c>
      <c r="N2441">
        <v>2.98</v>
      </c>
      <c r="O2441">
        <v>2.99</v>
      </c>
      <c r="P2441">
        <v>12.54</v>
      </c>
      <c r="Q2441">
        <v>77148008</v>
      </c>
      <c r="R2441">
        <v>1.32</v>
      </c>
      <c r="S2441" t="s">
        <v>34</v>
      </c>
      <c r="T2441" t="s">
        <v>136</v>
      </c>
      <c r="U2441">
        <v>9.36</v>
      </c>
      <c r="V2441">
        <v>3.14</v>
      </c>
      <c r="W2441">
        <v>97957</v>
      </c>
      <c r="X2441">
        <v>148079</v>
      </c>
      <c r="Y2441">
        <v>0.66</v>
      </c>
      <c r="Z2441">
        <v>141</v>
      </c>
      <c r="AA2441">
        <v>1004</v>
      </c>
      <c r="AB2441" t="s">
        <v>32</v>
      </c>
      <c r="AC2441">
        <v>9.88</v>
      </c>
    </row>
    <row r="2442" spans="1:29">
      <c r="A2442" t="str">
        <f>"600395"</f>
        <v>600395</v>
      </c>
      <c r="B2442" t="s">
        <v>2612</v>
      </c>
      <c r="C2442">
        <v>2.29</v>
      </c>
      <c r="D2442">
        <v>6.25</v>
      </c>
      <c r="E2442">
        <v>0.14</v>
      </c>
      <c r="F2442">
        <v>6.24</v>
      </c>
      <c r="G2442">
        <v>6.25</v>
      </c>
      <c r="H2442">
        <v>78686</v>
      </c>
      <c r="I2442">
        <v>5</v>
      </c>
      <c r="J2442">
        <v>0.16</v>
      </c>
      <c r="K2442">
        <v>0.48</v>
      </c>
      <c r="L2442">
        <v>6.09</v>
      </c>
      <c r="M2442">
        <v>6.26</v>
      </c>
      <c r="N2442">
        <v>6.09</v>
      </c>
      <c r="O2442">
        <v>6.11</v>
      </c>
      <c r="P2442">
        <v>9.4</v>
      </c>
      <c r="Q2442">
        <v>48929860</v>
      </c>
      <c r="R2442">
        <v>2.05</v>
      </c>
      <c r="S2442" t="s">
        <v>265</v>
      </c>
      <c r="T2442" t="s">
        <v>253</v>
      </c>
      <c r="U2442">
        <v>2.78</v>
      </c>
      <c r="V2442">
        <v>6.22</v>
      </c>
      <c r="W2442">
        <v>29387</v>
      </c>
      <c r="X2442">
        <v>49299</v>
      </c>
      <c r="Y2442">
        <v>0.6</v>
      </c>
      <c r="Z2442">
        <v>4095</v>
      </c>
      <c r="AA2442">
        <v>342</v>
      </c>
      <c r="AB2442" t="s">
        <v>32</v>
      </c>
      <c r="AC2442">
        <v>16.55</v>
      </c>
    </row>
    <row r="2443" spans="1:29">
      <c r="A2443" t="str">
        <f>"600396"</f>
        <v>600396</v>
      </c>
      <c r="B2443" t="s">
        <v>2613</v>
      </c>
      <c r="C2443">
        <v>2.23</v>
      </c>
      <c r="D2443">
        <v>2.29</v>
      </c>
      <c r="E2443">
        <v>0.05</v>
      </c>
      <c r="F2443">
        <v>2.29</v>
      </c>
      <c r="G2443">
        <v>2.3</v>
      </c>
      <c r="H2443">
        <v>61470</v>
      </c>
      <c r="I2443">
        <v>46</v>
      </c>
      <c r="J2443">
        <v>0.44</v>
      </c>
      <c r="K2443">
        <v>0.53</v>
      </c>
      <c r="L2443">
        <v>2.23</v>
      </c>
      <c r="M2443">
        <v>2.3</v>
      </c>
      <c r="N2443">
        <v>2.23</v>
      </c>
      <c r="O2443">
        <v>2.24</v>
      </c>
      <c r="P2443">
        <v>64.85</v>
      </c>
      <c r="Q2443">
        <v>13998080</v>
      </c>
      <c r="R2443">
        <v>1.66</v>
      </c>
      <c r="S2443" t="s">
        <v>75</v>
      </c>
      <c r="T2443" t="s">
        <v>111</v>
      </c>
      <c r="U2443">
        <v>3.12</v>
      </c>
      <c r="V2443">
        <v>2.28</v>
      </c>
      <c r="W2443">
        <v>24455</v>
      </c>
      <c r="X2443">
        <v>37014</v>
      </c>
      <c r="Y2443">
        <v>0.66</v>
      </c>
      <c r="Z2443">
        <v>6</v>
      </c>
      <c r="AA2443">
        <v>2642</v>
      </c>
      <c r="AB2443" t="s">
        <v>32</v>
      </c>
      <c r="AC2443">
        <v>11.65</v>
      </c>
    </row>
    <row r="2444" spans="1:29">
      <c r="A2444" t="str">
        <f>"600397"</f>
        <v>600397</v>
      </c>
      <c r="B2444" t="s">
        <v>2614</v>
      </c>
      <c r="C2444">
        <v>2.55</v>
      </c>
      <c r="D2444">
        <v>2.01</v>
      </c>
      <c r="E2444">
        <v>0.05</v>
      </c>
      <c r="F2444">
        <v>2.01</v>
      </c>
      <c r="G2444">
        <v>2.02</v>
      </c>
      <c r="H2444">
        <v>48831</v>
      </c>
      <c r="I2444">
        <v>50</v>
      </c>
      <c r="J2444">
        <v>0</v>
      </c>
      <c r="K2444">
        <v>0.49</v>
      </c>
      <c r="L2444">
        <v>1.96</v>
      </c>
      <c r="M2444">
        <v>2.02</v>
      </c>
      <c r="N2444">
        <v>1.94</v>
      </c>
      <c r="O2444">
        <v>1.96</v>
      </c>
      <c r="P2444">
        <v>36.06</v>
      </c>
      <c r="Q2444">
        <v>9666252</v>
      </c>
      <c r="R2444">
        <v>1.31</v>
      </c>
      <c r="S2444" t="s">
        <v>265</v>
      </c>
      <c r="T2444" t="s">
        <v>172</v>
      </c>
      <c r="U2444">
        <v>4.08</v>
      </c>
      <c r="V2444">
        <v>1.98</v>
      </c>
      <c r="W2444">
        <v>19198</v>
      </c>
      <c r="X2444">
        <v>29633</v>
      </c>
      <c r="Y2444">
        <v>0.65</v>
      </c>
      <c r="Z2444">
        <v>1511</v>
      </c>
      <c r="AA2444">
        <v>2396</v>
      </c>
      <c r="AB2444" t="s">
        <v>32</v>
      </c>
      <c r="AC2444">
        <v>9.9</v>
      </c>
    </row>
    <row r="2445" spans="1:29">
      <c r="A2445" t="str">
        <f>"600398"</f>
        <v>600398</v>
      </c>
      <c r="B2445" t="s">
        <v>2615</v>
      </c>
      <c r="C2445">
        <v>0.25</v>
      </c>
      <c r="D2445">
        <v>11.85</v>
      </c>
      <c r="E2445">
        <v>0.03</v>
      </c>
      <c r="F2445">
        <v>11.85</v>
      </c>
      <c r="G2445">
        <v>11.86</v>
      </c>
      <c r="H2445">
        <v>114872</v>
      </c>
      <c r="I2445">
        <v>7</v>
      </c>
      <c r="J2445">
        <v>0.08</v>
      </c>
      <c r="K2445">
        <v>0.26</v>
      </c>
      <c r="L2445">
        <v>11.82</v>
      </c>
      <c r="M2445">
        <v>11.94</v>
      </c>
      <c r="N2445">
        <v>11.7</v>
      </c>
      <c r="O2445">
        <v>11.82</v>
      </c>
      <c r="P2445">
        <v>11.77</v>
      </c>
      <c r="Q2445">
        <v>136085856</v>
      </c>
      <c r="R2445">
        <v>1.13</v>
      </c>
      <c r="S2445" t="s">
        <v>622</v>
      </c>
      <c r="T2445" t="s">
        <v>87</v>
      </c>
      <c r="U2445">
        <v>2.03</v>
      </c>
      <c r="V2445">
        <v>11.85</v>
      </c>
      <c r="W2445">
        <v>68181</v>
      </c>
      <c r="X2445">
        <v>46691</v>
      </c>
      <c r="Y2445">
        <v>1.46</v>
      </c>
      <c r="Z2445">
        <v>125</v>
      </c>
      <c r="AA2445">
        <v>1023</v>
      </c>
      <c r="AB2445" t="s">
        <v>32</v>
      </c>
      <c r="AC2445">
        <v>44.93</v>
      </c>
    </row>
    <row r="2446" spans="1:29">
      <c r="A2446" t="str">
        <f>"600399"</f>
        <v>600399</v>
      </c>
      <c r="B2446" t="s">
        <v>2616</v>
      </c>
      <c r="C2446">
        <v>0</v>
      </c>
      <c r="D2446">
        <v>5.5</v>
      </c>
      <c r="E2446">
        <v>0</v>
      </c>
      <c r="F2446" t="s">
        <v>32</v>
      </c>
      <c r="G2446" t="s">
        <v>32</v>
      </c>
      <c r="H2446">
        <v>0</v>
      </c>
      <c r="I2446">
        <v>0</v>
      </c>
      <c r="J2446">
        <v>0</v>
      </c>
      <c r="K2446">
        <v>0</v>
      </c>
      <c r="L2446" t="s">
        <v>32</v>
      </c>
      <c r="M2446" t="s">
        <v>32</v>
      </c>
      <c r="N2446" t="s">
        <v>32</v>
      </c>
      <c r="O2446">
        <v>5.5</v>
      </c>
      <c r="P2446" t="s">
        <v>32</v>
      </c>
      <c r="Q2446">
        <v>0</v>
      </c>
      <c r="R2446">
        <v>0</v>
      </c>
      <c r="S2446" t="s">
        <v>398</v>
      </c>
      <c r="T2446" t="s">
        <v>111</v>
      </c>
      <c r="U2446">
        <v>0</v>
      </c>
      <c r="V2446">
        <v>5.5</v>
      </c>
      <c r="W2446">
        <v>0</v>
      </c>
      <c r="X2446">
        <v>0</v>
      </c>
      <c r="Y2446" t="s">
        <v>32</v>
      </c>
      <c r="Z2446">
        <v>0</v>
      </c>
      <c r="AA2446">
        <v>0</v>
      </c>
      <c r="AB2446" t="s">
        <v>32</v>
      </c>
      <c r="AC2446">
        <v>11.3</v>
      </c>
    </row>
    <row r="2447" spans="1:29">
      <c r="A2447" t="str">
        <f>"600400"</f>
        <v>600400</v>
      </c>
      <c r="B2447" t="s">
        <v>2617</v>
      </c>
      <c r="C2447">
        <v>5.91</v>
      </c>
      <c r="D2447">
        <v>4.3</v>
      </c>
      <c r="E2447">
        <v>0.24</v>
      </c>
      <c r="F2447">
        <v>4.29</v>
      </c>
      <c r="G2447">
        <v>4.3</v>
      </c>
      <c r="H2447">
        <v>371591</v>
      </c>
      <c r="I2447">
        <v>1</v>
      </c>
      <c r="J2447">
        <v>-0.22</v>
      </c>
      <c r="K2447">
        <v>1.83</v>
      </c>
      <c r="L2447">
        <v>4.17</v>
      </c>
      <c r="M2447">
        <v>4.47</v>
      </c>
      <c r="N2447">
        <v>4.06</v>
      </c>
      <c r="O2447">
        <v>4.06</v>
      </c>
      <c r="P2447">
        <v>58.47</v>
      </c>
      <c r="Q2447">
        <v>159068880</v>
      </c>
      <c r="R2447">
        <v>4.01</v>
      </c>
      <c r="S2447" t="s">
        <v>622</v>
      </c>
      <c r="T2447" t="s">
        <v>87</v>
      </c>
      <c r="U2447">
        <v>10.1</v>
      </c>
      <c r="V2447">
        <v>4.28</v>
      </c>
      <c r="W2447">
        <v>185305</v>
      </c>
      <c r="X2447">
        <v>186286</v>
      </c>
      <c r="Y2447">
        <v>0.99</v>
      </c>
      <c r="Z2447">
        <v>985</v>
      </c>
      <c r="AA2447">
        <v>113</v>
      </c>
      <c r="AB2447" t="s">
        <v>32</v>
      </c>
      <c r="AC2447">
        <v>20.3</v>
      </c>
    </row>
    <row r="2448" spans="1:29">
      <c r="A2448" t="str">
        <f>"600403"</f>
        <v>600403</v>
      </c>
      <c r="B2448" t="s">
        <v>2618</v>
      </c>
      <c r="C2448">
        <v>0.7</v>
      </c>
      <c r="D2448">
        <v>4.32</v>
      </c>
      <c r="E2448">
        <v>0.03</v>
      </c>
      <c r="F2448">
        <v>4.32</v>
      </c>
      <c r="G2448">
        <v>4.33</v>
      </c>
      <c r="H2448">
        <v>39434</v>
      </c>
      <c r="I2448">
        <v>100</v>
      </c>
      <c r="J2448">
        <v>-0.22</v>
      </c>
      <c r="K2448">
        <v>0.16</v>
      </c>
      <c r="L2448">
        <v>4.3</v>
      </c>
      <c r="M2448">
        <v>4.38</v>
      </c>
      <c r="N2448">
        <v>4.29</v>
      </c>
      <c r="O2448">
        <v>4.29</v>
      </c>
      <c r="P2448">
        <v>8.88</v>
      </c>
      <c r="Q2448">
        <v>17067516</v>
      </c>
      <c r="R2448">
        <v>2.13</v>
      </c>
      <c r="S2448" t="s">
        <v>265</v>
      </c>
      <c r="T2448" t="s">
        <v>164</v>
      </c>
      <c r="U2448">
        <v>2.1</v>
      </c>
      <c r="V2448">
        <v>4.33</v>
      </c>
      <c r="W2448">
        <v>22600</v>
      </c>
      <c r="X2448">
        <v>16834</v>
      </c>
      <c r="Y2448">
        <v>1.34</v>
      </c>
      <c r="Z2448">
        <v>202</v>
      </c>
      <c r="AA2448">
        <v>356</v>
      </c>
      <c r="AB2448" t="s">
        <v>32</v>
      </c>
      <c r="AC2448">
        <v>23.91</v>
      </c>
    </row>
    <row r="2449" spans="1:29">
      <c r="A2449" t="str">
        <f>"600405"</f>
        <v>600405</v>
      </c>
      <c r="B2449" t="s">
        <v>2619</v>
      </c>
      <c r="C2449">
        <v>1.15</v>
      </c>
      <c r="D2449">
        <v>5.26</v>
      </c>
      <c r="E2449">
        <v>0.06</v>
      </c>
      <c r="F2449">
        <v>5.26</v>
      </c>
      <c r="G2449">
        <v>5.27</v>
      </c>
      <c r="H2449">
        <v>76560</v>
      </c>
      <c r="I2449">
        <v>21</v>
      </c>
      <c r="J2449">
        <v>0.19</v>
      </c>
      <c r="K2449">
        <v>1.38</v>
      </c>
      <c r="L2449">
        <v>5.26</v>
      </c>
      <c r="M2449">
        <v>5.35</v>
      </c>
      <c r="N2449">
        <v>5.17</v>
      </c>
      <c r="O2449">
        <v>5.2</v>
      </c>
      <c r="P2449" t="s">
        <v>32</v>
      </c>
      <c r="Q2449">
        <v>40294500</v>
      </c>
      <c r="R2449">
        <v>1.55</v>
      </c>
      <c r="S2449" t="s">
        <v>104</v>
      </c>
      <c r="T2449" t="s">
        <v>45</v>
      </c>
      <c r="U2449">
        <v>3.46</v>
      </c>
      <c r="V2449">
        <v>5.26</v>
      </c>
      <c r="W2449">
        <v>32988</v>
      </c>
      <c r="X2449">
        <v>43572</v>
      </c>
      <c r="Y2449">
        <v>0.76</v>
      </c>
      <c r="Z2449">
        <v>211</v>
      </c>
      <c r="AA2449">
        <v>997</v>
      </c>
      <c r="AB2449" t="s">
        <v>32</v>
      </c>
      <c r="AC2449">
        <v>5.53</v>
      </c>
    </row>
    <row r="2450" spans="1:29">
      <c r="A2450" t="str">
        <f>"600406"</f>
        <v>600406</v>
      </c>
      <c r="B2450" t="s">
        <v>2620</v>
      </c>
      <c r="C2450">
        <v>3.32</v>
      </c>
      <c r="D2450">
        <v>16.16</v>
      </c>
      <c r="E2450">
        <v>0.52</v>
      </c>
      <c r="F2450">
        <v>16.15</v>
      </c>
      <c r="G2450">
        <v>16.16</v>
      </c>
      <c r="H2450">
        <v>92507</v>
      </c>
      <c r="I2450">
        <v>5</v>
      </c>
      <c r="J2450">
        <v>0</v>
      </c>
      <c r="K2450">
        <v>0.42</v>
      </c>
      <c r="L2450">
        <v>15.76</v>
      </c>
      <c r="M2450">
        <v>16.27</v>
      </c>
      <c r="N2450">
        <v>15.65</v>
      </c>
      <c r="O2450">
        <v>15.64</v>
      </c>
      <c r="P2450">
        <v>196.37</v>
      </c>
      <c r="Q2450">
        <v>148105280</v>
      </c>
      <c r="R2450">
        <v>1.74</v>
      </c>
      <c r="S2450" t="s">
        <v>270</v>
      </c>
      <c r="T2450" t="s">
        <v>87</v>
      </c>
      <c r="U2450">
        <v>3.96</v>
      </c>
      <c r="V2450">
        <v>16.01</v>
      </c>
      <c r="W2450">
        <v>34588</v>
      </c>
      <c r="X2450">
        <v>57919</v>
      </c>
      <c r="Y2450">
        <v>0.6</v>
      </c>
      <c r="Z2450">
        <v>153</v>
      </c>
      <c r="AA2450">
        <v>52</v>
      </c>
      <c r="AB2450" t="s">
        <v>32</v>
      </c>
      <c r="AC2450">
        <v>22.06</v>
      </c>
    </row>
    <row r="2451" spans="1:29">
      <c r="A2451" t="str">
        <f>"600408"</f>
        <v>600408</v>
      </c>
      <c r="B2451" t="s">
        <v>2621</v>
      </c>
      <c r="C2451">
        <v>-0.51</v>
      </c>
      <c r="D2451">
        <v>1.94</v>
      </c>
      <c r="E2451">
        <v>-0.01</v>
      </c>
      <c r="F2451">
        <v>1.94</v>
      </c>
      <c r="G2451">
        <v>1.95</v>
      </c>
      <c r="H2451">
        <v>83347</v>
      </c>
      <c r="I2451">
        <v>180</v>
      </c>
      <c r="J2451">
        <v>0</v>
      </c>
      <c r="K2451">
        <v>0.83</v>
      </c>
      <c r="L2451">
        <v>1.95</v>
      </c>
      <c r="M2451">
        <v>1.98</v>
      </c>
      <c r="N2451">
        <v>1.92</v>
      </c>
      <c r="O2451">
        <v>1.95</v>
      </c>
      <c r="P2451">
        <v>12.58</v>
      </c>
      <c r="Q2451">
        <v>16210280</v>
      </c>
      <c r="R2451">
        <v>1.04</v>
      </c>
      <c r="S2451" t="s">
        <v>414</v>
      </c>
      <c r="T2451" t="s">
        <v>169</v>
      </c>
      <c r="U2451">
        <v>3.08</v>
      </c>
      <c r="V2451">
        <v>1.94</v>
      </c>
      <c r="W2451">
        <v>56501</v>
      </c>
      <c r="X2451">
        <v>26846</v>
      </c>
      <c r="Y2451">
        <v>2.1</v>
      </c>
      <c r="Z2451">
        <v>1013</v>
      </c>
      <c r="AA2451">
        <v>2863</v>
      </c>
      <c r="AB2451" t="s">
        <v>32</v>
      </c>
      <c r="AC2451">
        <v>10.07</v>
      </c>
    </row>
    <row r="2452" spans="1:29">
      <c r="A2452" t="str">
        <f>"600409"</f>
        <v>600409</v>
      </c>
      <c r="B2452" t="s">
        <v>2622</v>
      </c>
      <c r="C2452">
        <v>1.62</v>
      </c>
      <c r="D2452">
        <v>8.8</v>
      </c>
      <c r="E2452">
        <v>0.14</v>
      </c>
      <c r="F2452">
        <v>8.8</v>
      </c>
      <c r="G2452">
        <v>8.81</v>
      </c>
      <c r="H2452">
        <v>611354</v>
      </c>
      <c r="I2452">
        <v>16</v>
      </c>
      <c r="J2452">
        <v>0</v>
      </c>
      <c r="K2452">
        <v>3</v>
      </c>
      <c r="L2452">
        <v>8.64</v>
      </c>
      <c r="M2452">
        <v>8.97</v>
      </c>
      <c r="N2452">
        <v>8.64</v>
      </c>
      <c r="O2452">
        <v>8.66</v>
      </c>
      <c r="P2452">
        <v>10.37</v>
      </c>
      <c r="Q2452">
        <v>540793536</v>
      </c>
      <c r="R2452">
        <v>1.63</v>
      </c>
      <c r="S2452" t="s">
        <v>218</v>
      </c>
      <c r="T2452" t="s">
        <v>154</v>
      </c>
      <c r="U2452">
        <v>3.81</v>
      </c>
      <c r="V2452">
        <v>8.85</v>
      </c>
      <c r="W2452">
        <v>284518</v>
      </c>
      <c r="X2452">
        <v>326835</v>
      </c>
      <c r="Y2452">
        <v>0.87</v>
      </c>
      <c r="Z2452">
        <v>409</v>
      </c>
      <c r="AA2452">
        <v>1562</v>
      </c>
      <c r="AB2452" t="s">
        <v>32</v>
      </c>
      <c r="AC2452">
        <v>20.37</v>
      </c>
    </row>
    <row r="2453" spans="1:29">
      <c r="A2453" t="str">
        <f>"600410"</f>
        <v>600410</v>
      </c>
      <c r="B2453" t="s">
        <v>2623</v>
      </c>
      <c r="C2453">
        <v>1.12</v>
      </c>
      <c r="D2453">
        <v>9.04</v>
      </c>
      <c r="E2453">
        <v>0.1</v>
      </c>
      <c r="F2453">
        <v>9.04</v>
      </c>
      <c r="G2453">
        <v>9.05</v>
      </c>
      <c r="H2453">
        <v>241888</v>
      </c>
      <c r="I2453">
        <v>67</v>
      </c>
      <c r="J2453">
        <v>0.22</v>
      </c>
      <c r="K2453">
        <v>2.21</v>
      </c>
      <c r="L2453">
        <v>8.89</v>
      </c>
      <c r="M2453">
        <v>9.1</v>
      </c>
      <c r="N2453">
        <v>8.79</v>
      </c>
      <c r="O2453">
        <v>8.94</v>
      </c>
      <c r="P2453">
        <v>132.98</v>
      </c>
      <c r="Q2453">
        <v>217101536</v>
      </c>
      <c r="R2453">
        <v>1.23</v>
      </c>
      <c r="S2453" t="s">
        <v>270</v>
      </c>
      <c r="T2453" t="s">
        <v>45</v>
      </c>
      <c r="U2453">
        <v>3.47</v>
      </c>
      <c r="V2453">
        <v>8.98</v>
      </c>
      <c r="W2453">
        <v>117631</v>
      </c>
      <c r="X2453">
        <v>124256</v>
      </c>
      <c r="Y2453">
        <v>0.95</v>
      </c>
      <c r="Z2453">
        <v>38</v>
      </c>
      <c r="AA2453">
        <v>1397</v>
      </c>
      <c r="AB2453" t="s">
        <v>32</v>
      </c>
      <c r="AC2453">
        <v>10.94</v>
      </c>
    </row>
    <row r="2454" spans="1:29">
      <c r="A2454" t="str">
        <f>"600415"</f>
        <v>600415</v>
      </c>
      <c r="B2454" t="s">
        <v>2624</v>
      </c>
      <c r="C2454">
        <v>2.33</v>
      </c>
      <c r="D2454">
        <v>4.4</v>
      </c>
      <c r="E2454">
        <v>0.1</v>
      </c>
      <c r="F2454">
        <v>4.4</v>
      </c>
      <c r="G2454">
        <v>4.41</v>
      </c>
      <c r="H2454">
        <v>157390</v>
      </c>
      <c r="I2454">
        <v>41</v>
      </c>
      <c r="J2454">
        <v>-0.22</v>
      </c>
      <c r="K2454">
        <v>0.29</v>
      </c>
      <c r="L2454">
        <v>4.28</v>
      </c>
      <c r="M2454">
        <v>4.42</v>
      </c>
      <c r="N2454">
        <v>4.27</v>
      </c>
      <c r="O2454">
        <v>4.3</v>
      </c>
      <c r="P2454">
        <v>8.28</v>
      </c>
      <c r="Q2454">
        <v>68751128</v>
      </c>
      <c r="R2454">
        <v>2.47</v>
      </c>
      <c r="S2454" t="s">
        <v>969</v>
      </c>
      <c r="T2454" t="s">
        <v>149</v>
      </c>
      <c r="U2454">
        <v>3.49</v>
      </c>
      <c r="V2454">
        <v>4.37</v>
      </c>
      <c r="W2454">
        <v>61709</v>
      </c>
      <c r="X2454">
        <v>95681</v>
      </c>
      <c r="Y2454">
        <v>0.64</v>
      </c>
      <c r="Z2454">
        <v>1266</v>
      </c>
      <c r="AA2454">
        <v>1672</v>
      </c>
      <c r="AB2454" t="s">
        <v>32</v>
      </c>
      <c r="AC2454">
        <v>54.43</v>
      </c>
    </row>
    <row r="2455" spans="1:29">
      <c r="A2455" t="str">
        <f>"600416"</f>
        <v>600416</v>
      </c>
      <c r="B2455" t="s">
        <v>2625</v>
      </c>
      <c r="C2455">
        <v>0.14</v>
      </c>
      <c r="D2455">
        <v>7.33</v>
      </c>
      <c r="E2455">
        <v>0.01</v>
      </c>
      <c r="F2455">
        <v>7.33</v>
      </c>
      <c r="G2455">
        <v>7.34</v>
      </c>
      <c r="H2455">
        <v>102138</v>
      </c>
      <c r="I2455">
        <v>88</v>
      </c>
      <c r="J2455">
        <v>0.27</v>
      </c>
      <c r="K2455">
        <v>1.16</v>
      </c>
      <c r="L2455">
        <v>7.32</v>
      </c>
      <c r="M2455">
        <v>7.44</v>
      </c>
      <c r="N2455">
        <v>7.16</v>
      </c>
      <c r="O2455">
        <v>7.32</v>
      </c>
      <c r="P2455" t="s">
        <v>32</v>
      </c>
      <c r="Q2455">
        <v>74591576</v>
      </c>
      <c r="R2455">
        <v>1.3</v>
      </c>
      <c r="S2455" t="s">
        <v>104</v>
      </c>
      <c r="T2455" t="s">
        <v>152</v>
      </c>
      <c r="U2455">
        <v>3.83</v>
      </c>
      <c r="V2455">
        <v>7.3</v>
      </c>
      <c r="W2455">
        <v>47346</v>
      </c>
      <c r="X2455">
        <v>54792</v>
      </c>
      <c r="Y2455">
        <v>0.86</v>
      </c>
      <c r="Z2455">
        <v>140</v>
      </c>
      <c r="AA2455">
        <v>791</v>
      </c>
      <c r="AB2455" t="s">
        <v>32</v>
      </c>
      <c r="AC2455">
        <v>8.81</v>
      </c>
    </row>
    <row r="2456" spans="1:29">
      <c r="A2456" t="str">
        <f>"600418"</f>
        <v>600418</v>
      </c>
      <c r="B2456" t="s">
        <v>2626</v>
      </c>
      <c r="C2456">
        <v>2.08</v>
      </c>
      <c r="D2456">
        <v>6.38</v>
      </c>
      <c r="E2456">
        <v>0.13</v>
      </c>
      <c r="F2456">
        <v>6.38</v>
      </c>
      <c r="G2456">
        <v>6.39</v>
      </c>
      <c r="H2456">
        <v>151548</v>
      </c>
      <c r="I2456">
        <v>20</v>
      </c>
      <c r="J2456">
        <v>0.16</v>
      </c>
      <c r="K2456">
        <v>0.8</v>
      </c>
      <c r="L2456">
        <v>6.26</v>
      </c>
      <c r="M2456">
        <v>6.42</v>
      </c>
      <c r="N2456">
        <v>6.2</v>
      </c>
      <c r="O2456">
        <v>6.25</v>
      </c>
      <c r="P2456">
        <v>14.42</v>
      </c>
      <c r="Q2456">
        <v>96065184</v>
      </c>
      <c r="R2456">
        <v>1.85</v>
      </c>
      <c r="S2456" t="s">
        <v>262</v>
      </c>
      <c r="T2456" t="s">
        <v>143</v>
      </c>
      <c r="U2456">
        <v>3.52</v>
      </c>
      <c r="V2456">
        <v>6.34</v>
      </c>
      <c r="W2456">
        <v>62579</v>
      </c>
      <c r="X2456">
        <v>88968</v>
      </c>
      <c r="Y2456">
        <v>0.7</v>
      </c>
      <c r="Z2456">
        <v>76</v>
      </c>
      <c r="AA2456">
        <v>2662</v>
      </c>
      <c r="AB2456" t="s">
        <v>32</v>
      </c>
      <c r="AC2456">
        <v>18.93</v>
      </c>
    </row>
    <row r="2457" spans="1:29">
      <c r="A2457" t="str">
        <f>"600419"</f>
        <v>600419</v>
      </c>
      <c r="B2457" t="s">
        <v>2627</v>
      </c>
      <c r="C2457">
        <v>1.51</v>
      </c>
      <c r="D2457">
        <v>18.21</v>
      </c>
      <c r="E2457">
        <v>0.27</v>
      </c>
      <c r="F2457">
        <v>18.21</v>
      </c>
      <c r="G2457">
        <v>18.22</v>
      </c>
      <c r="H2457">
        <v>29002</v>
      </c>
      <c r="I2457">
        <v>15</v>
      </c>
      <c r="J2457">
        <v>0.05</v>
      </c>
      <c r="K2457">
        <v>1.62</v>
      </c>
      <c r="L2457">
        <v>17.85</v>
      </c>
      <c r="M2457">
        <v>18.32</v>
      </c>
      <c r="N2457">
        <v>17.77</v>
      </c>
      <c r="O2457">
        <v>17.94</v>
      </c>
      <c r="P2457">
        <v>33.6</v>
      </c>
      <c r="Q2457">
        <v>52489760</v>
      </c>
      <c r="R2457">
        <v>1.37</v>
      </c>
      <c r="S2457" t="s">
        <v>953</v>
      </c>
      <c r="T2457" t="s">
        <v>156</v>
      </c>
      <c r="U2457">
        <v>3.07</v>
      </c>
      <c r="V2457">
        <v>18.1</v>
      </c>
      <c r="W2457">
        <v>13646</v>
      </c>
      <c r="X2457">
        <v>15356</v>
      </c>
      <c r="Y2457">
        <v>0.89</v>
      </c>
      <c r="Z2457">
        <v>11</v>
      </c>
      <c r="AA2457">
        <v>77</v>
      </c>
      <c r="AB2457" t="s">
        <v>32</v>
      </c>
      <c r="AC2457">
        <v>1.79</v>
      </c>
    </row>
    <row r="2458" spans="1:29">
      <c r="A2458" t="str">
        <f>"600420"</f>
        <v>600420</v>
      </c>
      <c r="B2458" t="s">
        <v>2628</v>
      </c>
      <c r="C2458">
        <v>4.22</v>
      </c>
      <c r="D2458">
        <v>10.86</v>
      </c>
      <c r="E2458">
        <v>0.44</v>
      </c>
      <c r="F2458">
        <v>10.85</v>
      </c>
      <c r="G2458">
        <v>10.86</v>
      </c>
      <c r="H2458">
        <v>63558</v>
      </c>
      <c r="I2458">
        <v>74</v>
      </c>
      <c r="J2458">
        <v>0.46</v>
      </c>
      <c r="K2458">
        <v>1.1</v>
      </c>
      <c r="L2458">
        <v>10.6</v>
      </c>
      <c r="M2458">
        <v>10.88</v>
      </c>
      <c r="N2458">
        <v>10.52</v>
      </c>
      <c r="O2458">
        <v>10.42</v>
      </c>
      <c r="P2458">
        <v>16.54</v>
      </c>
      <c r="Q2458">
        <v>68174160</v>
      </c>
      <c r="R2458">
        <v>1.3</v>
      </c>
      <c r="S2458" t="s">
        <v>142</v>
      </c>
      <c r="T2458" t="s">
        <v>366</v>
      </c>
      <c r="U2458">
        <v>3.45</v>
      </c>
      <c r="V2458">
        <v>10.73</v>
      </c>
      <c r="W2458">
        <v>28153</v>
      </c>
      <c r="X2458">
        <v>35404</v>
      </c>
      <c r="Y2458">
        <v>0.8</v>
      </c>
      <c r="Z2458">
        <v>447</v>
      </c>
      <c r="AA2458">
        <v>183</v>
      </c>
      <c r="AB2458" t="s">
        <v>32</v>
      </c>
      <c r="AC2458">
        <v>5.75</v>
      </c>
    </row>
    <row r="2459" spans="1:29">
      <c r="A2459" t="str">
        <f>"600421"</f>
        <v>600421</v>
      </c>
      <c r="B2459" t="s">
        <v>2629</v>
      </c>
      <c r="C2459">
        <v>1.03</v>
      </c>
      <c r="D2459">
        <v>5.9</v>
      </c>
      <c r="E2459">
        <v>0.06</v>
      </c>
      <c r="F2459">
        <v>5.9</v>
      </c>
      <c r="G2459">
        <v>5.91</v>
      </c>
      <c r="H2459">
        <v>2311</v>
      </c>
      <c r="I2459">
        <v>3</v>
      </c>
      <c r="J2459">
        <v>-0.16</v>
      </c>
      <c r="K2459">
        <v>0.12</v>
      </c>
      <c r="L2459">
        <v>5.87</v>
      </c>
      <c r="M2459">
        <v>5.94</v>
      </c>
      <c r="N2459">
        <v>5.77</v>
      </c>
      <c r="O2459">
        <v>5.84</v>
      </c>
      <c r="P2459" t="s">
        <v>32</v>
      </c>
      <c r="Q2459">
        <v>1362360</v>
      </c>
      <c r="R2459">
        <v>0.96</v>
      </c>
      <c r="S2459" t="s">
        <v>241</v>
      </c>
      <c r="T2459" t="s">
        <v>193</v>
      </c>
      <c r="U2459">
        <v>2.91</v>
      </c>
      <c r="V2459">
        <v>5.9</v>
      </c>
      <c r="W2459">
        <v>1216</v>
      </c>
      <c r="X2459">
        <v>1095</v>
      </c>
      <c r="Y2459">
        <v>1.11</v>
      </c>
      <c r="Z2459">
        <v>21</v>
      </c>
      <c r="AA2459">
        <v>4</v>
      </c>
      <c r="AB2459" t="s">
        <v>32</v>
      </c>
      <c r="AC2459">
        <v>1.96</v>
      </c>
    </row>
    <row r="2460" spans="1:29">
      <c r="A2460" t="str">
        <f>"600422"</f>
        <v>600422</v>
      </c>
      <c r="B2460" t="s">
        <v>2630</v>
      </c>
      <c r="C2460">
        <v>1.9</v>
      </c>
      <c r="D2460">
        <v>8.03</v>
      </c>
      <c r="E2460">
        <v>0.15</v>
      </c>
      <c r="F2460">
        <v>8.02</v>
      </c>
      <c r="G2460">
        <v>8.03</v>
      </c>
      <c r="H2460">
        <v>54179</v>
      </c>
      <c r="I2460">
        <v>34</v>
      </c>
      <c r="J2460">
        <v>0</v>
      </c>
      <c r="K2460">
        <v>0.8</v>
      </c>
      <c r="L2460">
        <v>7.85</v>
      </c>
      <c r="M2460">
        <v>8.05</v>
      </c>
      <c r="N2460">
        <v>7.81</v>
      </c>
      <c r="O2460">
        <v>7.88</v>
      </c>
      <c r="P2460">
        <v>19.19</v>
      </c>
      <c r="Q2460">
        <v>43120940</v>
      </c>
      <c r="R2460">
        <v>1.56</v>
      </c>
      <c r="S2460" t="s">
        <v>195</v>
      </c>
      <c r="T2460" t="s">
        <v>250</v>
      </c>
      <c r="U2460">
        <v>3.05</v>
      </c>
      <c r="V2460">
        <v>7.96</v>
      </c>
      <c r="W2460">
        <v>20482</v>
      </c>
      <c r="X2460">
        <v>33697</v>
      </c>
      <c r="Y2460">
        <v>0.61</v>
      </c>
      <c r="Z2460">
        <v>151</v>
      </c>
      <c r="AA2460">
        <v>104</v>
      </c>
      <c r="AB2460" t="s">
        <v>32</v>
      </c>
      <c r="AC2460">
        <v>6.76</v>
      </c>
    </row>
    <row r="2461" spans="1:29">
      <c r="A2461" t="str">
        <f>"600423"</f>
        <v>600423</v>
      </c>
      <c r="B2461" t="s">
        <v>2631</v>
      </c>
      <c r="C2461">
        <v>0</v>
      </c>
      <c r="D2461">
        <v>4.83</v>
      </c>
      <c r="E2461">
        <v>0</v>
      </c>
      <c r="F2461" t="s">
        <v>32</v>
      </c>
      <c r="G2461" t="s">
        <v>32</v>
      </c>
      <c r="H2461">
        <v>0</v>
      </c>
      <c r="I2461">
        <v>0</v>
      </c>
      <c r="J2461">
        <v>0</v>
      </c>
      <c r="K2461">
        <v>0</v>
      </c>
      <c r="L2461" t="s">
        <v>32</v>
      </c>
      <c r="M2461" t="s">
        <v>32</v>
      </c>
      <c r="N2461" t="s">
        <v>32</v>
      </c>
      <c r="O2461">
        <v>4.83</v>
      </c>
      <c r="P2461">
        <v>59.6</v>
      </c>
      <c r="Q2461">
        <v>0</v>
      </c>
      <c r="R2461">
        <v>0</v>
      </c>
      <c r="S2461" t="s">
        <v>145</v>
      </c>
      <c r="T2461" t="s">
        <v>238</v>
      </c>
      <c r="U2461">
        <v>0</v>
      </c>
      <c r="V2461">
        <v>4.83</v>
      </c>
      <c r="W2461">
        <v>0</v>
      </c>
      <c r="X2461">
        <v>0</v>
      </c>
      <c r="Y2461" t="s">
        <v>32</v>
      </c>
      <c r="Z2461">
        <v>0</v>
      </c>
      <c r="AA2461">
        <v>0</v>
      </c>
      <c r="AB2461" t="s">
        <v>32</v>
      </c>
      <c r="AC2461">
        <v>3.99</v>
      </c>
    </row>
    <row r="2462" spans="1:29">
      <c r="A2462" t="str">
        <f>"600425"</f>
        <v>600425</v>
      </c>
      <c r="B2462" t="s">
        <v>2632</v>
      </c>
      <c r="C2462">
        <v>7.59</v>
      </c>
      <c r="D2462">
        <v>3.26</v>
      </c>
      <c r="E2462">
        <v>0.23</v>
      </c>
      <c r="F2462">
        <v>3.26</v>
      </c>
      <c r="G2462">
        <v>3.27</v>
      </c>
      <c r="H2462">
        <v>357409</v>
      </c>
      <c r="I2462">
        <v>101</v>
      </c>
      <c r="J2462">
        <v>0.31</v>
      </c>
      <c r="K2462">
        <v>2.59</v>
      </c>
      <c r="L2462">
        <v>3.04</v>
      </c>
      <c r="M2462">
        <v>3.33</v>
      </c>
      <c r="N2462">
        <v>3.01</v>
      </c>
      <c r="O2462">
        <v>3.03</v>
      </c>
      <c r="P2462" t="s">
        <v>32</v>
      </c>
      <c r="Q2462">
        <v>115098192</v>
      </c>
      <c r="R2462">
        <v>4.43</v>
      </c>
      <c r="S2462" t="s">
        <v>166</v>
      </c>
      <c r="T2462" t="s">
        <v>156</v>
      </c>
      <c r="U2462">
        <v>10.56</v>
      </c>
      <c r="V2462">
        <v>3.22</v>
      </c>
      <c r="W2462">
        <v>136746</v>
      </c>
      <c r="X2462">
        <v>220662</v>
      </c>
      <c r="Y2462">
        <v>0.62</v>
      </c>
      <c r="Z2462">
        <v>482</v>
      </c>
      <c r="AA2462">
        <v>3385</v>
      </c>
      <c r="AB2462" t="s">
        <v>32</v>
      </c>
      <c r="AC2462">
        <v>13.79</v>
      </c>
    </row>
    <row r="2463" spans="1:29">
      <c r="A2463" t="str">
        <f>"600426"</f>
        <v>600426</v>
      </c>
      <c r="B2463" t="s">
        <v>2633</v>
      </c>
      <c r="C2463">
        <v>1</v>
      </c>
      <c r="D2463">
        <v>19.28</v>
      </c>
      <c r="E2463">
        <v>0.19</v>
      </c>
      <c r="F2463">
        <v>19.29</v>
      </c>
      <c r="G2463">
        <v>19.3</v>
      </c>
      <c r="H2463">
        <v>449244</v>
      </c>
      <c r="I2463">
        <v>5</v>
      </c>
      <c r="J2463">
        <v>0.21</v>
      </c>
      <c r="K2463">
        <v>2.78</v>
      </c>
      <c r="L2463">
        <v>19</v>
      </c>
      <c r="M2463">
        <v>19.83</v>
      </c>
      <c r="N2463">
        <v>19</v>
      </c>
      <c r="O2463">
        <v>19.09</v>
      </c>
      <c r="P2463">
        <v>10.64</v>
      </c>
      <c r="Q2463">
        <v>872306304</v>
      </c>
      <c r="R2463">
        <v>1.75</v>
      </c>
      <c r="S2463" t="s">
        <v>145</v>
      </c>
      <c r="T2463" t="s">
        <v>162</v>
      </c>
      <c r="U2463">
        <v>4.35</v>
      </c>
      <c r="V2463">
        <v>19.42</v>
      </c>
      <c r="W2463">
        <v>228277</v>
      </c>
      <c r="X2463">
        <v>220967</v>
      </c>
      <c r="Y2463">
        <v>1.03</v>
      </c>
      <c r="Z2463">
        <v>49</v>
      </c>
      <c r="AA2463">
        <v>199</v>
      </c>
      <c r="AB2463" t="s">
        <v>32</v>
      </c>
      <c r="AC2463">
        <v>16.15</v>
      </c>
    </row>
    <row r="2464" spans="1:29">
      <c r="A2464" t="str">
        <f>"600428"</f>
        <v>600428</v>
      </c>
      <c r="B2464" t="s">
        <v>2634</v>
      </c>
      <c r="C2464">
        <v>9.97</v>
      </c>
      <c r="D2464">
        <v>3.86</v>
      </c>
      <c r="E2464">
        <v>0.35</v>
      </c>
      <c r="F2464">
        <v>3.86</v>
      </c>
      <c r="G2464" t="s">
        <v>32</v>
      </c>
      <c r="H2464">
        <v>427830</v>
      </c>
      <c r="I2464">
        <v>1</v>
      </c>
      <c r="J2464">
        <v>0</v>
      </c>
      <c r="K2464">
        <v>2.53</v>
      </c>
      <c r="L2464">
        <v>3.5</v>
      </c>
      <c r="M2464">
        <v>3.86</v>
      </c>
      <c r="N2464">
        <v>3.46</v>
      </c>
      <c r="O2464">
        <v>3.51</v>
      </c>
      <c r="P2464">
        <v>105.28</v>
      </c>
      <c r="Q2464">
        <v>161448480</v>
      </c>
      <c r="R2464">
        <v>6.17</v>
      </c>
      <c r="S2464" t="s">
        <v>229</v>
      </c>
      <c r="T2464" t="s">
        <v>136</v>
      </c>
      <c r="U2464">
        <v>11.4</v>
      </c>
      <c r="V2464">
        <v>3.77</v>
      </c>
      <c r="W2464">
        <v>229616</v>
      </c>
      <c r="X2464">
        <v>198213</v>
      </c>
      <c r="Y2464">
        <v>1.16</v>
      </c>
      <c r="Z2464">
        <v>1537</v>
      </c>
      <c r="AA2464">
        <v>0</v>
      </c>
      <c r="AB2464" t="s">
        <v>32</v>
      </c>
      <c r="AC2464">
        <v>16.9</v>
      </c>
    </row>
    <row r="2465" spans="1:29">
      <c r="A2465" t="str">
        <f>"600429"</f>
        <v>600429</v>
      </c>
      <c r="B2465" t="s">
        <v>2635</v>
      </c>
      <c r="C2465">
        <v>1.26</v>
      </c>
      <c r="D2465">
        <v>5.61</v>
      </c>
      <c r="E2465">
        <v>0.07</v>
      </c>
      <c r="F2465">
        <v>5.6</v>
      </c>
      <c r="G2465">
        <v>5.61</v>
      </c>
      <c r="H2465">
        <v>36594</v>
      </c>
      <c r="I2465">
        <v>18</v>
      </c>
      <c r="J2465">
        <v>0.36</v>
      </c>
      <c r="K2465">
        <v>0.41</v>
      </c>
      <c r="L2465">
        <v>5.55</v>
      </c>
      <c r="M2465">
        <v>5.62</v>
      </c>
      <c r="N2465">
        <v>5.49</v>
      </c>
      <c r="O2465">
        <v>5.54</v>
      </c>
      <c r="P2465">
        <v>59.13</v>
      </c>
      <c r="Q2465">
        <v>20358044</v>
      </c>
      <c r="R2465">
        <v>1.26</v>
      </c>
      <c r="S2465" t="s">
        <v>953</v>
      </c>
      <c r="T2465" t="s">
        <v>45</v>
      </c>
      <c r="U2465">
        <v>2.35</v>
      </c>
      <c r="V2465">
        <v>5.56</v>
      </c>
      <c r="W2465">
        <v>18203</v>
      </c>
      <c r="X2465">
        <v>18390</v>
      </c>
      <c r="Y2465">
        <v>0.99</v>
      </c>
      <c r="Z2465">
        <v>531</v>
      </c>
      <c r="AA2465">
        <v>23</v>
      </c>
      <c r="AB2465" t="s">
        <v>32</v>
      </c>
      <c r="AC2465">
        <v>8.85</v>
      </c>
    </row>
    <row r="2466" spans="1:29">
      <c r="A2466" t="str">
        <f>"600433"</f>
        <v>600433</v>
      </c>
      <c r="B2466" t="s">
        <v>2636</v>
      </c>
      <c r="C2466">
        <v>0.23</v>
      </c>
      <c r="D2466">
        <v>4.43</v>
      </c>
      <c r="E2466">
        <v>0.01</v>
      </c>
      <c r="F2466">
        <v>4.41</v>
      </c>
      <c r="G2466">
        <v>4.43</v>
      </c>
      <c r="H2466">
        <v>97746</v>
      </c>
      <c r="I2466">
        <v>321</v>
      </c>
      <c r="J2466">
        <v>0.45</v>
      </c>
      <c r="K2466">
        <v>0.77</v>
      </c>
      <c r="L2466">
        <v>4.38</v>
      </c>
      <c r="M2466">
        <v>4.43</v>
      </c>
      <c r="N2466">
        <v>4.34</v>
      </c>
      <c r="O2466">
        <v>4.42</v>
      </c>
      <c r="P2466">
        <v>62.93</v>
      </c>
      <c r="Q2466">
        <v>42876520</v>
      </c>
      <c r="R2466">
        <v>1.66</v>
      </c>
      <c r="S2466" t="s">
        <v>204</v>
      </c>
      <c r="T2466" t="s">
        <v>136</v>
      </c>
      <c r="U2466">
        <v>2.04</v>
      </c>
      <c r="V2466">
        <v>4.39</v>
      </c>
      <c r="W2466">
        <v>55989</v>
      </c>
      <c r="X2466">
        <v>41756</v>
      </c>
      <c r="Y2466">
        <v>1.34</v>
      </c>
      <c r="Z2466">
        <v>494</v>
      </c>
      <c r="AA2466">
        <v>1905</v>
      </c>
      <c r="AB2466" t="s">
        <v>32</v>
      </c>
      <c r="AC2466">
        <v>12.71</v>
      </c>
    </row>
    <row r="2467" spans="1:29">
      <c r="A2467" t="str">
        <f>"600435"</f>
        <v>600435</v>
      </c>
      <c r="B2467" t="s">
        <v>2637</v>
      </c>
      <c r="C2467">
        <v>1.58</v>
      </c>
      <c r="D2467">
        <v>8.34</v>
      </c>
      <c r="E2467">
        <v>0.13</v>
      </c>
      <c r="F2467">
        <v>8.34</v>
      </c>
      <c r="G2467">
        <v>8.35</v>
      </c>
      <c r="H2467">
        <v>222656</v>
      </c>
      <c r="I2467">
        <v>3</v>
      </c>
      <c r="J2467">
        <v>-0.11</v>
      </c>
      <c r="K2467">
        <v>1.5</v>
      </c>
      <c r="L2467">
        <v>8.26</v>
      </c>
      <c r="M2467">
        <v>8.43</v>
      </c>
      <c r="N2467">
        <v>8.18</v>
      </c>
      <c r="O2467">
        <v>8.21</v>
      </c>
      <c r="P2467" t="s">
        <v>32</v>
      </c>
      <c r="Q2467">
        <v>185111824</v>
      </c>
      <c r="R2467">
        <v>1.77</v>
      </c>
      <c r="S2467" t="s">
        <v>171</v>
      </c>
      <c r="T2467" t="s">
        <v>45</v>
      </c>
      <c r="U2467">
        <v>3.05</v>
      </c>
      <c r="V2467">
        <v>8.31</v>
      </c>
      <c r="W2467">
        <v>97535</v>
      </c>
      <c r="X2467">
        <v>125121</v>
      </c>
      <c r="Y2467">
        <v>0.78</v>
      </c>
      <c r="Z2467">
        <v>68</v>
      </c>
      <c r="AA2467">
        <v>1562</v>
      </c>
      <c r="AB2467" t="s">
        <v>32</v>
      </c>
      <c r="AC2467">
        <v>14.89</v>
      </c>
    </row>
    <row r="2468" spans="1:29">
      <c r="A2468" t="str">
        <f>"600436"</f>
        <v>600436</v>
      </c>
      <c r="B2468" t="s">
        <v>2638</v>
      </c>
      <c r="C2468">
        <v>0.38</v>
      </c>
      <c r="D2468">
        <v>117.86</v>
      </c>
      <c r="E2468">
        <v>0.45</v>
      </c>
      <c r="F2468">
        <v>117.75</v>
      </c>
      <c r="G2468">
        <v>117.8</v>
      </c>
      <c r="H2468">
        <v>67593</v>
      </c>
      <c r="I2468">
        <v>49</v>
      </c>
      <c r="J2468">
        <v>0.14</v>
      </c>
      <c r="K2468">
        <v>1.12</v>
      </c>
      <c r="L2468">
        <v>116.3</v>
      </c>
      <c r="M2468">
        <v>119.85</v>
      </c>
      <c r="N2468">
        <v>115</v>
      </c>
      <c r="O2468">
        <v>117.41</v>
      </c>
      <c r="P2468">
        <v>54.51</v>
      </c>
      <c r="Q2468">
        <v>794814080</v>
      </c>
      <c r="R2468">
        <v>1.04</v>
      </c>
      <c r="S2468" t="s">
        <v>195</v>
      </c>
      <c r="T2468" t="s">
        <v>236</v>
      </c>
      <c r="U2468">
        <v>4.13</v>
      </c>
      <c r="V2468">
        <v>117.59</v>
      </c>
      <c r="W2468">
        <v>31733</v>
      </c>
      <c r="X2468">
        <v>35859</v>
      </c>
      <c r="Y2468">
        <v>0.88</v>
      </c>
      <c r="Z2468">
        <v>1</v>
      </c>
      <c r="AA2468">
        <v>1</v>
      </c>
      <c r="AB2468" t="s">
        <v>32</v>
      </c>
      <c r="AC2468">
        <v>6.03</v>
      </c>
    </row>
    <row r="2469" spans="1:29">
      <c r="A2469" t="str">
        <f>"600438"</f>
        <v>600438</v>
      </c>
      <c r="B2469" t="s">
        <v>2639</v>
      </c>
      <c r="C2469">
        <v>10.08</v>
      </c>
      <c r="D2469">
        <v>6.99</v>
      </c>
      <c r="E2469">
        <v>0.64</v>
      </c>
      <c r="F2469">
        <v>6.99</v>
      </c>
      <c r="G2469" t="s">
        <v>32</v>
      </c>
      <c r="H2469">
        <v>556559</v>
      </c>
      <c r="I2469">
        <v>20</v>
      </c>
      <c r="J2469">
        <v>0</v>
      </c>
      <c r="K2469">
        <v>2</v>
      </c>
      <c r="L2469">
        <v>6.39</v>
      </c>
      <c r="M2469">
        <v>6.99</v>
      </c>
      <c r="N2469">
        <v>6.32</v>
      </c>
      <c r="O2469">
        <v>6.35</v>
      </c>
      <c r="P2469">
        <v>21.18</v>
      </c>
      <c r="Q2469">
        <v>375065920</v>
      </c>
      <c r="R2469">
        <v>3.13</v>
      </c>
      <c r="S2469" t="s">
        <v>102</v>
      </c>
      <c r="T2469" t="s">
        <v>146</v>
      </c>
      <c r="U2469">
        <v>10.55</v>
      </c>
      <c r="V2469">
        <v>6.74</v>
      </c>
      <c r="W2469">
        <v>245786</v>
      </c>
      <c r="X2469">
        <v>310773</v>
      </c>
      <c r="Y2469">
        <v>0.79</v>
      </c>
      <c r="Z2469">
        <v>46221</v>
      </c>
      <c r="AA2469">
        <v>0</v>
      </c>
      <c r="AB2469" t="s">
        <v>32</v>
      </c>
      <c r="AC2469">
        <v>27.82</v>
      </c>
    </row>
    <row r="2470" spans="1:29">
      <c r="A2470" t="str">
        <f>"600439"</f>
        <v>600439</v>
      </c>
      <c r="B2470" t="s">
        <v>2640</v>
      </c>
      <c r="C2470">
        <v>1.78</v>
      </c>
      <c r="D2470">
        <v>3.43</v>
      </c>
      <c r="E2470">
        <v>0.06</v>
      </c>
      <c r="F2470">
        <v>3.43</v>
      </c>
      <c r="G2470">
        <v>3.44</v>
      </c>
      <c r="H2470">
        <v>219573</v>
      </c>
      <c r="I2470">
        <v>187</v>
      </c>
      <c r="J2470">
        <v>-0.28</v>
      </c>
      <c r="K2470">
        <v>1.94</v>
      </c>
      <c r="L2470">
        <v>3.39</v>
      </c>
      <c r="M2470">
        <v>3.45</v>
      </c>
      <c r="N2470">
        <v>3.37</v>
      </c>
      <c r="O2470">
        <v>3.37</v>
      </c>
      <c r="P2470">
        <v>19.46</v>
      </c>
      <c r="Q2470">
        <v>75124720</v>
      </c>
      <c r="R2470">
        <v>0.98</v>
      </c>
      <c r="S2470" t="s">
        <v>622</v>
      </c>
      <c r="T2470" t="s">
        <v>164</v>
      </c>
      <c r="U2470">
        <v>2.37</v>
      </c>
      <c r="V2470">
        <v>3.42</v>
      </c>
      <c r="W2470">
        <v>109576</v>
      </c>
      <c r="X2470">
        <v>109996</v>
      </c>
      <c r="Y2470">
        <v>1</v>
      </c>
      <c r="Z2470">
        <v>2125</v>
      </c>
      <c r="AA2470">
        <v>6101</v>
      </c>
      <c r="AB2470" t="s">
        <v>32</v>
      </c>
      <c r="AC2470">
        <v>11.32</v>
      </c>
    </row>
    <row r="2471" spans="1:29">
      <c r="A2471" t="str">
        <f>"600444"</f>
        <v>600444</v>
      </c>
      <c r="B2471" t="s">
        <v>2641</v>
      </c>
      <c r="C2471">
        <v>2.35</v>
      </c>
      <c r="D2471">
        <v>11.34</v>
      </c>
      <c r="E2471">
        <v>0.26</v>
      </c>
      <c r="F2471">
        <v>11.3</v>
      </c>
      <c r="G2471">
        <v>11.33</v>
      </c>
      <c r="H2471">
        <v>6841</v>
      </c>
      <c r="I2471">
        <v>8</v>
      </c>
      <c r="J2471">
        <v>0.27</v>
      </c>
      <c r="K2471">
        <v>0.65</v>
      </c>
      <c r="L2471">
        <v>11.06</v>
      </c>
      <c r="M2471">
        <v>11.36</v>
      </c>
      <c r="N2471">
        <v>11.03</v>
      </c>
      <c r="O2471">
        <v>11.08</v>
      </c>
      <c r="P2471" t="s">
        <v>32</v>
      </c>
      <c r="Q2471">
        <v>7687486</v>
      </c>
      <c r="R2471">
        <v>1.24</v>
      </c>
      <c r="S2471" t="s">
        <v>508</v>
      </c>
      <c r="T2471" t="s">
        <v>143</v>
      </c>
      <c r="U2471">
        <v>2.98</v>
      </c>
      <c r="V2471">
        <v>11.24</v>
      </c>
      <c r="W2471">
        <v>3160</v>
      </c>
      <c r="X2471">
        <v>3681</v>
      </c>
      <c r="Y2471">
        <v>0.86</v>
      </c>
      <c r="Z2471">
        <v>50</v>
      </c>
      <c r="AA2471">
        <v>2</v>
      </c>
      <c r="AB2471" t="s">
        <v>32</v>
      </c>
      <c r="AC2471">
        <v>1.05</v>
      </c>
    </row>
    <row r="2472" spans="1:29">
      <c r="A2472" t="str">
        <f>"600446"</f>
        <v>600446</v>
      </c>
      <c r="B2472" t="s">
        <v>2642</v>
      </c>
      <c r="C2472">
        <v>3.86</v>
      </c>
      <c r="D2472">
        <v>11.03</v>
      </c>
      <c r="E2472">
        <v>0.41</v>
      </c>
      <c r="F2472">
        <v>11.03</v>
      </c>
      <c r="G2472">
        <v>11.04</v>
      </c>
      <c r="H2472">
        <v>218534</v>
      </c>
      <c r="I2472">
        <v>3</v>
      </c>
      <c r="J2472">
        <v>0.36</v>
      </c>
      <c r="K2472">
        <v>2.62</v>
      </c>
      <c r="L2472">
        <v>10.69</v>
      </c>
      <c r="M2472">
        <v>11.22</v>
      </c>
      <c r="N2472">
        <v>10.41</v>
      </c>
      <c r="O2472">
        <v>10.62</v>
      </c>
      <c r="P2472" t="s">
        <v>32</v>
      </c>
      <c r="Q2472">
        <v>238733232</v>
      </c>
      <c r="R2472">
        <v>2.71</v>
      </c>
      <c r="S2472" t="s">
        <v>270</v>
      </c>
      <c r="T2472" t="s">
        <v>31</v>
      </c>
      <c r="U2472">
        <v>7.63</v>
      </c>
      <c r="V2472">
        <v>10.92</v>
      </c>
      <c r="W2472">
        <v>101444</v>
      </c>
      <c r="X2472">
        <v>117089</v>
      </c>
      <c r="Y2472">
        <v>0.87</v>
      </c>
      <c r="Z2472">
        <v>164</v>
      </c>
      <c r="AA2472">
        <v>1178</v>
      </c>
      <c r="AB2472" t="s">
        <v>32</v>
      </c>
      <c r="AC2472">
        <v>8.35</v>
      </c>
    </row>
    <row r="2473" spans="1:29">
      <c r="A2473" t="str">
        <f>"600448"</f>
        <v>600448</v>
      </c>
      <c r="B2473" t="s">
        <v>2643</v>
      </c>
      <c r="C2473">
        <v>1.9</v>
      </c>
      <c r="D2473">
        <v>4.82</v>
      </c>
      <c r="E2473">
        <v>0.09</v>
      </c>
      <c r="F2473">
        <v>4.81</v>
      </c>
      <c r="G2473">
        <v>4.82</v>
      </c>
      <c r="H2473">
        <v>597910</v>
      </c>
      <c r="I2473">
        <v>208</v>
      </c>
      <c r="J2473">
        <v>0</v>
      </c>
      <c r="K2473">
        <v>14.16</v>
      </c>
      <c r="L2473">
        <v>4.87</v>
      </c>
      <c r="M2473">
        <v>4.92</v>
      </c>
      <c r="N2473">
        <v>4.65</v>
      </c>
      <c r="O2473">
        <v>4.73</v>
      </c>
      <c r="P2473">
        <v>351.75</v>
      </c>
      <c r="Q2473">
        <v>285679904</v>
      </c>
      <c r="R2473">
        <v>0.85</v>
      </c>
      <c r="S2473" t="s">
        <v>99</v>
      </c>
      <c r="T2473" t="s">
        <v>162</v>
      </c>
      <c r="U2473">
        <v>5.71</v>
      </c>
      <c r="V2473">
        <v>4.78</v>
      </c>
      <c r="W2473">
        <v>302438</v>
      </c>
      <c r="X2473">
        <v>295472</v>
      </c>
      <c r="Y2473">
        <v>1.02</v>
      </c>
      <c r="Z2473">
        <v>172</v>
      </c>
      <c r="AA2473">
        <v>2735</v>
      </c>
      <c r="AB2473" t="s">
        <v>32</v>
      </c>
      <c r="AC2473">
        <v>4.22</v>
      </c>
    </row>
    <row r="2474" spans="1:29">
      <c r="A2474" t="str">
        <f>"600449"</f>
        <v>600449</v>
      </c>
      <c r="B2474" t="s">
        <v>2644</v>
      </c>
      <c r="C2474">
        <v>9.46</v>
      </c>
      <c r="D2474">
        <v>8.91</v>
      </c>
      <c r="E2474">
        <v>0.77</v>
      </c>
      <c r="F2474">
        <v>8.91</v>
      </c>
      <c r="G2474">
        <v>8.92</v>
      </c>
      <c r="H2474">
        <v>186447</v>
      </c>
      <c r="I2474">
        <v>1</v>
      </c>
      <c r="J2474">
        <v>0.34</v>
      </c>
      <c r="K2474">
        <v>3.9</v>
      </c>
      <c r="L2474">
        <v>8.3</v>
      </c>
      <c r="M2474">
        <v>8.95</v>
      </c>
      <c r="N2474">
        <v>8.22</v>
      </c>
      <c r="O2474">
        <v>8.14</v>
      </c>
      <c r="P2474" t="s">
        <v>32</v>
      </c>
      <c r="Q2474">
        <v>161087456</v>
      </c>
      <c r="R2474">
        <v>6.02</v>
      </c>
      <c r="S2474" t="s">
        <v>166</v>
      </c>
      <c r="T2474" t="s">
        <v>273</v>
      </c>
      <c r="U2474">
        <v>8.97</v>
      </c>
      <c r="V2474">
        <v>8.64</v>
      </c>
      <c r="W2474">
        <v>73855</v>
      </c>
      <c r="X2474">
        <v>112591</v>
      </c>
      <c r="Y2474">
        <v>0.66</v>
      </c>
      <c r="Z2474">
        <v>92</v>
      </c>
      <c r="AA2474">
        <v>752</v>
      </c>
      <c r="AB2474" t="s">
        <v>32</v>
      </c>
      <c r="AC2474">
        <v>4.78</v>
      </c>
    </row>
    <row r="2475" spans="1:29">
      <c r="A2475" t="str">
        <f>"600452"</f>
        <v>600452</v>
      </c>
      <c r="B2475" t="s">
        <v>2645</v>
      </c>
      <c r="C2475">
        <v>9.21</v>
      </c>
      <c r="D2475">
        <v>20.4</v>
      </c>
      <c r="E2475">
        <v>1.72</v>
      </c>
      <c r="F2475">
        <v>20.39</v>
      </c>
      <c r="G2475">
        <v>20.4</v>
      </c>
      <c r="H2475">
        <v>23909</v>
      </c>
      <c r="I2475">
        <v>1</v>
      </c>
      <c r="J2475">
        <v>0.1</v>
      </c>
      <c r="K2475">
        <v>1.07</v>
      </c>
      <c r="L2475">
        <v>18.78</v>
      </c>
      <c r="M2475">
        <v>20.55</v>
      </c>
      <c r="N2475">
        <v>18.58</v>
      </c>
      <c r="O2475">
        <v>18.68</v>
      </c>
      <c r="P2475">
        <v>18.39</v>
      </c>
      <c r="Q2475">
        <v>47891296</v>
      </c>
      <c r="R2475">
        <v>3.98</v>
      </c>
      <c r="S2475" t="s">
        <v>312</v>
      </c>
      <c r="T2475" t="s">
        <v>221</v>
      </c>
      <c r="U2475">
        <v>10.55</v>
      </c>
      <c r="V2475">
        <v>20.03</v>
      </c>
      <c r="W2475">
        <v>8679</v>
      </c>
      <c r="X2475">
        <v>15229</v>
      </c>
      <c r="Y2475">
        <v>0.57</v>
      </c>
      <c r="Z2475">
        <v>25</v>
      </c>
      <c r="AA2475">
        <v>126</v>
      </c>
      <c r="AB2475" t="s">
        <v>32</v>
      </c>
      <c r="AC2475">
        <v>2.24</v>
      </c>
    </row>
    <row r="2476" spans="1:29">
      <c r="A2476" t="str">
        <f>"600455"</f>
        <v>600455</v>
      </c>
      <c r="B2476" t="s">
        <v>2646</v>
      </c>
      <c r="C2476">
        <v>1.58</v>
      </c>
      <c r="D2476">
        <v>21.23</v>
      </c>
      <c r="E2476">
        <v>0.33</v>
      </c>
      <c r="F2476">
        <v>21.2</v>
      </c>
      <c r="G2476">
        <v>21.26</v>
      </c>
      <c r="H2476">
        <v>3921</v>
      </c>
      <c r="I2476">
        <v>7</v>
      </c>
      <c r="J2476">
        <v>-0.22</v>
      </c>
      <c r="K2476">
        <v>0.63</v>
      </c>
      <c r="L2476">
        <v>20.99</v>
      </c>
      <c r="M2476">
        <v>21.4</v>
      </c>
      <c r="N2476">
        <v>20.71</v>
      </c>
      <c r="O2476">
        <v>20.9</v>
      </c>
      <c r="P2476" t="s">
        <v>32</v>
      </c>
      <c r="Q2476">
        <v>8278705</v>
      </c>
      <c r="R2476">
        <v>1.82</v>
      </c>
      <c r="S2476" t="s">
        <v>270</v>
      </c>
      <c r="T2476" t="s">
        <v>223</v>
      </c>
      <c r="U2476">
        <v>3.3</v>
      </c>
      <c r="V2476">
        <v>21.11</v>
      </c>
      <c r="W2476">
        <v>1664</v>
      </c>
      <c r="X2476">
        <v>2257</v>
      </c>
      <c r="Y2476">
        <v>0.74</v>
      </c>
      <c r="Z2476">
        <v>9</v>
      </c>
      <c r="AA2476">
        <v>2</v>
      </c>
      <c r="AB2476" t="s">
        <v>32</v>
      </c>
      <c r="AC2476">
        <v>0.62</v>
      </c>
    </row>
    <row r="2477" spans="1:29">
      <c r="A2477" t="str">
        <f>"600456"</f>
        <v>600456</v>
      </c>
      <c r="B2477" t="s">
        <v>2647</v>
      </c>
      <c r="C2477">
        <v>0.19</v>
      </c>
      <c r="D2477">
        <v>15.57</v>
      </c>
      <c r="E2477">
        <v>0.03</v>
      </c>
      <c r="F2477">
        <v>15.56</v>
      </c>
      <c r="G2477">
        <v>15.57</v>
      </c>
      <c r="H2477">
        <v>44860</v>
      </c>
      <c r="I2477">
        <v>3</v>
      </c>
      <c r="J2477">
        <v>0.13</v>
      </c>
      <c r="K2477">
        <v>1.04</v>
      </c>
      <c r="L2477">
        <v>15.52</v>
      </c>
      <c r="M2477">
        <v>15.9</v>
      </c>
      <c r="N2477">
        <v>15.38</v>
      </c>
      <c r="O2477">
        <v>15.54</v>
      </c>
      <c r="P2477" t="s">
        <v>32</v>
      </c>
      <c r="Q2477">
        <v>70197232</v>
      </c>
      <c r="R2477">
        <v>1.1</v>
      </c>
      <c r="S2477" t="s">
        <v>356</v>
      </c>
      <c r="T2477" t="s">
        <v>223</v>
      </c>
      <c r="U2477">
        <v>3.35</v>
      </c>
      <c r="V2477">
        <v>15.65</v>
      </c>
      <c r="W2477">
        <v>24339</v>
      </c>
      <c r="X2477">
        <v>20520</v>
      </c>
      <c r="Y2477">
        <v>1.19</v>
      </c>
      <c r="Z2477">
        <v>96</v>
      </c>
      <c r="AA2477">
        <v>11</v>
      </c>
      <c r="AB2477" t="s">
        <v>32</v>
      </c>
      <c r="AC2477">
        <v>4.3</v>
      </c>
    </row>
    <row r="2478" spans="1:29">
      <c r="A2478" t="str">
        <f>"600458"</f>
        <v>600458</v>
      </c>
      <c r="B2478" t="s">
        <v>2648</v>
      </c>
      <c r="C2478">
        <v>-1.19</v>
      </c>
      <c r="D2478">
        <v>9.17</v>
      </c>
      <c r="E2478">
        <v>-0.11</v>
      </c>
      <c r="F2478">
        <v>9.18</v>
      </c>
      <c r="G2478">
        <v>9.19</v>
      </c>
      <c r="H2478">
        <v>111762</v>
      </c>
      <c r="I2478">
        <v>60</v>
      </c>
      <c r="J2478">
        <v>0.55</v>
      </c>
      <c r="K2478">
        <v>1.69</v>
      </c>
      <c r="L2478">
        <v>9.39</v>
      </c>
      <c r="M2478">
        <v>9.52</v>
      </c>
      <c r="N2478">
        <v>9.08</v>
      </c>
      <c r="O2478">
        <v>9.28</v>
      </c>
      <c r="P2478">
        <v>54.54</v>
      </c>
      <c r="Q2478">
        <v>103177280</v>
      </c>
      <c r="R2478">
        <v>0.51</v>
      </c>
      <c r="S2478" t="s">
        <v>508</v>
      </c>
      <c r="T2478" t="s">
        <v>152</v>
      </c>
      <c r="U2478">
        <v>4.74</v>
      </c>
      <c r="V2478">
        <v>9.23</v>
      </c>
      <c r="W2478">
        <v>55975</v>
      </c>
      <c r="X2478">
        <v>55787</v>
      </c>
      <c r="Y2478">
        <v>1</v>
      </c>
      <c r="Z2478">
        <v>90</v>
      </c>
      <c r="AA2478">
        <v>165</v>
      </c>
      <c r="AB2478" t="s">
        <v>32</v>
      </c>
      <c r="AC2478">
        <v>6.61</v>
      </c>
    </row>
    <row r="2479" spans="1:29">
      <c r="A2479" t="str">
        <f>"600459"</f>
        <v>600459</v>
      </c>
      <c r="B2479" t="s">
        <v>2649</v>
      </c>
      <c r="C2479">
        <v>2.65</v>
      </c>
      <c r="D2479">
        <v>11.24</v>
      </c>
      <c r="E2479">
        <v>0.29</v>
      </c>
      <c r="F2479">
        <v>11.24</v>
      </c>
      <c r="G2479">
        <v>11.25</v>
      </c>
      <c r="H2479">
        <v>62524</v>
      </c>
      <c r="I2479">
        <v>20</v>
      </c>
      <c r="J2479">
        <v>0.18</v>
      </c>
      <c r="K2479">
        <v>1.84</v>
      </c>
      <c r="L2479">
        <v>10.98</v>
      </c>
      <c r="M2479">
        <v>11.27</v>
      </c>
      <c r="N2479">
        <v>10.89</v>
      </c>
      <c r="O2479">
        <v>10.95</v>
      </c>
      <c r="P2479">
        <v>47.83</v>
      </c>
      <c r="Q2479">
        <v>69816144</v>
      </c>
      <c r="R2479">
        <v>2.43</v>
      </c>
      <c r="S2479" t="s">
        <v>356</v>
      </c>
      <c r="T2479" t="s">
        <v>250</v>
      </c>
      <c r="U2479">
        <v>3.47</v>
      </c>
      <c r="V2479">
        <v>11.17</v>
      </c>
      <c r="W2479">
        <v>31082</v>
      </c>
      <c r="X2479">
        <v>31441</v>
      </c>
      <c r="Y2479">
        <v>0.99</v>
      </c>
      <c r="Z2479">
        <v>27</v>
      </c>
      <c r="AA2479">
        <v>599</v>
      </c>
      <c r="AB2479" t="s">
        <v>32</v>
      </c>
      <c r="AC2479">
        <v>3.39</v>
      </c>
    </row>
    <row r="2480" spans="1:29">
      <c r="A2480" t="str">
        <f>"600460"</f>
        <v>600460</v>
      </c>
      <c r="B2480" t="s">
        <v>2650</v>
      </c>
      <c r="C2480">
        <v>3.41</v>
      </c>
      <c r="D2480">
        <v>13.04</v>
      </c>
      <c r="E2480">
        <v>0.43</v>
      </c>
      <c r="F2480">
        <v>13.04</v>
      </c>
      <c r="G2480">
        <v>13.05</v>
      </c>
      <c r="H2480">
        <v>673198</v>
      </c>
      <c r="I2480">
        <v>62</v>
      </c>
      <c r="J2480">
        <v>0.23</v>
      </c>
      <c r="K2480">
        <v>5.4</v>
      </c>
      <c r="L2480">
        <v>12.56</v>
      </c>
      <c r="M2480">
        <v>13.2</v>
      </c>
      <c r="N2480">
        <v>12.45</v>
      </c>
      <c r="O2480">
        <v>12.61</v>
      </c>
      <c r="P2480">
        <v>137.37</v>
      </c>
      <c r="Q2480">
        <v>868206400</v>
      </c>
      <c r="R2480">
        <v>2.4</v>
      </c>
      <c r="S2480" t="s">
        <v>699</v>
      </c>
      <c r="T2480" t="s">
        <v>149</v>
      </c>
      <c r="U2480">
        <v>5.95</v>
      </c>
      <c r="V2480">
        <v>12.9</v>
      </c>
      <c r="W2480">
        <v>322207</v>
      </c>
      <c r="X2480">
        <v>350990</v>
      </c>
      <c r="Y2480">
        <v>0.92</v>
      </c>
      <c r="Z2480">
        <v>900</v>
      </c>
      <c r="AA2480">
        <v>1803</v>
      </c>
      <c r="AB2480" t="s">
        <v>32</v>
      </c>
      <c r="AC2480">
        <v>12.47</v>
      </c>
    </row>
    <row r="2481" spans="1:29">
      <c r="A2481" t="str">
        <f>"600461"</f>
        <v>600461</v>
      </c>
      <c r="B2481" t="s">
        <v>2651</v>
      </c>
      <c r="C2481">
        <v>0.32</v>
      </c>
      <c r="D2481">
        <v>6.31</v>
      </c>
      <c r="E2481">
        <v>0.02</v>
      </c>
      <c r="F2481">
        <v>6.31</v>
      </c>
      <c r="G2481">
        <v>6.32</v>
      </c>
      <c r="H2481">
        <v>45992</v>
      </c>
      <c r="I2481">
        <v>4</v>
      </c>
      <c r="J2481">
        <v>-0.15</v>
      </c>
      <c r="K2481">
        <v>0.77</v>
      </c>
      <c r="L2481">
        <v>6.28</v>
      </c>
      <c r="M2481">
        <v>6.34</v>
      </c>
      <c r="N2481">
        <v>6.26</v>
      </c>
      <c r="O2481">
        <v>6.29</v>
      </c>
      <c r="P2481">
        <v>13.48</v>
      </c>
      <c r="Q2481">
        <v>28975572</v>
      </c>
      <c r="R2481">
        <v>2.11</v>
      </c>
      <c r="S2481" t="s">
        <v>308</v>
      </c>
      <c r="T2481" t="s">
        <v>172</v>
      </c>
      <c r="U2481">
        <v>1.27</v>
      </c>
      <c r="V2481">
        <v>6.3</v>
      </c>
      <c r="W2481">
        <v>26442</v>
      </c>
      <c r="X2481">
        <v>19549</v>
      </c>
      <c r="Y2481">
        <v>1.35</v>
      </c>
      <c r="Z2481">
        <v>351</v>
      </c>
      <c r="AA2481">
        <v>300</v>
      </c>
      <c r="AB2481" t="s">
        <v>32</v>
      </c>
      <c r="AC2481">
        <v>5.94</v>
      </c>
    </row>
    <row r="2482" spans="1:29">
      <c r="A2482" t="str">
        <f>"600462"</f>
        <v>600462</v>
      </c>
      <c r="B2482" t="s">
        <v>2652</v>
      </c>
      <c r="C2482">
        <v>2.05</v>
      </c>
      <c r="D2482">
        <v>3.48</v>
      </c>
      <c r="E2482">
        <v>0.07</v>
      </c>
      <c r="F2482">
        <v>3.47</v>
      </c>
      <c r="G2482">
        <v>3.48</v>
      </c>
      <c r="H2482">
        <v>121788</v>
      </c>
      <c r="I2482">
        <v>10</v>
      </c>
      <c r="J2482">
        <v>0.29</v>
      </c>
      <c r="K2482">
        <v>2.28</v>
      </c>
      <c r="L2482">
        <v>3.42</v>
      </c>
      <c r="M2482">
        <v>3.49</v>
      </c>
      <c r="N2482">
        <v>3.38</v>
      </c>
      <c r="O2482">
        <v>3.41</v>
      </c>
      <c r="P2482">
        <v>966.67</v>
      </c>
      <c r="Q2482">
        <v>41860212</v>
      </c>
      <c r="R2482">
        <v>2.22</v>
      </c>
      <c r="S2482" t="s">
        <v>63</v>
      </c>
      <c r="T2482" t="s">
        <v>31</v>
      </c>
      <c r="U2482">
        <v>3.23</v>
      </c>
      <c r="V2482">
        <v>3.44</v>
      </c>
      <c r="W2482">
        <v>70993</v>
      </c>
      <c r="X2482">
        <v>50795</v>
      </c>
      <c r="Y2482">
        <v>1.4</v>
      </c>
      <c r="Z2482">
        <v>400</v>
      </c>
      <c r="AA2482">
        <v>441</v>
      </c>
      <c r="AB2482" t="s">
        <v>32</v>
      </c>
      <c r="AC2482">
        <v>5.34</v>
      </c>
    </row>
    <row r="2483" spans="1:29">
      <c r="A2483" t="str">
        <f>"600463"</f>
        <v>600463</v>
      </c>
      <c r="B2483" t="s">
        <v>2653</v>
      </c>
      <c r="C2483">
        <v>4.14</v>
      </c>
      <c r="D2483">
        <v>7.3</v>
      </c>
      <c r="E2483">
        <v>0.29</v>
      </c>
      <c r="F2483">
        <v>7.29</v>
      </c>
      <c r="G2483">
        <v>7.31</v>
      </c>
      <c r="H2483">
        <v>31634</v>
      </c>
      <c r="I2483">
        <v>50</v>
      </c>
      <c r="J2483">
        <v>-0.13</v>
      </c>
      <c r="K2483">
        <v>1.05</v>
      </c>
      <c r="L2483">
        <v>7</v>
      </c>
      <c r="M2483">
        <v>7.36</v>
      </c>
      <c r="N2483">
        <v>6.95</v>
      </c>
      <c r="O2483">
        <v>7.01</v>
      </c>
      <c r="P2483">
        <v>88.61</v>
      </c>
      <c r="Q2483">
        <v>22869940</v>
      </c>
      <c r="R2483">
        <v>2.87</v>
      </c>
      <c r="S2483" t="s">
        <v>338</v>
      </c>
      <c r="T2483" t="s">
        <v>45</v>
      </c>
      <c r="U2483">
        <v>5.85</v>
      </c>
      <c r="V2483">
        <v>7.23</v>
      </c>
      <c r="W2483">
        <v>14155</v>
      </c>
      <c r="X2483">
        <v>17479</v>
      </c>
      <c r="Y2483">
        <v>0.81</v>
      </c>
      <c r="Z2483">
        <v>298</v>
      </c>
      <c r="AA2483">
        <v>345</v>
      </c>
      <c r="AB2483" t="s">
        <v>32</v>
      </c>
      <c r="AC2483">
        <v>3</v>
      </c>
    </row>
    <row r="2484" spans="1:29">
      <c r="A2484" t="str">
        <f>"600466"</f>
        <v>600466</v>
      </c>
      <c r="B2484" t="s">
        <v>2654</v>
      </c>
      <c r="C2484">
        <v>3.6</v>
      </c>
      <c r="D2484">
        <v>6.05</v>
      </c>
      <c r="E2484">
        <v>0.21</v>
      </c>
      <c r="F2484">
        <v>6.05</v>
      </c>
      <c r="G2484">
        <v>6.06</v>
      </c>
      <c r="H2484">
        <v>154305</v>
      </c>
      <c r="I2484">
        <v>103</v>
      </c>
      <c r="J2484">
        <v>0</v>
      </c>
      <c r="K2484">
        <v>0.52</v>
      </c>
      <c r="L2484">
        <v>5.87</v>
      </c>
      <c r="M2484">
        <v>6.1</v>
      </c>
      <c r="N2484">
        <v>5.85</v>
      </c>
      <c r="O2484">
        <v>5.84</v>
      </c>
      <c r="P2484">
        <v>14.97</v>
      </c>
      <c r="Q2484">
        <v>92960608</v>
      </c>
      <c r="R2484">
        <v>1.8</v>
      </c>
      <c r="S2484" t="s">
        <v>40</v>
      </c>
      <c r="T2484" t="s">
        <v>146</v>
      </c>
      <c r="U2484">
        <v>4.28</v>
      </c>
      <c r="V2484">
        <v>6.02</v>
      </c>
      <c r="W2484">
        <v>69025</v>
      </c>
      <c r="X2484">
        <v>85280</v>
      </c>
      <c r="Y2484">
        <v>0.81</v>
      </c>
      <c r="Z2484">
        <v>163</v>
      </c>
      <c r="AA2484">
        <v>1267</v>
      </c>
      <c r="AB2484" t="s">
        <v>32</v>
      </c>
      <c r="AC2484">
        <v>29.73</v>
      </c>
    </row>
    <row r="2485" spans="1:29">
      <c r="A2485" t="str">
        <f>"600467"</f>
        <v>600467</v>
      </c>
      <c r="B2485" t="s">
        <v>2655</v>
      </c>
      <c r="C2485">
        <v>1.29</v>
      </c>
      <c r="D2485">
        <v>2.35</v>
      </c>
      <c r="E2485">
        <v>0.03</v>
      </c>
      <c r="F2485">
        <v>2.35</v>
      </c>
      <c r="G2485">
        <v>2.36</v>
      </c>
      <c r="H2485">
        <v>99008</v>
      </c>
      <c r="I2485">
        <v>100</v>
      </c>
      <c r="J2485">
        <v>0</v>
      </c>
      <c r="K2485">
        <v>0.68</v>
      </c>
      <c r="L2485">
        <v>2.3</v>
      </c>
      <c r="M2485">
        <v>2.37</v>
      </c>
      <c r="N2485">
        <v>2.3</v>
      </c>
      <c r="O2485">
        <v>2.32</v>
      </c>
      <c r="P2485">
        <v>82.32</v>
      </c>
      <c r="Q2485">
        <v>23221676</v>
      </c>
      <c r="R2485">
        <v>1.73</v>
      </c>
      <c r="S2485" t="s">
        <v>466</v>
      </c>
      <c r="T2485" t="s">
        <v>162</v>
      </c>
      <c r="U2485">
        <v>3.02</v>
      </c>
      <c r="V2485">
        <v>2.35</v>
      </c>
      <c r="W2485">
        <v>52091</v>
      </c>
      <c r="X2485">
        <v>46917</v>
      </c>
      <c r="Y2485">
        <v>1.11</v>
      </c>
      <c r="Z2485">
        <v>821</v>
      </c>
      <c r="AA2485">
        <v>3862</v>
      </c>
      <c r="AB2485" t="s">
        <v>32</v>
      </c>
      <c r="AC2485">
        <v>14.61</v>
      </c>
    </row>
    <row r="2486" spans="1:29">
      <c r="A2486" t="str">
        <f>"600468"</f>
        <v>600468</v>
      </c>
      <c r="B2486" t="s">
        <v>2656</v>
      </c>
      <c r="C2486">
        <v>0.91</v>
      </c>
      <c r="D2486">
        <v>5.53</v>
      </c>
      <c r="E2486">
        <v>0.05</v>
      </c>
      <c r="F2486">
        <v>5.53</v>
      </c>
      <c r="G2486">
        <v>5.54</v>
      </c>
      <c r="H2486">
        <v>24209</v>
      </c>
      <c r="I2486">
        <v>106</v>
      </c>
      <c r="J2486">
        <v>0.36</v>
      </c>
      <c r="K2486">
        <v>0.3</v>
      </c>
      <c r="L2486">
        <v>5.5</v>
      </c>
      <c r="M2486">
        <v>5.54</v>
      </c>
      <c r="N2486">
        <v>5.4</v>
      </c>
      <c r="O2486">
        <v>5.48</v>
      </c>
      <c r="P2486">
        <v>67.5</v>
      </c>
      <c r="Q2486">
        <v>13238934</v>
      </c>
      <c r="R2486">
        <v>1.46</v>
      </c>
      <c r="S2486" t="s">
        <v>104</v>
      </c>
      <c r="T2486" t="s">
        <v>248</v>
      </c>
      <c r="U2486">
        <v>2.55</v>
      </c>
      <c r="V2486">
        <v>5.47</v>
      </c>
      <c r="W2486">
        <v>14933</v>
      </c>
      <c r="X2486">
        <v>9275</v>
      </c>
      <c r="Y2486">
        <v>1.61</v>
      </c>
      <c r="Z2486">
        <v>94</v>
      </c>
      <c r="AA2486">
        <v>188</v>
      </c>
      <c r="AB2486" t="s">
        <v>32</v>
      </c>
      <c r="AC2486">
        <v>7.98</v>
      </c>
    </row>
    <row r="2487" spans="1:29">
      <c r="A2487" t="str">
        <f>"600469"</f>
        <v>600469</v>
      </c>
      <c r="B2487" t="s">
        <v>2657</v>
      </c>
      <c r="C2487">
        <v>1.38</v>
      </c>
      <c r="D2487">
        <v>3.67</v>
      </c>
      <c r="E2487">
        <v>0.05</v>
      </c>
      <c r="F2487">
        <v>3.67</v>
      </c>
      <c r="G2487">
        <v>3.68</v>
      </c>
      <c r="H2487">
        <v>55343</v>
      </c>
      <c r="I2487">
        <v>34</v>
      </c>
      <c r="J2487">
        <v>0.27</v>
      </c>
      <c r="K2487">
        <v>0.98</v>
      </c>
      <c r="L2487">
        <v>3.6</v>
      </c>
      <c r="M2487">
        <v>3.71</v>
      </c>
      <c r="N2487">
        <v>3.59</v>
      </c>
      <c r="O2487">
        <v>3.62</v>
      </c>
      <c r="P2487" t="s">
        <v>32</v>
      </c>
      <c r="Q2487">
        <v>20191566</v>
      </c>
      <c r="R2487">
        <v>1.18</v>
      </c>
      <c r="S2487" t="s">
        <v>80</v>
      </c>
      <c r="T2487" t="s">
        <v>164</v>
      </c>
      <c r="U2487">
        <v>3.31</v>
      </c>
      <c r="V2487">
        <v>3.65</v>
      </c>
      <c r="W2487">
        <v>22758</v>
      </c>
      <c r="X2487">
        <v>32584</v>
      </c>
      <c r="Y2487">
        <v>0.7</v>
      </c>
      <c r="Z2487">
        <v>17</v>
      </c>
      <c r="AA2487">
        <v>739</v>
      </c>
      <c r="AB2487" t="s">
        <v>32</v>
      </c>
      <c r="AC2487">
        <v>5.62</v>
      </c>
    </row>
    <row r="2488" spans="1:29">
      <c r="A2488" t="str">
        <f>"600470"</f>
        <v>600470</v>
      </c>
      <c r="B2488" t="s">
        <v>2658</v>
      </c>
      <c r="C2488">
        <v>1.57</v>
      </c>
      <c r="D2488">
        <v>3.89</v>
      </c>
      <c r="E2488">
        <v>0.06</v>
      </c>
      <c r="F2488">
        <v>3.88</v>
      </c>
      <c r="G2488">
        <v>3.89</v>
      </c>
      <c r="H2488">
        <v>82143</v>
      </c>
      <c r="I2488">
        <v>1000</v>
      </c>
      <c r="J2488">
        <v>0.26</v>
      </c>
      <c r="K2488">
        <v>1.57</v>
      </c>
      <c r="L2488">
        <v>3.81</v>
      </c>
      <c r="M2488">
        <v>3.93</v>
      </c>
      <c r="N2488">
        <v>3.78</v>
      </c>
      <c r="O2488">
        <v>3.83</v>
      </c>
      <c r="P2488" t="s">
        <v>32</v>
      </c>
      <c r="Q2488">
        <v>31747940</v>
      </c>
      <c r="R2488">
        <v>1.69</v>
      </c>
      <c r="S2488" t="s">
        <v>145</v>
      </c>
      <c r="T2488" t="s">
        <v>143</v>
      </c>
      <c r="U2488">
        <v>3.92</v>
      </c>
      <c r="V2488">
        <v>3.86</v>
      </c>
      <c r="W2488">
        <v>38915</v>
      </c>
      <c r="X2488">
        <v>43228</v>
      </c>
      <c r="Y2488">
        <v>0.9</v>
      </c>
      <c r="Z2488">
        <v>1242</v>
      </c>
      <c r="AA2488">
        <v>851</v>
      </c>
      <c r="AB2488" t="s">
        <v>32</v>
      </c>
      <c r="AC2488">
        <v>5.22</v>
      </c>
    </row>
    <row r="2489" spans="1:29">
      <c r="A2489" t="str">
        <f>"600475"</f>
        <v>600475</v>
      </c>
      <c r="B2489" t="s">
        <v>2659</v>
      </c>
      <c r="C2489">
        <v>1.52</v>
      </c>
      <c r="D2489">
        <v>10.71</v>
      </c>
      <c r="E2489">
        <v>0.16</v>
      </c>
      <c r="F2489">
        <v>10.7</v>
      </c>
      <c r="G2489">
        <v>10.71</v>
      </c>
      <c r="H2489">
        <v>20144</v>
      </c>
      <c r="I2489">
        <v>4</v>
      </c>
      <c r="J2489">
        <v>0</v>
      </c>
      <c r="K2489">
        <v>1.43</v>
      </c>
      <c r="L2489">
        <v>10.57</v>
      </c>
      <c r="M2489">
        <v>10.76</v>
      </c>
      <c r="N2489">
        <v>10.51</v>
      </c>
      <c r="O2489">
        <v>10.55</v>
      </c>
      <c r="P2489">
        <v>9.98</v>
      </c>
      <c r="Q2489">
        <v>21482364</v>
      </c>
      <c r="R2489">
        <v>1.61</v>
      </c>
      <c r="S2489" t="s">
        <v>171</v>
      </c>
      <c r="T2489" t="s">
        <v>87</v>
      </c>
      <c r="U2489">
        <v>2.37</v>
      </c>
      <c r="V2489">
        <v>10.66</v>
      </c>
      <c r="W2489">
        <v>9585</v>
      </c>
      <c r="X2489">
        <v>10559</v>
      </c>
      <c r="Y2489">
        <v>0.91</v>
      </c>
      <c r="Z2489">
        <v>9</v>
      </c>
      <c r="AA2489">
        <v>71</v>
      </c>
      <c r="AB2489" t="s">
        <v>32</v>
      </c>
      <c r="AC2489">
        <v>1.4</v>
      </c>
    </row>
    <row r="2490" spans="1:29">
      <c r="A2490" t="str">
        <f>"600476"</f>
        <v>600476</v>
      </c>
      <c r="B2490" t="s">
        <v>2660</v>
      </c>
      <c r="C2490">
        <v>-0.86</v>
      </c>
      <c r="D2490">
        <v>18.53</v>
      </c>
      <c r="E2490">
        <v>-0.16</v>
      </c>
      <c r="F2490">
        <v>18.55</v>
      </c>
      <c r="G2490">
        <v>18.56</v>
      </c>
      <c r="H2490">
        <v>74422</v>
      </c>
      <c r="I2490">
        <v>1</v>
      </c>
      <c r="J2490">
        <v>0.93</v>
      </c>
      <c r="K2490">
        <v>4.62</v>
      </c>
      <c r="L2490">
        <v>18.71</v>
      </c>
      <c r="M2490">
        <v>18.77</v>
      </c>
      <c r="N2490">
        <v>18.23</v>
      </c>
      <c r="O2490">
        <v>18.69</v>
      </c>
      <c r="P2490" t="s">
        <v>32</v>
      </c>
      <c r="Q2490">
        <v>137571888</v>
      </c>
      <c r="R2490">
        <v>0.87</v>
      </c>
      <c r="S2490" t="s">
        <v>270</v>
      </c>
      <c r="T2490" t="s">
        <v>152</v>
      </c>
      <c r="U2490">
        <v>2.89</v>
      </c>
      <c r="V2490">
        <v>18.49</v>
      </c>
      <c r="W2490">
        <v>39231</v>
      </c>
      <c r="X2490">
        <v>35191</v>
      </c>
      <c r="Y2490">
        <v>1.11</v>
      </c>
      <c r="Z2490">
        <v>42</v>
      </c>
      <c r="AA2490">
        <v>14</v>
      </c>
      <c r="AB2490" t="s">
        <v>32</v>
      </c>
      <c r="AC2490">
        <v>1.61</v>
      </c>
    </row>
    <row r="2491" spans="1:29">
      <c r="A2491" t="str">
        <f>"600477"</f>
        <v>600477</v>
      </c>
      <c r="B2491" t="s">
        <v>2661</v>
      </c>
      <c r="C2491">
        <v>10</v>
      </c>
      <c r="D2491">
        <v>5.17</v>
      </c>
      <c r="E2491">
        <v>0.47</v>
      </c>
      <c r="F2491">
        <v>5.17</v>
      </c>
      <c r="G2491" t="s">
        <v>32</v>
      </c>
      <c r="H2491">
        <v>622876</v>
      </c>
      <c r="I2491">
        <v>100</v>
      </c>
      <c r="J2491">
        <v>0</v>
      </c>
      <c r="K2491">
        <v>3.8</v>
      </c>
      <c r="L2491">
        <v>4.78</v>
      </c>
      <c r="M2491">
        <v>5.17</v>
      </c>
      <c r="N2491">
        <v>4.78</v>
      </c>
      <c r="O2491">
        <v>4.7</v>
      </c>
      <c r="P2491">
        <v>17.95</v>
      </c>
      <c r="Q2491">
        <v>317309312</v>
      </c>
      <c r="R2491">
        <v>7.48</v>
      </c>
      <c r="S2491" t="s">
        <v>449</v>
      </c>
      <c r="T2491" t="s">
        <v>149</v>
      </c>
      <c r="U2491">
        <v>8.3</v>
      </c>
      <c r="V2491">
        <v>5.09</v>
      </c>
      <c r="W2491">
        <v>269911</v>
      </c>
      <c r="X2491">
        <v>352965</v>
      </c>
      <c r="Y2491">
        <v>0.76</v>
      </c>
      <c r="Z2491">
        <v>15154</v>
      </c>
      <c r="AA2491">
        <v>0</v>
      </c>
      <c r="AB2491" t="s">
        <v>32</v>
      </c>
      <c r="AC2491">
        <v>16.38</v>
      </c>
    </row>
    <row r="2492" spans="1:29">
      <c r="A2492" t="str">
        <f>"600478"</f>
        <v>600478</v>
      </c>
      <c r="B2492" t="s">
        <v>2662</v>
      </c>
      <c r="C2492">
        <v>1.43</v>
      </c>
      <c r="D2492">
        <v>4.95</v>
      </c>
      <c r="E2492">
        <v>0.07</v>
      </c>
      <c r="F2492">
        <v>4.94</v>
      </c>
      <c r="G2492">
        <v>4.95</v>
      </c>
      <c r="H2492">
        <v>51291</v>
      </c>
      <c r="I2492">
        <v>10</v>
      </c>
      <c r="J2492">
        <v>0.2</v>
      </c>
      <c r="K2492">
        <v>0.37</v>
      </c>
      <c r="L2492">
        <v>4.88</v>
      </c>
      <c r="M2492">
        <v>4.97</v>
      </c>
      <c r="N2492">
        <v>4.86</v>
      </c>
      <c r="O2492">
        <v>4.88</v>
      </c>
      <c r="P2492" t="s">
        <v>32</v>
      </c>
      <c r="Q2492">
        <v>25286880</v>
      </c>
      <c r="R2492">
        <v>1.64</v>
      </c>
      <c r="S2492" t="s">
        <v>63</v>
      </c>
      <c r="T2492" t="s">
        <v>152</v>
      </c>
      <c r="U2492">
        <v>2.25</v>
      </c>
      <c r="V2492">
        <v>4.93</v>
      </c>
      <c r="W2492">
        <v>23085</v>
      </c>
      <c r="X2492">
        <v>28205</v>
      </c>
      <c r="Y2492">
        <v>0.82</v>
      </c>
      <c r="Z2492">
        <v>664</v>
      </c>
      <c r="AA2492">
        <v>1</v>
      </c>
      <c r="AB2492" t="s">
        <v>32</v>
      </c>
      <c r="AC2492">
        <v>13.91</v>
      </c>
    </row>
    <row r="2493" spans="1:29">
      <c r="A2493" t="str">
        <f>"600479"</f>
        <v>600479</v>
      </c>
      <c r="B2493" t="s">
        <v>2663</v>
      </c>
      <c r="C2493">
        <v>2.16</v>
      </c>
      <c r="D2493">
        <v>10.39</v>
      </c>
      <c r="E2493">
        <v>0.22</v>
      </c>
      <c r="F2493">
        <v>10.38</v>
      </c>
      <c r="G2493">
        <v>10.4</v>
      </c>
      <c r="H2493">
        <v>35618</v>
      </c>
      <c r="I2493">
        <v>5</v>
      </c>
      <c r="J2493">
        <v>0</v>
      </c>
      <c r="K2493">
        <v>0.97</v>
      </c>
      <c r="L2493">
        <v>10.17</v>
      </c>
      <c r="M2493">
        <v>10.43</v>
      </c>
      <c r="N2493">
        <v>10.13</v>
      </c>
      <c r="O2493">
        <v>10.17</v>
      </c>
      <c r="P2493">
        <v>32.03</v>
      </c>
      <c r="Q2493">
        <v>36660364</v>
      </c>
      <c r="R2493">
        <v>1.69</v>
      </c>
      <c r="S2493" t="s">
        <v>195</v>
      </c>
      <c r="T2493" t="s">
        <v>152</v>
      </c>
      <c r="U2493">
        <v>2.95</v>
      </c>
      <c r="V2493">
        <v>10.29</v>
      </c>
      <c r="W2493">
        <v>16920</v>
      </c>
      <c r="X2493">
        <v>18698</v>
      </c>
      <c r="Y2493">
        <v>0.9</v>
      </c>
      <c r="Z2493">
        <v>84</v>
      </c>
      <c r="AA2493">
        <v>68</v>
      </c>
      <c r="AB2493" t="s">
        <v>32</v>
      </c>
      <c r="AC2493">
        <v>3.66</v>
      </c>
    </row>
    <row r="2494" spans="1:29">
      <c r="A2494" t="str">
        <f>"600480"</f>
        <v>600480</v>
      </c>
      <c r="B2494" t="s">
        <v>2664</v>
      </c>
      <c r="C2494">
        <v>1.61</v>
      </c>
      <c r="D2494">
        <v>9.45</v>
      </c>
      <c r="E2494">
        <v>0.15</v>
      </c>
      <c r="F2494">
        <v>9.44</v>
      </c>
      <c r="G2494">
        <v>9.45</v>
      </c>
      <c r="H2494">
        <v>52200</v>
      </c>
      <c r="I2494">
        <v>29</v>
      </c>
      <c r="J2494">
        <v>0.21</v>
      </c>
      <c r="K2494">
        <v>1.44</v>
      </c>
      <c r="L2494">
        <v>9.27</v>
      </c>
      <c r="M2494">
        <v>9.46</v>
      </c>
      <c r="N2494">
        <v>9.23</v>
      </c>
      <c r="O2494">
        <v>9.3</v>
      </c>
      <c r="P2494">
        <v>15.89</v>
      </c>
      <c r="Q2494">
        <v>48943372</v>
      </c>
      <c r="R2494">
        <v>1.44</v>
      </c>
      <c r="S2494" t="s">
        <v>80</v>
      </c>
      <c r="T2494" t="s">
        <v>154</v>
      </c>
      <c r="U2494">
        <v>2.47</v>
      </c>
      <c r="V2494">
        <v>9.38</v>
      </c>
      <c r="W2494">
        <v>28209</v>
      </c>
      <c r="X2494">
        <v>23990</v>
      </c>
      <c r="Y2494">
        <v>1.18</v>
      </c>
      <c r="Z2494">
        <v>225</v>
      </c>
      <c r="AA2494">
        <v>61</v>
      </c>
      <c r="AB2494" t="s">
        <v>32</v>
      </c>
      <c r="AC2494">
        <v>3.62</v>
      </c>
    </row>
    <row r="2495" spans="1:29">
      <c r="A2495" t="str">
        <f>"600481"</f>
        <v>600481</v>
      </c>
      <c r="B2495" t="s">
        <v>2665</v>
      </c>
      <c r="C2495">
        <v>0.93</v>
      </c>
      <c r="D2495">
        <v>3.26</v>
      </c>
      <c r="E2495">
        <v>0.03</v>
      </c>
      <c r="F2495">
        <v>3.25</v>
      </c>
      <c r="G2495">
        <v>3.26</v>
      </c>
      <c r="H2495">
        <v>56141</v>
      </c>
      <c r="I2495">
        <v>26</v>
      </c>
      <c r="J2495">
        <v>0.31</v>
      </c>
      <c r="K2495">
        <v>0.35</v>
      </c>
      <c r="L2495">
        <v>3.22</v>
      </c>
      <c r="M2495">
        <v>3.27</v>
      </c>
      <c r="N2495">
        <v>3.21</v>
      </c>
      <c r="O2495">
        <v>3.23</v>
      </c>
      <c r="P2495" t="s">
        <v>32</v>
      </c>
      <c r="Q2495">
        <v>18248064</v>
      </c>
      <c r="R2495">
        <v>1.21</v>
      </c>
      <c r="S2495" t="s">
        <v>86</v>
      </c>
      <c r="T2495" t="s">
        <v>87</v>
      </c>
      <c r="U2495">
        <v>1.86</v>
      </c>
      <c r="V2495">
        <v>3.25</v>
      </c>
      <c r="W2495">
        <v>24433</v>
      </c>
      <c r="X2495">
        <v>31707</v>
      </c>
      <c r="Y2495">
        <v>0.77</v>
      </c>
      <c r="Z2495">
        <v>891</v>
      </c>
      <c r="AA2495">
        <v>392</v>
      </c>
      <c r="AB2495" t="s">
        <v>32</v>
      </c>
      <c r="AC2495">
        <v>16.2</v>
      </c>
    </row>
    <row r="2496" spans="1:29">
      <c r="A2496" t="str">
        <f>"600482"</f>
        <v>600482</v>
      </c>
      <c r="B2496" t="s">
        <v>2666</v>
      </c>
      <c r="C2496">
        <v>1.09</v>
      </c>
      <c r="D2496">
        <v>18.57</v>
      </c>
      <c r="E2496">
        <v>0.2</v>
      </c>
      <c r="F2496">
        <v>18.56</v>
      </c>
      <c r="G2496">
        <v>18.57</v>
      </c>
      <c r="H2496">
        <v>43627</v>
      </c>
      <c r="I2496">
        <v>3</v>
      </c>
      <c r="J2496">
        <v>0.11</v>
      </c>
      <c r="K2496">
        <v>0.48</v>
      </c>
      <c r="L2496">
        <v>18.42</v>
      </c>
      <c r="M2496">
        <v>18.64</v>
      </c>
      <c r="N2496">
        <v>18.3</v>
      </c>
      <c r="O2496">
        <v>18.37</v>
      </c>
      <c r="P2496">
        <v>38.89</v>
      </c>
      <c r="Q2496">
        <v>80730856</v>
      </c>
      <c r="R2496">
        <v>1.39</v>
      </c>
      <c r="S2496" t="s">
        <v>104</v>
      </c>
      <c r="T2496" t="s">
        <v>154</v>
      </c>
      <c r="U2496">
        <v>1.85</v>
      </c>
      <c r="V2496">
        <v>18.5</v>
      </c>
      <c r="W2496">
        <v>20288</v>
      </c>
      <c r="X2496">
        <v>23338</v>
      </c>
      <c r="Y2496">
        <v>0.87</v>
      </c>
      <c r="Z2496">
        <v>75</v>
      </c>
      <c r="AA2496">
        <v>18</v>
      </c>
      <c r="AB2496" t="s">
        <v>32</v>
      </c>
      <c r="AC2496">
        <v>9.09</v>
      </c>
    </row>
    <row r="2497" spans="1:29">
      <c r="A2497" t="str">
        <f>"600483"</f>
        <v>600483</v>
      </c>
      <c r="B2497" t="s">
        <v>2667</v>
      </c>
      <c r="C2497">
        <v>2.14</v>
      </c>
      <c r="D2497">
        <v>7.65</v>
      </c>
      <c r="E2497">
        <v>0.16</v>
      </c>
      <c r="F2497">
        <v>7.64</v>
      </c>
      <c r="G2497">
        <v>7.68</v>
      </c>
      <c r="H2497">
        <v>43712</v>
      </c>
      <c r="I2497">
        <v>33</v>
      </c>
      <c r="J2497">
        <v>-0.25</v>
      </c>
      <c r="K2497">
        <v>0.35</v>
      </c>
      <c r="L2497">
        <v>7.63</v>
      </c>
      <c r="M2497">
        <v>7.93</v>
      </c>
      <c r="N2497">
        <v>7.62</v>
      </c>
      <c r="O2497">
        <v>7.49</v>
      </c>
      <c r="P2497">
        <v>14.06</v>
      </c>
      <c r="Q2497">
        <v>34006608</v>
      </c>
      <c r="R2497">
        <v>1.64</v>
      </c>
      <c r="S2497" t="s">
        <v>75</v>
      </c>
      <c r="T2497" t="s">
        <v>236</v>
      </c>
      <c r="U2497">
        <v>4.14</v>
      </c>
      <c r="V2497">
        <v>7.78</v>
      </c>
      <c r="W2497">
        <v>24074</v>
      </c>
      <c r="X2497">
        <v>19637</v>
      </c>
      <c r="Y2497">
        <v>1.23</v>
      </c>
      <c r="Z2497">
        <v>15</v>
      </c>
      <c r="AA2497">
        <v>141</v>
      </c>
      <c r="AB2497" t="s">
        <v>32</v>
      </c>
      <c r="AC2497">
        <v>12.58</v>
      </c>
    </row>
    <row r="2498" spans="1:29">
      <c r="A2498" t="str">
        <f>"600485"</f>
        <v>600485</v>
      </c>
      <c r="B2498" t="s">
        <v>2668</v>
      </c>
      <c r="C2498">
        <v>0</v>
      </c>
      <c r="D2498">
        <v>14.59</v>
      </c>
      <c r="E2498">
        <v>0</v>
      </c>
      <c r="F2498" t="s">
        <v>32</v>
      </c>
      <c r="G2498" t="s">
        <v>32</v>
      </c>
      <c r="H2498">
        <v>0</v>
      </c>
      <c r="I2498">
        <v>0</v>
      </c>
      <c r="J2498">
        <v>0</v>
      </c>
      <c r="K2498">
        <v>0</v>
      </c>
      <c r="L2498" t="s">
        <v>32</v>
      </c>
      <c r="M2498" t="s">
        <v>32</v>
      </c>
      <c r="N2498" t="s">
        <v>32</v>
      </c>
      <c r="O2498">
        <v>14.59</v>
      </c>
      <c r="P2498" t="s">
        <v>32</v>
      </c>
      <c r="Q2498">
        <v>0</v>
      </c>
      <c r="R2498">
        <v>0</v>
      </c>
      <c r="S2498" t="s">
        <v>119</v>
      </c>
      <c r="T2498" t="s">
        <v>45</v>
      </c>
      <c r="U2498">
        <v>0</v>
      </c>
      <c r="V2498">
        <v>14.59</v>
      </c>
      <c r="W2498">
        <v>0</v>
      </c>
      <c r="X2498">
        <v>0</v>
      </c>
      <c r="Y2498" t="s">
        <v>32</v>
      </c>
      <c r="Z2498">
        <v>0</v>
      </c>
      <c r="AA2498">
        <v>0</v>
      </c>
      <c r="AB2498" t="s">
        <v>32</v>
      </c>
      <c r="AC2498">
        <v>18.13</v>
      </c>
    </row>
    <row r="2499" spans="1:29">
      <c r="A2499" t="str">
        <f>"600486"</f>
        <v>600486</v>
      </c>
      <c r="B2499" t="s">
        <v>2669</v>
      </c>
      <c r="C2499">
        <v>2.87</v>
      </c>
      <c r="D2499">
        <v>60.96</v>
      </c>
      <c r="E2499">
        <v>1.7</v>
      </c>
      <c r="F2499">
        <v>60.93</v>
      </c>
      <c r="G2499">
        <v>60.98</v>
      </c>
      <c r="H2499">
        <v>35975</v>
      </c>
      <c r="I2499">
        <v>4</v>
      </c>
      <c r="J2499">
        <v>0.2</v>
      </c>
      <c r="K2499">
        <v>1.16</v>
      </c>
      <c r="L2499">
        <v>59.26</v>
      </c>
      <c r="M2499">
        <v>61.77</v>
      </c>
      <c r="N2499">
        <v>59.03</v>
      </c>
      <c r="O2499">
        <v>59.26</v>
      </c>
      <c r="P2499">
        <v>17.23</v>
      </c>
      <c r="Q2499">
        <v>218154224</v>
      </c>
      <c r="R2499">
        <v>1.24</v>
      </c>
      <c r="S2499" t="s">
        <v>145</v>
      </c>
      <c r="T2499" t="s">
        <v>87</v>
      </c>
      <c r="U2499">
        <v>4.62</v>
      </c>
      <c r="V2499">
        <v>60.64</v>
      </c>
      <c r="W2499">
        <v>14812</v>
      </c>
      <c r="X2499">
        <v>21162</v>
      </c>
      <c r="Y2499">
        <v>0.7</v>
      </c>
      <c r="Z2499">
        <v>234</v>
      </c>
      <c r="AA2499">
        <v>19</v>
      </c>
      <c r="AB2499" t="s">
        <v>32</v>
      </c>
      <c r="AC2499">
        <v>3.1</v>
      </c>
    </row>
    <row r="2500" spans="1:29">
      <c r="A2500" t="str">
        <f>"600487"</f>
        <v>600487</v>
      </c>
      <c r="B2500" t="s">
        <v>2670</v>
      </c>
      <c r="C2500">
        <v>-0.13</v>
      </c>
      <c r="D2500">
        <v>23.39</v>
      </c>
      <c r="E2500">
        <v>-0.03</v>
      </c>
      <c r="F2500">
        <v>23.38</v>
      </c>
      <c r="G2500">
        <v>23.39</v>
      </c>
      <c r="H2500">
        <v>409808</v>
      </c>
      <c r="I2500">
        <v>8</v>
      </c>
      <c r="J2500">
        <v>-0.08</v>
      </c>
      <c r="K2500">
        <v>2.36</v>
      </c>
      <c r="L2500">
        <v>23.45</v>
      </c>
      <c r="M2500">
        <v>23.51</v>
      </c>
      <c r="N2500">
        <v>22.95</v>
      </c>
      <c r="O2500">
        <v>23.42</v>
      </c>
      <c r="P2500">
        <v>23.11</v>
      </c>
      <c r="Q2500">
        <v>953028224</v>
      </c>
      <c r="R2500">
        <v>1.1</v>
      </c>
      <c r="S2500" t="s">
        <v>119</v>
      </c>
      <c r="T2500" t="s">
        <v>87</v>
      </c>
      <c r="U2500">
        <v>2.39</v>
      </c>
      <c r="V2500">
        <v>23.26</v>
      </c>
      <c r="W2500">
        <v>220437</v>
      </c>
      <c r="X2500">
        <v>189370</v>
      </c>
      <c r="Y2500">
        <v>1.16</v>
      </c>
      <c r="Z2500">
        <v>73</v>
      </c>
      <c r="AA2500">
        <v>39</v>
      </c>
      <c r="AB2500" t="s">
        <v>32</v>
      </c>
      <c r="AC2500">
        <v>17.38</v>
      </c>
    </row>
    <row r="2501" spans="1:29">
      <c r="A2501" t="str">
        <f>"600488"</f>
        <v>600488</v>
      </c>
      <c r="B2501" t="s">
        <v>2671</v>
      </c>
      <c r="C2501">
        <v>1.72</v>
      </c>
      <c r="D2501">
        <v>4.13</v>
      </c>
      <c r="E2501">
        <v>0.07</v>
      </c>
      <c r="F2501">
        <v>4.12</v>
      </c>
      <c r="G2501">
        <v>4.13</v>
      </c>
      <c r="H2501">
        <v>26569</v>
      </c>
      <c r="I2501">
        <v>10</v>
      </c>
      <c r="J2501">
        <v>0.24</v>
      </c>
      <c r="K2501">
        <v>0.28</v>
      </c>
      <c r="L2501">
        <v>4.05</v>
      </c>
      <c r="M2501">
        <v>4.14</v>
      </c>
      <c r="N2501">
        <v>4.03</v>
      </c>
      <c r="O2501">
        <v>4.06</v>
      </c>
      <c r="P2501">
        <v>41.99</v>
      </c>
      <c r="Q2501">
        <v>10915122</v>
      </c>
      <c r="R2501">
        <v>1.4</v>
      </c>
      <c r="S2501" t="s">
        <v>142</v>
      </c>
      <c r="T2501" t="s">
        <v>248</v>
      </c>
      <c r="U2501">
        <v>2.71</v>
      </c>
      <c r="V2501">
        <v>4.11</v>
      </c>
      <c r="W2501">
        <v>8587</v>
      </c>
      <c r="X2501">
        <v>17981</v>
      </c>
      <c r="Y2501">
        <v>0.48</v>
      </c>
      <c r="Z2501">
        <v>861</v>
      </c>
      <c r="AA2501">
        <v>253</v>
      </c>
      <c r="AB2501" t="s">
        <v>32</v>
      </c>
      <c r="AC2501">
        <v>9.61</v>
      </c>
    </row>
    <row r="2502" spans="1:29">
      <c r="A2502" t="str">
        <f>"600489"</f>
        <v>600489</v>
      </c>
      <c r="B2502" t="s">
        <v>2672</v>
      </c>
      <c r="C2502">
        <v>1.78</v>
      </c>
      <c r="D2502">
        <v>6.87</v>
      </c>
      <c r="E2502">
        <v>0.12</v>
      </c>
      <c r="F2502">
        <v>6.86</v>
      </c>
      <c r="G2502">
        <v>6.87</v>
      </c>
      <c r="H2502">
        <v>375114</v>
      </c>
      <c r="I2502">
        <v>30</v>
      </c>
      <c r="J2502">
        <v>0.29</v>
      </c>
      <c r="K2502">
        <v>1.09</v>
      </c>
      <c r="L2502">
        <v>6.7</v>
      </c>
      <c r="M2502">
        <v>6.87</v>
      </c>
      <c r="N2502">
        <v>6.66</v>
      </c>
      <c r="O2502">
        <v>6.75</v>
      </c>
      <c r="P2502">
        <v>102.44</v>
      </c>
      <c r="Q2502">
        <v>255493584</v>
      </c>
      <c r="R2502">
        <v>2.18</v>
      </c>
      <c r="S2502" t="s">
        <v>778</v>
      </c>
      <c r="T2502" t="s">
        <v>45</v>
      </c>
      <c r="U2502">
        <v>3.11</v>
      </c>
      <c r="V2502">
        <v>6.81</v>
      </c>
      <c r="W2502">
        <v>167441</v>
      </c>
      <c r="X2502">
        <v>207672</v>
      </c>
      <c r="Y2502">
        <v>0.81</v>
      </c>
      <c r="Z2502">
        <v>1008</v>
      </c>
      <c r="AA2502">
        <v>5688</v>
      </c>
      <c r="AB2502" t="s">
        <v>32</v>
      </c>
      <c r="AC2502">
        <v>34.51</v>
      </c>
    </row>
    <row r="2503" spans="1:29">
      <c r="A2503" t="str">
        <f>"600490"</f>
        <v>600490</v>
      </c>
      <c r="B2503" t="s">
        <v>2673</v>
      </c>
      <c r="C2503">
        <v>0</v>
      </c>
      <c r="D2503">
        <v>8.67</v>
      </c>
      <c r="E2503">
        <v>0</v>
      </c>
      <c r="F2503" t="s">
        <v>32</v>
      </c>
      <c r="G2503" t="s">
        <v>32</v>
      </c>
      <c r="H2503">
        <v>0</v>
      </c>
      <c r="I2503">
        <v>0</v>
      </c>
      <c r="J2503">
        <v>0</v>
      </c>
      <c r="K2503">
        <v>0</v>
      </c>
      <c r="L2503" t="s">
        <v>32</v>
      </c>
      <c r="M2503" t="s">
        <v>32</v>
      </c>
      <c r="N2503" t="s">
        <v>32</v>
      </c>
      <c r="O2503">
        <v>8.67</v>
      </c>
      <c r="P2503">
        <v>53.09</v>
      </c>
      <c r="Q2503">
        <v>0</v>
      </c>
      <c r="R2503">
        <v>0</v>
      </c>
      <c r="S2503" t="s">
        <v>340</v>
      </c>
      <c r="T2503" t="s">
        <v>366</v>
      </c>
      <c r="U2503">
        <v>0</v>
      </c>
      <c r="V2503">
        <v>8.67</v>
      </c>
      <c r="W2503">
        <v>0</v>
      </c>
      <c r="X2503">
        <v>0</v>
      </c>
      <c r="Y2503" t="s">
        <v>32</v>
      </c>
      <c r="Z2503">
        <v>0</v>
      </c>
      <c r="AA2503">
        <v>0</v>
      </c>
      <c r="AB2503" t="s">
        <v>32</v>
      </c>
      <c r="AC2503">
        <v>14.87</v>
      </c>
    </row>
    <row r="2504" spans="1:29">
      <c r="A2504" t="str">
        <f>"600491"</f>
        <v>600491</v>
      </c>
      <c r="B2504" t="s">
        <v>2674</v>
      </c>
      <c r="C2504">
        <v>10.05</v>
      </c>
      <c r="D2504">
        <v>8.43</v>
      </c>
      <c r="E2504">
        <v>0.77</v>
      </c>
      <c r="F2504">
        <v>8.43</v>
      </c>
      <c r="G2504" t="s">
        <v>32</v>
      </c>
      <c r="H2504">
        <v>207523</v>
      </c>
      <c r="I2504">
        <v>1185</v>
      </c>
      <c r="J2504">
        <v>0</v>
      </c>
      <c r="K2504">
        <v>2.19</v>
      </c>
      <c r="L2504">
        <v>8.19</v>
      </c>
      <c r="M2504">
        <v>8.43</v>
      </c>
      <c r="N2504">
        <v>8.13</v>
      </c>
      <c r="O2504">
        <v>7.66</v>
      </c>
      <c r="P2504">
        <v>14.91</v>
      </c>
      <c r="Q2504">
        <v>173852704</v>
      </c>
      <c r="R2504">
        <v>1.5</v>
      </c>
      <c r="S2504" t="s">
        <v>49</v>
      </c>
      <c r="T2504" t="s">
        <v>149</v>
      </c>
      <c r="U2504">
        <v>3.92</v>
      </c>
      <c r="V2504">
        <v>8.38</v>
      </c>
      <c r="W2504">
        <v>136189</v>
      </c>
      <c r="X2504">
        <v>71333</v>
      </c>
      <c r="Y2504">
        <v>1.91</v>
      </c>
      <c r="Z2504">
        <v>65947</v>
      </c>
      <c r="AA2504">
        <v>0</v>
      </c>
      <c r="AB2504" t="s">
        <v>32</v>
      </c>
      <c r="AC2504">
        <v>9.48</v>
      </c>
    </row>
    <row r="2505" spans="1:29">
      <c r="A2505" t="str">
        <f>"600493"</f>
        <v>600493</v>
      </c>
      <c r="B2505" t="s">
        <v>2675</v>
      </c>
      <c r="C2505">
        <v>0.66</v>
      </c>
      <c r="D2505">
        <v>6.07</v>
      </c>
      <c r="E2505">
        <v>0.04</v>
      </c>
      <c r="F2505">
        <v>6.07</v>
      </c>
      <c r="G2505">
        <v>6.08</v>
      </c>
      <c r="H2505">
        <v>35252</v>
      </c>
      <c r="I2505">
        <v>32</v>
      </c>
      <c r="J2505">
        <v>-0.15</v>
      </c>
      <c r="K2505">
        <v>1.3</v>
      </c>
      <c r="L2505">
        <v>6.04</v>
      </c>
      <c r="M2505">
        <v>6.08</v>
      </c>
      <c r="N2505">
        <v>6.01</v>
      </c>
      <c r="O2505">
        <v>6.03</v>
      </c>
      <c r="P2505">
        <v>70.08</v>
      </c>
      <c r="Q2505">
        <v>21310242</v>
      </c>
      <c r="R2505">
        <v>2.94</v>
      </c>
      <c r="S2505" t="s">
        <v>99</v>
      </c>
      <c r="T2505" t="s">
        <v>236</v>
      </c>
      <c r="U2505">
        <v>1.16</v>
      </c>
      <c r="V2505">
        <v>6.05</v>
      </c>
      <c r="W2505">
        <v>23696</v>
      </c>
      <c r="X2505">
        <v>11555</v>
      </c>
      <c r="Y2505">
        <v>2.05</v>
      </c>
      <c r="Z2505">
        <v>33</v>
      </c>
      <c r="AA2505">
        <v>533</v>
      </c>
      <c r="AB2505" t="s">
        <v>32</v>
      </c>
      <c r="AC2505">
        <v>2.72</v>
      </c>
    </row>
    <row r="2506" spans="1:29">
      <c r="A2506" t="str">
        <f>"600495"</f>
        <v>600495</v>
      </c>
      <c r="B2506" t="s">
        <v>2676</v>
      </c>
      <c r="C2506">
        <v>2.46</v>
      </c>
      <c r="D2506">
        <v>4.16</v>
      </c>
      <c r="E2506">
        <v>0.1</v>
      </c>
      <c r="F2506">
        <v>4.15</v>
      </c>
      <c r="G2506">
        <v>4.16</v>
      </c>
      <c r="H2506">
        <v>274129</v>
      </c>
      <c r="I2506">
        <v>13</v>
      </c>
      <c r="J2506">
        <v>-0.23</v>
      </c>
      <c r="K2506">
        <v>2.27</v>
      </c>
      <c r="L2506">
        <v>4.02</v>
      </c>
      <c r="M2506">
        <v>4.26</v>
      </c>
      <c r="N2506">
        <v>4.01</v>
      </c>
      <c r="O2506">
        <v>4.06</v>
      </c>
      <c r="P2506" t="s">
        <v>32</v>
      </c>
      <c r="Q2506">
        <v>113285640</v>
      </c>
      <c r="R2506">
        <v>2.81</v>
      </c>
      <c r="S2506" t="s">
        <v>44</v>
      </c>
      <c r="T2506" t="s">
        <v>169</v>
      </c>
      <c r="U2506">
        <v>6.16</v>
      </c>
      <c r="V2506">
        <v>4.13</v>
      </c>
      <c r="W2506">
        <v>120676</v>
      </c>
      <c r="X2506">
        <v>153452</v>
      </c>
      <c r="Y2506">
        <v>0.79</v>
      </c>
      <c r="Z2506">
        <v>1432</v>
      </c>
      <c r="AA2506">
        <v>91</v>
      </c>
      <c r="AB2506" t="s">
        <v>32</v>
      </c>
      <c r="AC2506">
        <v>12.08</v>
      </c>
    </row>
    <row r="2507" spans="1:29">
      <c r="A2507" t="str">
        <f>"600496"</f>
        <v>600496</v>
      </c>
      <c r="B2507" t="s">
        <v>2677</v>
      </c>
      <c r="C2507">
        <v>3.3</v>
      </c>
      <c r="D2507">
        <v>3.13</v>
      </c>
      <c r="E2507">
        <v>0.1</v>
      </c>
      <c r="F2507">
        <v>3.13</v>
      </c>
      <c r="G2507">
        <v>3.14</v>
      </c>
      <c r="H2507">
        <v>250017</v>
      </c>
      <c r="I2507">
        <v>89</v>
      </c>
      <c r="J2507">
        <v>0</v>
      </c>
      <c r="K2507">
        <v>1.66</v>
      </c>
      <c r="L2507">
        <v>3.04</v>
      </c>
      <c r="M2507">
        <v>3.18</v>
      </c>
      <c r="N2507">
        <v>3.03</v>
      </c>
      <c r="O2507">
        <v>3.03</v>
      </c>
      <c r="P2507">
        <v>55.93</v>
      </c>
      <c r="Q2507">
        <v>78237656</v>
      </c>
      <c r="R2507">
        <v>3.37</v>
      </c>
      <c r="S2507" t="s">
        <v>449</v>
      </c>
      <c r="T2507" t="s">
        <v>143</v>
      </c>
      <c r="U2507">
        <v>4.95</v>
      </c>
      <c r="V2507">
        <v>3.13</v>
      </c>
      <c r="W2507">
        <v>98284</v>
      </c>
      <c r="X2507">
        <v>151733</v>
      </c>
      <c r="Y2507">
        <v>0.65</v>
      </c>
      <c r="Z2507">
        <v>2200</v>
      </c>
      <c r="AA2507">
        <v>1513</v>
      </c>
      <c r="AB2507" t="s">
        <v>32</v>
      </c>
      <c r="AC2507">
        <v>15.1</v>
      </c>
    </row>
    <row r="2508" spans="1:29">
      <c r="A2508" t="str">
        <f>"600497"</f>
        <v>600497</v>
      </c>
      <c r="B2508" t="s">
        <v>2678</v>
      </c>
      <c r="C2508">
        <v>3.33</v>
      </c>
      <c r="D2508">
        <v>5.27</v>
      </c>
      <c r="E2508">
        <v>0.17</v>
      </c>
      <c r="F2508">
        <v>5.27</v>
      </c>
      <c r="G2508">
        <v>5.28</v>
      </c>
      <c r="H2508">
        <v>513020</v>
      </c>
      <c r="I2508">
        <v>46</v>
      </c>
      <c r="J2508">
        <v>0.38</v>
      </c>
      <c r="K2508">
        <v>1.19</v>
      </c>
      <c r="L2508">
        <v>5.1</v>
      </c>
      <c r="M2508">
        <v>5.35</v>
      </c>
      <c r="N2508">
        <v>5.1</v>
      </c>
      <c r="O2508">
        <v>5.1</v>
      </c>
      <c r="P2508">
        <v>16.56</v>
      </c>
      <c r="Q2508">
        <v>268625536</v>
      </c>
      <c r="R2508">
        <v>2.67</v>
      </c>
      <c r="S2508" t="s">
        <v>113</v>
      </c>
      <c r="T2508" t="s">
        <v>250</v>
      </c>
      <c r="U2508">
        <v>4.9</v>
      </c>
      <c r="V2508">
        <v>5.24</v>
      </c>
      <c r="W2508">
        <v>237629</v>
      </c>
      <c r="X2508">
        <v>275391</v>
      </c>
      <c r="Y2508">
        <v>0.86</v>
      </c>
      <c r="Z2508">
        <v>31</v>
      </c>
      <c r="AA2508">
        <v>9923</v>
      </c>
      <c r="AB2508" t="s">
        <v>32</v>
      </c>
      <c r="AC2508">
        <v>43.1</v>
      </c>
    </row>
    <row r="2509" spans="1:29">
      <c r="A2509" t="str">
        <f>"600498"</f>
        <v>600498</v>
      </c>
      <c r="B2509" t="s">
        <v>2679</v>
      </c>
      <c r="C2509">
        <v>-0.61</v>
      </c>
      <c r="D2509">
        <v>29.45</v>
      </c>
      <c r="E2509">
        <v>-0.18</v>
      </c>
      <c r="F2509">
        <v>29.47</v>
      </c>
      <c r="G2509">
        <v>29.48</v>
      </c>
      <c r="H2509">
        <v>219475</v>
      </c>
      <c r="I2509">
        <v>29</v>
      </c>
      <c r="J2509">
        <v>0.07</v>
      </c>
      <c r="K2509">
        <v>2.13</v>
      </c>
      <c r="L2509">
        <v>29.6</v>
      </c>
      <c r="M2509">
        <v>30.15</v>
      </c>
      <c r="N2509">
        <v>28.8</v>
      </c>
      <c r="O2509">
        <v>29.63</v>
      </c>
      <c r="P2509">
        <v>58.9</v>
      </c>
      <c r="Q2509">
        <v>651192064</v>
      </c>
      <c r="R2509">
        <v>1.1</v>
      </c>
      <c r="S2509" t="s">
        <v>119</v>
      </c>
      <c r="T2509" t="s">
        <v>193</v>
      </c>
      <c r="U2509">
        <v>4.56</v>
      </c>
      <c r="V2509">
        <v>29.67</v>
      </c>
      <c r="W2509">
        <v>102862</v>
      </c>
      <c r="X2509">
        <v>116613</v>
      </c>
      <c r="Y2509">
        <v>0.88</v>
      </c>
      <c r="Z2509">
        <v>55</v>
      </c>
      <c r="AA2509">
        <v>16</v>
      </c>
      <c r="AB2509" t="s">
        <v>32</v>
      </c>
      <c r="AC2509">
        <v>10.32</v>
      </c>
    </row>
    <row r="2510" spans="1:29">
      <c r="A2510" t="str">
        <f>"600499"</f>
        <v>600499</v>
      </c>
      <c r="B2510" t="s">
        <v>2680</v>
      </c>
      <c r="C2510">
        <v>2.77</v>
      </c>
      <c r="D2510">
        <v>6.3</v>
      </c>
      <c r="E2510">
        <v>0.17</v>
      </c>
      <c r="F2510">
        <v>6.29</v>
      </c>
      <c r="G2510">
        <v>6.3</v>
      </c>
      <c r="H2510">
        <v>199900</v>
      </c>
      <c r="I2510">
        <v>10</v>
      </c>
      <c r="J2510">
        <v>0.16</v>
      </c>
      <c r="K2510">
        <v>1.42</v>
      </c>
      <c r="L2510">
        <v>6.15</v>
      </c>
      <c r="M2510">
        <v>6.35</v>
      </c>
      <c r="N2510">
        <v>6.11</v>
      </c>
      <c r="O2510">
        <v>6.13</v>
      </c>
      <c r="P2510">
        <v>13.92</v>
      </c>
      <c r="Q2510">
        <v>125283928</v>
      </c>
      <c r="R2510">
        <v>1.19</v>
      </c>
      <c r="S2510" t="s">
        <v>171</v>
      </c>
      <c r="T2510" t="s">
        <v>136</v>
      </c>
      <c r="U2510">
        <v>3.92</v>
      </c>
      <c r="V2510">
        <v>6.27</v>
      </c>
      <c r="W2510">
        <v>96231</v>
      </c>
      <c r="X2510">
        <v>103668</v>
      </c>
      <c r="Y2510">
        <v>0.93</v>
      </c>
      <c r="Z2510">
        <v>1073</v>
      </c>
      <c r="AA2510">
        <v>333</v>
      </c>
      <c r="AB2510" t="s">
        <v>32</v>
      </c>
      <c r="AC2510">
        <v>14.11</v>
      </c>
    </row>
    <row r="2511" spans="1:29">
      <c r="A2511" t="str">
        <f>"600500"</f>
        <v>600500</v>
      </c>
      <c r="B2511" t="s">
        <v>2681</v>
      </c>
      <c r="C2511">
        <v>1.66</v>
      </c>
      <c r="D2511">
        <v>7.36</v>
      </c>
      <c r="E2511">
        <v>0.12</v>
      </c>
      <c r="F2511">
        <v>7.36</v>
      </c>
      <c r="G2511">
        <v>7.37</v>
      </c>
      <c r="H2511">
        <v>133177</v>
      </c>
      <c r="I2511">
        <v>20</v>
      </c>
      <c r="J2511">
        <v>0.27</v>
      </c>
      <c r="K2511">
        <v>0.64</v>
      </c>
      <c r="L2511">
        <v>7.26</v>
      </c>
      <c r="M2511">
        <v>7.39</v>
      </c>
      <c r="N2511">
        <v>7.22</v>
      </c>
      <c r="O2511">
        <v>7.24</v>
      </c>
      <c r="P2511">
        <v>12.03</v>
      </c>
      <c r="Q2511">
        <v>97397888</v>
      </c>
      <c r="R2511">
        <v>2.27</v>
      </c>
      <c r="S2511" t="s">
        <v>140</v>
      </c>
      <c r="T2511" t="s">
        <v>366</v>
      </c>
      <c r="U2511">
        <v>2.35</v>
      </c>
      <c r="V2511">
        <v>7.31</v>
      </c>
      <c r="W2511">
        <v>58566</v>
      </c>
      <c r="X2511">
        <v>74611</v>
      </c>
      <c r="Y2511">
        <v>0.78</v>
      </c>
      <c r="Z2511">
        <v>264</v>
      </c>
      <c r="AA2511">
        <v>800</v>
      </c>
      <c r="AB2511" t="s">
        <v>32</v>
      </c>
      <c r="AC2511">
        <v>20.83</v>
      </c>
    </row>
    <row r="2512" spans="1:29">
      <c r="A2512" t="str">
        <f>"600501"</f>
        <v>600501</v>
      </c>
      <c r="B2512" t="s">
        <v>2682</v>
      </c>
      <c r="C2512">
        <v>1.04</v>
      </c>
      <c r="D2512">
        <v>7.79</v>
      </c>
      <c r="E2512">
        <v>0.08</v>
      </c>
      <c r="F2512">
        <v>7.79</v>
      </c>
      <c r="G2512">
        <v>7.8</v>
      </c>
      <c r="H2512">
        <v>64990</v>
      </c>
      <c r="I2512">
        <v>28</v>
      </c>
      <c r="J2512">
        <v>-0.5</v>
      </c>
      <c r="K2512">
        <v>1.54</v>
      </c>
      <c r="L2512">
        <v>7.67</v>
      </c>
      <c r="M2512">
        <v>7.86</v>
      </c>
      <c r="N2512">
        <v>7.61</v>
      </c>
      <c r="O2512">
        <v>7.71</v>
      </c>
      <c r="P2512">
        <v>491.14</v>
      </c>
      <c r="Q2512">
        <v>50503048</v>
      </c>
      <c r="R2512">
        <v>1.64</v>
      </c>
      <c r="S2512" t="s">
        <v>80</v>
      </c>
      <c r="T2512" t="s">
        <v>87</v>
      </c>
      <c r="U2512">
        <v>3.24</v>
      </c>
      <c r="V2512">
        <v>7.77</v>
      </c>
      <c r="W2512">
        <v>32403</v>
      </c>
      <c r="X2512">
        <v>32586</v>
      </c>
      <c r="Y2512">
        <v>0.99</v>
      </c>
      <c r="Z2512">
        <v>67</v>
      </c>
      <c r="AA2512">
        <v>483</v>
      </c>
      <c r="AB2512" t="s">
        <v>32</v>
      </c>
      <c r="AC2512">
        <v>4.21</v>
      </c>
    </row>
    <row r="2513" spans="1:29">
      <c r="A2513" t="str">
        <f>"600502"</f>
        <v>600502</v>
      </c>
      <c r="B2513" t="s">
        <v>2683</v>
      </c>
      <c r="C2513">
        <v>8.39</v>
      </c>
      <c r="D2513">
        <v>4.52</v>
      </c>
      <c r="E2513">
        <v>0.35</v>
      </c>
      <c r="F2513">
        <v>4.53</v>
      </c>
      <c r="G2513">
        <v>4.54</v>
      </c>
      <c r="H2513">
        <v>460344</v>
      </c>
      <c r="I2513">
        <v>639</v>
      </c>
      <c r="J2513">
        <v>0.22</v>
      </c>
      <c r="K2513">
        <v>5.05</v>
      </c>
      <c r="L2513">
        <v>4.22</v>
      </c>
      <c r="M2513">
        <v>4.59</v>
      </c>
      <c r="N2513">
        <v>4.18</v>
      </c>
      <c r="O2513">
        <v>4.17</v>
      </c>
      <c r="P2513">
        <v>17.74</v>
      </c>
      <c r="Q2513">
        <v>203325136</v>
      </c>
      <c r="R2513">
        <v>5.23</v>
      </c>
      <c r="S2513" t="s">
        <v>49</v>
      </c>
      <c r="T2513" t="s">
        <v>143</v>
      </c>
      <c r="U2513">
        <v>9.83</v>
      </c>
      <c r="V2513">
        <v>4.42</v>
      </c>
      <c r="W2513">
        <v>187317</v>
      </c>
      <c r="X2513">
        <v>273026</v>
      </c>
      <c r="Y2513">
        <v>0.69</v>
      </c>
      <c r="Z2513">
        <v>0</v>
      </c>
      <c r="AA2513">
        <v>1348</v>
      </c>
      <c r="AB2513" t="s">
        <v>32</v>
      </c>
      <c r="AC2513">
        <v>9.11</v>
      </c>
    </row>
    <row r="2514" spans="1:29">
      <c r="A2514" t="str">
        <f>"600503"</f>
        <v>600503</v>
      </c>
      <c r="B2514" t="s">
        <v>2684</v>
      </c>
      <c r="C2514">
        <v>-0.24</v>
      </c>
      <c r="D2514">
        <v>4.24</v>
      </c>
      <c r="E2514">
        <v>-0.01</v>
      </c>
      <c r="F2514">
        <v>4.24</v>
      </c>
      <c r="G2514">
        <v>4.25</v>
      </c>
      <c r="H2514">
        <v>246728</v>
      </c>
      <c r="I2514">
        <v>524</v>
      </c>
      <c r="J2514">
        <v>0</v>
      </c>
      <c r="K2514">
        <v>1.54</v>
      </c>
      <c r="L2514">
        <v>4.17</v>
      </c>
      <c r="M2514">
        <v>4.3</v>
      </c>
      <c r="N2514">
        <v>4.15</v>
      </c>
      <c r="O2514">
        <v>4.25</v>
      </c>
      <c r="P2514">
        <v>176.57</v>
      </c>
      <c r="Q2514">
        <v>104275128</v>
      </c>
      <c r="R2514">
        <v>0.7</v>
      </c>
      <c r="S2514" t="s">
        <v>40</v>
      </c>
      <c r="T2514" t="s">
        <v>366</v>
      </c>
      <c r="U2514">
        <v>3.53</v>
      </c>
      <c r="V2514">
        <v>4.23</v>
      </c>
      <c r="W2514">
        <v>136971</v>
      </c>
      <c r="X2514">
        <v>109756</v>
      </c>
      <c r="Y2514">
        <v>1.25</v>
      </c>
      <c r="Z2514">
        <v>259</v>
      </c>
      <c r="AA2514">
        <v>6816</v>
      </c>
      <c r="AB2514" t="s">
        <v>32</v>
      </c>
      <c r="AC2514">
        <v>16.02</v>
      </c>
    </row>
    <row r="2515" spans="1:29">
      <c r="A2515" t="str">
        <f>"600505"</f>
        <v>600505</v>
      </c>
      <c r="B2515" t="s">
        <v>2685</v>
      </c>
      <c r="C2515">
        <v>2.18</v>
      </c>
      <c r="D2515">
        <v>4.68</v>
      </c>
      <c r="E2515">
        <v>0.1</v>
      </c>
      <c r="F2515">
        <v>4.67</v>
      </c>
      <c r="G2515">
        <v>4.68</v>
      </c>
      <c r="H2515">
        <v>34438</v>
      </c>
      <c r="I2515">
        <v>20</v>
      </c>
      <c r="J2515">
        <v>0</v>
      </c>
      <c r="K2515">
        <v>0.94</v>
      </c>
      <c r="L2515">
        <v>4.6</v>
      </c>
      <c r="M2515">
        <v>4.7</v>
      </c>
      <c r="N2515">
        <v>4.56</v>
      </c>
      <c r="O2515">
        <v>4.58</v>
      </c>
      <c r="P2515">
        <v>283.68</v>
      </c>
      <c r="Q2515">
        <v>16005591</v>
      </c>
      <c r="R2515">
        <v>1.84</v>
      </c>
      <c r="S2515" t="s">
        <v>312</v>
      </c>
      <c r="T2515" t="s">
        <v>146</v>
      </c>
      <c r="U2515">
        <v>3.06</v>
      </c>
      <c r="V2515">
        <v>4.65</v>
      </c>
      <c r="W2515">
        <v>11812</v>
      </c>
      <c r="X2515">
        <v>22626</v>
      </c>
      <c r="Y2515">
        <v>0.52</v>
      </c>
      <c r="Z2515">
        <v>577</v>
      </c>
      <c r="AA2515">
        <v>423</v>
      </c>
      <c r="AB2515" t="s">
        <v>32</v>
      </c>
      <c r="AC2515">
        <v>3.65</v>
      </c>
    </row>
    <row r="2516" spans="1:29">
      <c r="A2516" t="str">
        <f>"600506"</f>
        <v>600506</v>
      </c>
      <c r="B2516" t="s">
        <v>2686</v>
      </c>
      <c r="C2516">
        <v>0</v>
      </c>
      <c r="D2516">
        <v>13.17</v>
      </c>
      <c r="E2516">
        <v>0</v>
      </c>
      <c r="F2516" t="s">
        <v>32</v>
      </c>
      <c r="G2516" t="s">
        <v>32</v>
      </c>
      <c r="H2516">
        <v>0</v>
      </c>
      <c r="I2516">
        <v>0</v>
      </c>
      <c r="J2516">
        <v>0</v>
      </c>
      <c r="K2516">
        <v>0</v>
      </c>
      <c r="L2516" t="s">
        <v>32</v>
      </c>
      <c r="M2516" t="s">
        <v>32</v>
      </c>
      <c r="N2516" t="s">
        <v>32</v>
      </c>
      <c r="O2516">
        <v>13.17</v>
      </c>
      <c r="P2516" t="s">
        <v>32</v>
      </c>
      <c r="Q2516">
        <v>0</v>
      </c>
      <c r="R2516">
        <v>0</v>
      </c>
      <c r="S2516" t="s">
        <v>404</v>
      </c>
      <c r="T2516" t="s">
        <v>156</v>
      </c>
      <c r="U2516">
        <v>0</v>
      </c>
      <c r="V2516">
        <v>13.17</v>
      </c>
      <c r="W2516">
        <v>0</v>
      </c>
      <c r="X2516">
        <v>0</v>
      </c>
      <c r="Y2516" t="s">
        <v>32</v>
      </c>
      <c r="Z2516">
        <v>0</v>
      </c>
      <c r="AA2516">
        <v>0</v>
      </c>
      <c r="AB2516" t="s">
        <v>32</v>
      </c>
      <c r="AC2516">
        <v>1.48</v>
      </c>
    </row>
    <row r="2517" spans="1:29">
      <c r="A2517" t="str">
        <f>"600507"</f>
        <v>600507</v>
      </c>
      <c r="B2517" t="s">
        <v>2687</v>
      </c>
      <c r="C2517">
        <v>3.19</v>
      </c>
      <c r="D2517">
        <v>11.96</v>
      </c>
      <c r="E2517">
        <v>0.37</v>
      </c>
      <c r="F2517">
        <v>11.95</v>
      </c>
      <c r="G2517">
        <v>11.96</v>
      </c>
      <c r="H2517">
        <v>493564</v>
      </c>
      <c r="I2517">
        <v>91</v>
      </c>
      <c r="J2517">
        <v>0.5</v>
      </c>
      <c r="K2517">
        <v>3.72</v>
      </c>
      <c r="L2517">
        <v>11.93</v>
      </c>
      <c r="M2517">
        <v>12.49</v>
      </c>
      <c r="N2517">
        <v>11.82</v>
      </c>
      <c r="O2517">
        <v>11.59</v>
      </c>
      <c r="P2517">
        <v>7.78</v>
      </c>
      <c r="Q2517">
        <v>599027008</v>
      </c>
      <c r="R2517">
        <v>2.15</v>
      </c>
      <c r="S2517" t="s">
        <v>398</v>
      </c>
      <c r="T2517" t="s">
        <v>172</v>
      </c>
      <c r="U2517">
        <v>5.78</v>
      </c>
      <c r="V2517">
        <v>12.14</v>
      </c>
      <c r="W2517">
        <v>223242</v>
      </c>
      <c r="X2517">
        <v>270322</v>
      </c>
      <c r="Y2517">
        <v>0.83</v>
      </c>
      <c r="Z2517">
        <v>156</v>
      </c>
      <c r="AA2517">
        <v>5</v>
      </c>
      <c r="AB2517" t="s">
        <v>32</v>
      </c>
      <c r="AC2517">
        <v>13.26</v>
      </c>
    </row>
    <row r="2518" spans="1:29">
      <c r="A2518" t="str">
        <f>"600508"</f>
        <v>600508</v>
      </c>
      <c r="B2518" t="s">
        <v>2688</v>
      </c>
      <c r="C2518">
        <v>1.23</v>
      </c>
      <c r="D2518">
        <v>10.7</v>
      </c>
      <c r="E2518">
        <v>0.13</v>
      </c>
      <c r="F2518">
        <v>10.69</v>
      </c>
      <c r="G2518">
        <v>10.7</v>
      </c>
      <c r="H2518">
        <v>63586</v>
      </c>
      <c r="I2518">
        <v>338</v>
      </c>
      <c r="J2518">
        <v>0.19</v>
      </c>
      <c r="K2518">
        <v>0.88</v>
      </c>
      <c r="L2518">
        <v>10.57</v>
      </c>
      <c r="M2518">
        <v>10.78</v>
      </c>
      <c r="N2518">
        <v>10.53</v>
      </c>
      <c r="O2518">
        <v>10.57</v>
      </c>
      <c r="P2518">
        <v>5.68</v>
      </c>
      <c r="Q2518">
        <v>67984024</v>
      </c>
      <c r="R2518">
        <v>1.98</v>
      </c>
      <c r="S2518" t="s">
        <v>265</v>
      </c>
      <c r="T2518" t="s">
        <v>366</v>
      </c>
      <c r="U2518">
        <v>2.37</v>
      </c>
      <c r="V2518">
        <v>10.69</v>
      </c>
      <c r="W2518">
        <v>33706</v>
      </c>
      <c r="X2518">
        <v>29880</v>
      </c>
      <c r="Y2518">
        <v>1.13</v>
      </c>
      <c r="Z2518">
        <v>57</v>
      </c>
      <c r="AA2518">
        <v>425</v>
      </c>
      <c r="AB2518" t="s">
        <v>32</v>
      </c>
      <c r="AC2518">
        <v>7.23</v>
      </c>
    </row>
    <row r="2519" spans="1:29">
      <c r="A2519" t="str">
        <f>"600509"</f>
        <v>600509</v>
      </c>
      <c r="B2519" t="s">
        <v>2689</v>
      </c>
      <c r="C2519">
        <v>2.67</v>
      </c>
      <c r="D2519">
        <v>4.23</v>
      </c>
      <c r="E2519">
        <v>0.11</v>
      </c>
      <c r="F2519">
        <v>4.22</v>
      </c>
      <c r="G2519">
        <v>4.23</v>
      </c>
      <c r="H2519">
        <v>107818</v>
      </c>
      <c r="I2519">
        <v>4</v>
      </c>
      <c r="J2519">
        <v>0.24</v>
      </c>
      <c r="K2519">
        <v>1.19</v>
      </c>
      <c r="L2519">
        <v>4.27</v>
      </c>
      <c r="M2519">
        <v>4.28</v>
      </c>
      <c r="N2519">
        <v>4.19</v>
      </c>
      <c r="O2519">
        <v>4.12</v>
      </c>
      <c r="P2519">
        <v>16.48</v>
      </c>
      <c r="Q2519">
        <v>45506516</v>
      </c>
      <c r="R2519">
        <v>2.05</v>
      </c>
      <c r="S2519" t="s">
        <v>75</v>
      </c>
      <c r="T2519" t="s">
        <v>156</v>
      </c>
      <c r="U2519">
        <v>2.18</v>
      </c>
      <c r="V2519">
        <v>4.22</v>
      </c>
      <c r="W2519">
        <v>53851</v>
      </c>
      <c r="X2519">
        <v>53966</v>
      </c>
      <c r="Y2519">
        <v>1</v>
      </c>
      <c r="Z2519">
        <v>251</v>
      </c>
      <c r="AA2519">
        <v>565</v>
      </c>
      <c r="AB2519" t="s">
        <v>32</v>
      </c>
      <c r="AC2519">
        <v>9.06</v>
      </c>
    </row>
    <row r="2520" spans="1:29">
      <c r="A2520" t="str">
        <f>"600510"</f>
        <v>600510</v>
      </c>
      <c r="B2520" t="s">
        <v>2690</v>
      </c>
      <c r="C2520">
        <v>1.72</v>
      </c>
      <c r="D2520">
        <v>5.9</v>
      </c>
      <c r="E2520">
        <v>0.1</v>
      </c>
      <c r="F2520">
        <v>5.89</v>
      </c>
      <c r="G2520">
        <v>5.9</v>
      </c>
      <c r="H2520">
        <v>13006</v>
      </c>
      <c r="I2520">
        <v>9</v>
      </c>
      <c r="J2520">
        <v>0</v>
      </c>
      <c r="K2520">
        <v>0.16</v>
      </c>
      <c r="L2520">
        <v>5.78</v>
      </c>
      <c r="M2520">
        <v>5.91</v>
      </c>
      <c r="N2520">
        <v>5.78</v>
      </c>
      <c r="O2520">
        <v>5.8</v>
      </c>
      <c r="P2520">
        <v>30.26</v>
      </c>
      <c r="Q2520">
        <v>7645515</v>
      </c>
      <c r="R2520">
        <v>1.94</v>
      </c>
      <c r="S2520" t="s">
        <v>34</v>
      </c>
      <c r="T2520" t="s">
        <v>87</v>
      </c>
      <c r="U2520">
        <v>2.24</v>
      </c>
      <c r="V2520">
        <v>5.88</v>
      </c>
      <c r="W2520">
        <v>4844</v>
      </c>
      <c r="X2520">
        <v>8162</v>
      </c>
      <c r="Y2520">
        <v>0.59</v>
      </c>
      <c r="Z2520">
        <v>229</v>
      </c>
      <c r="AA2520">
        <v>377</v>
      </c>
      <c r="AB2520" t="s">
        <v>32</v>
      </c>
      <c r="AC2520">
        <v>7.96</v>
      </c>
    </row>
    <row r="2521" spans="1:29">
      <c r="A2521" t="str">
        <f>"600511"</f>
        <v>600511</v>
      </c>
      <c r="B2521" t="s">
        <v>2691</v>
      </c>
      <c r="C2521">
        <v>7.58</v>
      </c>
      <c r="D2521">
        <v>28.26</v>
      </c>
      <c r="E2521">
        <v>1.99</v>
      </c>
      <c r="F2521">
        <v>28.26</v>
      </c>
      <c r="G2521">
        <v>28.27</v>
      </c>
      <c r="H2521">
        <v>81704</v>
      </c>
      <c r="I2521">
        <v>11</v>
      </c>
      <c r="J2521">
        <v>0.04</v>
      </c>
      <c r="K2521">
        <v>2.94</v>
      </c>
      <c r="L2521">
        <v>26.24</v>
      </c>
      <c r="M2521">
        <v>28.55</v>
      </c>
      <c r="N2521">
        <v>26.01</v>
      </c>
      <c r="O2521">
        <v>26.27</v>
      </c>
      <c r="P2521">
        <v>21.26</v>
      </c>
      <c r="Q2521">
        <v>227002592</v>
      </c>
      <c r="R2521">
        <v>2.38</v>
      </c>
      <c r="S2521" t="s">
        <v>77</v>
      </c>
      <c r="T2521" t="s">
        <v>45</v>
      </c>
      <c r="U2521">
        <v>9.67</v>
      </c>
      <c r="V2521">
        <v>27.78</v>
      </c>
      <c r="W2521">
        <v>29711</v>
      </c>
      <c r="X2521">
        <v>51993</v>
      </c>
      <c r="Y2521">
        <v>0.57</v>
      </c>
      <c r="Z2521">
        <v>19</v>
      </c>
      <c r="AA2521">
        <v>39</v>
      </c>
      <c r="AB2521" t="s">
        <v>32</v>
      </c>
      <c r="AC2521">
        <v>2.78</v>
      </c>
    </row>
    <row r="2522" spans="1:29">
      <c r="A2522" t="str">
        <f>"600512"</f>
        <v>600512</v>
      </c>
      <c r="B2522" t="s">
        <v>2692</v>
      </c>
      <c r="C2522">
        <v>10</v>
      </c>
      <c r="D2522">
        <v>2.53</v>
      </c>
      <c r="E2522">
        <v>0.23</v>
      </c>
      <c r="F2522">
        <v>2.53</v>
      </c>
      <c r="G2522" t="s">
        <v>32</v>
      </c>
      <c r="H2522">
        <v>546248</v>
      </c>
      <c r="I2522">
        <v>8</v>
      </c>
      <c r="J2522">
        <v>0</v>
      </c>
      <c r="K2522">
        <v>3.55</v>
      </c>
      <c r="L2522">
        <v>2.3</v>
      </c>
      <c r="M2522">
        <v>2.53</v>
      </c>
      <c r="N2522">
        <v>2.28</v>
      </c>
      <c r="O2522">
        <v>2.3</v>
      </c>
      <c r="P2522" t="s">
        <v>32</v>
      </c>
      <c r="Q2522">
        <v>132749072</v>
      </c>
      <c r="R2522">
        <v>3.69</v>
      </c>
      <c r="S2522" t="s">
        <v>49</v>
      </c>
      <c r="T2522" t="s">
        <v>149</v>
      </c>
      <c r="U2522">
        <v>10.87</v>
      </c>
      <c r="V2522">
        <v>2.43</v>
      </c>
      <c r="W2522">
        <v>270827</v>
      </c>
      <c r="X2522">
        <v>275421</v>
      </c>
      <c r="Y2522">
        <v>0.98</v>
      </c>
      <c r="Z2522">
        <v>31272</v>
      </c>
      <c r="AA2522">
        <v>0</v>
      </c>
      <c r="AB2522" t="s">
        <v>32</v>
      </c>
      <c r="AC2522">
        <v>15.37</v>
      </c>
    </row>
    <row r="2523" spans="1:29">
      <c r="A2523" t="str">
        <f>"600513"</f>
        <v>600513</v>
      </c>
      <c r="B2523" t="s">
        <v>2693</v>
      </c>
      <c r="C2523">
        <v>2.12</v>
      </c>
      <c r="D2523">
        <v>7.22</v>
      </c>
      <c r="E2523">
        <v>0.15</v>
      </c>
      <c r="F2523">
        <v>7.21</v>
      </c>
      <c r="G2523">
        <v>7.22</v>
      </c>
      <c r="H2523">
        <v>30867</v>
      </c>
      <c r="I2523">
        <v>2</v>
      </c>
      <c r="J2523">
        <v>0</v>
      </c>
      <c r="K2523">
        <v>1.08</v>
      </c>
      <c r="L2523">
        <v>7.06</v>
      </c>
      <c r="M2523">
        <v>7.23</v>
      </c>
      <c r="N2523">
        <v>7.02</v>
      </c>
      <c r="O2523">
        <v>7.07</v>
      </c>
      <c r="P2523">
        <v>32.53</v>
      </c>
      <c r="Q2523">
        <v>22116120</v>
      </c>
      <c r="R2523">
        <v>0.93</v>
      </c>
      <c r="S2523" t="s">
        <v>142</v>
      </c>
      <c r="T2523" t="s">
        <v>87</v>
      </c>
      <c r="U2523">
        <v>2.97</v>
      </c>
      <c r="V2523">
        <v>7.16</v>
      </c>
      <c r="W2523">
        <v>14182</v>
      </c>
      <c r="X2523">
        <v>16684</v>
      </c>
      <c r="Y2523">
        <v>0.85</v>
      </c>
      <c r="Z2523">
        <v>168</v>
      </c>
      <c r="AA2523">
        <v>144</v>
      </c>
      <c r="AB2523" t="s">
        <v>32</v>
      </c>
      <c r="AC2523">
        <v>2.85</v>
      </c>
    </row>
    <row r="2524" spans="1:29">
      <c r="A2524" t="str">
        <f>"600515"</f>
        <v>600515</v>
      </c>
      <c r="B2524" t="s">
        <v>2694</v>
      </c>
      <c r="C2524">
        <v>0</v>
      </c>
      <c r="D2524">
        <v>11.16</v>
      </c>
      <c r="E2524">
        <v>0</v>
      </c>
      <c r="F2524" t="s">
        <v>32</v>
      </c>
      <c r="G2524" t="s">
        <v>32</v>
      </c>
      <c r="H2524">
        <v>0</v>
      </c>
      <c r="I2524">
        <v>0</v>
      </c>
      <c r="J2524">
        <v>0</v>
      </c>
      <c r="K2524">
        <v>0</v>
      </c>
      <c r="L2524" t="s">
        <v>32</v>
      </c>
      <c r="M2524" t="s">
        <v>32</v>
      </c>
      <c r="N2524" t="s">
        <v>32</v>
      </c>
      <c r="O2524">
        <v>11.16</v>
      </c>
      <c r="P2524">
        <v>18.86</v>
      </c>
      <c r="Q2524">
        <v>0</v>
      </c>
      <c r="R2524">
        <v>0</v>
      </c>
      <c r="S2524" t="s">
        <v>34</v>
      </c>
      <c r="T2524" t="s">
        <v>209</v>
      </c>
      <c r="U2524">
        <v>0</v>
      </c>
      <c r="V2524">
        <v>11.16</v>
      </c>
      <c r="W2524">
        <v>0</v>
      </c>
      <c r="X2524">
        <v>0</v>
      </c>
      <c r="Y2524" t="s">
        <v>32</v>
      </c>
      <c r="Z2524">
        <v>0</v>
      </c>
      <c r="AA2524">
        <v>0</v>
      </c>
      <c r="AB2524" t="s">
        <v>32</v>
      </c>
      <c r="AC2524">
        <v>16.58</v>
      </c>
    </row>
    <row r="2525" spans="1:29">
      <c r="A2525" t="str">
        <f>"600516"</f>
        <v>600516</v>
      </c>
      <c r="B2525" t="s">
        <v>2695</v>
      </c>
      <c r="C2525">
        <v>1.53</v>
      </c>
      <c r="D2525">
        <v>25.96</v>
      </c>
      <c r="E2525">
        <v>0.39</v>
      </c>
      <c r="F2525">
        <v>25.95</v>
      </c>
      <c r="G2525">
        <v>25.96</v>
      </c>
      <c r="H2525">
        <v>611356</v>
      </c>
      <c r="I2525">
        <v>121</v>
      </c>
      <c r="J2525">
        <v>0.08</v>
      </c>
      <c r="K2525">
        <v>3.56</v>
      </c>
      <c r="L2525">
        <v>25.69</v>
      </c>
      <c r="M2525">
        <v>26.25</v>
      </c>
      <c r="N2525">
        <v>25.37</v>
      </c>
      <c r="O2525">
        <v>25.57</v>
      </c>
      <c r="P2525">
        <v>6.13</v>
      </c>
      <c r="Q2525">
        <v>1579054208</v>
      </c>
      <c r="R2525">
        <v>1.43</v>
      </c>
      <c r="S2525" t="s">
        <v>227</v>
      </c>
      <c r="T2525" t="s">
        <v>266</v>
      </c>
      <c r="U2525">
        <v>3.44</v>
      </c>
      <c r="V2525">
        <v>25.83</v>
      </c>
      <c r="W2525">
        <v>296943</v>
      </c>
      <c r="X2525">
        <v>314412</v>
      </c>
      <c r="Y2525">
        <v>0.94</v>
      </c>
      <c r="Z2525">
        <v>586</v>
      </c>
      <c r="AA2525">
        <v>1</v>
      </c>
      <c r="AB2525" t="s">
        <v>32</v>
      </c>
      <c r="AC2525">
        <v>17.19</v>
      </c>
    </row>
    <row r="2526" spans="1:29">
      <c r="A2526" t="str">
        <f>"600517"</f>
        <v>600517</v>
      </c>
      <c r="B2526" t="s">
        <v>2696</v>
      </c>
      <c r="C2526">
        <v>1.34</v>
      </c>
      <c r="D2526">
        <v>3.79</v>
      </c>
      <c r="E2526">
        <v>0.05</v>
      </c>
      <c r="F2526">
        <v>3.79</v>
      </c>
      <c r="G2526">
        <v>3.8</v>
      </c>
      <c r="H2526">
        <v>96031</v>
      </c>
      <c r="I2526">
        <v>61</v>
      </c>
      <c r="J2526">
        <v>0</v>
      </c>
      <c r="K2526">
        <v>0.77</v>
      </c>
      <c r="L2526">
        <v>3.75</v>
      </c>
      <c r="M2526">
        <v>3.82</v>
      </c>
      <c r="N2526">
        <v>3.72</v>
      </c>
      <c r="O2526">
        <v>3.74</v>
      </c>
      <c r="P2526" t="s">
        <v>32</v>
      </c>
      <c r="Q2526">
        <v>36315332</v>
      </c>
      <c r="R2526">
        <v>2.88</v>
      </c>
      <c r="S2526" t="s">
        <v>104</v>
      </c>
      <c r="T2526" t="s">
        <v>366</v>
      </c>
      <c r="U2526">
        <v>2.67</v>
      </c>
      <c r="V2526">
        <v>3.78</v>
      </c>
      <c r="W2526">
        <v>51340</v>
      </c>
      <c r="X2526">
        <v>44691</v>
      </c>
      <c r="Y2526">
        <v>1.15</v>
      </c>
      <c r="Z2526">
        <v>920</v>
      </c>
      <c r="AA2526">
        <v>2120</v>
      </c>
      <c r="AB2526" t="s">
        <v>32</v>
      </c>
      <c r="AC2526">
        <v>12.45</v>
      </c>
    </row>
    <row r="2527" spans="1:29">
      <c r="A2527" t="str">
        <f>"600518"</f>
        <v>600518</v>
      </c>
      <c r="B2527" t="s">
        <v>2697</v>
      </c>
      <c r="C2527">
        <v>0.61</v>
      </c>
      <c r="D2527">
        <v>21.49</v>
      </c>
      <c r="E2527">
        <v>0.13</v>
      </c>
      <c r="F2527">
        <v>21.49</v>
      </c>
      <c r="G2527">
        <v>21.51</v>
      </c>
      <c r="H2527">
        <v>204982</v>
      </c>
      <c r="I2527">
        <v>2</v>
      </c>
      <c r="J2527">
        <v>0.23</v>
      </c>
      <c r="K2527">
        <v>0.47</v>
      </c>
      <c r="L2527">
        <v>21.28</v>
      </c>
      <c r="M2527">
        <v>21.54</v>
      </c>
      <c r="N2527">
        <v>20.8</v>
      </c>
      <c r="O2527">
        <v>21.36</v>
      </c>
      <c r="P2527">
        <v>18.78</v>
      </c>
      <c r="Q2527">
        <v>436239040</v>
      </c>
      <c r="R2527">
        <v>1.57</v>
      </c>
      <c r="S2527" t="s">
        <v>195</v>
      </c>
      <c r="T2527" t="s">
        <v>136</v>
      </c>
      <c r="U2527">
        <v>3.46</v>
      </c>
      <c r="V2527">
        <v>21.28</v>
      </c>
      <c r="W2527">
        <v>97794</v>
      </c>
      <c r="X2527">
        <v>107187</v>
      </c>
      <c r="Y2527">
        <v>0.91</v>
      </c>
      <c r="Z2527">
        <v>34</v>
      </c>
      <c r="AA2527">
        <v>3</v>
      </c>
      <c r="AB2527" t="s">
        <v>32</v>
      </c>
      <c r="AC2527">
        <v>44.03</v>
      </c>
    </row>
    <row r="2528" spans="1:29">
      <c r="A2528" t="str">
        <f>"600519"</f>
        <v>600519</v>
      </c>
      <c r="B2528" t="s">
        <v>2698</v>
      </c>
      <c r="C2528">
        <v>1.82</v>
      </c>
      <c r="D2528">
        <v>745.4</v>
      </c>
      <c r="E2528">
        <v>13.33</v>
      </c>
      <c r="F2528">
        <v>745.49</v>
      </c>
      <c r="G2528">
        <v>745.5</v>
      </c>
      <c r="H2528">
        <v>41809</v>
      </c>
      <c r="I2528">
        <v>3</v>
      </c>
      <c r="J2528">
        <v>-0.02</v>
      </c>
      <c r="K2528">
        <v>0.33</v>
      </c>
      <c r="L2528">
        <v>732.68</v>
      </c>
      <c r="M2528">
        <v>747.3</v>
      </c>
      <c r="N2528">
        <v>723</v>
      </c>
      <c r="O2528">
        <v>732.07</v>
      </c>
      <c r="P2528">
        <v>27.52</v>
      </c>
      <c r="Q2528">
        <v>3091209216</v>
      </c>
      <c r="R2528">
        <v>1.53</v>
      </c>
      <c r="S2528" t="s">
        <v>285</v>
      </c>
      <c r="T2528" t="s">
        <v>253</v>
      </c>
      <c r="U2528">
        <v>3.32</v>
      </c>
      <c r="V2528">
        <v>739.37</v>
      </c>
      <c r="W2528">
        <v>18314</v>
      </c>
      <c r="X2528">
        <v>23494</v>
      </c>
      <c r="Y2528">
        <v>0.78</v>
      </c>
      <c r="Z2528">
        <v>1</v>
      </c>
      <c r="AA2528">
        <v>14</v>
      </c>
      <c r="AB2528" t="s">
        <v>32</v>
      </c>
      <c r="AC2528">
        <v>12.56</v>
      </c>
    </row>
    <row r="2529" spans="1:29">
      <c r="A2529" t="str">
        <f>"600520"</f>
        <v>600520</v>
      </c>
      <c r="B2529" t="s">
        <v>2699</v>
      </c>
      <c r="C2529">
        <v>0.17</v>
      </c>
      <c r="D2529">
        <v>17.31</v>
      </c>
      <c r="E2529">
        <v>0.03</v>
      </c>
      <c r="F2529">
        <v>17.31</v>
      </c>
      <c r="G2529">
        <v>17.32</v>
      </c>
      <c r="H2529">
        <v>26290</v>
      </c>
      <c r="I2529">
        <v>35</v>
      </c>
      <c r="J2529">
        <v>0.17</v>
      </c>
      <c r="K2529">
        <v>1.66</v>
      </c>
      <c r="L2529">
        <v>17.22</v>
      </c>
      <c r="M2529">
        <v>17.5</v>
      </c>
      <c r="N2529">
        <v>17.05</v>
      </c>
      <c r="O2529">
        <v>17.28</v>
      </c>
      <c r="P2529" t="s">
        <v>32</v>
      </c>
      <c r="Q2529">
        <v>45424268</v>
      </c>
      <c r="R2529">
        <v>1.35</v>
      </c>
      <c r="S2529" t="s">
        <v>241</v>
      </c>
      <c r="T2529" t="s">
        <v>143</v>
      </c>
      <c r="U2529">
        <v>2.6</v>
      </c>
      <c r="V2529">
        <v>17.28</v>
      </c>
      <c r="W2529">
        <v>12992</v>
      </c>
      <c r="X2529">
        <v>13298</v>
      </c>
      <c r="Y2529">
        <v>0.98</v>
      </c>
      <c r="Z2529">
        <v>70</v>
      </c>
      <c r="AA2529">
        <v>39</v>
      </c>
      <c r="AB2529" t="s">
        <v>32</v>
      </c>
      <c r="AC2529">
        <v>1.58</v>
      </c>
    </row>
    <row r="2530" spans="1:29">
      <c r="A2530" t="str">
        <f>"600521"</f>
        <v>600521</v>
      </c>
      <c r="B2530" t="s">
        <v>2700</v>
      </c>
      <c r="C2530">
        <v>9.72</v>
      </c>
      <c r="D2530">
        <v>21.44</v>
      </c>
      <c r="E2530">
        <v>1.9</v>
      </c>
      <c r="F2530">
        <v>21.46</v>
      </c>
      <c r="G2530">
        <v>21.47</v>
      </c>
      <c r="H2530">
        <v>310421</v>
      </c>
      <c r="I2530">
        <v>3</v>
      </c>
      <c r="J2530">
        <v>0.37</v>
      </c>
      <c r="K2530">
        <v>2.52</v>
      </c>
      <c r="L2530">
        <v>19.65</v>
      </c>
      <c r="M2530">
        <v>21.49</v>
      </c>
      <c r="N2530">
        <v>19.63</v>
      </c>
      <c r="O2530">
        <v>19.54</v>
      </c>
      <c r="P2530">
        <v>41.42</v>
      </c>
      <c r="Q2530">
        <v>651682432</v>
      </c>
      <c r="R2530">
        <v>1.5</v>
      </c>
      <c r="S2530" t="s">
        <v>142</v>
      </c>
      <c r="T2530" t="s">
        <v>149</v>
      </c>
      <c r="U2530">
        <v>9.52</v>
      </c>
      <c r="V2530">
        <v>20.99</v>
      </c>
      <c r="W2530">
        <v>165636</v>
      </c>
      <c r="X2530">
        <v>144784</v>
      </c>
      <c r="Y2530">
        <v>1.14</v>
      </c>
      <c r="Z2530">
        <v>73</v>
      </c>
      <c r="AA2530">
        <v>135</v>
      </c>
      <c r="AB2530" t="s">
        <v>32</v>
      </c>
      <c r="AC2530">
        <v>12.32</v>
      </c>
    </row>
    <row r="2531" spans="1:29">
      <c r="A2531" t="str">
        <f>"600522"</f>
        <v>600522</v>
      </c>
      <c r="B2531" t="s">
        <v>2701</v>
      </c>
      <c r="C2531">
        <v>1.98</v>
      </c>
      <c r="D2531">
        <v>9.27</v>
      </c>
      <c r="E2531">
        <v>0.18</v>
      </c>
      <c r="F2531">
        <v>9.26</v>
      </c>
      <c r="G2531">
        <v>9.27</v>
      </c>
      <c r="H2531">
        <v>521568</v>
      </c>
      <c r="I2531">
        <v>29</v>
      </c>
      <c r="J2531">
        <v>0.11</v>
      </c>
      <c r="K2531">
        <v>1.91</v>
      </c>
      <c r="L2531">
        <v>9.09</v>
      </c>
      <c r="M2531">
        <v>9.37</v>
      </c>
      <c r="N2531">
        <v>9.04</v>
      </c>
      <c r="O2531">
        <v>9.09</v>
      </c>
      <c r="P2531">
        <v>15.87</v>
      </c>
      <c r="Q2531">
        <v>481209248</v>
      </c>
      <c r="R2531">
        <v>1.48</v>
      </c>
      <c r="S2531" t="s">
        <v>119</v>
      </c>
      <c r="T2531" t="s">
        <v>87</v>
      </c>
      <c r="U2531">
        <v>3.63</v>
      </c>
      <c r="V2531">
        <v>9.23</v>
      </c>
      <c r="W2531">
        <v>252587</v>
      </c>
      <c r="X2531">
        <v>268980</v>
      </c>
      <c r="Y2531">
        <v>0.94</v>
      </c>
      <c r="Z2531">
        <v>2042</v>
      </c>
      <c r="AA2531">
        <v>1169</v>
      </c>
      <c r="AB2531" t="s">
        <v>32</v>
      </c>
      <c r="AC2531">
        <v>27.31</v>
      </c>
    </row>
    <row r="2532" spans="1:29">
      <c r="A2532" t="str">
        <f>"600523"</f>
        <v>600523</v>
      </c>
      <c r="B2532" t="s">
        <v>2702</v>
      </c>
      <c r="C2532">
        <v>2.02</v>
      </c>
      <c r="D2532">
        <v>8.59</v>
      </c>
      <c r="E2532">
        <v>0.17</v>
      </c>
      <c r="F2532">
        <v>8.57</v>
      </c>
      <c r="G2532">
        <v>8.59</v>
      </c>
      <c r="H2532">
        <v>25137</v>
      </c>
      <c r="I2532">
        <v>10</v>
      </c>
      <c r="J2532">
        <v>0.35</v>
      </c>
      <c r="K2532">
        <v>0.62</v>
      </c>
      <c r="L2532">
        <v>8.38</v>
      </c>
      <c r="M2532">
        <v>8.64</v>
      </c>
      <c r="N2532">
        <v>8.34</v>
      </c>
      <c r="O2532">
        <v>8.42</v>
      </c>
      <c r="P2532">
        <v>75.84</v>
      </c>
      <c r="Q2532">
        <v>21382204</v>
      </c>
      <c r="R2532">
        <v>1.9</v>
      </c>
      <c r="S2532" t="s">
        <v>80</v>
      </c>
      <c r="T2532" t="s">
        <v>253</v>
      </c>
      <c r="U2532">
        <v>3.56</v>
      </c>
      <c r="V2532">
        <v>8.51</v>
      </c>
      <c r="W2532">
        <v>13022</v>
      </c>
      <c r="X2532">
        <v>12115</v>
      </c>
      <c r="Y2532">
        <v>1.07</v>
      </c>
      <c r="Z2532">
        <v>100</v>
      </c>
      <c r="AA2532">
        <v>150</v>
      </c>
      <c r="AB2532" t="s">
        <v>32</v>
      </c>
      <c r="AC2532">
        <v>4.04</v>
      </c>
    </row>
    <row r="2533" spans="1:29">
      <c r="A2533" t="str">
        <f>"600525"</f>
        <v>600525</v>
      </c>
      <c r="B2533" t="s">
        <v>2703</v>
      </c>
      <c r="C2533">
        <v>4.61</v>
      </c>
      <c r="D2533">
        <v>10.21</v>
      </c>
      <c r="E2533">
        <v>0.45</v>
      </c>
      <c r="F2533">
        <v>10.22</v>
      </c>
      <c r="G2533">
        <v>10.23</v>
      </c>
      <c r="H2533">
        <v>320863</v>
      </c>
      <c r="I2533">
        <v>28</v>
      </c>
      <c r="J2533">
        <v>-0.09</v>
      </c>
      <c r="K2533">
        <v>2.56</v>
      </c>
      <c r="L2533">
        <v>9.82</v>
      </c>
      <c r="M2533">
        <v>10.27</v>
      </c>
      <c r="N2533">
        <v>9.71</v>
      </c>
      <c r="O2533">
        <v>9.76</v>
      </c>
      <c r="P2533">
        <v>41.88</v>
      </c>
      <c r="Q2533">
        <v>321788896</v>
      </c>
      <c r="R2533">
        <v>1.84</v>
      </c>
      <c r="S2533" t="s">
        <v>104</v>
      </c>
      <c r="T2533" t="s">
        <v>31</v>
      </c>
      <c r="U2533">
        <v>5.74</v>
      </c>
      <c r="V2533">
        <v>10.03</v>
      </c>
      <c r="W2533">
        <v>124380</v>
      </c>
      <c r="X2533">
        <v>196483</v>
      </c>
      <c r="Y2533">
        <v>0.63</v>
      </c>
      <c r="Z2533">
        <v>1185</v>
      </c>
      <c r="AA2533">
        <v>1310</v>
      </c>
      <c r="AB2533" t="s">
        <v>32</v>
      </c>
      <c r="AC2533">
        <v>12.56</v>
      </c>
    </row>
    <row r="2534" spans="1:29">
      <c r="A2534" t="str">
        <f>"600526"</f>
        <v>600526</v>
      </c>
      <c r="B2534" t="s">
        <v>2704</v>
      </c>
      <c r="C2534">
        <v>2.02</v>
      </c>
      <c r="D2534">
        <v>6.07</v>
      </c>
      <c r="E2534">
        <v>0.12</v>
      </c>
      <c r="F2534">
        <v>6.06</v>
      </c>
      <c r="G2534">
        <v>6.07</v>
      </c>
      <c r="H2534">
        <v>47033</v>
      </c>
      <c r="I2534">
        <v>10</v>
      </c>
      <c r="J2534">
        <v>0</v>
      </c>
      <c r="K2534">
        <v>0.86</v>
      </c>
      <c r="L2534">
        <v>5.95</v>
      </c>
      <c r="M2534">
        <v>6.07</v>
      </c>
      <c r="N2534">
        <v>5.95</v>
      </c>
      <c r="O2534">
        <v>5.95</v>
      </c>
      <c r="P2534">
        <v>125.14</v>
      </c>
      <c r="Q2534">
        <v>28372348</v>
      </c>
      <c r="R2534">
        <v>2.02</v>
      </c>
      <c r="S2534" t="s">
        <v>86</v>
      </c>
      <c r="T2534" t="s">
        <v>149</v>
      </c>
      <c r="U2534">
        <v>2.02</v>
      </c>
      <c r="V2534">
        <v>6.03</v>
      </c>
      <c r="W2534">
        <v>17754</v>
      </c>
      <c r="X2534">
        <v>29278</v>
      </c>
      <c r="Y2534">
        <v>0.61</v>
      </c>
      <c r="Z2534">
        <v>904</v>
      </c>
      <c r="AA2534">
        <v>671</v>
      </c>
      <c r="AB2534" t="s">
        <v>32</v>
      </c>
      <c r="AC2534">
        <v>5.47</v>
      </c>
    </row>
    <row r="2535" spans="1:29">
      <c r="A2535" t="str">
        <f>"600527"</f>
        <v>600527</v>
      </c>
      <c r="B2535" t="s">
        <v>2705</v>
      </c>
      <c r="C2535">
        <v>3.8</v>
      </c>
      <c r="D2535">
        <v>2.46</v>
      </c>
      <c r="E2535">
        <v>0.09</v>
      </c>
      <c r="F2535">
        <v>2.45</v>
      </c>
      <c r="G2535">
        <v>2.46</v>
      </c>
      <c r="H2535">
        <v>147662</v>
      </c>
      <c r="I2535">
        <v>100</v>
      </c>
      <c r="J2535">
        <v>0</v>
      </c>
      <c r="K2535">
        <v>1.23</v>
      </c>
      <c r="L2535">
        <v>2.37</v>
      </c>
      <c r="M2535">
        <v>2.47</v>
      </c>
      <c r="N2535">
        <v>2.36</v>
      </c>
      <c r="O2535">
        <v>2.37</v>
      </c>
      <c r="P2535">
        <v>57.24</v>
      </c>
      <c r="Q2535">
        <v>35841528</v>
      </c>
      <c r="R2535">
        <v>2.72</v>
      </c>
      <c r="S2535" t="s">
        <v>190</v>
      </c>
      <c r="T2535" t="s">
        <v>87</v>
      </c>
      <c r="U2535">
        <v>4.64</v>
      </c>
      <c r="V2535">
        <v>2.43</v>
      </c>
      <c r="W2535">
        <v>56862</v>
      </c>
      <c r="X2535">
        <v>90800</v>
      </c>
      <c r="Y2535">
        <v>0.63</v>
      </c>
      <c r="Z2535">
        <v>6508</v>
      </c>
      <c r="AA2535">
        <v>905</v>
      </c>
      <c r="AB2535" t="s">
        <v>32</v>
      </c>
      <c r="AC2535">
        <v>12.03</v>
      </c>
    </row>
    <row r="2536" spans="1:29">
      <c r="A2536" t="str">
        <f>"600528"</f>
        <v>600528</v>
      </c>
      <c r="B2536" t="s">
        <v>2706</v>
      </c>
      <c r="C2536">
        <v>4.5</v>
      </c>
      <c r="D2536">
        <v>10.45</v>
      </c>
      <c r="E2536">
        <v>0.45</v>
      </c>
      <c r="F2536">
        <v>10.45</v>
      </c>
      <c r="G2536">
        <v>10.46</v>
      </c>
      <c r="H2536">
        <v>243777</v>
      </c>
      <c r="I2536">
        <v>28</v>
      </c>
      <c r="J2536">
        <v>-0.18</v>
      </c>
      <c r="K2536">
        <v>1.33</v>
      </c>
      <c r="L2536">
        <v>10.16</v>
      </c>
      <c r="M2536">
        <v>10.7</v>
      </c>
      <c r="N2536">
        <v>10.1</v>
      </c>
      <c r="O2536">
        <v>10</v>
      </c>
      <c r="P2536">
        <v>17.66</v>
      </c>
      <c r="Q2536">
        <v>254707584</v>
      </c>
      <c r="R2536">
        <v>4.21</v>
      </c>
      <c r="S2536" t="s">
        <v>49</v>
      </c>
      <c r="T2536" t="s">
        <v>146</v>
      </c>
      <c r="U2536">
        <v>6</v>
      </c>
      <c r="V2536">
        <v>10.45</v>
      </c>
      <c r="W2536">
        <v>116213</v>
      </c>
      <c r="X2536">
        <v>127563</v>
      </c>
      <c r="Y2536">
        <v>0.91</v>
      </c>
      <c r="Z2536">
        <v>13</v>
      </c>
      <c r="AA2536">
        <v>297</v>
      </c>
      <c r="AB2536" t="s">
        <v>32</v>
      </c>
      <c r="AC2536">
        <v>18.38</v>
      </c>
    </row>
    <row r="2537" spans="1:29">
      <c r="A2537" t="str">
        <f>"600529"</f>
        <v>600529</v>
      </c>
      <c r="B2537" t="s">
        <v>2707</v>
      </c>
      <c r="C2537">
        <v>0.17</v>
      </c>
      <c r="D2537">
        <v>17.33</v>
      </c>
      <c r="E2537">
        <v>0.03</v>
      </c>
      <c r="F2537">
        <v>17.32</v>
      </c>
      <c r="G2537">
        <v>17.33</v>
      </c>
      <c r="H2537">
        <v>25460</v>
      </c>
      <c r="I2537">
        <v>3</v>
      </c>
      <c r="J2537">
        <v>0.06</v>
      </c>
      <c r="K2537">
        <v>0.71</v>
      </c>
      <c r="L2537">
        <v>17.03</v>
      </c>
      <c r="M2537">
        <v>17.47</v>
      </c>
      <c r="N2537">
        <v>16.9</v>
      </c>
      <c r="O2537">
        <v>17.3</v>
      </c>
      <c r="P2537">
        <v>22.17</v>
      </c>
      <c r="Q2537">
        <v>43891900</v>
      </c>
      <c r="R2537">
        <v>0.85</v>
      </c>
      <c r="S2537" t="s">
        <v>138</v>
      </c>
      <c r="T2537" t="s">
        <v>162</v>
      </c>
      <c r="U2537">
        <v>3.29</v>
      </c>
      <c r="V2537">
        <v>17.24</v>
      </c>
      <c r="W2537">
        <v>13986</v>
      </c>
      <c r="X2537">
        <v>11474</v>
      </c>
      <c r="Y2537">
        <v>1.22</v>
      </c>
      <c r="Z2537">
        <v>28</v>
      </c>
      <c r="AA2537">
        <v>17</v>
      </c>
      <c r="AB2537" t="s">
        <v>32</v>
      </c>
      <c r="AC2537">
        <v>3.6</v>
      </c>
    </row>
    <row r="2538" spans="1:29">
      <c r="A2538" t="str">
        <f>"600530"</f>
        <v>600530</v>
      </c>
      <c r="B2538" t="s">
        <v>2708</v>
      </c>
      <c r="C2538">
        <v>1.49</v>
      </c>
      <c r="D2538">
        <v>5.46</v>
      </c>
      <c r="E2538">
        <v>0.08</v>
      </c>
      <c r="F2538">
        <v>5.46</v>
      </c>
      <c r="G2538">
        <v>5.47</v>
      </c>
      <c r="H2538">
        <v>30132</v>
      </c>
      <c r="I2538">
        <v>37</v>
      </c>
      <c r="J2538">
        <v>-0.17</v>
      </c>
      <c r="K2538">
        <v>0.39</v>
      </c>
      <c r="L2538">
        <v>5.37</v>
      </c>
      <c r="M2538">
        <v>5.47</v>
      </c>
      <c r="N2538">
        <v>5.33</v>
      </c>
      <c r="O2538">
        <v>5.38</v>
      </c>
      <c r="P2538">
        <v>34.38</v>
      </c>
      <c r="Q2538">
        <v>16325595</v>
      </c>
      <c r="R2538">
        <v>1.67</v>
      </c>
      <c r="S2538" t="s">
        <v>138</v>
      </c>
      <c r="T2538" t="s">
        <v>366</v>
      </c>
      <c r="U2538">
        <v>2.6</v>
      </c>
      <c r="V2538">
        <v>5.42</v>
      </c>
      <c r="W2538">
        <v>14814</v>
      </c>
      <c r="X2538">
        <v>15317</v>
      </c>
      <c r="Y2538">
        <v>0.97</v>
      </c>
      <c r="Z2538">
        <v>344</v>
      </c>
      <c r="AA2538">
        <v>369</v>
      </c>
      <c r="AB2538" t="s">
        <v>32</v>
      </c>
      <c r="AC2538">
        <v>7.8</v>
      </c>
    </row>
    <row r="2539" spans="1:29">
      <c r="A2539" t="str">
        <f>"600531"</f>
        <v>600531</v>
      </c>
      <c r="B2539" t="s">
        <v>2709</v>
      </c>
      <c r="C2539">
        <v>2.01</v>
      </c>
      <c r="D2539">
        <v>4.56</v>
      </c>
      <c r="E2539">
        <v>0.09</v>
      </c>
      <c r="F2539">
        <v>4.55</v>
      </c>
      <c r="G2539">
        <v>4.56</v>
      </c>
      <c r="H2539">
        <v>137823</v>
      </c>
      <c r="I2539">
        <v>67</v>
      </c>
      <c r="J2539">
        <v>0.22</v>
      </c>
      <c r="K2539">
        <v>1.26</v>
      </c>
      <c r="L2539">
        <v>4.44</v>
      </c>
      <c r="M2539">
        <v>4.64</v>
      </c>
      <c r="N2539">
        <v>4.43</v>
      </c>
      <c r="O2539">
        <v>4.47</v>
      </c>
      <c r="P2539">
        <v>28.21</v>
      </c>
      <c r="Q2539">
        <v>62628556</v>
      </c>
      <c r="R2539">
        <v>2.23</v>
      </c>
      <c r="S2539" t="s">
        <v>113</v>
      </c>
      <c r="T2539" t="s">
        <v>164</v>
      </c>
      <c r="U2539">
        <v>4.7</v>
      </c>
      <c r="V2539">
        <v>4.54</v>
      </c>
      <c r="W2539">
        <v>73738</v>
      </c>
      <c r="X2539">
        <v>64085</v>
      </c>
      <c r="Y2539">
        <v>1.15</v>
      </c>
      <c r="Z2539">
        <v>1352</v>
      </c>
      <c r="AA2539">
        <v>1501</v>
      </c>
      <c r="AB2539" t="s">
        <v>32</v>
      </c>
      <c r="AC2539">
        <v>10.9</v>
      </c>
    </row>
    <row r="2540" spans="1:29">
      <c r="A2540" t="str">
        <f>"600532"</f>
        <v>600532</v>
      </c>
      <c r="B2540" t="s">
        <v>2710</v>
      </c>
      <c r="C2540">
        <v>-0.71</v>
      </c>
      <c r="D2540">
        <v>4.19</v>
      </c>
      <c r="E2540">
        <v>-0.03</v>
      </c>
      <c r="F2540">
        <v>4.19</v>
      </c>
      <c r="G2540">
        <v>4.2</v>
      </c>
      <c r="H2540">
        <v>302194</v>
      </c>
      <c r="I2540">
        <v>599</v>
      </c>
      <c r="J2540">
        <v>-0.7</v>
      </c>
      <c r="K2540">
        <v>7.63</v>
      </c>
      <c r="L2540">
        <v>4.2</v>
      </c>
      <c r="M2540">
        <v>4.3</v>
      </c>
      <c r="N2540">
        <v>4.18</v>
      </c>
      <c r="O2540">
        <v>4.22</v>
      </c>
      <c r="P2540" t="s">
        <v>32</v>
      </c>
      <c r="Q2540">
        <v>127707432</v>
      </c>
      <c r="R2540">
        <v>0.77</v>
      </c>
      <c r="S2540" t="s">
        <v>353</v>
      </c>
      <c r="T2540" t="s">
        <v>366</v>
      </c>
      <c r="U2540">
        <v>2.84</v>
      </c>
      <c r="V2540">
        <v>4.23</v>
      </c>
      <c r="W2540">
        <v>161669</v>
      </c>
      <c r="X2540">
        <v>140524</v>
      </c>
      <c r="Y2540">
        <v>1.15</v>
      </c>
      <c r="Z2540">
        <v>37</v>
      </c>
      <c r="AA2540">
        <v>1403</v>
      </c>
      <c r="AB2540" t="s">
        <v>32</v>
      </c>
      <c r="AC2540">
        <v>3.96</v>
      </c>
    </row>
    <row r="2541" spans="1:29">
      <c r="A2541" t="str">
        <f>"600533"</f>
        <v>600533</v>
      </c>
      <c r="B2541" t="s">
        <v>2711</v>
      </c>
      <c r="C2541">
        <v>2.61</v>
      </c>
      <c r="D2541">
        <v>3.15</v>
      </c>
      <c r="E2541">
        <v>0.08</v>
      </c>
      <c r="F2541">
        <v>3.14</v>
      </c>
      <c r="G2541">
        <v>3.15</v>
      </c>
      <c r="H2541">
        <v>115275</v>
      </c>
      <c r="I2541">
        <v>597</v>
      </c>
      <c r="J2541">
        <v>0</v>
      </c>
      <c r="K2541">
        <v>1.1</v>
      </c>
      <c r="L2541">
        <v>3.08</v>
      </c>
      <c r="M2541">
        <v>3.17</v>
      </c>
      <c r="N2541">
        <v>3.06</v>
      </c>
      <c r="O2541">
        <v>3.07</v>
      </c>
      <c r="P2541" t="s">
        <v>32</v>
      </c>
      <c r="Q2541">
        <v>35998696</v>
      </c>
      <c r="R2541">
        <v>1.86</v>
      </c>
      <c r="S2541" t="s">
        <v>40</v>
      </c>
      <c r="T2541" t="s">
        <v>87</v>
      </c>
      <c r="U2541">
        <v>3.58</v>
      </c>
      <c r="V2541">
        <v>3.12</v>
      </c>
      <c r="W2541">
        <v>50936</v>
      </c>
      <c r="X2541">
        <v>64338</v>
      </c>
      <c r="Y2541">
        <v>0.79</v>
      </c>
      <c r="Z2541">
        <v>1355</v>
      </c>
      <c r="AA2541">
        <v>454</v>
      </c>
      <c r="AB2541" t="s">
        <v>32</v>
      </c>
      <c r="AC2541">
        <v>10.5</v>
      </c>
    </row>
    <row r="2542" spans="1:29">
      <c r="A2542" t="str">
        <f>"600535"</f>
        <v>600535</v>
      </c>
      <c r="B2542" t="s">
        <v>2712</v>
      </c>
      <c r="C2542">
        <v>2.86</v>
      </c>
      <c r="D2542">
        <v>25.93</v>
      </c>
      <c r="E2542">
        <v>0.72</v>
      </c>
      <c r="F2542">
        <v>25.89</v>
      </c>
      <c r="G2542">
        <v>25.9</v>
      </c>
      <c r="H2542">
        <v>118569</v>
      </c>
      <c r="I2542">
        <v>5</v>
      </c>
      <c r="J2542">
        <v>0.62</v>
      </c>
      <c r="K2542">
        <v>0.78</v>
      </c>
      <c r="L2542">
        <v>25.19</v>
      </c>
      <c r="M2542">
        <v>26.09</v>
      </c>
      <c r="N2542">
        <v>24.85</v>
      </c>
      <c r="O2542">
        <v>25.21</v>
      </c>
      <c r="P2542">
        <v>26.39</v>
      </c>
      <c r="Q2542">
        <v>303859552</v>
      </c>
      <c r="R2542">
        <v>1.02</v>
      </c>
      <c r="S2542" t="s">
        <v>195</v>
      </c>
      <c r="T2542" t="s">
        <v>248</v>
      </c>
      <c r="U2542">
        <v>4.92</v>
      </c>
      <c r="V2542">
        <v>25.63</v>
      </c>
      <c r="W2542">
        <v>58767</v>
      </c>
      <c r="X2542">
        <v>59801</v>
      </c>
      <c r="Y2542">
        <v>0.98</v>
      </c>
      <c r="Z2542">
        <v>35</v>
      </c>
      <c r="AA2542">
        <v>268</v>
      </c>
      <c r="AB2542" t="s">
        <v>32</v>
      </c>
      <c r="AC2542">
        <v>15.13</v>
      </c>
    </row>
    <row r="2543" spans="1:29">
      <c r="A2543" t="str">
        <f>"600536"</f>
        <v>600536</v>
      </c>
      <c r="B2543" t="s">
        <v>2713</v>
      </c>
      <c r="C2543">
        <v>-0.85</v>
      </c>
      <c r="D2543">
        <v>25.75</v>
      </c>
      <c r="E2543">
        <v>-0.22</v>
      </c>
      <c r="F2543">
        <v>25.76</v>
      </c>
      <c r="G2543">
        <v>25.81</v>
      </c>
      <c r="H2543">
        <v>378945</v>
      </c>
      <c r="I2543">
        <v>51</v>
      </c>
      <c r="J2543">
        <v>0.51</v>
      </c>
      <c r="K2543">
        <v>7.66</v>
      </c>
      <c r="L2543">
        <v>25.8</v>
      </c>
      <c r="M2543">
        <v>25.89</v>
      </c>
      <c r="N2543">
        <v>24.81</v>
      </c>
      <c r="O2543">
        <v>25.97</v>
      </c>
      <c r="P2543" t="s">
        <v>32</v>
      </c>
      <c r="Q2543">
        <v>964591936</v>
      </c>
      <c r="R2543">
        <v>0.95</v>
      </c>
      <c r="S2543" t="s">
        <v>270</v>
      </c>
      <c r="T2543" t="s">
        <v>45</v>
      </c>
      <c r="U2543">
        <v>4.16</v>
      </c>
      <c r="V2543">
        <v>25.45</v>
      </c>
      <c r="W2543">
        <v>200949</v>
      </c>
      <c r="X2543">
        <v>177995</v>
      </c>
      <c r="Y2543">
        <v>1.13</v>
      </c>
      <c r="Z2543">
        <v>24</v>
      </c>
      <c r="AA2543">
        <v>150</v>
      </c>
      <c r="AB2543" t="s">
        <v>32</v>
      </c>
      <c r="AC2543">
        <v>4.95</v>
      </c>
    </row>
    <row r="2544" spans="1:29">
      <c r="A2544" t="str">
        <f>"600537"</f>
        <v>600537</v>
      </c>
      <c r="B2544" t="s">
        <v>2714</v>
      </c>
      <c r="C2544">
        <v>1.82</v>
      </c>
      <c r="D2544">
        <v>3.35</v>
      </c>
      <c r="E2544">
        <v>0.06</v>
      </c>
      <c r="F2544">
        <v>3.34</v>
      </c>
      <c r="G2544">
        <v>3.35</v>
      </c>
      <c r="H2544">
        <v>48270</v>
      </c>
      <c r="I2544">
        <v>120</v>
      </c>
      <c r="J2544">
        <v>0.3</v>
      </c>
      <c r="K2544">
        <v>0.41</v>
      </c>
      <c r="L2544">
        <v>3.29</v>
      </c>
      <c r="M2544">
        <v>3.36</v>
      </c>
      <c r="N2544">
        <v>3.27</v>
      </c>
      <c r="O2544">
        <v>3.29</v>
      </c>
      <c r="P2544">
        <v>184.69</v>
      </c>
      <c r="Q2544">
        <v>16079366</v>
      </c>
      <c r="R2544">
        <v>1.4</v>
      </c>
      <c r="S2544" t="s">
        <v>699</v>
      </c>
      <c r="T2544" t="s">
        <v>149</v>
      </c>
      <c r="U2544">
        <v>2.74</v>
      </c>
      <c r="V2544">
        <v>3.33</v>
      </c>
      <c r="W2544">
        <v>18771</v>
      </c>
      <c r="X2544">
        <v>29498</v>
      </c>
      <c r="Y2544">
        <v>0.64</v>
      </c>
      <c r="Z2544">
        <v>2119</v>
      </c>
      <c r="AA2544">
        <v>1041</v>
      </c>
      <c r="AB2544" t="s">
        <v>32</v>
      </c>
      <c r="AC2544">
        <v>11.76</v>
      </c>
    </row>
    <row r="2545" spans="1:29">
      <c r="A2545" t="str">
        <f>"600538"</f>
        <v>600538</v>
      </c>
      <c r="B2545" t="s">
        <v>2715</v>
      </c>
      <c r="C2545">
        <v>-0.4</v>
      </c>
      <c r="D2545">
        <v>4.96</v>
      </c>
      <c r="E2545">
        <v>-0.02</v>
      </c>
      <c r="F2545">
        <v>4.96</v>
      </c>
      <c r="G2545">
        <v>4.97</v>
      </c>
      <c r="H2545">
        <v>48541</v>
      </c>
      <c r="I2545">
        <v>19</v>
      </c>
      <c r="J2545">
        <v>-0.19</v>
      </c>
      <c r="K2545">
        <v>1.05</v>
      </c>
      <c r="L2545">
        <v>4.98</v>
      </c>
      <c r="M2545">
        <v>4.99</v>
      </c>
      <c r="N2545">
        <v>4.9</v>
      </c>
      <c r="O2545">
        <v>4.98</v>
      </c>
      <c r="P2545">
        <v>4727.89</v>
      </c>
      <c r="Q2545">
        <v>23972968</v>
      </c>
      <c r="R2545">
        <v>1.66</v>
      </c>
      <c r="S2545" t="s">
        <v>77</v>
      </c>
      <c r="T2545" t="s">
        <v>238</v>
      </c>
      <c r="U2545">
        <v>1.81</v>
      </c>
      <c r="V2545">
        <v>4.94</v>
      </c>
      <c r="W2545">
        <v>29479</v>
      </c>
      <c r="X2545">
        <v>19062</v>
      </c>
      <c r="Y2545">
        <v>1.55</v>
      </c>
      <c r="Z2545">
        <v>42</v>
      </c>
      <c r="AA2545">
        <v>749</v>
      </c>
      <c r="AB2545" t="s">
        <v>32</v>
      </c>
      <c r="AC2545">
        <v>4.64</v>
      </c>
    </row>
    <row r="2546" spans="1:29">
      <c r="A2546" t="str">
        <f>"600539"</f>
        <v>600539</v>
      </c>
      <c r="B2546" t="s">
        <v>2716</v>
      </c>
      <c r="C2546">
        <v>0</v>
      </c>
      <c r="D2546">
        <v>6</v>
      </c>
      <c r="E2546">
        <v>0</v>
      </c>
      <c r="F2546">
        <v>5.99</v>
      </c>
      <c r="G2546">
        <v>6</v>
      </c>
      <c r="H2546">
        <v>15360</v>
      </c>
      <c r="I2546">
        <v>6</v>
      </c>
      <c r="J2546">
        <v>0</v>
      </c>
      <c r="K2546">
        <v>0.67</v>
      </c>
      <c r="L2546">
        <v>6</v>
      </c>
      <c r="M2546">
        <v>6.05</v>
      </c>
      <c r="N2546">
        <v>5.97</v>
      </c>
      <c r="O2546">
        <v>6</v>
      </c>
      <c r="P2546">
        <v>207.14</v>
      </c>
      <c r="Q2546">
        <v>9221502</v>
      </c>
      <c r="R2546">
        <v>1.25</v>
      </c>
      <c r="S2546" t="s">
        <v>166</v>
      </c>
      <c r="T2546" t="s">
        <v>169</v>
      </c>
      <c r="U2546">
        <v>1.33</v>
      </c>
      <c r="V2546">
        <v>6</v>
      </c>
      <c r="W2546">
        <v>9611</v>
      </c>
      <c r="X2546">
        <v>5749</v>
      </c>
      <c r="Y2546">
        <v>1.67</v>
      </c>
      <c r="Z2546">
        <v>74</v>
      </c>
      <c r="AA2546">
        <v>55</v>
      </c>
      <c r="AB2546" t="s">
        <v>32</v>
      </c>
      <c r="AC2546">
        <v>2.3</v>
      </c>
    </row>
    <row r="2547" spans="1:29">
      <c r="A2547" t="str">
        <f>"600540"</f>
        <v>600540</v>
      </c>
      <c r="B2547" t="s">
        <v>2717</v>
      </c>
      <c r="C2547">
        <v>2.38</v>
      </c>
      <c r="D2547">
        <v>3.87</v>
      </c>
      <c r="E2547">
        <v>0.09</v>
      </c>
      <c r="F2547">
        <v>3.86</v>
      </c>
      <c r="G2547">
        <v>3.87</v>
      </c>
      <c r="H2547">
        <v>71078</v>
      </c>
      <c r="I2547">
        <v>55</v>
      </c>
      <c r="J2547">
        <v>0.26</v>
      </c>
      <c r="K2547">
        <v>1.51</v>
      </c>
      <c r="L2547">
        <v>3.76</v>
      </c>
      <c r="M2547">
        <v>3.87</v>
      </c>
      <c r="N2547">
        <v>3.75</v>
      </c>
      <c r="O2547">
        <v>3.78</v>
      </c>
      <c r="P2547">
        <v>172.12</v>
      </c>
      <c r="Q2547">
        <v>27252508</v>
      </c>
      <c r="R2547">
        <v>1.52</v>
      </c>
      <c r="S2547" t="s">
        <v>404</v>
      </c>
      <c r="T2547" t="s">
        <v>156</v>
      </c>
      <c r="U2547">
        <v>3.17</v>
      </c>
      <c r="V2547">
        <v>3.83</v>
      </c>
      <c r="W2547">
        <v>27430</v>
      </c>
      <c r="X2547">
        <v>43648</v>
      </c>
      <c r="Y2547">
        <v>0.63</v>
      </c>
      <c r="Z2547">
        <v>508</v>
      </c>
      <c r="AA2547">
        <v>1219</v>
      </c>
      <c r="AB2547" t="s">
        <v>32</v>
      </c>
      <c r="AC2547">
        <v>4.71</v>
      </c>
    </row>
    <row r="2548" spans="1:29">
      <c r="A2548" t="str">
        <f>"600543"</f>
        <v>600543</v>
      </c>
      <c r="B2548" t="s">
        <v>2718</v>
      </c>
      <c r="C2548">
        <v>1.33</v>
      </c>
      <c r="D2548">
        <v>7.64</v>
      </c>
      <c r="E2548">
        <v>0.1</v>
      </c>
      <c r="F2548">
        <v>7.63</v>
      </c>
      <c r="G2548">
        <v>7.65</v>
      </c>
      <c r="H2548">
        <v>30148</v>
      </c>
      <c r="I2548">
        <v>7</v>
      </c>
      <c r="J2548">
        <v>0</v>
      </c>
      <c r="K2548">
        <v>0.94</v>
      </c>
      <c r="L2548">
        <v>7.45</v>
      </c>
      <c r="M2548">
        <v>7.7</v>
      </c>
      <c r="N2548">
        <v>7.45</v>
      </c>
      <c r="O2548">
        <v>7.54</v>
      </c>
      <c r="P2548">
        <v>43.1</v>
      </c>
      <c r="Q2548">
        <v>22935180</v>
      </c>
      <c r="R2548">
        <v>1.61</v>
      </c>
      <c r="S2548" t="s">
        <v>272</v>
      </c>
      <c r="T2548" t="s">
        <v>266</v>
      </c>
      <c r="U2548">
        <v>3.32</v>
      </c>
      <c r="V2548">
        <v>7.61</v>
      </c>
      <c r="W2548">
        <v>14069</v>
      </c>
      <c r="X2548">
        <v>16079</v>
      </c>
      <c r="Y2548">
        <v>0.87</v>
      </c>
      <c r="Z2548">
        <v>3</v>
      </c>
      <c r="AA2548">
        <v>5</v>
      </c>
      <c r="AB2548" t="s">
        <v>32</v>
      </c>
      <c r="AC2548">
        <v>3.21</v>
      </c>
    </row>
    <row r="2549" spans="1:29">
      <c r="A2549" t="str">
        <f>"600545"</f>
        <v>600545</v>
      </c>
      <c r="B2549" t="s">
        <v>2719</v>
      </c>
      <c r="C2549">
        <v>1.12</v>
      </c>
      <c r="D2549">
        <v>8.12</v>
      </c>
      <c r="E2549">
        <v>0.09</v>
      </c>
      <c r="F2549">
        <v>8.12</v>
      </c>
      <c r="G2549">
        <v>8.13</v>
      </c>
      <c r="H2549">
        <v>37239</v>
      </c>
      <c r="I2549">
        <v>10</v>
      </c>
      <c r="J2549">
        <v>-0.11</v>
      </c>
      <c r="K2549">
        <v>0.55</v>
      </c>
      <c r="L2549">
        <v>8.01</v>
      </c>
      <c r="M2549">
        <v>8.14</v>
      </c>
      <c r="N2549">
        <v>7.99</v>
      </c>
      <c r="O2549">
        <v>8.03</v>
      </c>
      <c r="P2549">
        <v>27.2</v>
      </c>
      <c r="Q2549">
        <v>30164348</v>
      </c>
      <c r="R2549">
        <v>2.1</v>
      </c>
      <c r="S2549" t="s">
        <v>363</v>
      </c>
      <c r="T2549" t="s">
        <v>156</v>
      </c>
      <c r="U2549">
        <v>1.87</v>
      </c>
      <c r="V2549">
        <v>8.1</v>
      </c>
      <c r="W2549">
        <v>14742</v>
      </c>
      <c r="X2549">
        <v>22497</v>
      </c>
      <c r="Y2549">
        <v>0.66</v>
      </c>
      <c r="Z2549">
        <v>26</v>
      </c>
      <c r="AA2549">
        <v>969</v>
      </c>
      <c r="AB2549" t="s">
        <v>32</v>
      </c>
      <c r="AC2549">
        <v>6.76</v>
      </c>
    </row>
    <row r="2550" spans="1:29">
      <c r="A2550" t="str">
        <f>"600546"</f>
        <v>600546</v>
      </c>
      <c r="B2550" t="s">
        <v>2720</v>
      </c>
      <c r="C2550">
        <v>4</v>
      </c>
      <c r="D2550">
        <v>4.16</v>
      </c>
      <c r="E2550">
        <v>0.16</v>
      </c>
      <c r="F2550">
        <v>4.16</v>
      </c>
      <c r="G2550">
        <v>4.17</v>
      </c>
      <c r="H2550">
        <v>191771</v>
      </c>
      <c r="I2550">
        <v>61</v>
      </c>
      <c r="J2550">
        <v>0</v>
      </c>
      <c r="K2550">
        <v>0.97</v>
      </c>
      <c r="L2550">
        <v>3.98</v>
      </c>
      <c r="M2550">
        <v>4.23</v>
      </c>
      <c r="N2550">
        <v>3.96</v>
      </c>
      <c r="O2550">
        <v>4</v>
      </c>
      <c r="P2550">
        <v>63.03</v>
      </c>
      <c r="Q2550">
        <v>78574960</v>
      </c>
      <c r="R2550">
        <v>2.57</v>
      </c>
      <c r="S2550" t="s">
        <v>265</v>
      </c>
      <c r="T2550" t="s">
        <v>169</v>
      </c>
      <c r="U2550">
        <v>6.75</v>
      </c>
      <c r="V2550">
        <v>4.1</v>
      </c>
      <c r="W2550">
        <v>72906</v>
      </c>
      <c r="X2550">
        <v>118865</v>
      </c>
      <c r="Y2550">
        <v>0.61</v>
      </c>
      <c r="Z2550">
        <v>155</v>
      </c>
      <c r="AA2550">
        <v>1098</v>
      </c>
      <c r="AB2550" t="s">
        <v>32</v>
      </c>
      <c r="AC2550">
        <v>19.82</v>
      </c>
    </row>
    <row r="2551" spans="1:29">
      <c r="A2551" t="str">
        <f>"600547"</f>
        <v>600547</v>
      </c>
      <c r="B2551" t="s">
        <v>2721</v>
      </c>
      <c r="C2551">
        <v>1.3</v>
      </c>
      <c r="D2551">
        <v>24.13</v>
      </c>
      <c r="E2551">
        <v>0.31</v>
      </c>
      <c r="F2551">
        <v>24.11</v>
      </c>
      <c r="G2551">
        <v>24.13</v>
      </c>
      <c r="H2551">
        <v>178475</v>
      </c>
      <c r="I2551">
        <v>14</v>
      </c>
      <c r="J2551">
        <v>0.42</v>
      </c>
      <c r="K2551">
        <v>1.23</v>
      </c>
      <c r="L2551">
        <v>23.58</v>
      </c>
      <c r="M2551">
        <v>24.15</v>
      </c>
      <c r="N2551">
        <v>23.5</v>
      </c>
      <c r="O2551">
        <v>23.82</v>
      </c>
      <c r="P2551">
        <v>32.3</v>
      </c>
      <c r="Q2551">
        <v>426902976</v>
      </c>
      <c r="R2551">
        <v>1.89</v>
      </c>
      <c r="S2551" t="s">
        <v>778</v>
      </c>
      <c r="T2551" t="s">
        <v>162</v>
      </c>
      <c r="U2551">
        <v>2.73</v>
      </c>
      <c r="V2551">
        <v>23.92</v>
      </c>
      <c r="W2551">
        <v>88666</v>
      </c>
      <c r="X2551">
        <v>89809</v>
      </c>
      <c r="Y2551">
        <v>0.99</v>
      </c>
      <c r="Z2551">
        <v>118</v>
      </c>
      <c r="AA2551">
        <v>221</v>
      </c>
      <c r="AB2551" t="s">
        <v>32</v>
      </c>
      <c r="AC2551">
        <v>14.52</v>
      </c>
    </row>
    <row r="2552" spans="1:29">
      <c r="A2552" t="str">
        <f>"600548"</f>
        <v>600548</v>
      </c>
      <c r="B2552" t="s">
        <v>2722</v>
      </c>
      <c r="C2552">
        <v>1.39</v>
      </c>
      <c r="D2552">
        <v>8.03</v>
      </c>
      <c r="E2552">
        <v>0.11</v>
      </c>
      <c r="F2552">
        <v>8.04</v>
      </c>
      <c r="G2552">
        <v>8.05</v>
      </c>
      <c r="H2552">
        <v>33458</v>
      </c>
      <c r="I2552">
        <v>30</v>
      </c>
      <c r="J2552">
        <v>0</v>
      </c>
      <c r="K2552">
        <v>0.23</v>
      </c>
      <c r="L2552">
        <v>7.93</v>
      </c>
      <c r="M2552">
        <v>8.15</v>
      </c>
      <c r="N2552">
        <v>7.89</v>
      </c>
      <c r="O2552">
        <v>7.92</v>
      </c>
      <c r="P2552">
        <v>11.03</v>
      </c>
      <c r="Q2552">
        <v>26660848</v>
      </c>
      <c r="R2552">
        <v>2.58</v>
      </c>
      <c r="S2552" t="s">
        <v>201</v>
      </c>
      <c r="T2552" t="s">
        <v>31</v>
      </c>
      <c r="U2552">
        <v>3.28</v>
      </c>
      <c r="V2552">
        <v>7.97</v>
      </c>
      <c r="W2552">
        <v>16707</v>
      </c>
      <c r="X2552">
        <v>16751</v>
      </c>
      <c r="Y2552">
        <v>1</v>
      </c>
      <c r="Z2552">
        <v>108</v>
      </c>
      <c r="AA2552">
        <v>61</v>
      </c>
      <c r="AB2552" t="s">
        <v>32</v>
      </c>
      <c r="AC2552">
        <v>14.33</v>
      </c>
    </row>
    <row r="2553" spans="1:29">
      <c r="A2553" t="str">
        <f>"600549"</f>
        <v>600549</v>
      </c>
      <c r="B2553" t="s">
        <v>2723</v>
      </c>
      <c r="C2553">
        <v>2.94</v>
      </c>
      <c r="D2553">
        <v>15.42</v>
      </c>
      <c r="E2553">
        <v>0.44</v>
      </c>
      <c r="F2553">
        <v>15.41</v>
      </c>
      <c r="G2553">
        <v>15.42</v>
      </c>
      <c r="H2553">
        <v>175826</v>
      </c>
      <c r="I2553">
        <v>10</v>
      </c>
      <c r="J2553">
        <v>0.13</v>
      </c>
      <c r="K2553">
        <v>1.25</v>
      </c>
      <c r="L2553">
        <v>14.99</v>
      </c>
      <c r="M2553">
        <v>15.65</v>
      </c>
      <c r="N2553">
        <v>14.94</v>
      </c>
      <c r="O2553">
        <v>14.98</v>
      </c>
      <c r="P2553">
        <v>181.28</v>
      </c>
      <c r="Q2553">
        <v>270719840</v>
      </c>
      <c r="R2553">
        <v>2.67</v>
      </c>
      <c r="S2553" t="s">
        <v>356</v>
      </c>
      <c r="T2553" t="s">
        <v>236</v>
      </c>
      <c r="U2553">
        <v>4.74</v>
      </c>
      <c r="V2553">
        <v>15.4</v>
      </c>
      <c r="W2553">
        <v>79432</v>
      </c>
      <c r="X2553">
        <v>96394</v>
      </c>
      <c r="Y2553">
        <v>0.82</v>
      </c>
      <c r="Z2553">
        <v>111</v>
      </c>
      <c r="AA2553">
        <v>37</v>
      </c>
      <c r="AB2553" t="s">
        <v>32</v>
      </c>
      <c r="AC2553">
        <v>14.06</v>
      </c>
    </row>
    <row r="2554" spans="1:29">
      <c r="A2554" t="str">
        <f>"600550"</f>
        <v>600550</v>
      </c>
      <c r="B2554" t="s">
        <v>2724</v>
      </c>
      <c r="C2554">
        <v>2.44</v>
      </c>
      <c r="D2554">
        <v>4.2</v>
      </c>
      <c r="E2554">
        <v>0.1</v>
      </c>
      <c r="F2554">
        <v>4.19</v>
      </c>
      <c r="G2554">
        <v>4.2</v>
      </c>
      <c r="H2554">
        <v>73466</v>
      </c>
      <c r="I2554">
        <v>24</v>
      </c>
      <c r="J2554">
        <v>0.24</v>
      </c>
      <c r="K2554">
        <v>0.48</v>
      </c>
      <c r="L2554">
        <v>4.09</v>
      </c>
      <c r="M2554">
        <v>4.27</v>
      </c>
      <c r="N2554">
        <v>4.08</v>
      </c>
      <c r="O2554">
        <v>4.1</v>
      </c>
      <c r="P2554" t="s">
        <v>32</v>
      </c>
      <c r="Q2554">
        <v>30848872</v>
      </c>
      <c r="R2554">
        <v>1.75</v>
      </c>
      <c r="S2554" t="s">
        <v>104</v>
      </c>
      <c r="T2554" t="s">
        <v>154</v>
      </c>
      <c r="U2554">
        <v>4.63</v>
      </c>
      <c r="V2554">
        <v>4.2</v>
      </c>
      <c r="W2554">
        <v>33235</v>
      </c>
      <c r="X2554">
        <v>40230</v>
      </c>
      <c r="Y2554">
        <v>0.83</v>
      </c>
      <c r="Z2554">
        <v>741</v>
      </c>
      <c r="AA2554">
        <v>1104</v>
      </c>
      <c r="AB2554" t="s">
        <v>32</v>
      </c>
      <c r="AC2554">
        <v>15.35</v>
      </c>
    </row>
    <row r="2555" spans="1:29">
      <c r="A2555" t="str">
        <f>"600551"</f>
        <v>600551</v>
      </c>
      <c r="B2555" t="s">
        <v>2725</v>
      </c>
      <c r="C2555">
        <v>2.34</v>
      </c>
      <c r="D2555">
        <v>8.74</v>
      </c>
      <c r="E2555">
        <v>0.2</v>
      </c>
      <c r="F2555">
        <v>8.74</v>
      </c>
      <c r="G2555">
        <v>8.75</v>
      </c>
      <c r="H2555">
        <v>31236</v>
      </c>
      <c r="I2555">
        <v>22</v>
      </c>
      <c r="J2555">
        <v>0.23</v>
      </c>
      <c r="K2555">
        <v>0.62</v>
      </c>
      <c r="L2555">
        <v>8.54</v>
      </c>
      <c r="M2555">
        <v>8.75</v>
      </c>
      <c r="N2555">
        <v>8.51</v>
      </c>
      <c r="O2555">
        <v>8.54</v>
      </c>
      <c r="P2555">
        <v>9.4</v>
      </c>
      <c r="Q2555">
        <v>27097076</v>
      </c>
      <c r="R2555">
        <v>1.83</v>
      </c>
      <c r="S2555" t="s">
        <v>211</v>
      </c>
      <c r="T2555" t="s">
        <v>143</v>
      </c>
      <c r="U2555">
        <v>2.81</v>
      </c>
      <c r="V2555">
        <v>8.68</v>
      </c>
      <c r="W2555">
        <v>12106</v>
      </c>
      <c r="X2555">
        <v>19129</v>
      </c>
      <c r="Y2555">
        <v>0.63</v>
      </c>
      <c r="Z2555">
        <v>231</v>
      </c>
      <c r="AA2555">
        <v>188</v>
      </c>
      <c r="AB2555" t="s">
        <v>32</v>
      </c>
      <c r="AC2555">
        <v>5.06</v>
      </c>
    </row>
    <row r="2556" spans="1:29">
      <c r="A2556" t="str">
        <f>"600552"</f>
        <v>600552</v>
      </c>
      <c r="B2556" t="s">
        <v>2726</v>
      </c>
      <c r="C2556">
        <v>2.05</v>
      </c>
      <c r="D2556">
        <v>4.98</v>
      </c>
      <c r="E2556">
        <v>0.1</v>
      </c>
      <c r="F2556">
        <v>4.98</v>
      </c>
      <c r="G2556">
        <v>4.99</v>
      </c>
      <c r="H2556">
        <v>121911</v>
      </c>
      <c r="I2556">
        <v>30</v>
      </c>
      <c r="J2556">
        <v>0.4</v>
      </c>
      <c r="K2556">
        <v>1.65</v>
      </c>
      <c r="L2556">
        <v>4.87</v>
      </c>
      <c r="M2556">
        <v>5.02</v>
      </c>
      <c r="N2556">
        <v>4.82</v>
      </c>
      <c r="O2556">
        <v>4.88</v>
      </c>
      <c r="P2556">
        <v>69.06</v>
      </c>
      <c r="Q2556">
        <v>60313340</v>
      </c>
      <c r="R2556">
        <v>0.58</v>
      </c>
      <c r="S2556" t="s">
        <v>52</v>
      </c>
      <c r="T2556" t="s">
        <v>143</v>
      </c>
      <c r="U2556">
        <v>4.1</v>
      </c>
      <c r="V2556">
        <v>4.95</v>
      </c>
      <c r="W2556">
        <v>59925</v>
      </c>
      <c r="X2556">
        <v>61986</v>
      </c>
      <c r="Y2556">
        <v>0.97</v>
      </c>
      <c r="Z2556">
        <v>118</v>
      </c>
      <c r="AA2556">
        <v>659</v>
      </c>
      <c r="AB2556" t="s">
        <v>32</v>
      </c>
      <c r="AC2556">
        <v>7.41</v>
      </c>
    </row>
    <row r="2557" spans="1:29">
      <c r="A2557" t="str">
        <f>"600555"</f>
        <v>600555</v>
      </c>
      <c r="B2557" t="s">
        <v>2727</v>
      </c>
      <c r="C2557">
        <v>1.36</v>
      </c>
      <c r="D2557">
        <v>3.74</v>
      </c>
      <c r="E2557">
        <v>0.05</v>
      </c>
      <c r="F2557">
        <v>3.73</v>
      </c>
      <c r="G2557">
        <v>3.74</v>
      </c>
      <c r="H2557">
        <v>155937</v>
      </c>
      <c r="I2557">
        <v>33</v>
      </c>
      <c r="J2557">
        <v>0</v>
      </c>
      <c r="K2557">
        <v>1.6</v>
      </c>
      <c r="L2557">
        <v>3.66</v>
      </c>
      <c r="M2557">
        <v>3.79</v>
      </c>
      <c r="N2557">
        <v>3.63</v>
      </c>
      <c r="O2557">
        <v>3.69</v>
      </c>
      <c r="P2557">
        <v>89.39</v>
      </c>
      <c r="Q2557">
        <v>57955064</v>
      </c>
      <c r="R2557">
        <v>1.35</v>
      </c>
      <c r="S2557" t="s">
        <v>321</v>
      </c>
      <c r="T2557" t="s">
        <v>209</v>
      </c>
      <c r="U2557">
        <v>4.34</v>
      </c>
      <c r="V2557">
        <v>3.72</v>
      </c>
      <c r="W2557">
        <v>67162</v>
      </c>
      <c r="X2557">
        <v>88775</v>
      </c>
      <c r="Y2557">
        <v>0.76</v>
      </c>
      <c r="Z2557">
        <v>5085</v>
      </c>
      <c r="AA2557">
        <v>528</v>
      </c>
      <c r="AB2557" t="s">
        <v>32</v>
      </c>
      <c r="AC2557">
        <v>9.74</v>
      </c>
    </row>
    <row r="2558" spans="1:29">
      <c r="A2558" t="str">
        <f>"600556"</f>
        <v>600556</v>
      </c>
      <c r="B2558" t="s">
        <v>2728</v>
      </c>
      <c r="C2558">
        <v>2.06</v>
      </c>
      <c r="D2558">
        <v>3.47</v>
      </c>
      <c r="E2558">
        <v>0.07</v>
      </c>
      <c r="F2558">
        <v>3.46</v>
      </c>
      <c r="G2558">
        <v>3.47</v>
      </c>
      <c r="H2558">
        <v>19312</v>
      </c>
      <c r="I2558">
        <v>44</v>
      </c>
      <c r="J2558">
        <v>0.29</v>
      </c>
      <c r="K2558">
        <v>0.49</v>
      </c>
      <c r="L2558">
        <v>3.38</v>
      </c>
      <c r="M2558">
        <v>3.47</v>
      </c>
      <c r="N2558">
        <v>3.38</v>
      </c>
      <c r="O2558">
        <v>3.4</v>
      </c>
      <c r="P2558" t="s">
        <v>32</v>
      </c>
      <c r="Q2558">
        <v>6638519</v>
      </c>
      <c r="R2558">
        <v>0.96</v>
      </c>
      <c r="S2558" t="s">
        <v>270</v>
      </c>
      <c r="T2558" t="s">
        <v>238</v>
      </c>
      <c r="U2558">
        <v>2.65</v>
      </c>
      <c r="V2558">
        <v>3.44</v>
      </c>
      <c r="W2558">
        <v>6508</v>
      </c>
      <c r="X2558">
        <v>12804</v>
      </c>
      <c r="Y2558">
        <v>0.51</v>
      </c>
      <c r="Z2558">
        <v>30</v>
      </c>
      <c r="AA2558">
        <v>23</v>
      </c>
      <c r="AB2558" t="s">
        <v>32</v>
      </c>
      <c r="AC2558">
        <v>3.95</v>
      </c>
    </row>
    <row r="2559" spans="1:29">
      <c r="A2559" t="str">
        <f>"600557"</f>
        <v>600557</v>
      </c>
      <c r="B2559" t="s">
        <v>2729</v>
      </c>
      <c r="C2559">
        <v>2.77</v>
      </c>
      <c r="D2559">
        <v>12.23</v>
      </c>
      <c r="E2559">
        <v>0.33</v>
      </c>
      <c r="F2559">
        <v>12.22</v>
      </c>
      <c r="G2559">
        <v>12.23</v>
      </c>
      <c r="H2559">
        <v>36430</v>
      </c>
      <c r="I2559">
        <v>35</v>
      </c>
      <c r="J2559">
        <v>0.33</v>
      </c>
      <c r="K2559">
        <v>0.61</v>
      </c>
      <c r="L2559">
        <v>11.88</v>
      </c>
      <c r="M2559">
        <v>12.25</v>
      </c>
      <c r="N2559">
        <v>11.73</v>
      </c>
      <c r="O2559">
        <v>11.9</v>
      </c>
      <c r="P2559">
        <v>19.92</v>
      </c>
      <c r="Q2559">
        <v>43840880</v>
      </c>
      <c r="R2559">
        <v>1.58</v>
      </c>
      <c r="S2559" t="s">
        <v>195</v>
      </c>
      <c r="T2559" t="s">
        <v>87</v>
      </c>
      <c r="U2559">
        <v>4.37</v>
      </c>
      <c r="V2559">
        <v>12.03</v>
      </c>
      <c r="W2559">
        <v>14802</v>
      </c>
      <c r="X2559">
        <v>21628</v>
      </c>
      <c r="Y2559">
        <v>0.68</v>
      </c>
      <c r="Z2559">
        <v>2</v>
      </c>
      <c r="AA2559">
        <v>8</v>
      </c>
      <c r="AB2559" t="s">
        <v>32</v>
      </c>
      <c r="AC2559">
        <v>5.99</v>
      </c>
    </row>
    <row r="2560" spans="1:29">
      <c r="A2560" t="str">
        <f>"600558"</f>
        <v>600558</v>
      </c>
      <c r="B2560" t="s">
        <v>2730</v>
      </c>
      <c r="C2560">
        <v>4.12</v>
      </c>
      <c r="D2560">
        <v>4.3</v>
      </c>
      <c r="E2560">
        <v>0.17</v>
      </c>
      <c r="F2560">
        <v>4.29</v>
      </c>
      <c r="G2560">
        <v>4.3</v>
      </c>
      <c r="H2560">
        <v>131579</v>
      </c>
      <c r="I2560">
        <v>5</v>
      </c>
      <c r="J2560">
        <v>-0.45</v>
      </c>
      <c r="K2560">
        <v>1.47</v>
      </c>
      <c r="L2560">
        <v>4.15</v>
      </c>
      <c r="M2560">
        <v>4.54</v>
      </c>
      <c r="N2560">
        <v>4.1</v>
      </c>
      <c r="O2560">
        <v>4.13</v>
      </c>
      <c r="P2560">
        <v>111.98</v>
      </c>
      <c r="Q2560">
        <v>57390936</v>
      </c>
      <c r="R2560">
        <v>3.51</v>
      </c>
      <c r="S2560" t="s">
        <v>449</v>
      </c>
      <c r="T2560" t="s">
        <v>146</v>
      </c>
      <c r="U2560">
        <v>10.65</v>
      </c>
      <c r="V2560">
        <v>4.36</v>
      </c>
      <c r="W2560">
        <v>62564</v>
      </c>
      <c r="X2560">
        <v>69015</v>
      </c>
      <c r="Y2560">
        <v>0.91</v>
      </c>
      <c r="Z2560">
        <v>608</v>
      </c>
      <c r="AA2560">
        <v>236</v>
      </c>
      <c r="AB2560" t="s">
        <v>32</v>
      </c>
      <c r="AC2560">
        <v>8.98</v>
      </c>
    </row>
    <row r="2561" spans="1:29">
      <c r="A2561" t="str">
        <f>"600559"</f>
        <v>600559</v>
      </c>
      <c r="B2561" t="s">
        <v>2731</v>
      </c>
      <c r="C2561">
        <v>4.96</v>
      </c>
      <c r="D2561">
        <v>21.15</v>
      </c>
      <c r="E2561">
        <v>1</v>
      </c>
      <c r="F2561">
        <v>21.14</v>
      </c>
      <c r="G2561">
        <v>21.15</v>
      </c>
      <c r="H2561">
        <v>106076</v>
      </c>
      <c r="I2561">
        <v>15</v>
      </c>
      <c r="J2561">
        <v>-0.13</v>
      </c>
      <c r="K2561">
        <v>2.16</v>
      </c>
      <c r="L2561">
        <v>20.02</v>
      </c>
      <c r="M2561">
        <v>21.3</v>
      </c>
      <c r="N2561">
        <v>20</v>
      </c>
      <c r="O2561">
        <v>20.15</v>
      </c>
      <c r="P2561">
        <v>47.1</v>
      </c>
      <c r="Q2561">
        <v>218969248</v>
      </c>
      <c r="R2561">
        <v>1.61</v>
      </c>
      <c r="S2561" t="s">
        <v>285</v>
      </c>
      <c r="T2561" t="s">
        <v>154</v>
      </c>
      <c r="U2561">
        <v>6.45</v>
      </c>
      <c r="V2561">
        <v>20.64</v>
      </c>
      <c r="W2561">
        <v>44722</v>
      </c>
      <c r="X2561">
        <v>61353</v>
      </c>
      <c r="Y2561">
        <v>0.73</v>
      </c>
      <c r="Z2561">
        <v>116</v>
      </c>
      <c r="AA2561">
        <v>136</v>
      </c>
      <c r="AB2561" t="s">
        <v>32</v>
      </c>
      <c r="AC2561">
        <v>4.9</v>
      </c>
    </row>
    <row r="2562" spans="1:29">
      <c r="A2562" t="str">
        <f>"600560"</f>
        <v>600560</v>
      </c>
      <c r="B2562" t="s">
        <v>2732</v>
      </c>
      <c r="C2562">
        <v>0.96</v>
      </c>
      <c r="D2562">
        <v>8.39</v>
      </c>
      <c r="E2562">
        <v>0.08</v>
      </c>
      <c r="F2562">
        <v>8.39</v>
      </c>
      <c r="G2562">
        <v>8.4</v>
      </c>
      <c r="H2562">
        <v>36538</v>
      </c>
      <c r="I2562">
        <v>20</v>
      </c>
      <c r="J2562">
        <v>0.24</v>
      </c>
      <c r="K2562">
        <v>1.63</v>
      </c>
      <c r="L2562">
        <v>8.3</v>
      </c>
      <c r="M2562">
        <v>8.43</v>
      </c>
      <c r="N2562">
        <v>8.22</v>
      </c>
      <c r="O2562">
        <v>8.31</v>
      </c>
      <c r="P2562">
        <v>105.96</v>
      </c>
      <c r="Q2562">
        <v>30522692</v>
      </c>
      <c r="R2562">
        <v>0.87</v>
      </c>
      <c r="S2562" t="s">
        <v>104</v>
      </c>
      <c r="T2562" t="s">
        <v>45</v>
      </c>
      <c r="U2562">
        <v>2.53</v>
      </c>
      <c r="V2562">
        <v>8.35</v>
      </c>
      <c r="W2562">
        <v>19067</v>
      </c>
      <c r="X2562">
        <v>17471</v>
      </c>
      <c r="Y2562">
        <v>1.09</v>
      </c>
      <c r="Z2562">
        <v>63</v>
      </c>
      <c r="AA2562">
        <v>249</v>
      </c>
      <c r="AB2562" t="s">
        <v>32</v>
      </c>
      <c r="AC2562">
        <v>2.24</v>
      </c>
    </row>
    <row r="2563" spans="1:29">
      <c r="A2563" t="str">
        <f>"600561"</f>
        <v>600561</v>
      </c>
      <c r="B2563" t="s">
        <v>2733</v>
      </c>
      <c r="C2563">
        <v>1.14</v>
      </c>
      <c r="D2563">
        <v>6.2</v>
      </c>
      <c r="E2563">
        <v>0.07</v>
      </c>
      <c r="F2563">
        <v>6.19</v>
      </c>
      <c r="G2563">
        <v>6.2</v>
      </c>
      <c r="H2563">
        <v>31259</v>
      </c>
      <c r="I2563">
        <v>2</v>
      </c>
      <c r="J2563">
        <v>0.16</v>
      </c>
      <c r="K2563">
        <v>1.32</v>
      </c>
      <c r="L2563">
        <v>6.12</v>
      </c>
      <c r="M2563">
        <v>6.22</v>
      </c>
      <c r="N2563">
        <v>6.1</v>
      </c>
      <c r="O2563">
        <v>6.13</v>
      </c>
      <c r="P2563">
        <v>96.08</v>
      </c>
      <c r="Q2563">
        <v>19345878</v>
      </c>
      <c r="R2563">
        <v>1.78</v>
      </c>
      <c r="S2563" t="s">
        <v>1253</v>
      </c>
      <c r="T2563" t="s">
        <v>172</v>
      </c>
      <c r="U2563">
        <v>1.96</v>
      </c>
      <c r="V2563">
        <v>6.19</v>
      </c>
      <c r="W2563">
        <v>16813</v>
      </c>
      <c r="X2563">
        <v>14445</v>
      </c>
      <c r="Y2563">
        <v>1.16</v>
      </c>
      <c r="Z2563">
        <v>75</v>
      </c>
      <c r="AA2563">
        <v>232</v>
      </c>
      <c r="AB2563" t="s">
        <v>32</v>
      </c>
      <c r="AC2563">
        <v>2.37</v>
      </c>
    </row>
    <row r="2564" spans="1:29">
      <c r="A2564" t="str">
        <f>"600562"</f>
        <v>600562</v>
      </c>
      <c r="B2564" t="s">
        <v>2734</v>
      </c>
      <c r="C2564">
        <v>3.43</v>
      </c>
      <c r="D2564">
        <v>18.69</v>
      </c>
      <c r="E2564">
        <v>0.62</v>
      </c>
      <c r="F2564">
        <v>18.7</v>
      </c>
      <c r="G2564">
        <v>18.71</v>
      </c>
      <c r="H2564">
        <v>101904</v>
      </c>
      <c r="I2564">
        <v>162</v>
      </c>
      <c r="J2564">
        <v>-0.15</v>
      </c>
      <c r="K2564">
        <v>2.39</v>
      </c>
      <c r="L2564">
        <v>18.08</v>
      </c>
      <c r="M2564">
        <v>18.82</v>
      </c>
      <c r="N2564">
        <v>18.08</v>
      </c>
      <c r="O2564">
        <v>18.07</v>
      </c>
      <c r="P2564">
        <v>165.92</v>
      </c>
      <c r="Q2564">
        <v>188978560</v>
      </c>
      <c r="R2564">
        <v>1.55</v>
      </c>
      <c r="S2564" t="s">
        <v>119</v>
      </c>
      <c r="T2564" t="s">
        <v>87</v>
      </c>
      <c r="U2564">
        <v>4.1</v>
      </c>
      <c r="V2564">
        <v>18.54</v>
      </c>
      <c r="W2564">
        <v>49007</v>
      </c>
      <c r="X2564">
        <v>52897</v>
      </c>
      <c r="Y2564">
        <v>0.93</v>
      </c>
      <c r="Z2564">
        <v>2</v>
      </c>
      <c r="AA2564">
        <v>89</v>
      </c>
      <c r="AB2564" t="s">
        <v>32</v>
      </c>
      <c r="AC2564">
        <v>4.26</v>
      </c>
    </row>
    <row r="2565" spans="1:29">
      <c r="A2565" t="str">
        <f>"600563"</f>
        <v>600563</v>
      </c>
      <c r="B2565" t="s">
        <v>2735</v>
      </c>
      <c r="C2565">
        <v>-1.69</v>
      </c>
      <c r="D2565">
        <v>52.5</v>
      </c>
      <c r="E2565">
        <v>-0.9</v>
      </c>
      <c r="F2565">
        <v>52.5</v>
      </c>
      <c r="G2565">
        <v>52.57</v>
      </c>
      <c r="H2565">
        <v>26192</v>
      </c>
      <c r="I2565">
        <v>3</v>
      </c>
      <c r="J2565">
        <v>0.56</v>
      </c>
      <c r="K2565">
        <v>1.16</v>
      </c>
      <c r="L2565">
        <v>53.28</v>
      </c>
      <c r="M2565">
        <v>53.55</v>
      </c>
      <c r="N2565">
        <v>52.13</v>
      </c>
      <c r="O2565">
        <v>53.4</v>
      </c>
      <c r="P2565">
        <v>30.59</v>
      </c>
      <c r="Q2565">
        <v>138480480</v>
      </c>
      <c r="R2565">
        <v>0.81</v>
      </c>
      <c r="S2565" t="s">
        <v>63</v>
      </c>
      <c r="T2565" t="s">
        <v>236</v>
      </c>
      <c r="U2565">
        <v>2.66</v>
      </c>
      <c r="V2565">
        <v>52.87</v>
      </c>
      <c r="W2565">
        <v>15061</v>
      </c>
      <c r="X2565">
        <v>11130</v>
      </c>
      <c r="Y2565">
        <v>1.35</v>
      </c>
      <c r="Z2565">
        <v>5</v>
      </c>
      <c r="AA2565">
        <v>5</v>
      </c>
      <c r="AB2565" t="s">
        <v>32</v>
      </c>
      <c r="AC2565">
        <v>2.25</v>
      </c>
    </row>
    <row r="2566" spans="1:29">
      <c r="A2566" t="str">
        <f>"600565"</f>
        <v>600565</v>
      </c>
      <c r="B2566" t="s">
        <v>2736</v>
      </c>
      <c r="C2566">
        <v>2.7</v>
      </c>
      <c r="D2566">
        <v>3.04</v>
      </c>
      <c r="E2566">
        <v>0.08</v>
      </c>
      <c r="F2566">
        <v>3.03</v>
      </c>
      <c r="G2566">
        <v>3.04</v>
      </c>
      <c r="H2566">
        <v>150818</v>
      </c>
      <c r="I2566">
        <v>20</v>
      </c>
      <c r="J2566">
        <v>0.33</v>
      </c>
      <c r="K2566">
        <v>0.64</v>
      </c>
      <c r="L2566">
        <v>2.95</v>
      </c>
      <c r="M2566">
        <v>3.07</v>
      </c>
      <c r="N2566">
        <v>2.94</v>
      </c>
      <c r="O2566">
        <v>2.96</v>
      </c>
      <c r="P2566">
        <v>16.02</v>
      </c>
      <c r="Q2566">
        <v>45602604</v>
      </c>
      <c r="R2566">
        <v>2.21</v>
      </c>
      <c r="S2566" t="s">
        <v>34</v>
      </c>
      <c r="T2566" t="s">
        <v>221</v>
      </c>
      <c r="U2566">
        <v>4.39</v>
      </c>
      <c r="V2566">
        <v>3.02</v>
      </c>
      <c r="W2566">
        <v>60740</v>
      </c>
      <c r="X2566">
        <v>90077</v>
      </c>
      <c r="Y2566">
        <v>0.67</v>
      </c>
      <c r="Z2566">
        <v>5390</v>
      </c>
      <c r="AA2566">
        <v>11</v>
      </c>
      <c r="AB2566" t="s">
        <v>32</v>
      </c>
      <c r="AC2566">
        <v>23.69</v>
      </c>
    </row>
    <row r="2567" spans="1:29">
      <c r="A2567" t="str">
        <f>"600566"</f>
        <v>600566</v>
      </c>
      <c r="B2567" t="s">
        <v>2737</v>
      </c>
      <c r="C2567">
        <v>0.34</v>
      </c>
      <c r="D2567">
        <v>47.79</v>
      </c>
      <c r="E2567">
        <v>0.16</v>
      </c>
      <c r="F2567">
        <v>47.97</v>
      </c>
      <c r="G2567">
        <v>47.98</v>
      </c>
      <c r="H2567">
        <v>80506</v>
      </c>
      <c r="I2567">
        <v>13</v>
      </c>
      <c r="J2567">
        <v>-0.43</v>
      </c>
      <c r="K2567">
        <v>0.99</v>
      </c>
      <c r="L2567">
        <v>46.66</v>
      </c>
      <c r="M2567">
        <v>48.78</v>
      </c>
      <c r="N2567">
        <v>45.53</v>
      </c>
      <c r="O2567">
        <v>47.63</v>
      </c>
      <c r="P2567">
        <v>20.84</v>
      </c>
      <c r="Q2567">
        <v>378199424</v>
      </c>
      <c r="R2567">
        <v>2.07</v>
      </c>
      <c r="S2567" t="s">
        <v>195</v>
      </c>
      <c r="T2567" t="s">
        <v>193</v>
      </c>
      <c r="U2567">
        <v>6.82</v>
      </c>
      <c r="V2567">
        <v>46.98</v>
      </c>
      <c r="W2567">
        <v>41605</v>
      </c>
      <c r="X2567">
        <v>38901</v>
      </c>
      <c r="Y2567">
        <v>1.07</v>
      </c>
      <c r="Z2567">
        <v>26</v>
      </c>
      <c r="AA2567">
        <v>0</v>
      </c>
      <c r="AB2567" t="s">
        <v>32</v>
      </c>
      <c r="AC2567">
        <v>8.14</v>
      </c>
    </row>
    <row r="2568" spans="1:29">
      <c r="A2568" t="str">
        <f>"600567"</f>
        <v>600567</v>
      </c>
      <c r="B2568" t="s">
        <v>2738</v>
      </c>
      <c r="C2568">
        <v>2.56</v>
      </c>
      <c r="D2568">
        <v>4</v>
      </c>
      <c r="E2568">
        <v>0.1</v>
      </c>
      <c r="F2568">
        <v>4</v>
      </c>
      <c r="G2568">
        <v>4.01</v>
      </c>
      <c r="H2568">
        <v>1603294</v>
      </c>
      <c r="I2568">
        <v>24</v>
      </c>
      <c r="J2568">
        <v>0.25</v>
      </c>
      <c r="K2568">
        <v>3.51</v>
      </c>
      <c r="L2568">
        <v>3.87</v>
      </c>
      <c r="M2568">
        <v>4.02</v>
      </c>
      <c r="N2568">
        <v>3.87</v>
      </c>
      <c r="O2568">
        <v>3.9</v>
      </c>
      <c r="P2568">
        <v>7.55</v>
      </c>
      <c r="Q2568">
        <v>636453184</v>
      </c>
      <c r="R2568">
        <v>4.19</v>
      </c>
      <c r="S2568" t="s">
        <v>204</v>
      </c>
      <c r="T2568" t="s">
        <v>143</v>
      </c>
      <c r="U2568">
        <v>3.85</v>
      </c>
      <c r="V2568">
        <v>3.97</v>
      </c>
      <c r="W2568">
        <v>730972</v>
      </c>
      <c r="X2568">
        <v>872321</v>
      </c>
      <c r="Y2568">
        <v>0.84</v>
      </c>
      <c r="Z2568">
        <v>4044</v>
      </c>
      <c r="AA2568">
        <v>21602</v>
      </c>
      <c r="AB2568" t="s">
        <v>32</v>
      </c>
      <c r="AC2568">
        <v>45.7</v>
      </c>
    </row>
    <row r="2569" spans="1:29">
      <c r="A2569" t="str">
        <f>"600568"</f>
        <v>600568</v>
      </c>
      <c r="B2569" t="s">
        <v>2739</v>
      </c>
      <c r="C2569">
        <v>2.57</v>
      </c>
      <c r="D2569">
        <v>3.19</v>
      </c>
      <c r="E2569">
        <v>0.08</v>
      </c>
      <c r="F2569">
        <v>3.18</v>
      </c>
      <c r="G2569">
        <v>3.19</v>
      </c>
      <c r="H2569">
        <v>588072</v>
      </c>
      <c r="I2569">
        <v>20</v>
      </c>
      <c r="J2569">
        <v>-0.3</v>
      </c>
      <c r="K2569">
        <v>3.76</v>
      </c>
      <c r="L2569">
        <v>3.11</v>
      </c>
      <c r="M2569">
        <v>3.23</v>
      </c>
      <c r="N2569">
        <v>3.08</v>
      </c>
      <c r="O2569">
        <v>3.11</v>
      </c>
      <c r="P2569">
        <v>25.18</v>
      </c>
      <c r="Q2569">
        <v>186237600</v>
      </c>
      <c r="R2569">
        <v>1</v>
      </c>
      <c r="S2569" t="s">
        <v>40</v>
      </c>
      <c r="T2569" t="s">
        <v>193</v>
      </c>
      <c r="U2569">
        <v>4.82</v>
      </c>
      <c r="V2569">
        <v>3.17</v>
      </c>
      <c r="W2569">
        <v>279405</v>
      </c>
      <c r="X2569">
        <v>308667</v>
      </c>
      <c r="Y2569">
        <v>0.91</v>
      </c>
      <c r="Z2569">
        <v>2775</v>
      </c>
      <c r="AA2569">
        <v>1253</v>
      </c>
      <c r="AB2569" t="s">
        <v>32</v>
      </c>
      <c r="AC2569">
        <v>15.65</v>
      </c>
    </row>
    <row r="2570" spans="1:29">
      <c r="A2570" t="str">
        <f>"600569"</f>
        <v>600569</v>
      </c>
      <c r="B2570" t="s">
        <v>2740</v>
      </c>
      <c r="C2570">
        <v>0.89</v>
      </c>
      <c r="D2570">
        <v>4.53</v>
      </c>
      <c r="E2570">
        <v>0.04</v>
      </c>
      <c r="F2570">
        <v>4.53</v>
      </c>
      <c r="G2570">
        <v>4.54</v>
      </c>
      <c r="H2570">
        <v>1378037</v>
      </c>
      <c r="I2570">
        <v>750</v>
      </c>
      <c r="J2570">
        <v>-0.21</v>
      </c>
      <c r="K2570">
        <v>5.76</v>
      </c>
      <c r="L2570">
        <v>4.64</v>
      </c>
      <c r="M2570">
        <v>4.82</v>
      </c>
      <c r="N2570">
        <v>4.5</v>
      </c>
      <c r="O2570">
        <v>4.49</v>
      </c>
      <c r="P2570">
        <v>21.05</v>
      </c>
      <c r="Q2570">
        <v>641907072</v>
      </c>
      <c r="R2570">
        <v>1.89</v>
      </c>
      <c r="S2570" t="s">
        <v>353</v>
      </c>
      <c r="T2570" t="s">
        <v>164</v>
      </c>
      <c r="U2570">
        <v>7.13</v>
      </c>
      <c r="V2570">
        <v>4.66</v>
      </c>
      <c r="W2570">
        <v>747300</v>
      </c>
      <c r="X2570">
        <v>630736</v>
      </c>
      <c r="Y2570">
        <v>1.18</v>
      </c>
      <c r="Z2570">
        <v>582</v>
      </c>
      <c r="AA2570">
        <v>2702</v>
      </c>
      <c r="AB2570" t="s">
        <v>32</v>
      </c>
      <c r="AC2570">
        <v>23.94</v>
      </c>
    </row>
    <row r="2571" spans="1:29">
      <c r="A2571" t="str">
        <f>"600570"</f>
        <v>600570</v>
      </c>
      <c r="B2571" t="s">
        <v>2741</v>
      </c>
      <c r="C2571">
        <v>0.67</v>
      </c>
      <c r="D2571">
        <v>53.87</v>
      </c>
      <c r="E2571">
        <v>0.36</v>
      </c>
      <c r="F2571">
        <v>53.9</v>
      </c>
      <c r="G2571">
        <v>53.93</v>
      </c>
      <c r="H2571">
        <v>167922</v>
      </c>
      <c r="I2571">
        <v>6</v>
      </c>
      <c r="J2571">
        <v>-0.14</v>
      </c>
      <c r="K2571">
        <v>2.72</v>
      </c>
      <c r="L2571">
        <v>53.5</v>
      </c>
      <c r="M2571">
        <v>55.25</v>
      </c>
      <c r="N2571">
        <v>53.26</v>
      </c>
      <c r="O2571">
        <v>53.51</v>
      </c>
      <c r="P2571">
        <v>145.07</v>
      </c>
      <c r="Q2571">
        <v>911862912</v>
      </c>
      <c r="R2571">
        <v>1.29</v>
      </c>
      <c r="S2571" t="s">
        <v>270</v>
      </c>
      <c r="T2571" t="s">
        <v>149</v>
      </c>
      <c r="U2571">
        <v>3.72</v>
      </c>
      <c r="V2571">
        <v>54.3</v>
      </c>
      <c r="W2571">
        <v>87615</v>
      </c>
      <c r="X2571">
        <v>80306</v>
      </c>
      <c r="Y2571">
        <v>1.09</v>
      </c>
      <c r="Z2571">
        <v>4</v>
      </c>
      <c r="AA2571">
        <v>223</v>
      </c>
      <c r="AB2571" t="s">
        <v>32</v>
      </c>
      <c r="AC2571">
        <v>6.18</v>
      </c>
    </row>
    <row r="2572" spans="1:29">
      <c r="A2572" t="str">
        <f>"600571"</f>
        <v>600571</v>
      </c>
      <c r="B2572" t="s">
        <v>2742</v>
      </c>
      <c r="C2572">
        <v>1.69</v>
      </c>
      <c r="D2572">
        <v>7.81</v>
      </c>
      <c r="E2572">
        <v>0.13</v>
      </c>
      <c r="F2572">
        <v>7.8</v>
      </c>
      <c r="G2572">
        <v>7.81</v>
      </c>
      <c r="H2572">
        <v>72401</v>
      </c>
      <c r="I2572">
        <v>5</v>
      </c>
      <c r="J2572">
        <v>-0.12</v>
      </c>
      <c r="K2572">
        <v>1.71</v>
      </c>
      <c r="L2572">
        <v>7.63</v>
      </c>
      <c r="M2572">
        <v>7.94</v>
      </c>
      <c r="N2572">
        <v>7.59</v>
      </c>
      <c r="O2572">
        <v>7.68</v>
      </c>
      <c r="P2572">
        <v>217.96</v>
      </c>
      <c r="Q2572">
        <v>56407920</v>
      </c>
      <c r="R2572">
        <v>1.52</v>
      </c>
      <c r="S2572" t="s">
        <v>270</v>
      </c>
      <c r="T2572" t="s">
        <v>149</v>
      </c>
      <c r="U2572">
        <v>4.56</v>
      </c>
      <c r="V2572">
        <v>7.79</v>
      </c>
      <c r="W2572">
        <v>33584</v>
      </c>
      <c r="X2572">
        <v>38817</v>
      </c>
      <c r="Y2572">
        <v>0.87</v>
      </c>
      <c r="Z2572">
        <v>404</v>
      </c>
      <c r="AA2572">
        <v>1803</v>
      </c>
      <c r="AB2572" t="s">
        <v>32</v>
      </c>
      <c r="AC2572">
        <v>4.24</v>
      </c>
    </row>
    <row r="2573" spans="1:29">
      <c r="A2573" t="str">
        <f>"600572"</f>
        <v>600572</v>
      </c>
      <c r="B2573" t="s">
        <v>2743</v>
      </c>
      <c r="C2573">
        <v>1.1</v>
      </c>
      <c r="D2573">
        <v>7.38</v>
      </c>
      <c r="E2573">
        <v>0.08</v>
      </c>
      <c r="F2573">
        <v>7.37</v>
      </c>
      <c r="G2573">
        <v>7.38</v>
      </c>
      <c r="H2573">
        <v>211090</v>
      </c>
      <c r="I2573">
        <v>10</v>
      </c>
      <c r="J2573">
        <v>-0.13</v>
      </c>
      <c r="K2573">
        <v>0.84</v>
      </c>
      <c r="L2573">
        <v>7.27</v>
      </c>
      <c r="M2573">
        <v>7.42</v>
      </c>
      <c r="N2573">
        <v>7.21</v>
      </c>
      <c r="O2573">
        <v>7.3</v>
      </c>
      <c r="P2573">
        <v>18.37</v>
      </c>
      <c r="Q2573">
        <v>155071360</v>
      </c>
      <c r="R2573">
        <v>0.91</v>
      </c>
      <c r="S2573" t="s">
        <v>195</v>
      </c>
      <c r="T2573" t="s">
        <v>149</v>
      </c>
      <c r="U2573">
        <v>2.88</v>
      </c>
      <c r="V2573">
        <v>7.35</v>
      </c>
      <c r="W2573">
        <v>93561</v>
      </c>
      <c r="X2573">
        <v>117529</v>
      </c>
      <c r="Y2573">
        <v>0.8</v>
      </c>
      <c r="Z2573">
        <v>1266</v>
      </c>
      <c r="AA2573">
        <v>133</v>
      </c>
      <c r="AB2573" t="s">
        <v>32</v>
      </c>
      <c r="AC2573">
        <v>25.04</v>
      </c>
    </row>
    <row r="2574" spans="1:29">
      <c r="A2574" t="str">
        <f>"600573"</f>
        <v>600573</v>
      </c>
      <c r="B2574" t="s">
        <v>2744</v>
      </c>
      <c r="C2574">
        <v>1.55</v>
      </c>
      <c r="D2574">
        <v>6.57</v>
      </c>
      <c r="E2574">
        <v>0.1</v>
      </c>
      <c r="F2574">
        <v>6.56</v>
      </c>
      <c r="G2574">
        <v>6.58</v>
      </c>
      <c r="H2574">
        <v>18843</v>
      </c>
      <c r="I2574">
        <v>16</v>
      </c>
      <c r="J2574">
        <v>-0.14</v>
      </c>
      <c r="K2574">
        <v>0.75</v>
      </c>
      <c r="L2574">
        <v>6.45</v>
      </c>
      <c r="M2574">
        <v>6.63</v>
      </c>
      <c r="N2574">
        <v>6.43</v>
      </c>
      <c r="O2574">
        <v>6.47</v>
      </c>
      <c r="P2574" t="s">
        <v>32</v>
      </c>
      <c r="Q2574">
        <v>12327519</v>
      </c>
      <c r="R2574">
        <v>1.19</v>
      </c>
      <c r="S2574" t="s">
        <v>420</v>
      </c>
      <c r="T2574" t="s">
        <v>236</v>
      </c>
      <c r="U2574">
        <v>3.09</v>
      </c>
      <c r="V2574">
        <v>6.54</v>
      </c>
      <c r="W2574">
        <v>9274</v>
      </c>
      <c r="X2574">
        <v>9568</v>
      </c>
      <c r="Y2574">
        <v>0.97</v>
      </c>
      <c r="Z2574">
        <v>305</v>
      </c>
      <c r="AA2574">
        <v>53</v>
      </c>
      <c r="AB2574" t="s">
        <v>32</v>
      </c>
      <c r="AC2574">
        <v>2.5</v>
      </c>
    </row>
    <row r="2575" spans="1:29">
      <c r="A2575" t="str">
        <f>"600575"</f>
        <v>600575</v>
      </c>
      <c r="B2575" t="s">
        <v>2745</v>
      </c>
      <c r="C2575">
        <v>4.55</v>
      </c>
      <c r="D2575">
        <v>3.45</v>
      </c>
      <c r="E2575">
        <v>0.15</v>
      </c>
      <c r="F2575">
        <v>3.45</v>
      </c>
      <c r="G2575">
        <v>3.46</v>
      </c>
      <c r="H2575">
        <v>129287</v>
      </c>
      <c r="I2575">
        <v>128</v>
      </c>
      <c r="J2575">
        <v>-0.85</v>
      </c>
      <c r="K2575">
        <v>0.41</v>
      </c>
      <c r="L2575">
        <v>3.35</v>
      </c>
      <c r="M2575">
        <v>3.51</v>
      </c>
      <c r="N2575">
        <v>3.31</v>
      </c>
      <c r="O2575">
        <v>3.3</v>
      </c>
      <c r="P2575">
        <v>30.58</v>
      </c>
      <c r="Q2575">
        <v>44698844</v>
      </c>
      <c r="R2575">
        <v>1.08</v>
      </c>
      <c r="S2575" t="s">
        <v>229</v>
      </c>
      <c r="T2575" t="s">
        <v>143</v>
      </c>
      <c r="U2575">
        <v>6.06</v>
      </c>
      <c r="V2575">
        <v>3.46</v>
      </c>
      <c r="W2575">
        <v>48892</v>
      </c>
      <c r="X2575">
        <v>80395</v>
      </c>
      <c r="Y2575">
        <v>0.61</v>
      </c>
      <c r="Z2575">
        <v>1129</v>
      </c>
      <c r="AA2575">
        <v>252</v>
      </c>
      <c r="AB2575" t="s">
        <v>32</v>
      </c>
      <c r="AC2575">
        <v>31.25</v>
      </c>
    </row>
    <row r="2576" spans="1:29">
      <c r="A2576" t="str">
        <f>"600576"</f>
        <v>600576</v>
      </c>
      <c r="B2576" t="s">
        <v>2746</v>
      </c>
      <c r="C2576">
        <v>1.89</v>
      </c>
      <c r="D2576">
        <v>5.4</v>
      </c>
      <c r="E2576">
        <v>0.1</v>
      </c>
      <c r="F2576">
        <v>5.39</v>
      </c>
      <c r="G2576">
        <v>5.4</v>
      </c>
      <c r="H2576">
        <v>30942</v>
      </c>
      <c r="I2576">
        <v>23</v>
      </c>
      <c r="J2576">
        <v>0</v>
      </c>
      <c r="K2576">
        <v>0.64</v>
      </c>
      <c r="L2576">
        <v>5.3</v>
      </c>
      <c r="M2576">
        <v>5.45</v>
      </c>
      <c r="N2576">
        <v>5.28</v>
      </c>
      <c r="O2576">
        <v>5.3</v>
      </c>
      <c r="P2576">
        <v>36.32</v>
      </c>
      <c r="Q2576">
        <v>16624541</v>
      </c>
      <c r="R2576">
        <v>1.63</v>
      </c>
      <c r="S2576" t="s">
        <v>148</v>
      </c>
      <c r="T2576" t="s">
        <v>149</v>
      </c>
      <c r="U2576">
        <v>3.21</v>
      </c>
      <c r="V2576">
        <v>5.37</v>
      </c>
      <c r="W2576">
        <v>11921</v>
      </c>
      <c r="X2576">
        <v>19020</v>
      </c>
      <c r="Y2576">
        <v>0.63</v>
      </c>
      <c r="Z2576">
        <v>405</v>
      </c>
      <c r="AA2576">
        <v>383</v>
      </c>
      <c r="AB2576" t="s">
        <v>32</v>
      </c>
      <c r="AC2576">
        <v>4.8</v>
      </c>
    </row>
    <row r="2577" spans="1:29">
      <c r="A2577" t="str">
        <f>"600577"</f>
        <v>600577</v>
      </c>
      <c r="B2577" t="s">
        <v>2747</v>
      </c>
      <c r="C2577">
        <v>1.45</v>
      </c>
      <c r="D2577">
        <v>3.5</v>
      </c>
      <c r="E2577">
        <v>0.05</v>
      </c>
      <c r="F2577">
        <v>3.5</v>
      </c>
      <c r="G2577">
        <v>3.51</v>
      </c>
      <c r="H2577">
        <v>144579</v>
      </c>
      <c r="I2577">
        <v>10</v>
      </c>
      <c r="J2577">
        <v>0</v>
      </c>
      <c r="K2577">
        <v>0.74</v>
      </c>
      <c r="L2577">
        <v>3.45</v>
      </c>
      <c r="M2577">
        <v>3.53</v>
      </c>
      <c r="N2577">
        <v>3.43</v>
      </c>
      <c r="O2577">
        <v>3.45</v>
      </c>
      <c r="P2577">
        <v>23.47</v>
      </c>
      <c r="Q2577">
        <v>50396168</v>
      </c>
      <c r="R2577">
        <v>2.14</v>
      </c>
      <c r="S2577" t="s">
        <v>104</v>
      </c>
      <c r="T2577" t="s">
        <v>143</v>
      </c>
      <c r="U2577">
        <v>2.9</v>
      </c>
      <c r="V2577">
        <v>3.49</v>
      </c>
      <c r="W2577">
        <v>53630</v>
      </c>
      <c r="X2577">
        <v>90948</v>
      </c>
      <c r="Y2577">
        <v>0.59</v>
      </c>
      <c r="Z2577">
        <v>448</v>
      </c>
      <c r="AA2577">
        <v>4994</v>
      </c>
      <c r="AB2577" t="s">
        <v>32</v>
      </c>
      <c r="AC2577">
        <v>19.55</v>
      </c>
    </row>
    <row r="2578" spans="1:29">
      <c r="A2578" t="str">
        <f>"600578"</f>
        <v>600578</v>
      </c>
      <c r="B2578" t="s">
        <v>2748</v>
      </c>
      <c r="C2578">
        <v>1.51</v>
      </c>
      <c r="D2578">
        <v>3.36</v>
      </c>
      <c r="E2578">
        <v>0.05</v>
      </c>
      <c r="F2578">
        <v>3.35</v>
      </c>
      <c r="G2578">
        <v>3.36</v>
      </c>
      <c r="H2578">
        <v>66251</v>
      </c>
      <c r="I2578">
        <v>40</v>
      </c>
      <c r="J2578">
        <v>0</v>
      </c>
      <c r="K2578">
        <v>0.12</v>
      </c>
      <c r="L2578">
        <v>3.29</v>
      </c>
      <c r="M2578">
        <v>3.37</v>
      </c>
      <c r="N2578">
        <v>3.29</v>
      </c>
      <c r="O2578">
        <v>3.31</v>
      </c>
      <c r="P2578">
        <v>38.18</v>
      </c>
      <c r="Q2578">
        <v>22198374</v>
      </c>
      <c r="R2578">
        <v>1.88</v>
      </c>
      <c r="S2578" t="s">
        <v>75</v>
      </c>
      <c r="T2578" t="s">
        <v>45</v>
      </c>
      <c r="U2578">
        <v>2.42</v>
      </c>
      <c r="V2578">
        <v>3.35</v>
      </c>
      <c r="W2578">
        <v>22413</v>
      </c>
      <c r="X2578">
        <v>43838</v>
      </c>
      <c r="Y2578">
        <v>0.51</v>
      </c>
      <c r="Z2578">
        <v>7</v>
      </c>
      <c r="AA2578">
        <v>982</v>
      </c>
      <c r="AB2578" t="s">
        <v>32</v>
      </c>
      <c r="AC2578">
        <v>53.35</v>
      </c>
    </row>
    <row r="2579" spans="1:29">
      <c r="A2579" t="str">
        <f>"600579"</f>
        <v>600579</v>
      </c>
      <c r="B2579" t="s">
        <v>2749</v>
      </c>
      <c r="C2579">
        <v>0</v>
      </c>
      <c r="D2579">
        <v>10.34</v>
      </c>
      <c r="E2579">
        <v>0</v>
      </c>
      <c r="F2579">
        <v>10.35</v>
      </c>
      <c r="G2579">
        <v>10.36</v>
      </c>
      <c r="H2579">
        <v>50733</v>
      </c>
      <c r="I2579">
        <v>12</v>
      </c>
      <c r="J2579">
        <v>-0.38</v>
      </c>
      <c r="K2579">
        <v>1.24</v>
      </c>
      <c r="L2579">
        <v>10.34</v>
      </c>
      <c r="M2579">
        <v>10.58</v>
      </c>
      <c r="N2579">
        <v>10.25</v>
      </c>
      <c r="O2579">
        <v>10.34</v>
      </c>
      <c r="P2579">
        <v>235.84</v>
      </c>
      <c r="Q2579">
        <v>52731528</v>
      </c>
      <c r="R2579">
        <v>0.6</v>
      </c>
      <c r="S2579" t="s">
        <v>504</v>
      </c>
      <c r="T2579" t="s">
        <v>162</v>
      </c>
      <c r="U2579">
        <v>3.19</v>
      </c>
      <c r="V2579">
        <v>10.39</v>
      </c>
      <c r="W2579">
        <v>28523</v>
      </c>
      <c r="X2579">
        <v>22209</v>
      </c>
      <c r="Y2579">
        <v>1.28</v>
      </c>
      <c r="Z2579">
        <v>1</v>
      </c>
      <c r="AA2579">
        <v>5</v>
      </c>
      <c r="AB2579" t="s">
        <v>32</v>
      </c>
      <c r="AC2579">
        <v>4.11</v>
      </c>
    </row>
    <row r="2580" spans="1:29">
      <c r="A2580" t="str">
        <f>"600580"</f>
        <v>600580</v>
      </c>
      <c r="B2580" t="s">
        <v>2750</v>
      </c>
      <c r="C2580">
        <v>0.25</v>
      </c>
      <c r="D2580">
        <v>8.05</v>
      </c>
      <c r="E2580">
        <v>0.02</v>
      </c>
      <c r="F2580">
        <v>8.05</v>
      </c>
      <c r="G2580">
        <v>8.06</v>
      </c>
      <c r="H2580">
        <v>91217</v>
      </c>
      <c r="I2580">
        <v>5</v>
      </c>
      <c r="J2580">
        <v>0.12</v>
      </c>
      <c r="K2580">
        <v>0.82</v>
      </c>
      <c r="L2580">
        <v>8.01</v>
      </c>
      <c r="M2580">
        <v>8.12</v>
      </c>
      <c r="N2580">
        <v>7.96</v>
      </c>
      <c r="O2580">
        <v>8.03</v>
      </c>
      <c r="P2580">
        <v>22.49</v>
      </c>
      <c r="Q2580">
        <v>73281112</v>
      </c>
      <c r="R2580">
        <v>0.92</v>
      </c>
      <c r="S2580" t="s">
        <v>104</v>
      </c>
      <c r="T2580" t="s">
        <v>149</v>
      </c>
      <c r="U2580">
        <v>1.99</v>
      </c>
      <c r="V2580">
        <v>8.03</v>
      </c>
      <c r="W2580">
        <v>54189</v>
      </c>
      <c r="X2580">
        <v>37027</v>
      </c>
      <c r="Y2580">
        <v>1.46</v>
      </c>
      <c r="Z2580">
        <v>99</v>
      </c>
      <c r="AA2580">
        <v>504</v>
      </c>
      <c r="AB2580" t="s">
        <v>32</v>
      </c>
      <c r="AC2580">
        <v>11.11</v>
      </c>
    </row>
    <row r="2581" spans="1:29">
      <c r="A2581" t="str">
        <f>"600581"</f>
        <v>600581</v>
      </c>
      <c r="B2581" t="s">
        <v>2751</v>
      </c>
      <c r="C2581">
        <v>5.07</v>
      </c>
      <c r="D2581">
        <v>4.97</v>
      </c>
      <c r="E2581">
        <v>0.24</v>
      </c>
      <c r="F2581">
        <v>4.97</v>
      </c>
      <c r="G2581">
        <v>4.98</v>
      </c>
      <c r="H2581">
        <v>1091427</v>
      </c>
      <c r="I2581">
        <v>89</v>
      </c>
      <c r="J2581">
        <v>0</v>
      </c>
      <c r="K2581">
        <v>7.12</v>
      </c>
      <c r="L2581">
        <v>4.9</v>
      </c>
      <c r="M2581">
        <v>5.16</v>
      </c>
      <c r="N2581">
        <v>4.84</v>
      </c>
      <c r="O2581">
        <v>4.73</v>
      </c>
      <c r="P2581">
        <v>13.21</v>
      </c>
      <c r="Q2581">
        <v>545472000</v>
      </c>
      <c r="R2581">
        <v>2.51</v>
      </c>
      <c r="S2581" t="s">
        <v>353</v>
      </c>
      <c r="T2581" t="s">
        <v>156</v>
      </c>
      <c r="U2581">
        <v>6.77</v>
      </c>
      <c r="V2581">
        <v>5</v>
      </c>
      <c r="W2581">
        <v>532349</v>
      </c>
      <c r="X2581">
        <v>559077</v>
      </c>
      <c r="Y2581">
        <v>0.95</v>
      </c>
      <c r="Z2581">
        <v>224</v>
      </c>
      <c r="AA2581">
        <v>6263</v>
      </c>
      <c r="AB2581" t="s">
        <v>32</v>
      </c>
      <c r="AC2581">
        <v>15.33</v>
      </c>
    </row>
    <row r="2582" spans="1:29">
      <c r="A2582" t="str">
        <f>"600582"</f>
        <v>600582</v>
      </c>
      <c r="B2582" t="s">
        <v>2752</v>
      </c>
      <c r="C2582">
        <v>3.51</v>
      </c>
      <c r="D2582">
        <v>3.54</v>
      </c>
      <c r="E2582">
        <v>0.12</v>
      </c>
      <c r="F2582">
        <v>3.54</v>
      </c>
      <c r="G2582">
        <v>3.55</v>
      </c>
      <c r="H2582">
        <v>284801</v>
      </c>
      <c r="I2582">
        <v>24</v>
      </c>
      <c r="J2582">
        <v>0.28</v>
      </c>
      <c r="K2582">
        <v>0.69</v>
      </c>
      <c r="L2582">
        <v>3.41</v>
      </c>
      <c r="M2582">
        <v>3.61</v>
      </c>
      <c r="N2582">
        <v>3.41</v>
      </c>
      <c r="O2582">
        <v>3.42</v>
      </c>
      <c r="P2582">
        <v>74.24</v>
      </c>
      <c r="Q2582">
        <v>101383728</v>
      </c>
      <c r="R2582">
        <v>2.94</v>
      </c>
      <c r="S2582" t="s">
        <v>151</v>
      </c>
      <c r="T2582" t="s">
        <v>45</v>
      </c>
      <c r="U2582">
        <v>5.85</v>
      </c>
      <c r="V2582">
        <v>3.56</v>
      </c>
      <c r="W2582">
        <v>119405</v>
      </c>
      <c r="X2582">
        <v>165396</v>
      </c>
      <c r="Y2582">
        <v>0.72</v>
      </c>
      <c r="Z2582">
        <v>390</v>
      </c>
      <c r="AA2582">
        <v>1841</v>
      </c>
      <c r="AB2582" t="s">
        <v>32</v>
      </c>
      <c r="AC2582">
        <v>41.39</v>
      </c>
    </row>
    <row r="2583" spans="1:29">
      <c r="A2583" t="str">
        <f>"600583"</f>
        <v>600583</v>
      </c>
      <c r="B2583" t="s">
        <v>2753</v>
      </c>
      <c r="C2583">
        <v>3.14</v>
      </c>
      <c r="D2583">
        <v>5.26</v>
      </c>
      <c r="E2583">
        <v>0.16</v>
      </c>
      <c r="F2583">
        <v>5.25</v>
      </c>
      <c r="G2583">
        <v>5.26</v>
      </c>
      <c r="H2583">
        <v>192552</v>
      </c>
      <c r="I2583">
        <v>50</v>
      </c>
      <c r="J2583">
        <v>-0.18</v>
      </c>
      <c r="K2583">
        <v>0.44</v>
      </c>
      <c r="L2583">
        <v>5.1</v>
      </c>
      <c r="M2583">
        <v>5.32</v>
      </c>
      <c r="N2583">
        <v>5.09</v>
      </c>
      <c r="O2583">
        <v>5.1</v>
      </c>
      <c r="P2583" t="s">
        <v>32</v>
      </c>
      <c r="Q2583">
        <v>100410648</v>
      </c>
      <c r="R2583">
        <v>2.69</v>
      </c>
      <c r="S2583" t="s">
        <v>831</v>
      </c>
      <c r="T2583" t="s">
        <v>248</v>
      </c>
      <c r="U2583">
        <v>4.51</v>
      </c>
      <c r="V2583">
        <v>5.21</v>
      </c>
      <c r="W2583">
        <v>72597</v>
      </c>
      <c r="X2583">
        <v>119954</v>
      </c>
      <c r="Y2583">
        <v>0.61</v>
      </c>
      <c r="Z2583">
        <v>3983</v>
      </c>
      <c r="AA2583">
        <v>3</v>
      </c>
      <c r="AB2583" t="s">
        <v>32</v>
      </c>
      <c r="AC2583">
        <v>44.21</v>
      </c>
    </row>
    <row r="2584" spans="1:29">
      <c r="A2584" t="str">
        <f>"600584"</f>
        <v>600584</v>
      </c>
      <c r="B2584" t="s">
        <v>2754</v>
      </c>
      <c r="C2584">
        <v>0.74</v>
      </c>
      <c r="D2584">
        <v>17.64</v>
      </c>
      <c r="E2584">
        <v>0.13</v>
      </c>
      <c r="F2584">
        <v>17.64</v>
      </c>
      <c r="G2584">
        <v>17.65</v>
      </c>
      <c r="H2584">
        <v>173575</v>
      </c>
      <c r="I2584">
        <v>17</v>
      </c>
      <c r="J2584">
        <v>-0.1</v>
      </c>
      <c r="K2584">
        <v>1.76</v>
      </c>
      <c r="L2584">
        <v>17.54</v>
      </c>
      <c r="M2584">
        <v>17.79</v>
      </c>
      <c r="N2584">
        <v>17.32</v>
      </c>
      <c r="O2584">
        <v>17.51</v>
      </c>
      <c r="P2584">
        <v>1142.09</v>
      </c>
      <c r="Q2584">
        <v>305965376</v>
      </c>
      <c r="R2584">
        <v>0.9</v>
      </c>
      <c r="S2584" t="s">
        <v>699</v>
      </c>
      <c r="T2584" t="s">
        <v>87</v>
      </c>
      <c r="U2584">
        <v>2.68</v>
      </c>
      <c r="V2584">
        <v>17.63</v>
      </c>
      <c r="W2584">
        <v>82948</v>
      </c>
      <c r="X2584">
        <v>90626</v>
      </c>
      <c r="Y2584">
        <v>0.92</v>
      </c>
      <c r="Z2584">
        <v>197</v>
      </c>
      <c r="AA2584">
        <v>93</v>
      </c>
      <c r="AB2584" t="s">
        <v>32</v>
      </c>
      <c r="AC2584">
        <v>9.85</v>
      </c>
    </row>
    <row r="2585" spans="1:29">
      <c r="A2585" t="str">
        <f>"600585"</f>
        <v>600585</v>
      </c>
      <c r="B2585" t="s">
        <v>2755</v>
      </c>
      <c r="C2585">
        <v>6.84</v>
      </c>
      <c r="D2585">
        <v>38.4</v>
      </c>
      <c r="E2585">
        <v>2.46</v>
      </c>
      <c r="F2585">
        <v>38.41</v>
      </c>
      <c r="G2585">
        <v>38.42</v>
      </c>
      <c r="H2585">
        <v>848763</v>
      </c>
      <c r="I2585">
        <v>90</v>
      </c>
      <c r="J2585">
        <v>0.21</v>
      </c>
      <c r="K2585">
        <v>2.12</v>
      </c>
      <c r="L2585">
        <v>36.81</v>
      </c>
      <c r="M2585">
        <v>38.68</v>
      </c>
      <c r="N2585">
        <v>36.81</v>
      </c>
      <c r="O2585">
        <v>35.94</v>
      </c>
      <c r="P2585">
        <v>10.65</v>
      </c>
      <c r="Q2585">
        <v>3224502528</v>
      </c>
      <c r="R2585">
        <v>2.49</v>
      </c>
      <c r="S2585" t="s">
        <v>166</v>
      </c>
      <c r="T2585" t="s">
        <v>143</v>
      </c>
      <c r="U2585">
        <v>5.2</v>
      </c>
      <c r="V2585">
        <v>37.99</v>
      </c>
      <c r="W2585">
        <v>348351</v>
      </c>
      <c r="X2585">
        <v>500411</v>
      </c>
      <c r="Y2585">
        <v>0.7</v>
      </c>
      <c r="Z2585">
        <v>6</v>
      </c>
      <c r="AA2585">
        <v>520</v>
      </c>
      <c r="AB2585" t="s">
        <v>32</v>
      </c>
      <c r="AC2585">
        <v>40</v>
      </c>
    </row>
    <row r="2586" spans="1:29">
      <c r="A2586" t="str">
        <f>"600586"</f>
        <v>600586</v>
      </c>
      <c r="B2586" t="s">
        <v>2756</v>
      </c>
      <c r="C2586">
        <v>2.32</v>
      </c>
      <c r="D2586">
        <v>3.53</v>
      </c>
      <c r="E2586">
        <v>0.08</v>
      </c>
      <c r="F2586">
        <v>3.53</v>
      </c>
      <c r="G2586">
        <v>3.54</v>
      </c>
      <c r="H2586">
        <v>75568</v>
      </c>
      <c r="I2586">
        <v>50</v>
      </c>
      <c r="J2586">
        <v>0</v>
      </c>
      <c r="K2586">
        <v>0.52</v>
      </c>
      <c r="L2586">
        <v>3.46</v>
      </c>
      <c r="M2586">
        <v>3.55</v>
      </c>
      <c r="N2586">
        <v>3.43</v>
      </c>
      <c r="O2586">
        <v>3.45</v>
      </c>
      <c r="P2586">
        <v>21.39</v>
      </c>
      <c r="Q2586">
        <v>26597092</v>
      </c>
      <c r="R2586">
        <v>2.07</v>
      </c>
      <c r="S2586" t="s">
        <v>52</v>
      </c>
      <c r="T2586" t="s">
        <v>162</v>
      </c>
      <c r="U2586">
        <v>3.48</v>
      </c>
      <c r="V2586">
        <v>3.52</v>
      </c>
      <c r="W2586">
        <v>36516</v>
      </c>
      <c r="X2586">
        <v>39051</v>
      </c>
      <c r="Y2586">
        <v>0.94</v>
      </c>
      <c r="Z2586">
        <v>652</v>
      </c>
      <c r="AA2586">
        <v>3994</v>
      </c>
      <c r="AB2586" t="s">
        <v>32</v>
      </c>
      <c r="AC2586">
        <v>14.44</v>
      </c>
    </row>
    <row r="2587" spans="1:29">
      <c r="A2587" t="str">
        <f>"600587"</f>
        <v>600587</v>
      </c>
      <c r="B2587" t="s">
        <v>2757</v>
      </c>
      <c r="C2587">
        <v>2.11</v>
      </c>
      <c r="D2587">
        <v>14.02</v>
      </c>
      <c r="E2587">
        <v>0.29</v>
      </c>
      <c r="F2587">
        <v>14</v>
      </c>
      <c r="G2587">
        <v>14.02</v>
      </c>
      <c r="H2587">
        <v>17511</v>
      </c>
      <c r="I2587">
        <v>50</v>
      </c>
      <c r="J2587">
        <v>0.21</v>
      </c>
      <c r="K2587">
        <v>0.43</v>
      </c>
      <c r="L2587">
        <v>13.68</v>
      </c>
      <c r="M2587">
        <v>14.03</v>
      </c>
      <c r="N2587">
        <v>13.68</v>
      </c>
      <c r="O2587">
        <v>13.73</v>
      </c>
      <c r="P2587">
        <v>49.78</v>
      </c>
      <c r="Q2587">
        <v>24428256</v>
      </c>
      <c r="R2587">
        <v>1.46</v>
      </c>
      <c r="S2587" t="s">
        <v>138</v>
      </c>
      <c r="T2587" t="s">
        <v>162</v>
      </c>
      <c r="U2587">
        <v>2.55</v>
      </c>
      <c r="V2587">
        <v>13.95</v>
      </c>
      <c r="W2587">
        <v>4913</v>
      </c>
      <c r="X2587">
        <v>12598</v>
      </c>
      <c r="Y2587">
        <v>0.39</v>
      </c>
      <c r="Z2587">
        <v>37</v>
      </c>
      <c r="AA2587">
        <v>45</v>
      </c>
      <c r="AB2587" t="s">
        <v>32</v>
      </c>
      <c r="AC2587">
        <v>4.03</v>
      </c>
    </row>
    <row r="2588" spans="1:29">
      <c r="A2588" t="str">
        <f>"600588"</f>
        <v>600588</v>
      </c>
      <c r="B2588" t="s">
        <v>2758</v>
      </c>
      <c r="C2588">
        <v>-0.9</v>
      </c>
      <c r="D2588">
        <v>27.65</v>
      </c>
      <c r="E2588">
        <v>-0.25</v>
      </c>
      <c r="F2588">
        <v>27.67</v>
      </c>
      <c r="G2588">
        <v>27.68</v>
      </c>
      <c r="H2588">
        <v>301715</v>
      </c>
      <c r="I2588">
        <v>10</v>
      </c>
      <c r="J2588">
        <v>0.18</v>
      </c>
      <c r="K2588">
        <v>1.61</v>
      </c>
      <c r="L2588">
        <v>27.72</v>
      </c>
      <c r="M2588">
        <v>28.21</v>
      </c>
      <c r="N2588">
        <v>27.19</v>
      </c>
      <c r="O2588">
        <v>27.9</v>
      </c>
      <c r="P2588" t="s">
        <v>32</v>
      </c>
      <c r="Q2588">
        <v>833872128</v>
      </c>
      <c r="R2588">
        <v>0.64</v>
      </c>
      <c r="S2588" t="s">
        <v>270</v>
      </c>
      <c r="T2588" t="s">
        <v>45</v>
      </c>
      <c r="U2588">
        <v>3.66</v>
      </c>
      <c r="V2588">
        <v>27.64</v>
      </c>
      <c r="W2588">
        <v>161935</v>
      </c>
      <c r="X2588">
        <v>139780</v>
      </c>
      <c r="Y2588">
        <v>1.16</v>
      </c>
      <c r="Z2588">
        <v>1</v>
      </c>
      <c r="AA2588">
        <v>118</v>
      </c>
      <c r="AB2588" t="s">
        <v>32</v>
      </c>
      <c r="AC2588">
        <v>18.73</v>
      </c>
    </row>
    <row r="2589" spans="1:29">
      <c r="A2589" t="str">
        <f>"600589"</f>
        <v>600589</v>
      </c>
      <c r="B2589" t="s">
        <v>2759</v>
      </c>
      <c r="C2589">
        <v>1.54</v>
      </c>
      <c r="D2589">
        <v>4.62</v>
      </c>
      <c r="E2589">
        <v>0.07</v>
      </c>
      <c r="F2589">
        <v>4.62</v>
      </c>
      <c r="G2589">
        <v>4.63</v>
      </c>
      <c r="H2589">
        <v>46485</v>
      </c>
      <c r="I2589">
        <v>13</v>
      </c>
      <c r="J2589">
        <v>0</v>
      </c>
      <c r="K2589">
        <v>0.7</v>
      </c>
      <c r="L2589">
        <v>4.55</v>
      </c>
      <c r="M2589">
        <v>4.66</v>
      </c>
      <c r="N2589">
        <v>4.53</v>
      </c>
      <c r="O2589">
        <v>4.55</v>
      </c>
      <c r="P2589">
        <v>24.92</v>
      </c>
      <c r="Q2589">
        <v>21431722</v>
      </c>
      <c r="R2589">
        <v>0.68</v>
      </c>
      <c r="S2589" t="s">
        <v>508</v>
      </c>
      <c r="T2589" t="s">
        <v>136</v>
      </c>
      <c r="U2589">
        <v>2.86</v>
      </c>
      <c r="V2589">
        <v>4.61</v>
      </c>
      <c r="W2589">
        <v>19328</v>
      </c>
      <c r="X2589">
        <v>27157</v>
      </c>
      <c r="Y2589">
        <v>0.71</v>
      </c>
      <c r="Z2589">
        <v>334</v>
      </c>
      <c r="AA2589">
        <v>710</v>
      </c>
      <c r="AB2589" t="s">
        <v>32</v>
      </c>
      <c r="AC2589">
        <v>6.62</v>
      </c>
    </row>
    <row r="2590" spans="1:29">
      <c r="A2590" t="str">
        <f>"600590"</f>
        <v>600590</v>
      </c>
      <c r="B2590" t="s">
        <v>2760</v>
      </c>
      <c r="C2590">
        <v>0.76</v>
      </c>
      <c r="D2590">
        <v>6.64</v>
      </c>
      <c r="E2590">
        <v>0.05</v>
      </c>
      <c r="F2590">
        <v>6.63</v>
      </c>
      <c r="G2590">
        <v>6.64</v>
      </c>
      <c r="H2590">
        <v>60203</v>
      </c>
      <c r="I2590">
        <v>42</v>
      </c>
      <c r="J2590">
        <v>0.15</v>
      </c>
      <c r="K2590">
        <v>0.74</v>
      </c>
      <c r="L2590">
        <v>6.6</v>
      </c>
      <c r="M2590">
        <v>6.72</v>
      </c>
      <c r="N2590">
        <v>6.5</v>
      </c>
      <c r="O2590">
        <v>6.59</v>
      </c>
      <c r="P2590">
        <v>31.67</v>
      </c>
      <c r="Q2590">
        <v>39908140</v>
      </c>
      <c r="R2590">
        <v>1.62</v>
      </c>
      <c r="S2590" t="s">
        <v>104</v>
      </c>
      <c r="T2590" t="s">
        <v>172</v>
      </c>
      <c r="U2590">
        <v>3.34</v>
      </c>
      <c r="V2590">
        <v>6.63</v>
      </c>
      <c r="W2590">
        <v>30151</v>
      </c>
      <c r="X2590">
        <v>30052</v>
      </c>
      <c r="Y2590">
        <v>1</v>
      </c>
      <c r="Z2590">
        <v>228</v>
      </c>
      <c r="AA2590">
        <v>698</v>
      </c>
      <c r="AB2590" t="s">
        <v>32</v>
      </c>
      <c r="AC2590">
        <v>8.13</v>
      </c>
    </row>
    <row r="2591" spans="1:29">
      <c r="A2591" t="str">
        <f>"600592"</f>
        <v>600592</v>
      </c>
      <c r="B2591" t="s">
        <v>2761</v>
      </c>
      <c r="C2591">
        <v>2.72</v>
      </c>
      <c r="D2591">
        <v>6.79</v>
      </c>
      <c r="E2591">
        <v>0.18</v>
      </c>
      <c r="F2591">
        <v>6.79</v>
      </c>
      <c r="G2591">
        <v>6.8</v>
      </c>
      <c r="H2591">
        <v>100528</v>
      </c>
      <c r="I2591">
        <v>15</v>
      </c>
      <c r="J2591">
        <v>0.15</v>
      </c>
      <c r="K2591">
        <v>2.52</v>
      </c>
      <c r="L2591">
        <v>6.55</v>
      </c>
      <c r="M2591">
        <v>6.99</v>
      </c>
      <c r="N2591">
        <v>6.55</v>
      </c>
      <c r="O2591">
        <v>6.61</v>
      </c>
      <c r="P2591">
        <v>27.58</v>
      </c>
      <c r="Q2591">
        <v>68702096</v>
      </c>
      <c r="R2591">
        <v>1.89</v>
      </c>
      <c r="S2591" t="s">
        <v>241</v>
      </c>
      <c r="T2591" t="s">
        <v>236</v>
      </c>
      <c r="U2591">
        <v>6.66</v>
      </c>
      <c r="V2591">
        <v>6.83</v>
      </c>
      <c r="W2591">
        <v>45786</v>
      </c>
      <c r="X2591">
        <v>54742</v>
      </c>
      <c r="Y2591">
        <v>0.84</v>
      </c>
      <c r="Z2591">
        <v>625</v>
      </c>
      <c r="AA2591">
        <v>593</v>
      </c>
      <c r="AB2591" t="s">
        <v>32</v>
      </c>
      <c r="AC2591">
        <v>4</v>
      </c>
    </row>
    <row r="2592" spans="1:29">
      <c r="A2592" t="str">
        <f>"600593"</f>
        <v>600593</v>
      </c>
      <c r="B2592" t="s">
        <v>2762</v>
      </c>
      <c r="C2592">
        <v>0.89</v>
      </c>
      <c r="D2592">
        <v>24.91</v>
      </c>
      <c r="E2592">
        <v>0.22</v>
      </c>
      <c r="F2592">
        <v>24.84</v>
      </c>
      <c r="G2592">
        <v>24.91</v>
      </c>
      <c r="H2592">
        <v>7679</v>
      </c>
      <c r="I2592">
        <v>2</v>
      </c>
      <c r="J2592">
        <v>0.4</v>
      </c>
      <c r="K2592">
        <v>0.6</v>
      </c>
      <c r="L2592">
        <v>24.67</v>
      </c>
      <c r="M2592">
        <v>25.14</v>
      </c>
      <c r="N2592">
        <v>24.6</v>
      </c>
      <c r="O2592">
        <v>24.69</v>
      </c>
      <c r="P2592" t="s">
        <v>32</v>
      </c>
      <c r="Q2592">
        <v>19137578</v>
      </c>
      <c r="R2592">
        <v>0.78</v>
      </c>
      <c r="S2592" t="s">
        <v>321</v>
      </c>
      <c r="T2592" t="s">
        <v>111</v>
      </c>
      <c r="U2592">
        <v>2.19</v>
      </c>
      <c r="V2592">
        <v>24.92</v>
      </c>
      <c r="W2592">
        <v>2415</v>
      </c>
      <c r="X2592">
        <v>5263</v>
      </c>
      <c r="Y2592">
        <v>0.46</v>
      </c>
      <c r="Z2592">
        <v>26</v>
      </c>
      <c r="AA2592">
        <v>28</v>
      </c>
      <c r="AB2592" t="s">
        <v>32</v>
      </c>
      <c r="AC2592">
        <v>1.29</v>
      </c>
    </row>
    <row r="2593" spans="1:29">
      <c r="A2593" t="str">
        <f>"600594"</f>
        <v>600594</v>
      </c>
      <c r="B2593" t="s">
        <v>2763</v>
      </c>
      <c r="C2593">
        <v>1.49</v>
      </c>
      <c r="D2593">
        <v>8.83</v>
      </c>
      <c r="E2593">
        <v>0.13</v>
      </c>
      <c r="F2593">
        <v>8.82</v>
      </c>
      <c r="G2593">
        <v>8.83</v>
      </c>
      <c r="H2593">
        <v>162933</v>
      </c>
      <c r="I2593">
        <v>33</v>
      </c>
      <c r="J2593">
        <v>0</v>
      </c>
      <c r="K2593">
        <v>2.06</v>
      </c>
      <c r="L2593">
        <v>8.58</v>
      </c>
      <c r="M2593">
        <v>8.85</v>
      </c>
      <c r="N2593">
        <v>8.55</v>
      </c>
      <c r="O2593">
        <v>8.7</v>
      </c>
      <c r="P2593">
        <v>17.25</v>
      </c>
      <c r="Q2593">
        <v>142107904</v>
      </c>
      <c r="R2593">
        <v>1.73</v>
      </c>
      <c r="S2593" t="s">
        <v>195</v>
      </c>
      <c r="T2593" t="s">
        <v>253</v>
      </c>
      <c r="U2593">
        <v>3.45</v>
      </c>
      <c r="V2593">
        <v>8.72</v>
      </c>
      <c r="W2593">
        <v>75893</v>
      </c>
      <c r="X2593">
        <v>87039</v>
      </c>
      <c r="Y2593">
        <v>0.87</v>
      </c>
      <c r="Z2593">
        <v>59</v>
      </c>
      <c r="AA2593">
        <v>325</v>
      </c>
      <c r="AB2593" t="s">
        <v>32</v>
      </c>
      <c r="AC2593">
        <v>7.92</v>
      </c>
    </row>
    <row r="2594" spans="1:29">
      <c r="A2594" t="str">
        <f>"600595"</f>
        <v>600595</v>
      </c>
      <c r="B2594" t="s">
        <v>2764</v>
      </c>
      <c r="C2594">
        <v>5.69</v>
      </c>
      <c r="D2594">
        <v>2.97</v>
      </c>
      <c r="E2594">
        <v>0.16</v>
      </c>
      <c r="F2594">
        <v>2.96</v>
      </c>
      <c r="G2594">
        <v>2.97</v>
      </c>
      <c r="H2594">
        <v>309135</v>
      </c>
      <c r="I2594">
        <v>62</v>
      </c>
      <c r="J2594">
        <v>0</v>
      </c>
      <c r="K2594">
        <v>1.78</v>
      </c>
      <c r="L2594">
        <v>2.79</v>
      </c>
      <c r="M2594">
        <v>3.06</v>
      </c>
      <c r="N2594">
        <v>2.76</v>
      </c>
      <c r="O2594">
        <v>2.81</v>
      </c>
      <c r="P2594" t="s">
        <v>32</v>
      </c>
      <c r="Q2594">
        <v>90827960</v>
      </c>
      <c r="R2594">
        <v>3.4</v>
      </c>
      <c r="S2594" t="s">
        <v>324</v>
      </c>
      <c r="T2594" t="s">
        <v>164</v>
      </c>
      <c r="U2594">
        <v>10.68</v>
      </c>
      <c r="V2594">
        <v>2.94</v>
      </c>
      <c r="W2594">
        <v>132800</v>
      </c>
      <c r="X2594">
        <v>176335</v>
      </c>
      <c r="Y2594">
        <v>0.75</v>
      </c>
      <c r="Z2594">
        <v>4076</v>
      </c>
      <c r="AA2594">
        <v>2456</v>
      </c>
      <c r="AB2594" t="s">
        <v>32</v>
      </c>
      <c r="AC2594">
        <v>17.42</v>
      </c>
    </row>
    <row r="2595" spans="1:29">
      <c r="A2595" t="str">
        <f>"600596"</f>
        <v>600596</v>
      </c>
      <c r="B2595" t="s">
        <v>2765</v>
      </c>
      <c r="C2595">
        <v>-2.19</v>
      </c>
      <c r="D2595">
        <v>19.22</v>
      </c>
      <c r="E2595">
        <v>-0.43</v>
      </c>
      <c r="F2595">
        <v>19.21</v>
      </c>
      <c r="G2595">
        <v>19.22</v>
      </c>
      <c r="H2595">
        <v>602361</v>
      </c>
      <c r="I2595">
        <v>25</v>
      </c>
      <c r="J2595">
        <v>0.1</v>
      </c>
      <c r="K2595">
        <v>8.77</v>
      </c>
      <c r="L2595">
        <v>19.5</v>
      </c>
      <c r="M2595">
        <v>19.94</v>
      </c>
      <c r="N2595">
        <v>19.13</v>
      </c>
      <c r="O2595">
        <v>19.65</v>
      </c>
      <c r="P2595">
        <v>13.08</v>
      </c>
      <c r="Q2595">
        <v>1170918784</v>
      </c>
      <c r="R2595">
        <v>1.17</v>
      </c>
      <c r="S2595" t="s">
        <v>145</v>
      </c>
      <c r="T2595" t="s">
        <v>149</v>
      </c>
      <c r="U2595">
        <v>4.12</v>
      </c>
      <c r="V2595">
        <v>19.44</v>
      </c>
      <c r="W2595">
        <v>314200</v>
      </c>
      <c r="X2595">
        <v>288161</v>
      </c>
      <c r="Y2595">
        <v>1.09</v>
      </c>
      <c r="Z2595">
        <v>668</v>
      </c>
      <c r="AA2595">
        <v>392</v>
      </c>
      <c r="AB2595" t="s">
        <v>32</v>
      </c>
      <c r="AC2595">
        <v>6.87</v>
      </c>
    </row>
    <row r="2596" spans="1:29">
      <c r="A2596" t="str">
        <f>"600597"</f>
        <v>600597</v>
      </c>
      <c r="B2596" t="s">
        <v>2766</v>
      </c>
      <c r="C2596">
        <v>1.79</v>
      </c>
      <c r="D2596">
        <v>10.22</v>
      </c>
      <c r="E2596">
        <v>0.18</v>
      </c>
      <c r="F2596">
        <v>10.21</v>
      </c>
      <c r="G2596">
        <v>10.22</v>
      </c>
      <c r="H2596">
        <v>80309</v>
      </c>
      <c r="I2596">
        <v>29</v>
      </c>
      <c r="J2596">
        <v>0</v>
      </c>
      <c r="K2596">
        <v>0.66</v>
      </c>
      <c r="L2596">
        <v>10.03</v>
      </c>
      <c r="M2596">
        <v>10.27</v>
      </c>
      <c r="N2596">
        <v>10</v>
      </c>
      <c r="O2596">
        <v>10.04</v>
      </c>
      <c r="P2596">
        <v>23.42</v>
      </c>
      <c r="Q2596">
        <v>81783880</v>
      </c>
      <c r="R2596">
        <v>1.58</v>
      </c>
      <c r="S2596" t="s">
        <v>953</v>
      </c>
      <c r="T2596" t="s">
        <v>366</v>
      </c>
      <c r="U2596">
        <v>2.69</v>
      </c>
      <c r="V2596">
        <v>10.18</v>
      </c>
      <c r="W2596">
        <v>36099</v>
      </c>
      <c r="X2596">
        <v>44209</v>
      </c>
      <c r="Y2596">
        <v>0.82</v>
      </c>
      <c r="Z2596">
        <v>450</v>
      </c>
      <c r="AA2596">
        <v>931</v>
      </c>
      <c r="AB2596" t="s">
        <v>32</v>
      </c>
      <c r="AC2596">
        <v>12.24</v>
      </c>
    </row>
    <row r="2597" spans="1:29">
      <c r="A2597" t="str">
        <f>"600598"</f>
        <v>600598</v>
      </c>
      <c r="B2597" t="s">
        <v>2767</v>
      </c>
      <c r="C2597">
        <v>1.9</v>
      </c>
      <c r="D2597">
        <v>9.63</v>
      </c>
      <c r="E2597">
        <v>0.18</v>
      </c>
      <c r="F2597">
        <v>9.62</v>
      </c>
      <c r="G2597">
        <v>9.63</v>
      </c>
      <c r="H2597">
        <v>221068</v>
      </c>
      <c r="I2597">
        <v>18</v>
      </c>
      <c r="J2597">
        <v>0.21</v>
      </c>
      <c r="K2597">
        <v>1.24</v>
      </c>
      <c r="L2597">
        <v>9.46</v>
      </c>
      <c r="M2597">
        <v>9.67</v>
      </c>
      <c r="N2597">
        <v>9.39</v>
      </c>
      <c r="O2597">
        <v>9.45</v>
      </c>
      <c r="P2597">
        <v>14.89</v>
      </c>
      <c r="Q2597">
        <v>211562240</v>
      </c>
      <c r="R2597">
        <v>1.57</v>
      </c>
      <c r="S2597" t="s">
        <v>404</v>
      </c>
      <c r="T2597" t="s">
        <v>297</v>
      </c>
      <c r="U2597">
        <v>2.96</v>
      </c>
      <c r="V2597">
        <v>9.57</v>
      </c>
      <c r="W2597">
        <v>100310</v>
      </c>
      <c r="X2597">
        <v>120757</v>
      </c>
      <c r="Y2597">
        <v>0.83</v>
      </c>
      <c r="Z2597">
        <v>53</v>
      </c>
      <c r="AA2597">
        <v>249</v>
      </c>
      <c r="AB2597" t="s">
        <v>32</v>
      </c>
      <c r="AC2597">
        <v>17.78</v>
      </c>
    </row>
    <row r="2598" spans="1:29">
      <c r="A2598" t="str">
        <f>"600599"</f>
        <v>600599</v>
      </c>
      <c r="B2598" t="s">
        <v>2768</v>
      </c>
      <c r="C2598">
        <v>0.07</v>
      </c>
      <c r="D2598">
        <v>14.81</v>
      </c>
      <c r="E2598">
        <v>0.01</v>
      </c>
      <c r="F2598">
        <v>14.8</v>
      </c>
      <c r="G2598">
        <v>14.81</v>
      </c>
      <c r="H2598">
        <v>18960</v>
      </c>
      <c r="I2598">
        <v>5</v>
      </c>
      <c r="J2598">
        <v>-0.06</v>
      </c>
      <c r="K2598">
        <v>1.14</v>
      </c>
      <c r="L2598">
        <v>14.73</v>
      </c>
      <c r="M2598">
        <v>15.06</v>
      </c>
      <c r="N2598">
        <v>14.67</v>
      </c>
      <c r="O2598">
        <v>14.8</v>
      </c>
      <c r="P2598">
        <v>47.05</v>
      </c>
      <c r="Q2598">
        <v>28157774</v>
      </c>
      <c r="R2598">
        <v>1.39</v>
      </c>
      <c r="S2598" t="s">
        <v>183</v>
      </c>
      <c r="T2598" t="s">
        <v>152</v>
      </c>
      <c r="U2598">
        <v>2.64</v>
      </c>
      <c r="V2598">
        <v>14.85</v>
      </c>
      <c r="W2598">
        <v>9317</v>
      </c>
      <c r="X2598">
        <v>9642</v>
      </c>
      <c r="Y2598">
        <v>0.97</v>
      </c>
      <c r="Z2598">
        <v>102</v>
      </c>
      <c r="AA2598">
        <v>12</v>
      </c>
      <c r="AB2598" t="s">
        <v>32</v>
      </c>
      <c r="AC2598">
        <v>1.66</v>
      </c>
    </row>
    <row r="2599" spans="1:29">
      <c r="A2599" t="str">
        <f>"600600"</f>
        <v>600600</v>
      </c>
      <c r="B2599" t="s">
        <v>2769</v>
      </c>
      <c r="C2599">
        <v>0.17</v>
      </c>
      <c r="D2599">
        <v>46.5</v>
      </c>
      <c r="E2599">
        <v>0.08</v>
      </c>
      <c r="F2599">
        <v>46.49</v>
      </c>
      <c r="G2599">
        <v>46.5</v>
      </c>
      <c r="H2599">
        <v>49921</v>
      </c>
      <c r="I2599">
        <v>6</v>
      </c>
      <c r="J2599">
        <v>0.04</v>
      </c>
      <c r="K2599">
        <v>0.72</v>
      </c>
      <c r="L2599">
        <v>46.42</v>
      </c>
      <c r="M2599">
        <v>46.9</v>
      </c>
      <c r="N2599">
        <v>45.52</v>
      </c>
      <c r="O2599">
        <v>46.42</v>
      </c>
      <c r="P2599">
        <v>23.54</v>
      </c>
      <c r="Q2599">
        <v>230625424</v>
      </c>
      <c r="R2599">
        <v>1</v>
      </c>
      <c r="S2599" t="s">
        <v>420</v>
      </c>
      <c r="T2599" t="s">
        <v>162</v>
      </c>
      <c r="U2599">
        <v>2.97</v>
      </c>
      <c r="V2599">
        <v>46.2</v>
      </c>
      <c r="W2599">
        <v>25048</v>
      </c>
      <c r="X2599">
        <v>24872</v>
      </c>
      <c r="Y2599">
        <v>1.01</v>
      </c>
      <c r="Z2599">
        <v>72</v>
      </c>
      <c r="AA2599">
        <v>1</v>
      </c>
      <c r="AB2599" t="s">
        <v>32</v>
      </c>
      <c r="AC2599">
        <v>6.96</v>
      </c>
    </row>
    <row r="2600" spans="1:29">
      <c r="A2600" t="str">
        <f>"600601"</f>
        <v>600601</v>
      </c>
      <c r="B2600" t="s">
        <v>2770</v>
      </c>
      <c r="C2600">
        <v>1.71</v>
      </c>
      <c r="D2600">
        <v>2.98</v>
      </c>
      <c r="E2600">
        <v>0.05</v>
      </c>
      <c r="F2600">
        <v>2.97</v>
      </c>
      <c r="G2600">
        <v>2.98</v>
      </c>
      <c r="H2600">
        <v>164059</v>
      </c>
      <c r="I2600">
        <v>60</v>
      </c>
      <c r="J2600">
        <v>0.34</v>
      </c>
      <c r="K2600">
        <v>0.75</v>
      </c>
      <c r="L2600">
        <v>2.93</v>
      </c>
      <c r="M2600">
        <v>2.98</v>
      </c>
      <c r="N2600">
        <v>2.92</v>
      </c>
      <c r="O2600">
        <v>2.93</v>
      </c>
      <c r="P2600" t="s">
        <v>32</v>
      </c>
      <c r="Q2600">
        <v>48570616</v>
      </c>
      <c r="R2600">
        <v>0.86</v>
      </c>
      <c r="S2600" t="s">
        <v>65</v>
      </c>
      <c r="T2600" t="s">
        <v>366</v>
      </c>
      <c r="U2600">
        <v>2.05</v>
      </c>
      <c r="V2600">
        <v>2.96</v>
      </c>
      <c r="W2600">
        <v>78148</v>
      </c>
      <c r="X2600">
        <v>85911</v>
      </c>
      <c r="Y2600">
        <v>0.91</v>
      </c>
      <c r="Z2600">
        <v>688</v>
      </c>
      <c r="AA2600">
        <v>5818</v>
      </c>
      <c r="AB2600" t="s">
        <v>32</v>
      </c>
      <c r="AC2600">
        <v>21.95</v>
      </c>
    </row>
    <row r="2601" spans="1:29">
      <c r="A2601" t="str">
        <f>"600602"</f>
        <v>600602</v>
      </c>
      <c r="B2601" t="s">
        <v>2771</v>
      </c>
      <c r="C2601">
        <v>0.85</v>
      </c>
      <c r="D2601">
        <v>5.94</v>
      </c>
      <c r="E2601">
        <v>0.05</v>
      </c>
      <c r="F2601">
        <v>5.94</v>
      </c>
      <c r="G2601">
        <v>5.95</v>
      </c>
      <c r="H2601">
        <v>39723</v>
      </c>
      <c r="I2601">
        <v>4</v>
      </c>
      <c r="J2601">
        <v>0</v>
      </c>
      <c r="K2601">
        <v>0.45</v>
      </c>
      <c r="L2601">
        <v>5.91</v>
      </c>
      <c r="M2601">
        <v>5.97</v>
      </c>
      <c r="N2601">
        <v>5.86</v>
      </c>
      <c r="O2601">
        <v>5.89</v>
      </c>
      <c r="P2601">
        <v>33.82</v>
      </c>
      <c r="Q2601">
        <v>23531712</v>
      </c>
      <c r="R2601">
        <v>1.32</v>
      </c>
      <c r="S2601" t="s">
        <v>270</v>
      </c>
      <c r="T2601" t="s">
        <v>366</v>
      </c>
      <c r="U2601">
        <v>1.87</v>
      </c>
      <c r="V2601">
        <v>5.92</v>
      </c>
      <c r="W2601">
        <v>22508</v>
      </c>
      <c r="X2601">
        <v>17214</v>
      </c>
      <c r="Y2601">
        <v>1.31</v>
      </c>
      <c r="Z2601">
        <v>614</v>
      </c>
      <c r="AA2601">
        <v>113</v>
      </c>
      <c r="AB2601" t="s">
        <v>32</v>
      </c>
      <c r="AC2601">
        <v>8.8</v>
      </c>
    </row>
    <row r="2602" spans="1:29">
      <c r="A2602" t="str">
        <f>"600603"</f>
        <v>600603</v>
      </c>
      <c r="B2602" t="s">
        <v>2772</v>
      </c>
      <c r="C2602">
        <v>2.53</v>
      </c>
      <c r="D2602">
        <v>4.05</v>
      </c>
      <c r="E2602">
        <v>0.1</v>
      </c>
      <c r="F2602">
        <v>4.04</v>
      </c>
      <c r="G2602">
        <v>4.05</v>
      </c>
      <c r="H2602">
        <v>44759</v>
      </c>
      <c r="I2602">
        <v>5</v>
      </c>
      <c r="J2602">
        <v>0.5</v>
      </c>
      <c r="K2602">
        <v>0.89</v>
      </c>
      <c r="L2602">
        <v>3.96</v>
      </c>
      <c r="M2602">
        <v>4.05</v>
      </c>
      <c r="N2602">
        <v>3.93</v>
      </c>
      <c r="O2602">
        <v>3.95</v>
      </c>
      <c r="P2602">
        <v>12.8</v>
      </c>
      <c r="Q2602">
        <v>17976716</v>
      </c>
      <c r="R2602">
        <v>2.19</v>
      </c>
      <c r="S2602" t="s">
        <v>742</v>
      </c>
      <c r="T2602" t="s">
        <v>146</v>
      </c>
      <c r="U2602">
        <v>3.04</v>
      </c>
      <c r="V2602">
        <v>4.02</v>
      </c>
      <c r="W2602">
        <v>21300</v>
      </c>
      <c r="X2602">
        <v>23458</v>
      </c>
      <c r="Y2602">
        <v>0.91</v>
      </c>
      <c r="Z2602">
        <v>396</v>
      </c>
      <c r="AA2602">
        <v>517</v>
      </c>
      <c r="AB2602" t="s">
        <v>32</v>
      </c>
      <c r="AC2602">
        <v>5.04</v>
      </c>
    </row>
    <row r="2603" spans="1:29">
      <c r="A2603" t="str">
        <f>"600604"</f>
        <v>600604</v>
      </c>
      <c r="B2603" t="s">
        <v>2773</v>
      </c>
      <c r="C2603">
        <v>2.43</v>
      </c>
      <c r="D2603">
        <v>4.63</v>
      </c>
      <c r="E2603">
        <v>0.11</v>
      </c>
      <c r="F2603">
        <v>4.63</v>
      </c>
      <c r="G2603">
        <v>4.64</v>
      </c>
      <c r="H2603">
        <v>116076</v>
      </c>
      <c r="I2603">
        <v>20</v>
      </c>
      <c r="J2603">
        <v>0.22</v>
      </c>
      <c r="K2603">
        <v>0.87</v>
      </c>
      <c r="L2603">
        <v>4.49</v>
      </c>
      <c r="M2603">
        <v>4.67</v>
      </c>
      <c r="N2603">
        <v>4.49</v>
      </c>
      <c r="O2603">
        <v>4.52</v>
      </c>
      <c r="P2603">
        <v>1006.66</v>
      </c>
      <c r="Q2603">
        <v>53482988</v>
      </c>
      <c r="R2603">
        <v>2.12</v>
      </c>
      <c r="S2603" t="s">
        <v>338</v>
      </c>
      <c r="T2603" t="s">
        <v>366</v>
      </c>
      <c r="U2603">
        <v>3.98</v>
      </c>
      <c r="V2603">
        <v>4.61</v>
      </c>
      <c r="W2603">
        <v>52617</v>
      </c>
      <c r="X2603">
        <v>63458</v>
      </c>
      <c r="Y2603">
        <v>0.83</v>
      </c>
      <c r="Z2603">
        <v>124</v>
      </c>
      <c r="AA2603">
        <v>1461</v>
      </c>
      <c r="AB2603" t="s">
        <v>32</v>
      </c>
      <c r="AC2603">
        <v>13.34</v>
      </c>
    </row>
    <row r="2604" spans="1:29">
      <c r="A2604" t="str">
        <f>"600605"</f>
        <v>600605</v>
      </c>
      <c r="B2604" t="s">
        <v>2774</v>
      </c>
      <c r="C2604">
        <v>1.84</v>
      </c>
      <c r="D2604">
        <v>9.39</v>
      </c>
      <c r="E2604">
        <v>0.17</v>
      </c>
      <c r="F2604">
        <v>9.39</v>
      </c>
      <c r="G2604">
        <v>9.4</v>
      </c>
      <c r="H2604">
        <v>10860</v>
      </c>
      <c r="I2604">
        <v>10</v>
      </c>
      <c r="J2604">
        <v>0</v>
      </c>
      <c r="K2604">
        <v>0.74</v>
      </c>
      <c r="L2604">
        <v>9.2</v>
      </c>
      <c r="M2604">
        <v>9.44</v>
      </c>
      <c r="N2604">
        <v>9.16</v>
      </c>
      <c r="O2604">
        <v>9.22</v>
      </c>
      <c r="P2604">
        <v>33.14</v>
      </c>
      <c r="Q2604">
        <v>10132391</v>
      </c>
      <c r="R2604">
        <v>1.41</v>
      </c>
      <c r="S2604" t="s">
        <v>140</v>
      </c>
      <c r="T2604" t="s">
        <v>366</v>
      </c>
      <c r="U2604">
        <v>3.04</v>
      </c>
      <c r="V2604">
        <v>9.33</v>
      </c>
      <c r="W2604">
        <v>5595</v>
      </c>
      <c r="X2604">
        <v>5265</v>
      </c>
      <c r="Y2604">
        <v>1.06</v>
      </c>
      <c r="Z2604">
        <v>9</v>
      </c>
      <c r="AA2604">
        <v>1836</v>
      </c>
      <c r="AB2604" t="s">
        <v>32</v>
      </c>
      <c r="AC2604">
        <v>1.47</v>
      </c>
    </row>
    <row r="2605" spans="1:29">
      <c r="A2605" t="str">
        <f>"600606"</f>
        <v>600606</v>
      </c>
      <c r="B2605" t="s">
        <v>2775</v>
      </c>
      <c r="C2605">
        <v>2.58</v>
      </c>
      <c r="D2605">
        <v>6.37</v>
      </c>
      <c r="E2605">
        <v>0.16</v>
      </c>
      <c r="F2605">
        <v>6.37</v>
      </c>
      <c r="G2605">
        <v>6.38</v>
      </c>
      <c r="H2605">
        <v>645874</v>
      </c>
      <c r="I2605">
        <v>11</v>
      </c>
      <c r="J2605">
        <v>0</v>
      </c>
      <c r="K2605">
        <v>0.53</v>
      </c>
      <c r="L2605">
        <v>6.25</v>
      </c>
      <c r="M2605">
        <v>6.45</v>
      </c>
      <c r="N2605">
        <v>6.22</v>
      </c>
      <c r="O2605">
        <v>6.21</v>
      </c>
      <c r="P2605">
        <v>5.55</v>
      </c>
      <c r="Q2605">
        <v>410852288</v>
      </c>
      <c r="R2605">
        <v>2.29</v>
      </c>
      <c r="S2605" t="s">
        <v>34</v>
      </c>
      <c r="T2605" t="s">
        <v>366</v>
      </c>
      <c r="U2605">
        <v>3.7</v>
      </c>
      <c r="V2605">
        <v>6.36</v>
      </c>
      <c r="W2605">
        <v>313047</v>
      </c>
      <c r="X2605">
        <v>332826</v>
      </c>
      <c r="Y2605">
        <v>0.94</v>
      </c>
      <c r="Z2605">
        <v>285</v>
      </c>
      <c r="AA2605">
        <v>2043</v>
      </c>
      <c r="AB2605" t="s">
        <v>32</v>
      </c>
      <c r="AC2605">
        <v>121.68</v>
      </c>
    </row>
    <row r="2606" spans="1:29">
      <c r="A2606" t="str">
        <f>"600608"</f>
        <v>600608</v>
      </c>
      <c r="B2606" t="s">
        <v>2776</v>
      </c>
      <c r="C2606">
        <v>1.87</v>
      </c>
      <c r="D2606">
        <v>4.9</v>
      </c>
      <c r="E2606">
        <v>0.09</v>
      </c>
      <c r="F2606">
        <v>4.88</v>
      </c>
      <c r="G2606">
        <v>4.89</v>
      </c>
      <c r="H2606">
        <v>3931</v>
      </c>
      <c r="I2606">
        <v>10</v>
      </c>
      <c r="J2606">
        <v>0.41</v>
      </c>
      <c r="K2606">
        <v>0.12</v>
      </c>
      <c r="L2606">
        <v>4.93</v>
      </c>
      <c r="M2606">
        <v>4.93</v>
      </c>
      <c r="N2606">
        <v>4.85</v>
      </c>
      <c r="O2606">
        <v>4.81</v>
      </c>
      <c r="P2606" t="s">
        <v>32</v>
      </c>
      <c r="Q2606">
        <v>1923195</v>
      </c>
      <c r="R2606">
        <v>1.36</v>
      </c>
      <c r="S2606" t="s">
        <v>449</v>
      </c>
      <c r="T2606" t="s">
        <v>366</v>
      </c>
      <c r="U2606">
        <v>1.66</v>
      </c>
      <c r="V2606">
        <v>4.89</v>
      </c>
      <c r="W2606">
        <v>1827</v>
      </c>
      <c r="X2606">
        <v>2104</v>
      </c>
      <c r="Y2606">
        <v>0.87</v>
      </c>
      <c r="Z2606">
        <v>91</v>
      </c>
      <c r="AA2606">
        <v>8</v>
      </c>
      <c r="AB2606" t="s">
        <v>32</v>
      </c>
      <c r="AC2606">
        <v>3.18</v>
      </c>
    </row>
    <row r="2607" spans="1:29">
      <c r="A2607" t="str">
        <f>"600609"</f>
        <v>600609</v>
      </c>
      <c r="B2607" t="s">
        <v>2777</v>
      </c>
      <c r="C2607">
        <v>0.86</v>
      </c>
      <c r="D2607">
        <v>4.68</v>
      </c>
      <c r="E2607">
        <v>0.04</v>
      </c>
      <c r="F2607">
        <v>4.69</v>
      </c>
      <c r="G2607">
        <v>4.7</v>
      </c>
      <c r="H2607">
        <v>37431</v>
      </c>
      <c r="I2607">
        <v>1034</v>
      </c>
      <c r="J2607">
        <v>0.21</v>
      </c>
      <c r="K2607">
        <v>0.34</v>
      </c>
      <c r="L2607">
        <v>4.67</v>
      </c>
      <c r="M2607">
        <v>4.72</v>
      </c>
      <c r="N2607">
        <v>4.61</v>
      </c>
      <c r="O2607">
        <v>4.64</v>
      </c>
      <c r="P2607">
        <v>63.13</v>
      </c>
      <c r="Q2607">
        <v>17487922</v>
      </c>
      <c r="R2607">
        <v>0.86</v>
      </c>
      <c r="S2607" t="s">
        <v>80</v>
      </c>
      <c r="T2607" t="s">
        <v>111</v>
      </c>
      <c r="U2607">
        <v>2.37</v>
      </c>
      <c r="V2607">
        <v>4.67</v>
      </c>
      <c r="W2607">
        <v>17204</v>
      </c>
      <c r="X2607">
        <v>20226</v>
      </c>
      <c r="Y2607">
        <v>0.85</v>
      </c>
      <c r="Z2607">
        <v>4</v>
      </c>
      <c r="AA2607">
        <v>1266</v>
      </c>
      <c r="AB2607" t="s">
        <v>32</v>
      </c>
      <c r="AC2607">
        <v>10.93</v>
      </c>
    </row>
    <row r="2608" spans="1:29">
      <c r="A2608" t="str">
        <f>"600610"</f>
        <v>600610</v>
      </c>
      <c r="B2608" t="s">
        <v>2778</v>
      </c>
      <c r="C2608">
        <v>-4.83</v>
      </c>
      <c r="D2608">
        <v>1.97</v>
      </c>
      <c r="E2608">
        <v>-0.1</v>
      </c>
      <c r="F2608" t="s">
        <v>32</v>
      </c>
      <c r="G2608">
        <v>1.97</v>
      </c>
      <c r="H2608">
        <v>5980</v>
      </c>
      <c r="I2608">
        <v>1</v>
      </c>
      <c r="J2608">
        <v>0</v>
      </c>
      <c r="K2608">
        <v>0.16</v>
      </c>
      <c r="L2608">
        <v>1.97</v>
      </c>
      <c r="M2608">
        <v>1.97</v>
      </c>
      <c r="N2608">
        <v>1.97</v>
      </c>
      <c r="O2608">
        <v>2.07</v>
      </c>
      <c r="P2608">
        <v>2725.69</v>
      </c>
      <c r="Q2608">
        <v>1178060</v>
      </c>
      <c r="R2608">
        <v>3.11</v>
      </c>
      <c r="S2608" t="s">
        <v>49</v>
      </c>
      <c r="T2608" t="s">
        <v>366</v>
      </c>
      <c r="U2608">
        <v>0</v>
      </c>
      <c r="V2608">
        <v>1.97</v>
      </c>
      <c r="W2608">
        <v>275</v>
      </c>
      <c r="X2608">
        <v>5705</v>
      </c>
      <c r="Y2608">
        <v>0.05</v>
      </c>
      <c r="Z2608">
        <v>0</v>
      </c>
      <c r="AA2608">
        <v>260449</v>
      </c>
      <c r="AB2608" t="s">
        <v>32</v>
      </c>
      <c r="AC2608">
        <v>3.76</v>
      </c>
    </row>
    <row r="2609" spans="1:29">
      <c r="A2609" t="str">
        <f>"600611"</f>
        <v>600611</v>
      </c>
      <c r="B2609" t="s">
        <v>2779</v>
      </c>
      <c r="C2609">
        <v>3.4</v>
      </c>
      <c r="D2609">
        <v>4.26</v>
      </c>
      <c r="E2609">
        <v>0.14</v>
      </c>
      <c r="F2609">
        <v>4.25</v>
      </c>
      <c r="G2609">
        <v>4.26</v>
      </c>
      <c r="H2609">
        <v>204655</v>
      </c>
      <c r="I2609">
        <v>10</v>
      </c>
      <c r="J2609">
        <v>0</v>
      </c>
      <c r="K2609">
        <v>1.31</v>
      </c>
      <c r="L2609">
        <v>4.13</v>
      </c>
      <c r="M2609">
        <v>4.31</v>
      </c>
      <c r="N2609">
        <v>4.1</v>
      </c>
      <c r="O2609">
        <v>4.12</v>
      </c>
      <c r="P2609">
        <v>16.14</v>
      </c>
      <c r="Q2609">
        <v>86260224</v>
      </c>
      <c r="R2609">
        <v>2.88</v>
      </c>
      <c r="S2609" t="s">
        <v>1253</v>
      </c>
      <c r="T2609" t="s">
        <v>366</v>
      </c>
      <c r="U2609">
        <v>5.1</v>
      </c>
      <c r="V2609">
        <v>4.21</v>
      </c>
      <c r="W2609">
        <v>91294</v>
      </c>
      <c r="X2609">
        <v>113361</v>
      </c>
      <c r="Y2609">
        <v>0.81</v>
      </c>
      <c r="Z2609">
        <v>872</v>
      </c>
      <c r="AA2609">
        <v>1539</v>
      </c>
      <c r="AB2609" t="s">
        <v>32</v>
      </c>
      <c r="AC2609">
        <v>15.63</v>
      </c>
    </row>
    <row r="2610" spans="1:29">
      <c r="A2610" t="str">
        <f>"600612"</f>
        <v>600612</v>
      </c>
      <c r="B2610" t="s">
        <v>2780</v>
      </c>
      <c r="C2610">
        <v>0.32</v>
      </c>
      <c r="D2610">
        <v>34.63</v>
      </c>
      <c r="E2610">
        <v>0.11</v>
      </c>
      <c r="F2610">
        <v>34.63</v>
      </c>
      <c r="G2610">
        <v>34.64</v>
      </c>
      <c r="H2610">
        <v>7885</v>
      </c>
      <c r="I2610">
        <v>4</v>
      </c>
      <c r="J2610">
        <v>0</v>
      </c>
      <c r="K2610">
        <v>0.25</v>
      </c>
      <c r="L2610">
        <v>34.49</v>
      </c>
      <c r="M2610">
        <v>34.69</v>
      </c>
      <c r="N2610">
        <v>34.4</v>
      </c>
      <c r="O2610">
        <v>34.52</v>
      </c>
      <c r="P2610">
        <v>13.56</v>
      </c>
      <c r="Q2610">
        <v>27251220</v>
      </c>
      <c r="R2610">
        <v>1.1</v>
      </c>
      <c r="S2610" t="s">
        <v>622</v>
      </c>
      <c r="T2610" t="s">
        <v>366</v>
      </c>
      <c r="U2610">
        <v>0.84</v>
      </c>
      <c r="V2610">
        <v>34.56</v>
      </c>
      <c r="W2610">
        <v>4759</v>
      </c>
      <c r="X2610">
        <v>3126</v>
      </c>
      <c r="Y2610">
        <v>1.52</v>
      </c>
      <c r="Z2610">
        <v>103</v>
      </c>
      <c r="AA2610">
        <v>13</v>
      </c>
      <c r="AB2610" t="s">
        <v>32</v>
      </c>
      <c r="AC2610">
        <v>3.17</v>
      </c>
    </row>
    <row r="2611" spans="1:29">
      <c r="A2611" t="str">
        <f>"600613"</f>
        <v>600613</v>
      </c>
      <c r="B2611" t="s">
        <v>2781</v>
      </c>
      <c r="C2611">
        <v>2.78</v>
      </c>
      <c r="D2611">
        <v>6.29</v>
      </c>
      <c r="E2611">
        <v>0.17</v>
      </c>
      <c r="F2611">
        <v>6.29</v>
      </c>
      <c r="G2611">
        <v>6.3</v>
      </c>
      <c r="H2611">
        <v>31344</v>
      </c>
      <c r="I2611">
        <v>4</v>
      </c>
      <c r="J2611">
        <v>-0.31</v>
      </c>
      <c r="K2611">
        <v>0.65</v>
      </c>
      <c r="L2611">
        <v>6.11</v>
      </c>
      <c r="M2611">
        <v>6.32</v>
      </c>
      <c r="N2611">
        <v>6.08</v>
      </c>
      <c r="O2611">
        <v>6.12</v>
      </c>
      <c r="P2611">
        <v>27.83</v>
      </c>
      <c r="Q2611">
        <v>19463800</v>
      </c>
      <c r="R2611">
        <v>1.87</v>
      </c>
      <c r="S2611" t="s">
        <v>195</v>
      </c>
      <c r="T2611" t="s">
        <v>366</v>
      </c>
      <c r="U2611">
        <v>3.92</v>
      </c>
      <c r="V2611">
        <v>6.21</v>
      </c>
      <c r="W2611">
        <v>13997</v>
      </c>
      <c r="X2611">
        <v>17347</v>
      </c>
      <c r="Y2611">
        <v>0.81</v>
      </c>
      <c r="Z2611">
        <v>10</v>
      </c>
      <c r="AA2611">
        <v>106</v>
      </c>
      <c r="AB2611" t="s">
        <v>32</v>
      </c>
      <c r="AC2611">
        <v>4.79</v>
      </c>
    </row>
    <row r="2612" spans="1:29">
      <c r="A2612" t="str">
        <f>"600614"</f>
        <v>600614</v>
      </c>
      <c r="B2612" t="s">
        <v>2782</v>
      </c>
      <c r="C2612">
        <v>2.22</v>
      </c>
      <c r="D2612">
        <v>5.53</v>
      </c>
      <c r="E2612">
        <v>0.12</v>
      </c>
      <c r="F2612">
        <v>5.52</v>
      </c>
      <c r="G2612">
        <v>5.53</v>
      </c>
      <c r="H2612">
        <v>148630</v>
      </c>
      <c r="I2612">
        <v>7</v>
      </c>
      <c r="J2612">
        <v>0</v>
      </c>
      <c r="K2612">
        <v>1.15</v>
      </c>
      <c r="L2612">
        <v>5.38</v>
      </c>
      <c r="M2612">
        <v>5.58</v>
      </c>
      <c r="N2612">
        <v>5.38</v>
      </c>
      <c r="O2612">
        <v>5.41</v>
      </c>
      <c r="P2612">
        <v>33.62</v>
      </c>
      <c r="Q2612">
        <v>81820488</v>
      </c>
      <c r="R2612">
        <v>1.4</v>
      </c>
      <c r="S2612" t="s">
        <v>47</v>
      </c>
      <c r="T2612" t="s">
        <v>366</v>
      </c>
      <c r="U2612">
        <v>3.7</v>
      </c>
      <c r="V2612">
        <v>5.5</v>
      </c>
      <c r="W2612">
        <v>64109</v>
      </c>
      <c r="X2612">
        <v>84520</v>
      </c>
      <c r="Y2612">
        <v>0.76</v>
      </c>
      <c r="Z2612">
        <v>316</v>
      </c>
      <c r="AA2612">
        <v>3462</v>
      </c>
      <c r="AB2612" t="s">
        <v>32</v>
      </c>
      <c r="AC2612">
        <v>12.91</v>
      </c>
    </row>
    <row r="2613" spans="1:29">
      <c r="A2613" t="str">
        <f>"600615"</f>
        <v>600615</v>
      </c>
      <c r="B2613" t="s">
        <v>2783</v>
      </c>
      <c r="C2613">
        <v>1.67</v>
      </c>
      <c r="D2613">
        <v>9.11</v>
      </c>
      <c r="E2613">
        <v>0.15</v>
      </c>
      <c r="F2613">
        <v>9.1</v>
      </c>
      <c r="G2613">
        <v>9.14</v>
      </c>
      <c r="H2613">
        <v>17142</v>
      </c>
      <c r="I2613">
        <v>4</v>
      </c>
      <c r="J2613">
        <v>-0.43</v>
      </c>
      <c r="K2613">
        <v>0.91</v>
      </c>
      <c r="L2613">
        <v>8.89</v>
      </c>
      <c r="M2613">
        <v>9.21</v>
      </c>
      <c r="N2613">
        <v>8.88</v>
      </c>
      <c r="O2613">
        <v>8.96</v>
      </c>
      <c r="P2613">
        <v>94.9</v>
      </c>
      <c r="Q2613">
        <v>15591529</v>
      </c>
      <c r="R2613">
        <v>1.59</v>
      </c>
      <c r="S2613" t="s">
        <v>356</v>
      </c>
      <c r="T2613" t="s">
        <v>366</v>
      </c>
      <c r="U2613">
        <v>3.68</v>
      </c>
      <c r="V2613">
        <v>9.1</v>
      </c>
      <c r="W2613">
        <v>8341</v>
      </c>
      <c r="X2613">
        <v>8800</v>
      </c>
      <c r="Y2613">
        <v>0.95</v>
      </c>
      <c r="Z2613">
        <v>15</v>
      </c>
      <c r="AA2613">
        <v>25</v>
      </c>
      <c r="AB2613" t="s">
        <v>32</v>
      </c>
      <c r="AC2613">
        <v>1.88</v>
      </c>
    </row>
    <row r="2614" spans="1:29">
      <c r="A2614" t="str">
        <f>"600616"</f>
        <v>600616</v>
      </c>
      <c r="B2614" t="s">
        <v>2784</v>
      </c>
      <c r="C2614">
        <v>2.18</v>
      </c>
      <c r="D2614">
        <v>6.55</v>
      </c>
      <c r="E2614">
        <v>0.14</v>
      </c>
      <c r="F2614">
        <v>6.54</v>
      </c>
      <c r="G2614">
        <v>6.55</v>
      </c>
      <c r="H2614">
        <v>44791</v>
      </c>
      <c r="I2614">
        <v>50</v>
      </c>
      <c r="J2614">
        <v>0.61</v>
      </c>
      <c r="K2614">
        <v>0.87</v>
      </c>
      <c r="L2614">
        <v>6.4</v>
      </c>
      <c r="M2614">
        <v>6.58</v>
      </c>
      <c r="N2614">
        <v>6.39</v>
      </c>
      <c r="O2614">
        <v>6.41</v>
      </c>
      <c r="P2614">
        <v>17.96</v>
      </c>
      <c r="Q2614">
        <v>29067004</v>
      </c>
      <c r="R2614">
        <v>1.4</v>
      </c>
      <c r="S2614" t="s">
        <v>272</v>
      </c>
      <c r="T2614" t="s">
        <v>366</v>
      </c>
      <c r="U2614">
        <v>2.96</v>
      </c>
      <c r="V2614">
        <v>6.49</v>
      </c>
      <c r="W2614">
        <v>22211</v>
      </c>
      <c r="X2614">
        <v>22580</v>
      </c>
      <c r="Y2614">
        <v>0.98</v>
      </c>
      <c r="Z2614">
        <v>4</v>
      </c>
      <c r="AA2614">
        <v>60</v>
      </c>
      <c r="AB2614" t="s">
        <v>32</v>
      </c>
      <c r="AC2614">
        <v>5.15</v>
      </c>
    </row>
    <row r="2615" spans="1:29">
      <c r="A2615" t="str">
        <f>"600617"</f>
        <v>600617</v>
      </c>
      <c r="B2615" t="s">
        <v>2785</v>
      </c>
      <c r="C2615">
        <v>3.18</v>
      </c>
      <c r="D2615">
        <v>5.84</v>
      </c>
      <c r="E2615">
        <v>0.18</v>
      </c>
      <c r="F2615">
        <v>5.82</v>
      </c>
      <c r="G2615">
        <v>5.84</v>
      </c>
      <c r="H2615">
        <v>24334</v>
      </c>
      <c r="I2615">
        <v>24</v>
      </c>
      <c r="J2615">
        <v>0.34</v>
      </c>
      <c r="K2615">
        <v>0.27</v>
      </c>
      <c r="L2615">
        <v>5.66</v>
      </c>
      <c r="M2615">
        <v>5.88</v>
      </c>
      <c r="N2615">
        <v>5.64</v>
      </c>
      <c r="O2615">
        <v>5.66</v>
      </c>
      <c r="P2615">
        <v>51.65</v>
      </c>
      <c r="Q2615">
        <v>14134600</v>
      </c>
      <c r="R2615">
        <v>1.72</v>
      </c>
      <c r="S2615" t="s">
        <v>174</v>
      </c>
      <c r="T2615" t="s">
        <v>169</v>
      </c>
      <c r="U2615">
        <v>4.24</v>
      </c>
      <c r="V2615">
        <v>5.81</v>
      </c>
      <c r="W2615">
        <v>10262</v>
      </c>
      <c r="X2615">
        <v>14072</v>
      </c>
      <c r="Y2615">
        <v>0.73</v>
      </c>
      <c r="Z2615">
        <v>107</v>
      </c>
      <c r="AA2615">
        <v>63</v>
      </c>
      <c r="AB2615" t="s">
        <v>32</v>
      </c>
      <c r="AC2615">
        <v>8.98</v>
      </c>
    </row>
    <row r="2616" spans="1:29">
      <c r="A2616" t="str">
        <f>"600618"</f>
        <v>600618</v>
      </c>
      <c r="B2616" t="s">
        <v>2786</v>
      </c>
      <c r="C2616">
        <v>2.27</v>
      </c>
      <c r="D2616">
        <v>8.57</v>
      </c>
      <c r="E2616">
        <v>0.19</v>
      </c>
      <c r="F2616">
        <v>8.56</v>
      </c>
      <c r="G2616">
        <v>8.57</v>
      </c>
      <c r="H2616">
        <v>42417</v>
      </c>
      <c r="I2616">
        <v>6</v>
      </c>
      <c r="J2616">
        <v>-0.22</v>
      </c>
      <c r="K2616">
        <v>0.57</v>
      </c>
      <c r="L2616">
        <v>8.35</v>
      </c>
      <c r="M2616">
        <v>8.65</v>
      </c>
      <c r="N2616">
        <v>8.35</v>
      </c>
      <c r="O2616">
        <v>8.38</v>
      </c>
      <c r="P2616">
        <v>14.59</v>
      </c>
      <c r="Q2616">
        <v>36246904</v>
      </c>
      <c r="R2616">
        <v>1.28</v>
      </c>
      <c r="S2616" t="s">
        <v>218</v>
      </c>
      <c r="T2616" t="s">
        <v>366</v>
      </c>
      <c r="U2616">
        <v>3.58</v>
      </c>
      <c r="V2616">
        <v>8.55</v>
      </c>
      <c r="W2616">
        <v>13476</v>
      </c>
      <c r="X2616">
        <v>28941</v>
      </c>
      <c r="Y2616">
        <v>0.47</v>
      </c>
      <c r="Z2616">
        <v>499</v>
      </c>
      <c r="AA2616">
        <v>13</v>
      </c>
      <c r="AB2616" t="s">
        <v>32</v>
      </c>
      <c r="AC2616">
        <v>7.5</v>
      </c>
    </row>
    <row r="2617" spans="1:29">
      <c r="A2617" t="str">
        <f>"600619"</f>
        <v>600619</v>
      </c>
      <c r="B2617" t="s">
        <v>2787</v>
      </c>
      <c r="C2617">
        <v>-0.83</v>
      </c>
      <c r="D2617">
        <v>13.17</v>
      </c>
      <c r="E2617">
        <v>-0.11</v>
      </c>
      <c r="F2617">
        <v>13.21</v>
      </c>
      <c r="G2617">
        <v>13.22</v>
      </c>
      <c r="H2617">
        <v>114030</v>
      </c>
      <c r="I2617">
        <v>65</v>
      </c>
      <c r="J2617">
        <v>0.53</v>
      </c>
      <c r="K2617">
        <v>2.48</v>
      </c>
      <c r="L2617">
        <v>13.16</v>
      </c>
      <c r="M2617">
        <v>13.43</v>
      </c>
      <c r="N2617">
        <v>13.01</v>
      </c>
      <c r="O2617">
        <v>13.28</v>
      </c>
      <c r="P2617">
        <v>28.66</v>
      </c>
      <c r="Q2617">
        <v>150858064</v>
      </c>
      <c r="R2617">
        <v>1.07</v>
      </c>
      <c r="S2617" t="s">
        <v>241</v>
      </c>
      <c r="T2617" t="s">
        <v>366</v>
      </c>
      <c r="U2617">
        <v>3.16</v>
      </c>
      <c r="V2617">
        <v>13.23</v>
      </c>
      <c r="W2617">
        <v>58543</v>
      </c>
      <c r="X2617">
        <v>55487</v>
      </c>
      <c r="Y2617">
        <v>1.06</v>
      </c>
      <c r="Z2617">
        <v>179</v>
      </c>
      <c r="AA2617">
        <v>34</v>
      </c>
      <c r="AB2617" t="s">
        <v>32</v>
      </c>
      <c r="AC2617">
        <v>4.61</v>
      </c>
    </row>
    <row r="2618" spans="1:29">
      <c r="A2618" t="str">
        <f>"600620"</f>
        <v>600620</v>
      </c>
      <c r="B2618" t="s">
        <v>2788</v>
      </c>
      <c r="C2618">
        <v>1.96</v>
      </c>
      <c r="D2618">
        <v>6.25</v>
      </c>
      <c r="E2618">
        <v>0.12</v>
      </c>
      <c r="F2618">
        <v>6.24</v>
      </c>
      <c r="G2618">
        <v>6.25</v>
      </c>
      <c r="H2618">
        <v>18918</v>
      </c>
      <c r="I2618">
        <v>152</v>
      </c>
      <c r="J2618">
        <v>0</v>
      </c>
      <c r="K2618">
        <v>0.28</v>
      </c>
      <c r="L2618">
        <v>6.15</v>
      </c>
      <c r="M2618">
        <v>6.26</v>
      </c>
      <c r="N2618">
        <v>6.1</v>
      </c>
      <c r="O2618">
        <v>6.13</v>
      </c>
      <c r="P2618" t="s">
        <v>32</v>
      </c>
      <c r="Q2618">
        <v>11754868</v>
      </c>
      <c r="R2618">
        <v>1.46</v>
      </c>
      <c r="S2618" t="s">
        <v>47</v>
      </c>
      <c r="T2618" t="s">
        <v>366</v>
      </c>
      <c r="U2618">
        <v>2.61</v>
      </c>
      <c r="V2618">
        <v>6.21</v>
      </c>
      <c r="W2618">
        <v>9132</v>
      </c>
      <c r="X2618">
        <v>9785</v>
      </c>
      <c r="Y2618">
        <v>0.93</v>
      </c>
      <c r="Z2618">
        <v>170</v>
      </c>
      <c r="AA2618">
        <v>181</v>
      </c>
      <c r="AB2618" t="s">
        <v>32</v>
      </c>
      <c r="AC2618">
        <v>6.87</v>
      </c>
    </row>
    <row r="2619" spans="1:29">
      <c r="A2619" t="str">
        <f>"600621"</f>
        <v>600621</v>
      </c>
      <c r="B2619" t="s">
        <v>2789</v>
      </c>
      <c r="C2619">
        <v>2.82</v>
      </c>
      <c r="D2619">
        <v>9.47</v>
      </c>
      <c r="E2619">
        <v>0.26</v>
      </c>
      <c r="F2619">
        <v>9.47</v>
      </c>
      <c r="G2619">
        <v>9.48</v>
      </c>
      <c r="H2619">
        <v>130147</v>
      </c>
      <c r="I2619">
        <v>4</v>
      </c>
      <c r="J2619">
        <v>0</v>
      </c>
      <c r="K2619">
        <v>2.43</v>
      </c>
      <c r="L2619">
        <v>9.31</v>
      </c>
      <c r="M2619">
        <v>9.64</v>
      </c>
      <c r="N2619">
        <v>9.26</v>
      </c>
      <c r="O2619">
        <v>9.21</v>
      </c>
      <c r="P2619">
        <v>117.3</v>
      </c>
      <c r="Q2619">
        <v>122984880</v>
      </c>
      <c r="R2619">
        <v>1.42</v>
      </c>
      <c r="S2619" t="s">
        <v>158</v>
      </c>
      <c r="T2619" t="s">
        <v>366</v>
      </c>
      <c r="U2619">
        <v>4.13</v>
      </c>
      <c r="V2619">
        <v>9.45</v>
      </c>
      <c r="W2619">
        <v>60702</v>
      </c>
      <c r="X2619">
        <v>69445</v>
      </c>
      <c r="Y2619">
        <v>0.87</v>
      </c>
      <c r="Z2619">
        <v>71</v>
      </c>
      <c r="AA2619">
        <v>312</v>
      </c>
      <c r="AB2619" t="s">
        <v>32</v>
      </c>
      <c r="AC2619">
        <v>5.35</v>
      </c>
    </row>
    <row r="2620" spans="1:29">
      <c r="A2620" t="str">
        <f>"600622"</f>
        <v>600622</v>
      </c>
      <c r="B2620" t="s">
        <v>2790</v>
      </c>
      <c r="C2620">
        <v>1.49</v>
      </c>
      <c r="D2620">
        <v>7.51</v>
      </c>
      <c r="E2620">
        <v>0.11</v>
      </c>
      <c r="F2620">
        <v>7.5</v>
      </c>
      <c r="G2620">
        <v>7.51</v>
      </c>
      <c r="H2620">
        <v>48428</v>
      </c>
      <c r="I2620">
        <v>5</v>
      </c>
      <c r="J2620">
        <v>-0.26</v>
      </c>
      <c r="K2620">
        <v>0.56</v>
      </c>
      <c r="L2620">
        <v>7.35</v>
      </c>
      <c r="M2620">
        <v>7.68</v>
      </c>
      <c r="N2620">
        <v>7.35</v>
      </c>
      <c r="O2620">
        <v>7.4</v>
      </c>
      <c r="P2620">
        <v>14.25</v>
      </c>
      <c r="Q2620">
        <v>36655728</v>
      </c>
      <c r="R2620">
        <v>1.22</v>
      </c>
      <c r="S2620" t="s">
        <v>40</v>
      </c>
      <c r="T2620" t="s">
        <v>366</v>
      </c>
      <c r="U2620">
        <v>4.46</v>
      </c>
      <c r="V2620">
        <v>7.57</v>
      </c>
      <c r="W2620">
        <v>24451</v>
      </c>
      <c r="X2620">
        <v>23977</v>
      </c>
      <c r="Y2620">
        <v>1.02</v>
      </c>
      <c r="Z2620">
        <v>161</v>
      </c>
      <c r="AA2620">
        <v>84</v>
      </c>
      <c r="AB2620" t="s">
        <v>32</v>
      </c>
      <c r="AC2620">
        <v>8.69</v>
      </c>
    </row>
    <row r="2621" spans="1:29">
      <c r="A2621" t="str">
        <f>"600623"</f>
        <v>600623</v>
      </c>
      <c r="B2621" t="s">
        <v>2791</v>
      </c>
      <c r="C2621">
        <v>3.46</v>
      </c>
      <c r="D2621">
        <v>9.57</v>
      </c>
      <c r="E2621">
        <v>0.32</v>
      </c>
      <c r="F2621">
        <v>9.57</v>
      </c>
      <c r="G2621">
        <v>9.58</v>
      </c>
      <c r="H2621">
        <v>315647</v>
      </c>
      <c r="I2621">
        <v>19</v>
      </c>
      <c r="J2621">
        <v>0.1</v>
      </c>
      <c r="K2621">
        <v>3.38</v>
      </c>
      <c r="L2621">
        <v>9.16</v>
      </c>
      <c r="M2621">
        <v>9.76</v>
      </c>
      <c r="N2621">
        <v>9.16</v>
      </c>
      <c r="O2621">
        <v>9.25</v>
      </c>
      <c r="P2621">
        <v>11.15</v>
      </c>
      <c r="Q2621">
        <v>300540192</v>
      </c>
      <c r="R2621">
        <v>1.35</v>
      </c>
      <c r="S2621" t="s">
        <v>80</v>
      </c>
      <c r="T2621" t="s">
        <v>366</v>
      </c>
      <c r="U2621">
        <v>6.49</v>
      </c>
      <c r="V2621">
        <v>9.52</v>
      </c>
      <c r="W2621">
        <v>154885</v>
      </c>
      <c r="X2621">
        <v>160762</v>
      </c>
      <c r="Y2621">
        <v>0.96</v>
      </c>
      <c r="Z2621">
        <v>301</v>
      </c>
      <c r="AA2621">
        <v>43</v>
      </c>
      <c r="AB2621" t="s">
        <v>32</v>
      </c>
      <c r="AC2621">
        <v>9.34</v>
      </c>
    </row>
    <row r="2622" spans="1:29">
      <c r="A2622" t="str">
        <f>"600624"</f>
        <v>600624</v>
      </c>
      <c r="B2622" t="s">
        <v>2792</v>
      </c>
      <c r="C2622">
        <v>1.13</v>
      </c>
      <c r="D2622">
        <v>5.35</v>
      </c>
      <c r="E2622">
        <v>0.06</v>
      </c>
      <c r="F2622">
        <v>5.34</v>
      </c>
      <c r="G2622">
        <v>5.35</v>
      </c>
      <c r="H2622">
        <v>50853</v>
      </c>
      <c r="I2622">
        <v>33</v>
      </c>
      <c r="J2622">
        <v>0.19</v>
      </c>
      <c r="K2622">
        <v>0.74</v>
      </c>
      <c r="L2622">
        <v>5.24</v>
      </c>
      <c r="M2622">
        <v>5.38</v>
      </c>
      <c r="N2622">
        <v>5.23</v>
      </c>
      <c r="O2622">
        <v>5.29</v>
      </c>
      <c r="P2622">
        <v>93.34</v>
      </c>
      <c r="Q2622">
        <v>27134768</v>
      </c>
      <c r="R2622">
        <v>1.22</v>
      </c>
      <c r="S2622" t="s">
        <v>47</v>
      </c>
      <c r="T2622" t="s">
        <v>366</v>
      </c>
      <c r="U2622">
        <v>2.84</v>
      </c>
      <c r="V2622">
        <v>5.34</v>
      </c>
      <c r="W2622">
        <v>23920</v>
      </c>
      <c r="X2622">
        <v>26932</v>
      </c>
      <c r="Y2622">
        <v>0.89</v>
      </c>
      <c r="Z2622">
        <v>833</v>
      </c>
      <c r="AA2622">
        <v>1040</v>
      </c>
      <c r="AB2622" t="s">
        <v>32</v>
      </c>
      <c r="AC2622">
        <v>6.85</v>
      </c>
    </row>
    <row r="2623" spans="1:29">
      <c r="A2623" t="str">
        <f>"600626"</f>
        <v>600626</v>
      </c>
      <c r="B2623" t="s">
        <v>2793</v>
      </c>
      <c r="C2623">
        <v>6.23</v>
      </c>
      <c r="D2623">
        <v>5.63</v>
      </c>
      <c r="E2623">
        <v>0.33</v>
      </c>
      <c r="F2623">
        <v>5.62</v>
      </c>
      <c r="G2623">
        <v>5.65</v>
      </c>
      <c r="H2623">
        <v>174071</v>
      </c>
      <c r="I2623">
        <v>75</v>
      </c>
      <c r="J2623">
        <v>2.36</v>
      </c>
      <c r="K2623">
        <v>2.45</v>
      </c>
      <c r="L2623">
        <v>5.31</v>
      </c>
      <c r="M2623">
        <v>5.69</v>
      </c>
      <c r="N2623">
        <v>5.29</v>
      </c>
      <c r="O2623">
        <v>5.3</v>
      </c>
      <c r="P2623">
        <v>26.46</v>
      </c>
      <c r="Q2623">
        <v>96032720</v>
      </c>
      <c r="R2623">
        <v>3.24</v>
      </c>
      <c r="S2623" t="s">
        <v>99</v>
      </c>
      <c r="T2623" t="s">
        <v>366</v>
      </c>
      <c r="U2623">
        <v>7.55</v>
      </c>
      <c r="V2623">
        <v>5.52</v>
      </c>
      <c r="W2623">
        <v>87110</v>
      </c>
      <c r="X2623">
        <v>86961</v>
      </c>
      <c r="Y2623">
        <v>1</v>
      </c>
      <c r="Z2623">
        <v>295</v>
      </c>
      <c r="AA2623">
        <v>62</v>
      </c>
      <c r="AB2623" t="s">
        <v>32</v>
      </c>
      <c r="AC2623">
        <v>7.1</v>
      </c>
    </row>
    <row r="2624" spans="1:29">
      <c r="A2624" t="str">
        <f>"600628"</f>
        <v>600628</v>
      </c>
      <c r="B2624" t="s">
        <v>2794</v>
      </c>
      <c r="C2624">
        <v>1.85</v>
      </c>
      <c r="D2624">
        <v>7.16</v>
      </c>
      <c r="E2624">
        <v>0.13</v>
      </c>
      <c r="F2624">
        <v>7.15</v>
      </c>
      <c r="G2624">
        <v>7.16</v>
      </c>
      <c r="H2624">
        <v>37817</v>
      </c>
      <c r="I2624">
        <v>5</v>
      </c>
      <c r="J2624">
        <v>0.14</v>
      </c>
      <c r="K2624">
        <v>0.71</v>
      </c>
      <c r="L2624">
        <v>7.04</v>
      </c>
      <c r="M2624">
        <v>7.16</v>
      </c>
      <c r="N2624">
        <v>7.02</v>
      </c>
      <c r="O2624">
        <v>7.03</v>
      </c>
      <c r="P2624">
        <v>9.15</v>
      </c>
      <c r="Q2624">
        <v>26915060</v>
      </c>
      <c r="R2624">
        <v>1.45</v>
      </c>
      <c r="S2624" t="s">
        <v>186</v>
      </c>
      <c r="T2624" t="s">
        <v>366</v>
      </c>
      <c r="U2624">
        <v>1.99</v>
      </c>
      <c r="V2624">
        <v>7.12</v>
      </c>
      <c r="W2624">
        <v>16447</v>
      </c>
      <c r="X2624">
        <v>21370</v>
      </c>
      <c r="Y2624">
        <v>0.77</v>
      </c>
      <c r="Z2624">
        <v>522</v>
      </c>
      <c r="AA2624">
        <v>330</v>
      </c>
      <c r="AB2624" t="s">
        <v>32</v>
      </c>
      <c r="AC2624">
        <v>5.32</v>
      </c>
    </row>
    <row r="2625" spans="1:29">
      <c r="A2625" t="str">
        <f>"600629"</f>
        <v>600629</v>
      </c>
      <c r="B2625" t="s">
        <v>2795</v>
      </c>
      <c r="C2625">
        <v>3.72</v>
      </c>
      <c r="D2625">
        <v>12.55</v>
      </c>
      <c r="E2625">
        <v>0.45</v>
      </c>
      <c r="F2625">
        <v>12.54</v>
      </c>
      <c r="G2625">
        <v>12.55</v>
      </c>
      <c r="H2625">
        <v>18117</v>
      </c>
      <c r="I2625">
        <v>1</v>
      </c>
      <c r="J2625">
        <v>0.24</v>
      </c>
      <c r="K2625">
        <v>0.5</v>
      </c>
      <c r="L2625">
        <v>12.1</v>
      </c>
      <c r="M2625">
        <v>12.69</v>
      </c>
      <c r="N2625">
        <v>12.1</v>
      </c>
      <c r="O2625">
        <v>12.1</v>
      </c>
      <c r="P2625">
        <v>19.06</v>
      </c>
      <c r="Q2625">
        <v>22603708</v>
      </c>
      <c r="R2625">
        <v>3.77</v>
      </c>
      <c r="S2625" t="s">
        <v>49</v>
      </c>
      <c r="T2625" t="s">
        <v>366</v>
      </c>
      <c r="U2625">
        <v>4.88</v>
      </c>
      <c r="V2625">
        <v>12.48</v>
      </c>
      <c r="W2625">
        <v>8724</v>
      </c>
      <c r="X2625">
        <v>9392</v>
      </c>
      <c r="Y2625">
        <v>0.93</v>
      </c>
      <c r="Z2625">
        <v>423</v>
      </c>
      <c r="AA2625">
        <v>226</v>
      </c>
      <c r="AB2625" t="s">
        <v>32</v>
      </c>
      <c r="AC2625">
        <v>3.62</v>
      </c>
    </row>
    <row r="2626" spans="1:29">
      <c r="A2626" t="str">
        <f>"600630"</f>
        <v>600630</v>
      </c>
      <c r="B2626" t="s">
        <v>2796</v>
      </c>
      <c r="C2626">
        <v>1.61</v>
      </c>
      <c r="D2626">
        <v>7.58</v>
      </c>
      <c r="E2626">
        <v>0.12</v>
      </c>
      <c r="F2626">
        <v>7.58</v>
      </c>
      <c r="G2626">
        <v>7.59</v>
      </c>
      <c r="H2626">
        <v>48740</v>
      </c>
      <c r="I2626">
        <v>110</v>
      </c>
      <c r="J2626">
        <v>0</v>
      </c>
      <c r="K2626">
        <v>1.15</v>
      </c>
      <c r="L2626">
        <v>7.47</v>
      </c>
      <c r="M2626">
        <v>7.65</v>
      </c>
      <c r="N2626">
        <v>7.42</v>
      </c>
      <c r="O2626">
        <v>7.46</v>
      </c>
      <c r="P2626">
        <v>34.19</v>
      </c>
      <c r="Q2626">
        <v>36890940</v>
      </c>
      <c r="R2626">
        <v>1.64</v>
      </c>
      <c r="S2626" t="s">
        <v>99</v>
      </c>
      <c r="T2626" t="s">
        <v>366</v>
      </c>
      <c r="U2626">
        <v>3.08</v>
      </c>
      <c r="V2626">
        <v>7.57</v>
      </c>
      <c r="W2626">
        <v>24069</v>
      </c>
      <c r="X2626">
        <v>24670</v>
      </c>
      <c r="Y2626">
        <v>0.98</v>
      </c>
      <c r="Z2626">
        <v>114</v>
      </c>
      <c r="AA2626">
        <v>38</v>
      </c>
      <c r="AB2626" t="s">
        <v>32</v>
      </c>
      <c r="AC2626">
        <v>4.25</v>
      </c>
    </row>
    <row r="2627" spans="1:29">
      <c r="A2627" t="str">
        <f>"600633"</f>
        <v>600633</v>
      </c>
      <c r="B2627" t="s">
        <v>2797</v>
      </c>
      <c r="C2627">
        <v>0.33</v>
      </c>
      <c r="D2627">
        <v>9</v>
      </c>
      <c r="E2627">
        <v>0.03</v>
      </c>
      <c r="F2627">
        <v>8.99</v>
      </c>
      <c r="G2627">
        <v>9</v>
      </c>
      <c r="H2627">
        <v>75634</v>
      </c>
      <c r="I2627">
        <v>18</v>
      </c>
      <c r="J2627">
        <v>-0.1</v>
      </c>
      <c r="K2627">
        <v>0.59</v>
      </c>
      <c r="L2627">
        <v>9.05</v>
      </c>
      <c r="M2627">
        <v>9.09</v>
      </c>
      <c r="N2627">
        <v>8.93</v>
      </c>
      <c r="O2627">
        <v>8.97</v>
      </c>
      <c r="P2627">
        <v>33.08</v>
      </c>
      <c r="Q2627">
        <v>68036376</v>
      </c>
      <c r="R2627">
        <v>1.35</v>
      </c>
      <c r="S2627" t="s">
        <v>211</v>
      </c>
      <c r="T2627" t="s">
        <v>149</v>
      </c>
      <c r="U2627">
        <v>1.78</v>
      </c>
      <c r="V2627">
        <v>9</v>
      </c>
      <c r="W2627">
        <v>43554</v>
      </c>
      <c r="X2627">
        <v>32079</v>
      </c>
      <c r="Y2627">
        <v>1.36</v>
      </c>
      <c r="Z2627">
        <v>411</v>
      </c>
      <c r="AA2627">
        <v>2</v>
      </c>
      <c r="AB2627" t="s">
        <v>32</v>
      </c>
      <c r="AC2627">
        <v>12.9</v>
      </c>
    </row>
    <row r="2628" spans="1:29">
      <c r="A2628" t="str">
        <f>"600634"</f>
        <v>600634</v>
      </c>
      <c r="B2628" t="s">
        <v>2798</v>
      </c>
      <c r="C2628">
        <v>0.84</v>
      </c>
      <c r="D2628">
        <v>2.39</v>
      </c>
      <c r="E2628">
        <v>0.02</v>
      </c>
      <c r="F2628">
        <v>2.39</v>
      </c>
      <c r="G2628">
        <v>2.4</v>
      </c>
      <c r="H2628">
        <v>99707</v>
      </c>
      <c r="I2628">
        <v>11</v>
      </c>
      <c r="J2628">
        <v>0</v>
      </c>
      <c r="K2628">
        <v>1.73</v>
      </c>
      <c r="L2628">
        <v>2.36</v>
      </c>
      <c r="M2628">
        <v>2.4</v>
      </c>
      <c r="N2628">
        <v>2.35</v>
      </c>
      <c r="O2628">
        <v>2.37</v>
      </c>
      <c r="P2628">
        <v>11.73</v>
      </c>
      <c r="Q2628">
        <v>23719140</v>
      </c>
      <c r="R2628">
        <v>0.85</v>
      </c>
      <c r="S2628" t="s">
        <v>316</v>
      </c>
      <c r="T2628" t="s">
        <v>366</v>
      </c>
      <c r="U2628">
        <v>2.11</v>
      </c>
      <c r="V2628">
        <v>2.38</v>
      </c>
      <c r="W2628">
        <v>63600</v>
      </c>
      <c r="X2628">
        <v>36107</v>
      </c>
      <c r="Y2628">
        <v>1.76</v>
      </c>
      <c r="Z2628">
        <v>1432</v>
      </c>
      <c r="AA2628">
        <v>5068</v>
      </c>
      <c r="AB2628" t="s">
        <v>32</v>
      </c>
      <c r="AC2628">
        <v>5.76</v>
      </c>
    </row>
    <row r="2629" spans="1:29">
      <c r="A2629" t="str">
        <f>"600635"</f>
        <v>600635</v>
      </c>
      <c r="B2629" t="s">
        <v>2799</v>
      </c>
      <c r="C2629">
        <v>1.05</v>
      </c>
      <c r="D2629">
        <v>3.84</v>
      </c>
      <c r="E2629">
        <v>0.04</v>
      </c>
      <c r="F2629">
        <v>3.84</v>
      </c>
      <c r="G2629">
        <v>3.85</v>
      </c>
      <c r="H2629">
        <v>138898</v>
      </c>
      <c r="I2629">
        <v>48</v>
      </c>
      <c r="J2629">
        <v>0.26</v>
      </c>
      <c r="K2629">
        <v>0.57</v>
      </c>
      <c r="L2629">
        <v>3.77</v>
      </c>
      <c r="M2629">
        <v>3.89</v>
      </c>
      <c r="N2629">
        <v>3.76</v>
      </c>
      <c r="O2629">
        <v>3.8</v>
      </c>
      <c r="P2629">
        <v>101.88</v>
      </c>
      <c r="Q2629">
        <v>53334060</v>
      </c>
      <c r="R2629">
        <v>1.01</v>
      </c>
      <c r="S2629" t="s">
        <v>174</v>
      </c>
      <c r="T2629" t="s">
        <v>366</v>
      </c>
      <c r="U2629">
        <v>3.42</v>
      </c>
      <c r="V2629">
        <v>3.84</v>
      </c>
      <c r="W2629">
        <v>58018</v>
      </c>
      <c r="X2629">
        <v>80880</v>
      </c>
      <c r="Y2629">
        <v>0.72</v>
      </c>
      <c r="Z2629">
        <v>163</v>
      </c>
      <c r="AA2629">
        <v>2159</v>
      </c>
      <c r="AB2629" t="s">
        <v>32</v>
      </c>
      <c r="AC2629">
        <v>24.19</v>
      </c>
    </row>
    <row r="2630" spans="1:29">
      <c r="A2630" t="str">
        <f>"600636"</f>
        <v>600636</v>
      </c>
      <c r="B2630" t="s">
        <v>2800</v>
      </c>
      <c r="C2630">
        <v>0.54</v>
      </c>
      <c r="D2630">
        <v>13.05</v>
      </c>
      <c r="E2630">
        <v>0.07</v>
      </c>
      <c r="F2630">
        <v>13.05</v>
      </c>
      <c r="G2630">
        <v>13.07</v>
      </c>
      <c r="H2630">
        <v>20461</v>
      </c>
      <c r="I2630">
        <v>13</v>
      </c>
      <c r="J2630">
        <v>-0.07</v>
      </c>
      <c r="K2630">
        <v>0.46</v>
      </c>
      <c r="L2630">
        <v>12.98</v>
      </c>
      <c r="M2630">
        <v>13.15</v>
      </c>
      <c r="N2630">
        <v>12.88</v>
      </c>
      <c r="O2630">
        <v>12.98</v>
      </c>
      <c r="P2630">
        <v>21.97</v>
      </c>
      <c r="Q2630">
        <v>26720344</v>
      </c>
      <c r="R2630">
        <v>0.6</v>
      </c>
      <c r="S2630" t="s">
        <v>218</v>
      </c>
      <c r="T2630" t="s">
        <v>366</v>
      </c>
      <c r="U2630">
        <v>2.08</v>
      </c>
      <c r="V2630">
        <v>13.06</v>
      </c>
      <c r="W2630">
        <v>11646</v>
      </c>
      <c r="X2630">
        <v>8814</v>
      </c>
      <c r="Y2630">
        <v>1.32</v>
      </c>
      <c r="Z2630">
        <v>25</v>
      </c>
      <c r="AA2630">
        <v>70</v>
      </c>
      <c r="AB2630" t="s">
        <v>32</v>
      </c>
      <c r="AC2630">
        <v>4.47</v>
      </c>
    </row>
    <row r="2631" spans="1:29">
      <c r="A2631" t="str">
        <f>"600637"</f>
        <v>600637</v>
      </c>
      <c r="B2631" t="s">
        <v>2801</v>
      </c>
      <c r="C2631">
        <v>2.12</v>
      </c>
      <c r="D2631">
        <v>14.48</v>
      </c>
      <c r="E2631">
        <v>0.3</v>
      </c>
      <c r="F2631">
        <v>14.48</v>
      </c>
      <c r="G2631">
        <v>14.49</v>
      </c>
      <c r="H2631">
        <v>89257</v>
      </c>
      <c r="I2631">
        <v>20</v>
      </c>
      <c r="J2631">
        <v>0</v>
      </c>
      <c r="K2631">
        <v>0.34</v>
      </c>
      <c r="L2631">
        <v>14.14</v>
      </c>
      <c r="M2631">
        <v>14.55</v>
      </c>
      <c r="N2631">
        <v>14.14</v>
      </c>
      <c r="O2631">
        <v>14.18</v>
      </c>
      <c r="P2631">
        <v>21.88</v>
      </c>
      <c r="Q2631">
        <v>128710464</v>
      </c>
      <c r="R2631">
        <v>1.34</v>
      </c>
      <c r="S2631" t="s">
        <v>148</v>
      </c>
      <c r="T2631" t="s">
        <v>366</v>
      </c>
      <c r="U2631">
        <v>2.89</v>
      </c>
      <c r="V2631">
        <v>14.42</v>
      </c>
      <c r="W2631">
        <v>38923</v>
      </c>
      <c r="X2631">
        <v>50333</v>
      </c>
      <c r="Y2631">
        <v>0.77</v>
      </c>
      <c r="Z2631">
        <v>24</v>
      </c>
      <c r="AA2631">
        <v>90</v>
      </c>
      <c r="AB2631" t="s">
        <v>32</v>
      </c>
      <c r="AC2631">
        <v>26.27</v>
      </c>
    </row>
    <row r="2632" spans="1:29">
      <c r="A2632" t="str">
        <f>"600638"</f>
        <v>600638</v>
      </c>
      <c r="B2632" t="s">
        <v>2802</v>
      </c>
      <c r="C2632">
        <v>1.78</v>
      </c>
      <c r="D2632">
        <v>9.13</v>
      </c>
      <c r="E2632">
        <v>0.16</v>
      </c>
      <c r="F2632">
        <v>9.12</v>
      </c>
      <c r="G2632">
        <v>9.14</v>
      </c>
      <c r="H2632">
        <v>31532</v>
      </c>
      <c r="I2632">
        <v>2</v>
      </c>
      <c r="J2632">
        <v>-0.1</v>
      </c>
      <c r="K2632">
        <v>0.47</v>
      </c>
      <c r="L2632">
        <v>9</v>
      </c>
      <c r="M2632">
        <v>9.19</v>
      </c>
      <c r="N2632">
        <v>8.89</v>
      </c>
      <c r="O2632">
        <v>8.97</v>
      </c>
      <c r="P2632">
        <v>54.16</v>
      </c>
      <c r="Q2632">
        <v>28647732</v>
      </c>
      <c r="R2632">
        <v>1.37</v>
      </c>
      <c r="S2632" t="s">
        <v>40</v>
      </c>
      <c r="T2632" t="s">
        <v>366</v>
      </c>
      <c r="U2632">
        <v>3.34</v>
      </c>
      <c r="V2632">
        <v>9.09</v>
      </c>
      <c r="W2632">
        <v>13213</v>
      </c>
      <c r="X2632">
        <v>18318</v>
      </c>
      <c r="Y2632">
        <v>0.72</v>
      </c>
      <c r="Z2632">
        <v>101</v>
      </c>
      <c r="AA2632">
        <v>211</v>
      </c>
      <c r="AB2632" t="s">
        <v>32</v>
      </c>
      <c r="AC2632">
        <v>6.73</v>
      </c>
    </row>
    <row r="2633" spans="1:29">
      <c r="A2633" t="str">
        <f>"600639"</f>
        <v>600639</v>
      </c>
      <c r="B2633" t="s">
        <v>2803</v>
      </c>
      <c r="C2633">
        <v>2.85</v>
      </c>
      <c r="D2633">
        <v>12.25</v>
      </c>
      <c r="E2633">
        <v>0.34</v>
      </c>
      <c r="F2633">
        <v>12.2</v>
      </c>
      <c r="G2633">
        <v>12.25</v>
      </c>
      <c r="H2633">
        <v>17581</v>
      </c>
      <c r="I2633">
        <v>40</v>
      </c>
      <c r="J2633">
        <v>0.49</v>
      </c>
      <c r="K2633">
        <v>0.25</v>
      </c>
      <c r="L2633">
        <v>11.95</v>
      </c>
      <c r="M2633">
        <v>12.5</v>
      </c>
      <c r="N2633">
        <v>11.91</v>
      </c>
      <c r="O2633">
        <v>11.91</v>
      </c>
      <c r="P2633">
        <v>16.63</v>
      </c>
      <c r="Q2633">
        <v>21583968</v>
      </c>
      <c r="R2633">
        <v>2.82</v>
      </c>
      <c r="S2633" t="s">
        <v>338</v>
      </c>
      <c r="T2633" t="s">
        <v>366</v>
      </c>
      <c r="U2633">
        <v>4.95</v>
      </c>
      <c r="V2633">
        <v>12.28</v>
      </c>
      <c r="W2633">
        <v>7437</v>
      </c>
      <c r="X2633">
        <v>10144</v>
      </c>
      <c r="Y2633">
        <v>0.73</v>
      </c>
      <c r="Z2633">
        <v>25</v>
      </c>
      <c r="AA2633">
        <v>14</v>
      </c>
      <c r="AB2633" t="s">
        <v>32</v>
      </c>
      <c r="AC2633">
        <v>7.03</v>
      </c>
    </row>
    <row r="2634" spans="1:29">
      <c r="A2634" t="str">
        <f>"600640"</f>
        <v>600640</v>
      </c>
      <c r="B2634" t="s">
        <v>2804</v>
      </c>
      <c r="C2634">
        <v>2.07</v>
      </c>
      <c r="D2634">
        <v>9.85</v>
      </c>
      <c r="E2634">
        <v>0.2</v>
      </c>
      <c r="F2634">
        <v>9.84</v>
      </c>
      <c r="G2634">
        <v>9.85</v>
      </c>
      <c r="H2634">
        <v>34119</v>
      </c>
      <c r="I2634">
        <v>40</v>
      </c>
      <c r="J2634">
        <v>0</v>
      </c>
      <c r="K2634">
        <v>0.58</v>
      </c>
      <c r="L2634">
        <v>9.63</v>
      </c>
      <c r="M2634">
        <v>9.95</v>
      </c>
      <c r="N2634">
        <v>9.55</v>
      </c>
      <c r="O2634">
        <v>9.65</v>
      </c>
      <c r="P2634">
        <v>42.69</v>
      </c>
      <c r="Q2634">
        <v>33425552</v>
      </c>
      <c r="R2634">
        <v>1.34</v>
      </c>
      <c r="S2634" t="s">
        <v>42</v>
      </c>
      <c r="T2634" t="s">
        <v>366</v>
      </c>
      <c r="U2634">
        <v>4.15</v>
      </c>
      <c r="V2634">
        <v>9.8</v>
      </c>
      <c r="W2634">
        <v>15943</v>
      </c>
      <c r="X2634">
        <v>18175</v>
      </c>
      <c r="Y2634">
        <v>0.88</v>
      </c>
      <c r="Z2634">
        <v>30</v>
      </c>
      <c r="AA2634">
        <v>162</v>
      </c>
      <c r="AB2634" t="s">
        <v>32</v>
      </c>
      <c r="AC2634">
        <v>5.89</v>
      </c>
    </row>
    <row r="2635" spans="1:29">
      <c r="A2635" t="str">
        <f>"600641"</f>
        <v>600641</v>
      </c>
      <c r="B2635" t="s">
        <v>2805</v>
      </c>
      <c r="C2635">
        <v>0</v>
      </c>
      <c r="D2635">
        <v>12.18</v>
      </c>
      <c r="E2635">
        <v>0</v>
      </c>
      <c r="F2635" t="s">
        <v>32</v>
      </c>
      <c r="G2635" t="s">
        <v>32</v>
      </c>
      <c r="H2635">
        <v>0</v>
      </c>
      <c r="I2635">
        <v>0</v>
      </c>
      <c r="J2635">
        <v>0</v>
      </c>
      <c r="K2635">
        <v>0</v>
      </c>
      <c r="L2635" t="s">
        <v>32</v>
      </c>
      <c r="M2635" t="s">
        <v>32</v>
      </c>
      <c r="N2635" t="s">
        <v>32</v>
      </c>
      <c r="O2635">
        <v>12.18</v>
      </c>
      <c r="P2635">
        <v>4.29</v>
      </c>
      <c r="Q2635">
        <v>0</v>
      </c>
      <c r="R2635">
        <v>0</v>
      </c>
      <c r="S2635" t="s">
        <v>40</v>
      </c>
      <c r="T2635" t="s">
        <v>366</v>
      </c>
      <c r="U2635">
        <v>0</v>
      </c>
      <c r="V2635">
        <v>12.18</v>
      </c>
      <c r="W2635">
        <v>0</v>
      </c>
      <c r="X2635">
        <v>0</v>
      </c>
      <c r="Y2635" t="s">
        <v>32</v>
      </c>
      <c r="Z2635">
        <v>0</v>
      </c>
      <c r="AA2635">
        <v>0</v>
      </c>
      <c r="AB2635" t="s">
        <v>32</v>
      </c>
      <c r="AC2635">
        <v>8.06</v>
      </c>
    </row>
    <row r="2636" spans="1:29">
      <c r="A2636" t="str">
        <f>"600642"</f>
        <v>600642</v>
      </c>
      <c r="B2636" t="s">
        <v>2806</v>
      </c>
      <c r="C2636">
        <v>0.76</v>
      </c>
      <c r="D2636">
        <v>5.28</v>
      </c>
      <c r="E2636">
        <v>0.04</v>
      </c>
      <c r="F2636">
        <v>5.27</v>
      </c>
      <c r="G2636">
        <v>5.28</v>
      </c>
      <c r="H2636">
        <v>73692</v>
      </c>
      <c r="I2636">
        <v>200</v>
      </c>
      <c r="J2636">
        <v>0</v>
      </c>
      <c r="K2636">
        <v>0.16</v>
      </c>
      <c r="L2636">
        <v>5.23</v>
      </c>
      <c r="M2636">
        <v>5.3</v>
      </c>
      <c r="N2636">
        <v>5.22</v>
      </c>
      <c r="O2636">
        <v>5.24</v>
      </c>
      <c r="P2636">
        <v>17.85</v>
      </c>
      <c r="Q2636">
        <v>38874880</v>
      </c>
      <c r="R2636">
        <v>1.06</v>
      </c>
      <c r="S2636" t="s">
        <v>75</v>
      </c>
      <c r="T2636" t="s">
        <v>366</v>
      </c>
      <c r="U2636">
        <v>1.53</v>
      </c>
      <c r="V2636">
        <v>5.28</v>
      </c>
      <c r="W2636">
        <v>24699</v>
      </c>
      <c r="X2636">
        <v>48993</v>
      </c>
      <c r="Y2636">
        <v>0.5</v>
      </c>
      <c r="Z2636">
        <v>1626</v>
      </c>
      <c r="AA2636">
        <v>65</v>
      </c>
      <c r="AB2636" t="s">
        <v>32</v>
      </c>
      <c r="AC2636">
        <v>45.52</v>
      </c>
    </row>
    <row r="2637" spans="1:29">
      <c r="A2637" t="str">
        <f>"600643"</f>
        <v>600643</v>
      </c>
      <c r="B2637" t="s">
        <v>2807</v>
      </c>
      <c r="C2637">
        <v>1.87</v>
      </c>
      <c r="D2637">
        <v>9.26</v>
      </c>
      <c r="E2637">
        <v>0.17</v>
      </c>
      <c r="F2637">
        <v>9.26</v>
      </c>
      <c r="G2637">
        <v>9.27</v>
      </c>
      <c r="H2637">
        <v>115080</v>
      </c>
      <c r="I2637">
        <v>21</v>
      </c>
      <c r="J2637">
        <v>-0.1</v>
      </c>
      <c r="K2637">
        <v>0.8</v>
      </c>
      <c r="L2637">
        <v>9.08</v>
      </c>
      <c r="M2637">
        <v>9.34</v>
      </c>
      <c r="N2637">
        <v>9.06</v>
      </c>
      <c r="O2637">
        <v>9.09</v>
      </c>
      <c r="P2637">
        <v>21.16</v>
      </c>
      <c r="Q2637">
        <v>106507440</v>
      </c>
      <c r="R2637">
        <v>1.39</v>
      </c>
      <c r="S2637" t="s">
        <v>183</v>
      </c>
      <c r="T2637" t="s">
        <v>366</v>
      </c>
      <c r="U2637">
        <v>3.08</v>
      </c>
      <c r="V2637">
        <v>9.26</v>
      </c>
      <c r="W2637">
        <v>45234</v>
      </c>
      <c r="X2637">
        <v>69846</v>
      </c>
      <c r="Y2637">
        <v>0.65</v>
      </c>
      <c r="Z2637">
        <v>55</v>
      </c>
      <c r="AA2637">
        <v>248</v>
      </c>
      <c r="AB2637" t="s">
        <v>32</v>
      </c>
      <c r="AC2637">
        <v>14.34</v>
      </c>
    </row>
    <row r="2638" spans="1:29">
      <c r="A2638" t="str">
        <f>"600644"</f>
        <v>600644</v>
      </c>
      <c r="B2638" t="s">
        <v>2808</v>
      </c>
      <c r="C2638">
        <v>3.4</v>
      </c>
      <c r="D2638">
        <v>4.87</v>
      </c>
      <c r="E2638">
        <v>0.16</v>
      </c>
      <c r="F2638">
        <v>4.86</v>
      </c>
      <c r="G2638">
        <v>4.87</v>
      </c>
      <c r="H2638">
        <v>26566</v>
      </c>
      <c r="I2638">
        <v>27</v>
      </c>
      <c r="J2638">
        <v>0.21</v>
      </c>
      <c r="K2638">
        <v>0.49</v>
      </c>
      <c r="L2638">
        <v>4.7</v>
      </c>
      <c r="M2638">
        <v>4.94</v>
      </c>
      <c r="N2638">
        <v>4.68</v>
      </c>
      <c r="O2638">
        <v>4.71</v>
      </c>
      <c r="P2638">
        <v>39.67</v>
      </c>
      <c r="Q2638">
        <v>12864843</v>
      </c>
      <c r="R2638">
        <v>2.52</v>
      </c>
      <c r="S2638" t="s">
        <v>312</v>
      </c>
      <c r="T2638" t="s">
        <v>146</v>
      </c>
      <c r="U2638">
        <v>5.52</v>
      </c>
      <c r="V2638">
        <v>4.84</v>
      </c>
      <c r="W2638">
        <v>13287</v>
      </c>
      <c r="X2638">
        <v>13279</v>
      </c>
      <c r="Y2638">
        <v>1</v>
      </c>
      <c r="Z2638">
        <v>568</v>
      </c>
      <c r="AA2638">
        <v>40</v>
      </c>
      <c r="AB2638" t="s">
        <v>32</v>
      </c>
      <c r="AC2638">
        <v>5.38</v>
      </c>
    </row>
    <row r="2639" spans="1:29">
      <c r="A2639" t="str">
        <f>"600645"</f>
        <v>600645</v>
      </c>
      <c r="B2639" t="s">
        <v>2809</v>
      </c>
      <c r="C2639">
        <v>6.79</v>
      </c>
      <c r="D2639">
        <v>22.64</v>
      </c>
      <c r="E2639">
        <v>1.44</v>
      </c>
      <c r="F2639">
        <v>22.64</v>
      </c>
      <c r="G2639">
        <v>22.65</v>
      </c>
      <c r="H2639">
        <v>200415</v>
      </c>
      <c r="I2639">
        <v>48</v>
      </c>
      <c r="J2639">
        <v>-0.12</v>
      </c>
      <c r="K2639">
        <v>5.22</v>
      </c>
      <c r="L2639">
        <v>21.41</v>
      </c>
      <c r="M2639">
        <v>23.3</v>
      </c>
      <c r="N2639">
        <v>20.85</v>
      </c>
      <c r="O2639">
        <v>21.2</v>
      </c>
      <c r="P2639">
        <v>19.14</v>
      </c>
      <c r="Q2639">
        <v>443008448</v>
      </c>
      <c r="R2639">
        <v>1.85</v>
      </c>
      <c r="S2639" t="s">
        <v>36</v>
      </c>
      <c r="T2639" t="s">
        <v>248</v>
      </c>
      <c r="U2639">
        <v>11.56</v>
      </c>
      <c r="V2639">
        <v>22.1</v>
      </c>
      <c r="W2639">
        <v>93173</v>
      </c>
      <c r="X2639">
        <v>107241</v>
      </c>
      <c r="Y2639">
        <v>0.87</v>
      </c>
      <c r="Z2639">
        <v>46</v>
      </c>
      <c r="AA2639">
        <v>35</v>
      </c>
      <c r="AB2639" t="s">
        <v>32</v>
      </c>
      <c r="AC2639">
        <v>3.84</v>
      </c>
    </row>
    <row r="2640" spans="1:29">
      <c r="A2640" t="str">
        <f>"600647"</f>
        <v>600647</v>
      </c>
      <c r="B2640" t="s">
        <v>2810</v>
      </c>
      <c r="C2640">
        <v>1.17</v>
      </c>
      <c r="D2640">
        <v>14.68</v>
      </c>
      <c r="E2640">
        <v>0.17</v>
      </c>
      <c r="F2640">
        <v>14.67</v>
      </c>
      <c r="G2640">
        <v>14.68</v>
      </c>
      <c r="H2640">
        <v>5976</v>
      </c>
      <c r="I2640">
        <v>2</v>
      </c>
      <c r="J2640">
        <v>-0.06</v>
      </c>
      <c r="K2640">
        <v>0.43</v>
      </c>
      <c r="L2640">
        <v>14.55</v>
      </c>
      <c r="M2640">
        <v>14.73</v>
      </c>
      <c r="N2640">
        <v>14.4</v>
      </c>
      <c r="O2640">
        <v>14.51</v>
      </c>
      <c r="P2640">
        <v>122.89</v>
      </c>
      <c r="Q2640">
        <v>8736179</v>
      </c>
      <c r="R2640">
        <v>1.56</v>
      </c>
      <c r="S2640" t="s">
        <v>47</v>
      </c>
      <c r="T2640" t="s">
        <v>366</v>
      </c>
      <c r="U2640">
        <v>2.27</v>
      </c>
      <c r="V2640">
        <v>14.62</v>
      </c>
      <c r="W2640">
        <v>2370</v>
      </c>
      <c r="X2640">
        <v>3606</v>
      </c>
      <c r="Y2640">
        <v>0.66</v>
      </c>
      <c r="Z2640">
        <v>15</v>
      </c>
      <c r="AA2640">
        <v>5</v>
      </c>
      <c r="AB2640" t="s">
        <v>32</v>
      </c>
      <c r="AC2640">
        <v>1.39</v>
      </c>
    </row>
    <row r="2641" spans="1:29">
      <c r="A2641" t="str">
        <f>"600648"</f>
        <v>600648</v>
      </c>
      <c r="B2641" t="s">
        <v>2811</v>
      </c>
      <c r="C2641">
        <v>1.06</v>
      </c>
      <c r="D2641">
        <v>19.15</v>
      </c>
      <c r="E2641">
        <v>0.2</v>
      </c>
      <c r="F2641">
        <v>19.14</v>
      </c>
      <c r="G2641">
        <v>19.15</v>
      </c>
      <c r="H2641">
        <v>27985</v>
      </c>
      <c r="I2641">
        <v>6</v>
      </c>
      <c r="J2641">
        <v>0.05</v>
      </c>
      <c r="K2641">
        <v>0.3</v>
      </c>
      <c r="L2641">
        <v>18.94</v>
      </c>
      <c r="M2641">
        <v>19.18</v>
      </c>
      <c r="N2641">
        <v>18.93</v>
      </c>
      <c r="O2641">
        <v>18.95</v>
      </c>
      <c r="P2641">
        <v>14.8</v>
      </c>
      <c r="Q2641">
        <v>53449200</v>
      </c>
      <c r="R2641">
        <v>1.69</v>
      </c>
      <c r="S2641" t="s">
        <v>338</v>
      </c>
      <c r="T2641" t="s">
        <v>366</v>
      </c>
      <c r="U2641">
        <v>1.32</v>
      </c>
      <c r="V2641">
        <v>19.1</v>
      </c>
      <c r="W2641">
        <v>10091</v>
      </c>
      <c r="X2641">
        <v>17893</v>
      </c>
      <c r="Y2641">
        <v>0.56</v>
      </c>
      <c r="Z2641">
        <v>14</v>
      </c>
      <c r="AA2641">
        <v>34</v>
      </c>
      <c r="AB2641" t="s">
        <v>32</v>
      </c>
      <c r="AC2641">
        <v>9.35</v>
      </c>
    </row>
    <row r="2642" spans="1:29">
      <c r="A2642" t="str">
        <f>"600649"</f>
        <v>600649</v>
      </c>
      <c r="B2642" t="s">
        <v>2812</v>
      </c>
      <c r="C2642">
        <v>2.82</v>
      </c>
      <c r="D2642">
        <v>6.2</v>
      </c>
      <c r="E2642">
        <v>0.17</v>
      </c>
      <c r="F2642">
        <v>6.2</v>
      </c>
      <c r="G2642">
        <v>6.21</v>
      </c>
      <c r="H2642">
        <v>137858</v>
      </c>
      <c r="I2642">
        <v>1</v>
      </c>
      <c r="J2642">
        <v>-0.15</v>
      </c>
      <c r="K2642">
        <v>0.57</v>
      </c>
      <c r="L2642">
        <v>6.05</v>
      </c>
      <c r="M2642">
        <v>6.25</v>
      </c>
      <c r="N2642">
        <v>6.05</v>
      </c>
      <c r="O2642">
        <v>6.03</v>
      </c>
      <c r="P2642">
        <v>9.86</v>
      </c>
      <c r="Q2642">
        <v>85098384</v>
      </c>
      <c r="R2642">
        <v>2.4</v>
      </c>
      <c r="S2642" t="s">
        <v>40</v>
      </c>
      <c r="T2642" t="s">
        <v>366</v>
      </c>
      <c r="U2642">
        <v>3.32</v>
      </c>
      <c r="V2642">
        <v>6.17</v>
      </c>
      <c r="W2642">
        <v>61220</v>
      </c>
      <c r="X2642">
        <v>76638</v>
      </c>
      <c r="Y2642">
        <v>0.8</v>
      </c>
      <c r="Z2642">
        <v>280</v>
      </c>
      <c r="AA2642">
        <v>1146</v>
      </c>
      <c r="AB2642" t="s">
        <v>32</v>
      </c>
      <c r="AC2642">
        <v>24.21</v>
      </c>
    </row>
    <row r="2643" spans="1:29">
      <c r="A2643" t="str">
        <f>"600650"</f>
        <v>600650</v>
      </c>
      <c r="B2643" t="s">
        <v>2813</v>
      </c>
      <c r="C2643">
        <v>2.1</v>
      </c>
      <c r="D2643">
        <v>10.68</v>
      </c>
      <c r="E2643">
        <v>0.22</v>
      </c>
      <c r="F2643">
        <v>10.67</v>
      </c>
      <c r="G2643">
        <v>10.68</v>
      </c>
      <c r="H2643">
        <v>28873</v>
      </c>
      <c r="I2643">
        <v>5</v>
      </c>
      <c r="J2643">
        <v>-0.18</v>
      </c>
      <c r="K2643">
        <v>0.74</v>
      </c>
      <c r="L2643">
        <v>10.4</v>
      </c>
      <c r="M2643">
        <v>10.77</v>
      </c>
      <c r="N2643">
        <v>10.4</v>
      </c>
      <c r="O2643">
        <v>10.46</v>
      </c>
      <c r="P2643">
        <v>19.18</v>
      </c>
      <c r="Q2643">
        <v>30714782</v>
      </c>
      <c r="R2643">
        <v>2.46</v>
      </c>
      <c r="S2643" t="s">
        <v>1253</v>
      </c>
      <c r="T2643" t="s">
        <v>366</v>
      </c>
      <c r="U2643">
        <v>3.54</v>
      </c>
      <c r="V2643">
        <v>10.64</v>
      </c>
      <c r="W2643">
        <v>13323</v>
      </c>
      <c r="X2643">
        <v>15550</v>
      </c>
      <c r="Y2643">
        <v>0.86</v>
      </c>
      <c r="Z2643">
        <v>110</v>
      </c>
      <c r="AA2643">
        <v>89</v>
      </c>
      <c r="AB2643" t="s">
        <v>32</v>
      </c>
      <c r="AC2643">
        <v>3.91</v>
      </c>
    </row>
    <row r="2644" spans="1:29">
      <c r="A2644" t="str">
        <f>"600651"</f>
        <v>600651</v>
      </c>
      <c r="B2644" t="s">
        <v>2814</v>
      </c>
      <c r="C2644">
        <v>2.32</v>
      </c>
      <c r="D2644">
        <v>3.97</v>
      </c>
      <c r="E2644">
        <v>0.09</v>
      </c>
      <c r="F2644">
        <v>3.96</v>
      </c>
      <c r="G2644">
        <v>3.97</v>
      </c>
      <c r="H2644">
        <v>103711</v>
      </c>
      <c r="I2644">
        <v>382</v>
      </c>
      <c r="J2644">
        <v>0.25</v>
      </c>
      <c r="K2644">
        <v>1.05</v>
      </c>
      <c r="L2644">
        <v>3.88</v>
      </c>
      <c r="M2644">
        <v>3.98</v>
      </c>
      <c r="N2644">
        <v>3.85</v>
      </c>
      <c r="O2644">
        <v>3.88</v>
      </c>
      <c r="P2644" t="s">
        <v>32</v>
      </c>
      <c r="Q2644">
        <v>40849880</v>
      </c>
      <c r="R2644">
        <v>1.59</v>
      </c>
      <c r="S2644" t="s">
        <v>606</v>
      </c>
      <c r="T2644" t="s">
        <v>366</v>
      </c>
      <c r="U2644">
        <v>3.35</v>
      </c>
      <c r="V2644">
        <v>3.94</v>
      </c>
      <c r="W2644">
        <v>42071</v>
      </c>
      <c r="X2644">
        <v>61640</v>
      </c>
      <c r="Y2644">
        <v>0.68</v>
      </c>
      <c r="Z2644">
        <v>272</v>
      </c>
      <c r="AA2644">
        <v>1674</v>
      </c>
      <c r="AB2644" t="s">
        <v>32</v>
      </c>
      <c r="AC2644">
        <v>9.85</v>
      </c>
    </row>
    <row r="2645" spans="1:29">
      <c r="A2645" t="str">
        <f>"600652"</f>
        <v>600652</v>
      </c>
      <c r="B2645" t="s">
        <v>2815</v>
      </c>
      <c r="C2645">
        <v>4.95</v>
      </c>
      <c r="D2645">
        <v>4.88</v>
      </c>
      <c r="E2645">
        <v>0.23</v>
      </c>
      <c r="F2645">
        <v>4.88</v>
      </c>
      <c r="G2645">
        <v>4.89</v>
      </c>
      <c r="H2645">
        <v>250503</v>
      </c>
      <c r="I2645">
        <v>16</v>
      </c>
      <c r="J2645">
        <v>-0.19</v>
      </c>
      <c r="K2645">
        <v>3.01</v>
      </c>
      <c r="L2645">
        <v>4.64</v>
      </c>
      <c r="M2645">
        <v>5.08</v>
      </c>
      <c r="N2645">
        <v>4.58</v>
      </c>
      <c r="O2645">
        <v>4.65</v>
      </c>
      <c r="P2645">
        <v>41.49</v>
      </c>
      <c r="Q2645">
        <v>120430616</v>
      </c>
      <c r="R2645">
        <v>2.64</v>
      </c>
      <c r="S2645" t="s">
        <v>316</v>
      </c>
      <c r="T2645" t="s">
        <v>366</v>
      </c>
      <c r="U2645">
        <v>10.75</v>
      </c>
      <c r="V2645">
        <v>4.81</v>
      </c>
      <c r="W2645">
        <v>99379</v>
      </c>
      <c r="X2645">
        <v>151124</v>
      </c>
      <c r="Y2645">
        <v>0.66</v>
      </c>
      <c r="Z2645">
        <v>410</v>
      </c>
      <c r="AA2645">
        <v>113</v>
      </c>
      <c r="AB2645" t="s">
        <v>32</v>
      </c>
      <c r="AC2645">
        <v>8.33</v>
      </c>
    </row>
    <row r="2646" spans="1:29">
      <c r="A2646" t="str">
        <f>"600653"</f>
        <v>600653</v>
      </c>
      <c r="B2646" t="s">
        <v>2816</v>
      </c>
      <c r="C2646">
        <v>1.58</v>
      </c>
      <c r="D2646">
        <v>1.93</v>
      </c>
      <c r="E2646">
        <v>0.03</v>
      </c>
      <c r="F2646">
        <v>1.92</v>
      </c>
      <c r="G2646">
        <v>1.93</v>
      </c>
      <c r="H2646">
        <v>84773</v>
      </c>
      <c r="I2646">
        <v>2</v>
      </c>
      <c r="J2646">
        <v>0.52</v>
      </c>
      <c r="K2646">
        <v>0.49</v>
      </c>
      <c r="L2646">
        <v>1.89</v>
      </c>
      <c r="M2646">
        <v>1.94</v>
      </c>
      <c r="N2646">
        <v>1.89</v>
      </c>
      <c r="O2646">
        <v>1.9</v>
      </c>
      <c r="P2646" t="s">
        <v>32</v>
      </c>
      <c r="Q2646">
        <v>16290293</v>
      </c>
      <c r="R2646">
        <v>1.95</v>
      </c>
      <c r="S2646" t="s">
        <v>71</v>
      </c>
      <c r="T2646" t="s">
        <v>366</v>
      </c>
      <c r="U2646">
        <v>2.63</v>
      </c>
      <c r="V2646">
        <v>1.92</v>
      </c>
      <c r="W2646">
        <v>33492</v>
      </c>
      <c r="X2646">
        <v>51281</v>
      </c>
      <c r="Y2646">
        <v>0.65</v>
      </c>
      <c r="Z2646">
        <v>3824</v>
      </c>
      <c r="AA2646">
        <v>543</v>
      </c>
      <c r="AB2646" t="s">
        <v>32</v>
      </c>
      <c r="AC2646">
        <v>17.46</v>
      </c>
    </row>
    <row r="2647" spans="1:29">
      <c r="A2647" t="str">
        <f>"600654"</f>
        <v>600654</v>
      </c>
      <c r="B2647" t="s">
        <v>2817</v>
      </c>
      <c r="C2647">
        <v>1.33</v>
      </c>
      <c r="D2647">
        <v>2.29</v>
      </c>
      <c r="E2647">
        <v>0.03</v>
      </c>
      <c r="F2647">
        <v>2.29</v>
      </c>
      <c r="G2647">
        <v>2.3</v>
      </c>
      <c r="H2647">
        <v>82076</v>
      </c>
      <c r="I2647">
        <v>255</v>
      </c>
      <c r="J2647">
        <v>-0.42</v>
      </c>
      <c r="K2647">
        <v>1.09</v>
      </c>
      <c r="L2647">
        <v>2.26</v>
      </c>
      <c r="M2647">
        <v>2.31</v>
      </c>
      <c r="N2647">
        <v>2.25</v>
      </c>
      <c r="O2647">
        <v>2.26</v>
      </c>
      <c r="P2647" t="s">
        <v>32</v>
      </c>
      <c r="Q2647">
        <v>18773908</v>
      </c>
      <c r="R2647">
        <v>1.17</v>
      </c>
      <c r="S2647" t="s">
        <v>270</v>
      </c>
      <c r="T2647" t="s">
        <v>366</v>
      </c>
      <c r="U2647">
        <v>2.65</v>
      </c>
      <c r="V2647">
        <v>2.29</v>
      </c>
      <c r="W2647">
        <v>35770</v>
      </c>
      <c r="X2647">
        <v>46306</v>
      </c>
      <c r="Y2647">
        <v>0.77</v>
      </c>
      <c r="Z2647">
        <v>1456</v>
      </c>
      <c r="AA2647">
        <v>1509</v>
      </c>
      <c r="AB2647" t="s">
        <v>32</v>
      </c>
      <c r="AC2647">
        <v>7.55</v>
      </c>
    </row>
    <row r="2648" spans="1:29">
      <c r="A2648" t="str">
        <f>"600655"</f>
        <v>600655</v>
      </c>
      <c r="B2648" t="s">
        <v>2818</v>
      </c>
      <c r="C2648">
        <v>1.9</v>
      </c>
      <c r="D2648">
        <v>8.59</v>
      </c>
      <c r="E2648">
        <v>0.16</v>
      </c>
      <c r="F2648">
        <v>8.58</v>
      </c>
      <c r="G2648">
        <v>8.59</v>
      </c>
      <c r="H2648">
        <v>85441</v>
      </c>
      <c r="I2648">
        <v>20</v>
      </c>
      <c r="J2648">
        <v>0</v>
      </c>
      <c r="K2648">
        <v>0.59</v>
      </c>
      <c r="L2648">
        <v>8.45</v>
      </c>
      <c r="M2648">
        <v>8.62</v>
      </c>
      <c r="N2648">
        <v>8.41</v>
      </c>
      <c r="O2648">
        <v>8.43</v>
      </c>
      <c r="P2648">
        <v>38.16</v>
      </c>
      <c r="Q2648">
        <v>73033816</v>
      </c>
      <c r="R2648">
        <v>0.88</v>
      </c>
      <c r="S2648" t="s">
        <v>186</v>
      </c>
      <c r="T2648" t="s">
        <v>366</v>
      </c>
      <c r="U2648">
        <v>2.49</v>
      </c>
      <c r="V2648">
        <v>8.55</v>
      </c>
      <c r="W2648">
        <v>40907</v>
      </c>
      <c r="X2648">
        <v>44534</v>
      </c>
      <c r="Y2648">
        <v>0.92</v>
      </c>
      <c r="Z2648">
        <v>76</v>
      </c>
      <c r="AA2648">
        <v>132</v>
      </c>
      <c r="AB2648" t="s">
        <v>32</v>
      </c>
      <c r="AC2648">
        <v>14.37</v>
      </c>
    </row>
    <row r="2649" spans="1:29">
      <c r="A2649" t="str">
        <f>"600657"</f>
        <v>600657</v>
      </c>
      <c r="B2649" t="s">
        <v>2819</v>
      </c>
      <c r="C2649">
        <v>2.15</v>
      </c>
      <c r="D2649">
        <v>4.28</v>
      </c>
      <c r="E2649">
        <v>0.09</v>
      </c>
      <c r="F2649">
        <v>4.27</v>
      </c>
      <c r="G2649">
        <v>4.28</v>
      </c>
      <c r="H2649">
        <v>83983</v>
      </c>
      <c r="I2649">
        <v>17</v>
      </c>
      <c r="J2649">
        <v>0</v>
      </c>
      <c r="K2649">
        <v>0.55</v>
      </c>
      <c r="L2649">
        <v>4.18</v>
      </c>
      <c r="M2649">
        <v>4.3</v>
      </c>
      <c r="N2649">
        <v>4.16</v>
      </c>
      <c r="O2649">
        <v>4.19</v>
      </c>
      <c r="P2649" t="s">
        <v>32</v>
      </c>
      <c r="Q2649">
        <v>35838560</v>
      </c>
      <c r="R2649">
        <v>1.8</v>
      </c>
      <c r="S2649" t="s">
        <v>34</v>
      </c>
      <c r="T2649" t="s">
        <v>45</v>
      </c>
      <c r="U2649">
        <v>3.34</v>
      </c>
      <c r="V2649">
        <v>4.27</v>
      </c>
      <c r="W2649">
        <v>30691</v>
      </c>
      <c r="X2649">
        <v>53292</v>
      </c>
      <c r="Y2649">
        <v>0.58</v>
      </c>
      <c r="Z2649">
        <v>1698</v>
      </c>
      <c r="AA2649">
        <v>34</v>
      </c>
      <c r="AB2649" t="s">
        <v>32</v>
      </c>
      <c r="AC2649">
        <v>15.24</v>
      </c>
    </row>
    <row r="2650" spans="1:29">
      <c r="A2650" t="str">
        <f>"600658"</f>
        <v>600658</v>
      </c>
      <c r="B2650" t="s">
        <v>2820</v>
      </c>
      <c r="C2650">
        <v>2.23</v>
      </c>
      <c r="D2650">
        <v>5.51</v>
      </c>
      <c r="E2650">
        <v>0.12</v>
      </c>
      <c r="F2650">
        <v>5.51</v>
      </c>
      <c r="G2650">
        <v>5.52</v>
      </c>
      <c r="H2650">
        <v>41955</v>
      </c>
      <c r="I2650">
        <v>2</v>
      </c>
      <c r="J2650">
        <v>-0.53</v>
      </c>
      <c r="K2650">
        <v>0.38</v>
      </c>
      <c r="L2650">
        <v>5.43</v>
      </c>
      <c r="M2650">
        <v>5.63</v>
      </c>
      <c r="N2650">
        <v>5.42</v>
      </c>
      <c r="O2650">
        <v>5.39</v>
      </c>
      <c r="P2650">
        <v>14.57</v>
      </c>
      <c r="Q2650">
        <v>23217910</v>
      </c>
      <c r="R2650">
        <v>1.7</v>
      </c>
      <c r="S2650" t="s">
        <v>338</v>
      </c>
      <c r="T2650" t="s">
        <v>45</v>
      </c>
      <c r="U2650">
        <v>3.9</v>
      </c>
      <c r="V2650">
        <v>5.53</v>
      </c>
      <c r="W2650">
        <v>25199</v>
      </c>
      <c r="X2650">
        <v>16755</v>
      </c>
      <c r="Y2650">
        <v>1.5</v>
      </c>
      <c r="Z2650">
        <v>46</v>
      </c>
      <c r="AA2650">
        <v>135</v>
      </c>
      <c r="AB2650" t="s">
        <v>32</v>
      </c>
      <c r="AC2650">
        <v>11.19</v>
      </c>
    </row>
    <row r="2651" spans="1:29">
      <c r="A2651" t="str">
        <f>"600660"</f>
        <v>600660</v>
      </c>
      <c r="B2651" t="s">
        <v>2821</v>
      </c>
      <c r="C2651">
        <v>1.94</v>
      </c>
      <c r="D2651">
        <v>26.28</v>
      </c>
      <c r="E2651">
        <v>0.5</v>
      </c>
      <c r="F2651">
        <v>26.27</v>
      </c>
      <c r="G2651">
        <v>26.28</v>
      </c>
      <c r="H2651">
        <v>99176</v>
      </c>
      <c r="I2651">
        <v>20</v>
      </c>
      <c r="J2651">
        <v>0.04</v>
      </c>
      <c r="K2651">
        <v>0.5</v>
      </c>
      <c r="L2651">
        <v>25.79</v>
      </c>
      <c r="M2651">
        <v>26.3</v>
      </c>
      <c r="N2651">
        <v>25.71</v>
      </c>
      <c r="O2651">
        <v>25.78</v>
      </c>
      <c r="P2651">
        <v>29.29</v>
      </c>
      <c r="Q2651">
        <v>258671680</v>
      </c>
      <c r="R2651">
        <v>1.97</v>
      </c>
      <c r="S2651" t="s">
        <v>80</v>
      </c>
      <c r="T2651" t="s">
        <v>236</v>
      </c>
      <c r="U2651">
        <v>2.29</v>
      </c>
      <c r="V2651">
        <v>26.08</v>
      </c>
      <c r="W2651">
        <v>50842</v>
      </c>
      <c r="X2651">
        <v>48334</v>
      </c>
      <c r="Y2651">
        <v>1.05</v>
      </c>
      <c r="Z2651">
        <v>30</v>
      </c>
      <c r="AA2651">
        <v>2</v>
      </c>
      <c r="AB2651" t="s">
        <v>32</v>
      </c>
      <c r="AC2651">
        <v>20.03</v>
      </c>
    </row>
    <row r="2652" spans="1:29">
      <c r="A2652" t="str">
        <f>"600661"</f>
        <v>600661</v>
      </c>
      <c r="B2652" t="s">
        <v>2822</v>
      </c>
      <c r="C2652">
        <v>1.56</v>
      </c>
      <c r="D2652">
        <v>25.43</v>
      </c>
      <c r="E2652">
        <v>0.39</v>
      </c>
      <c r="F2652">
        <v>25.4</v>
      </c>
      <c r="G2652">
        <v>25.43</v>
      </c>
      <c r="H2652">
        <v>20142</v>
      </c>
      <c r="I2652">
        <v>61</v>
      </c>
      <c r="J2652">
        <v>0.32</v>
      </c>
      <c r="K2652">
        <v>0.78</v>
      </c>
      <c r="L2652">
        <v>25.25</v>
      </c>
      <c r="M2652">
        <v>25.49</v>
      </c>
      <c r="N2652">
        <v>24.93</v>
      </c>
      <c r="O2652">
        <v>25.04</v>
      </c>
      <c r="P2652">
        <v>101.25</v>
      </c>
      <c r="Q2652">
        <v>50661368</v>
      </c>
      <c r="R2652">
        <v>1.82</v>
      </c>
      <c r="S2652" t="s">
        <v>57</v>
      </c>
      <c r="T2652" t="s">
        <v>366</v>
      </c>
      <c r="U2652">
        <v>2.24</v>
      </c>
      <c r="V2652">
        <v>25.15</v>
      </c>
      <c r="W2652">
        <v>7600</v>
      </c>
      <c r="X2652">
        <v>12542</v>
      </c>
      <c r="Y2652">
        <v>0.61</v>
      </c>
      <c r="Z2652">
        <v>11</v>
      </c>
      <c r="AA2652">
        <v>148</v>
      </c>
      <c r="AB2652" t="s">
        <v>32</v>
      </c>
      <c r="AC2652">
        <v>2.59</v>
      </c>
    </row>
    <row r="2653" spans="1:29">
      <c r="A2653" t="str">
        <f>"600662"</f>
        <v>600662</v>
      </c>
      <c r="B2653" t="s">
        <v>2823</v>
      </c>
      <c r="C2653">
        <v>1.23</v>
      </c>
      <c r="D2653">
        <v>4.12</v>
      </c>
      <c r="E2653">
        <v>0.05</v>
      </c>
      <c r="F2653">
        <v>4.12</v>
      </c>
      <c r="G2653">
        <v>4.13</v>
      </c>
      <c r="H2653">
        <v>69976</v>
      </c>
      <c r="I2653">
        <v>120</v>
      </c>
      <c r="J2653">
        <v>0</v>
      </c>
      <c r="K2653">
        <v>0.66</v>
      </c>
      <c r="L2653">
        <v>4.05</v>
      </c>
      <c r="M2653">
        <v>4.15</v>
      </c>
      <c r="N2653">
        <v>4.04</v>
      </c>
      <c r="O2653">
        <v>4.07</v>
      </c>
      <c r="P2653">
        <v>101.67</v>
      </c>
      <c r="Q2653">
        <v>28745284</v>
      </c>
      <c r="R2653">
        <v>1.26</v>
      </c>
      <c r="S2653" t="s">
        <v>1253</v>
      </c>
      <c r="T2653" t="s">
        <v>366</v>
      </c>
      <c r="U2653">
        <v>2.7</v>
      </c>
      <c r="V2653">
        <v>4.11</v>
      </c>
      <c r="W2653">
        <v>41543</v>
      </c>
      <c r="X2653">
        <v>28432</v>
      </c>
      <c r="Y2653">
        <v>1.46</v>
      </c>
      <c r="Z2653">
        <v>160</v>
      </c>
      <c r="AA2653">
        <v>1357</v>
      </c>
      <c r="AB2653" t="s">
        <v>32</v>
      </c>
      <c r="AC2653">
        <v>10.53</v>
      </c>
    </row>
    <row r="2654" spans="1:29">
      <c r="A2654" t="str">
        <f>"600663"</f>
        <v>600663</v>
      </c>
      <c r="B2654" t="s">
        <v>2824</v>
      </c>
      <c r="C2654">
        <v>1.45</v>
      </c>
      <c r="D2654">
        <v>15.41</v>
      </c>
      <c r="E2654">
        <v>0.22</v>
      </c>
      <c r="F2654">
        <v>15.4</v>
      </c>
      <c r="G2654">
        <v>15.41</v>
      </c>
      <c r="H2654">
        <v>19084</v>
      </c>
      <c r="I2654">
        <v>16</v>
      </c>
      <c r="J2654">
        <v>0.13</v>
      </c>
      <c r="K2654">
        <v>0.08</v>
      </c>
      <c r="L2654">
        <v>15.2</v>
      </c>
      <c r="M2654">
        <v>15.66</v>
      </c>
      <c r="N2654">
        <v>15.19</v>
      </c>
      <c r="O2654">
        <v>15.19</v>
      </c>
      <c r="P2654">
        <v>18.89</v>
      </c>
      <c r="Q2654">
        <v>29515780</v>
      </c>
      <c r="R2654">
        <v>1.45</v>
      </c>
      <c r="S2654" t="s">
        <v>338</v>
      </c>
      <c r="T2654" t="s">
        <v>366</v>
      </c>
      <c r="U2654">
        <v>3.09</v>
      </c>
      <c r="V2654">
        <v>15.47</v>
      </c>
      <c r="W2654">
        <v>9819</v>
      </c>
      <c r="X2654">
        <v>9265</v>
      </c>
      <c r="Y2654">
        <v>1.06</v>
      </c>
      <c r="Z2654">
        <v>87</v>
      </c>
      <c r="AA2654">
        <v>17</v>
      </c>
      <c r="AB2654" t="s">
        <v>32</v>
      </c>
      <c r="AC2654">
        <v>24.45</v>
      </c>
    </row>
    <row r="2655" spans="1:29">
      <c r="A2655" t="str">
        <f>"600664"</f>
        <v>600664</v>
      </c>
      <c r="B2655" t="s">
        <v>2825</v>
      </c>
      <c r="C2655">
        <v>1.98</v>
      </c>
      <c r="D2655">
        <v>4.12</v>
      </c>
      <c r="E2655">
        <v>0.08</v>
      </c>
      <c r="F2655">
        <v>4.1</v>
      </c>
      <c r="G2655">
        <v>4.11</v>
      </c>
      <c r="H2655">
        <v>147905</v>
      </c>
      <c r="I2655">
        <v>16</v>
      </c>
      <c r="J2655">
        <v>0.24</v>
      </c>
      <c r="K2655">
        <v>0.59</v>
      </c>
      <c r="L2655">
        <v>4.03</v>
      </c>
      <c r="M2655">
        <v>4.12</v>
      </c>
      <c r="N2655">
        <v>4.02</v>
      </c>
      <c r="O2655">
        <v>4.04</v>
      </c>
      <c r="P2655">
        <v>18.69</v>
      </c>
      <c r="Q2655">
        <v>60395472</v>
      </c>
      <c r="R2655">
        <v>1.67</v>
      </c>
      <c r="S2655" t="s">
        <v>142</v>
      </c>
      <c r="T2655" t="s">
        <v>297</v>
      </c>
      <c r="U2655">
        <v>2.48</v>
      </c>
      <c r="V2655">
        <v>4.08</v>
      </c>
      <c r="W2655">
        <v>55628</v>
      </c>
      <c r="X2655">
        <v>92276</v>
      </c>
      <c r="Y2655">
        <v>0.6</v>
      </c>
      <c r="Z2655">
        <v>2076</v>
      </c>
      <c r="AA2655">
        <v>100</v>
      </c>
      <c r="AB2655" t="s">
        <v>32</v>
      </c>
      <c r="AC2655">
        <v>24.93</v>
      </c>
    </row>
    <row r="2656" spans="1:29">
      <c r="A2656" t="str">
        <f>"600665"</f>
        <v>600665</v>
      </c>
      <c r="B2656" t="s">
        <v>2826</v>
      </c>
      <c r="C2656">
        <v>2.02</v>
      </c>
      <c r="D2656">
        <v>3.54</v>
      </c>
      <c r="E2656">
        <v>0.07</v>
      </c>
      <c r="F2656">
        <v>3.53</v>
      </c>
      <c r="G2656">
        <v>3.54</v>
      </c>
      <c r="H2656">
        <v>42069</v>
      </c>
      <c r="I2656">
        <v>1</v>
      </c>
      <c r="J2656">
        <v>-0.27</v>
      </c>
      <c r="K2656">
        <v>0.49</v>
      </c>
      <c r="L2656">
        <v>3.46</v>
      </c>
      <c r="M2656">
        <v>3.57</v>
      </c>
      <c r="N2656">
        <v>3.46</v>
      </c>
      <c r="O2656">
        <v>3.47</v>
      </c>
      <c r="P2656">
        <v>8.87</v>
      </c>
      <c r="Q2656">
        <v>14887387</v>
      </c>
      <c r="R2656">
        <v>2.58</v>
      </c>
      <c r="S2656" t="s">
        <v>34</v>
      </c>
      <c r="T2656" t="s">
        <v>366</v>
      </c>
      <c r="U2656">
        <v>3.17</v>
      </c>
      <c r="V2656">
        <v>3.54</v>
      </c>
      <c r="W2656">
        <v>17175</v>
      </c>
      <c r="X2656">
        <v>24893</v>
      </c>
      <c r="Y2656">
        <v>0.69</v>
      </c>
      <c r="Z2656">
        <v>665</v>
      </c>
      <c r="AA2656">
        <v>81</v>
      </c>
      <c r="AB2656" t="s">
        <v>32</v>
      </c>
      <c r="AC2656">
        <v>8.64</v>
      </c>
    </row>
    <row r="2657" spans="1:29">
      <c r="A2657" t="str">
        <f>"600666"</f>
        <v>600666</v>
      </c>
      <c r="B2657" t="s">
        <v>2827</v>
      </c>
      <c r="C2657">
        <v>2.43</v>
      </c>
      <c r="D2657">
        <v>4.22</v>
      </c>
      <c r="E2657">
        <v>0.1</v>
      </c>
      <c r="F2657">
        <v>4.22</v>
      </c>
      <c r="G2657">
        <v>4.23</v>
      </c>
      <c r="H2657">
        <v>593639</v>
      </c>
      <c r="I2657">
        <v>130</v>
      </c>
      <c r="J2657">
        <v>-0.23</v>
      </c>
      <c r="K2657">
        <v>7.47</v>
      </c>
      <c r="L2657">
        <v>4.08</v>
      </c>
      <c r="M2657">
        <v>4.36</v>
      </c>
      <c r="N2657">
        <v>4.04</v>
      </c>
      <c r="O2657">
        <v>4.12</v>
      </c>
      <c r="P2657">
        <v>24.51</v>
      </c>
      <c r="Q2657">
        <v>248753328</v>
      </c>
      <c r="R2657">
        <v>0.78</v>
      </c>
      <c r="S2657" t="s">
        <v>63</v>
      </c>
      <c r="T2657" t="s">
        <v>221</v>
      </c>
      <c r="U2657">
        <v>7.77</v>
      </c>
      <c r="V2657">
        <v>4.19</v>
      </c>
      <c r="W2657">
        <v>300348</v>
      </c>
      <c r="X2657">
        <v>293290</v>
      </c>
      <c r="Y2657">
        <v>1.02</v>
      </c>
      <c r="Z2657">
        <v>919</v>
      </c>
      <c r="AA2657">
        <v>3871</v>
      </c>
      <c r="AB2657" t="s">
        <v>32</v>
      </c>
      <c r="AC2657">
        <v>7.95</v>
      </c>
    </row>
    <row r="2658" spans="1:29">
      <c r="A2658" t="str">
        <f>"600667"</f>
        <v>600667</v>
      </c>
      <c r="B2658" t="s">
        <v>2828</v>
      </c>
      <c r="C2658">
        <v>1.72</v>
      </c>
      <c r="D2658">
        <v>7.7</v>
      </c>
      <c r="E2658">
        <v>0.13</v>
      </c>
      <c r="F2658">
        <v>7.7</v>
      </c>
      <c r="G2658">
        <v>7.71</v>
      </c>
      <c r="H2658">
        <v>372800</v>
      </c>
      <c r="I2658">
        <v>445</v>
      </c>
      <c r="J2658">
        <v>0.13</v>
      </c>
      <c r="K2658">
        <v>3.13</v>
      </c>
      <c r="L2658">
        <v>7.67</v>
      </c>
      <c r="M2658">
        <v>7.75</v>
      </c>
      <c r="N2658">
        <v>7.58</v>
      </c>
      <c r="O2658">
        <v>7.57</v>
      </c>
      <c r="P2658">
        <v>50.9</v>
      </c>
      <c r="Q2658">
        <v>286126432</v>
      </c>
      <c r="R2658">
        <v>1.4</v>
      </c>
      <c r="S2658" t="s">
        <v>699</v>
      </c>
      <c r="T2658" t="s">
        <v>87</v>
      </c>
      <c r="U2658">
        <v>2.25</v>
      </c>
      <c r="V2658">
        <v>7.68</v>
      </c>
      <c r="W2658">
        <v>189732</v>
      </c>
      <c r="X2658">
        <v>183067</v>
      </c>
      <c r="Y2658">
        <v>1.04</v>
      </c>
      <c r="Z2658">
        <v>160</v>
      </c>
      <c r="AA2658">
        <v>3116</v>
      </c>
      <c r="AB2658" t="s">
        <v>32</v>
      </c>
      <c r="AC2658">
        <v>11.91</v>
      </c>
    </row>
    <row r="2659" spans="1:29">
      <c r="A2659" t="str">
        <f>"600668"</f>
        <v>600668</v>
      </c>
      <c r="B2659" t="s">
        <v>2829</v>
      </c>
      <c r="C2659">
        <v>3.5</v>
      </c>
      <c r="D2659">
        <v>12.71</v>
      </c>
      <c r="E2659">
        <v>0.43</v>
      </c>
      <c r="F2659">
        <v>12.7</v>
      </c>
      <c r="G2659">
        <v>12.71</v>
      </c>
      <c r="H2659">
        <v>86169</v>
      </c>
      <c r="I2659">
        <v>3</v>
      </c>
      <c r="J2659">
        <v>-0.07</v>
      </c>
      <c r="K2659">
        <v>2.5</v>
      </c>
      <c r="L2659">
        <v>12.18</v>
      </c>
      <c r="M2659">
        <v>12.77</v>
      </c>
      <c r="N2659">
        <v>12.18</v>
      </c>
      <c r="O2659">
        <v>12.28</v>
      </c>
      <c r="P2659">
        <v>10.48</v>
      </c>
      <c r="Q2659">
        <v>108329024</v>
      </c>
      <c r="R2659">
        <v>3.07</v>
      </c>
      <c r="S2659" t="s">
        <v>166</v>
      </c>
      <c r="T2659" t="s">
        <v>149</v>
      </c>
      <c r="U2659">
        <v>4.8</v>
      </c>
      <c r="V2659">
        <v>12.57</v>
      </c>
      <c r="W2659">
        <v>42157</v>
      </c>
      <c r="X2659">
        <v>44012</v>
      </c>
      <c r="Y2659">
        <v>0.96</v>
      </c>
      <c r="Z2659">
        <v>225</v>
      </c>
      <c r="AA2659">
        <v>2</v>
      </c>
      <c r="AB2659" t="s">
        <v>32</v>
      </c>
      <c r="AC2659">
        <v>3.44</v>
      </c>
    </row>
    <row r="2660" spans="1:29">
      <c r="A2660" t="str">
        <f>"600671"</f>
        <v>600671</v>
      </c>
      <c r="B2660" t="s">
        <v>2830</v>
      </c>
      <c r="C2660">
        <v>2.3</v>
      </c>
      <c r="D2660">
        <v>17.78</v>
      </c>
      <c r="E2660">
        <v>0.4</v>
      </c>
      <c r="F2660">
        <v>17.76</v>
      </c>
      <c r="G2660">
        <v>17.79</v>
      </c>
      <c r="H2660">
        <v>17082</v>
      </c>
      <c r="I2660">
        <v>71</v>
      </c>
      <c r="J2660">
        <v>0.45</v>
      </c>
      <c r="K2660">
        <v>1.4</v>
      </c>
      <c r="L2660">
        <v>17.45</v>
      </c>
      <c r="M2660">
        <v>17.82</v>
      </c>
      <c r="N2660">
        <v>17.03</v>
      </c>
      <c r="O2660">
        <v>17.38</v>
      </c>
      <c r="P2660">
        <v>26.7</v>
      </c>
      <c r="Q2660">
        <v>29843400</v>
      </c>
      <c r="R2660">
        <v>0.71</v>
      </c>
      <c r="S2660" t="s">
        <v>195</v>
      </c>
      <c r="T2660" t="s">
        <v>149</v>
      </c>
      <c r="U2660">
        <v>4.55</v>
      </c>
      <c r="V2660">
        <v>17.47</v>
      </c>
      <c r="W2660">
        <v>9417</v>
      </c>
      <c r="X2660">
        <v>7665</v>
      </c>
      <c r="Y2660">
        <v>1.23</v>
      </c>
      <c r="Z2660">
        <v>1</v>
      </c>
      <c r="AA2660">
        <v>32</v>
      </c>
      <c r="AB2660" t="s">
        <v>32</v>
      </c>
      <c r="AC2660">
        <v>1.22</v>
      </c>
    </row>
    <row r="2661" spans="1:29">
      <c r="A2661" t="str">
        <f>"600673"</f>
        <v>600673</v>
      </c>
      <c r="B2661" t="s">
        <v>2831</v>
      </c>
      <c r="C2661">
        <v>2.13</v>
      </c>
      <c r="D2661">
        <v>9.09</v>
      </c>
      <c r="E2661">
        <v>0.19</v>
      </c>
      <c r="F2661">
        <v>9.09</v>
      </c>
      <c r="G2661">
        <v>9.1</v>
      </c>
      <c r="H2661">
        <v>245742</v>
      </c>
      <c r="I2661">
        <v>3</v>
      </c>
      <c r="J2661">
        <v>0</v>
      </c>
      <c r="K2661">
        <v>1</v>
      </c>
      <c r="L2661">
        <v>8.9</v>
      </c>
      <c r="M2661">
        <v>9.16</v>
      </c>
      <c r="N2661">
        <v>8.84</v>
      </c>
      <c r="O2661">
        <v>8.9</v>
      </c>
      <c r="P2661">
        <v>43.26</v>
      </c>
      <c r="Q2661">
        <v>222023024</v>
      </c>
      <c r="R2661">
        <v>0.8</v>
      </c>
      <c r="S2661" t="s">
        <v>324</v>
      </c>
      <c r="T2661" t="s">
        <v>136</v>
      </c>
      <c r="U2661">
        <v>3.6</v>
      </c>
      <c r="V2661">
        <v>9.03</v>
      </c>
      <c r="W2661">
        <v>118089</v>
      </c>
      <c r="X2661">
        <v>127653</v>
      </c>
      <c r="Y2661">
        <v>0.93</v>
      </c>
      <c r="Z2661">
        <v>78</v>
      </c>
      <c r="AA2661">
        <v>710</v>
      </c>
      <c r="AB2661" t="s">
        <v>32</v>
      </c>
      <c r="AC2661">
        <v>24.57</v>
      </c>
    </row>
    <row r="2662" spans="1:29">
      <c r="A2662" t="str">
        <f>"600674"</f>
        <v>600674</v>
      </c>
      <c r="B2662" t="s">
        <v>2832</v>
      </c>
      <c r="C2662">
        <v>0</v>
      </c>
      <c r="D2662">
        <v>8.65</v>
      </c>
      <c r="E2662">
        <v>0</v>
      </c>
      <c r="F2662">
        <v>8.64</v>
      </c>
      <c r="G2662">
        <v>8.65</v>
      </c>
      <c r="H2662">
        <v>77553</v>
      </c>
      <c r="I2662">
        <v>280</v>
      </c>
      <c r="J2662">
        <v>0</v>
      </c>
      <c r="K2662">
        <v>0.18</v>
      </c>
      <c r="L2662">
        <v>8.63</v>
      </c>
      <c r="M2662">
        <v>8.68</v>
      </c>
      <c r="N2662">
        <v>8.6</v>
      </c>
      <c r="O2662">
        <v>8.65</v>
      </c>
      <c r="P2662">
        <v>11.46</v>
      </c>
      <c r="Q2662">
        <v>66951064</v>
      </c>
      <c r="R2662">
        <v>1.04</v>
      </c>
      <c r="S2662" t="s">
        <v>312</v>
      </c>
      <c r="T2662" t="s">
        <v>146</v>
      </c>
      <c r="U2662">
        <v>0.92</v>
      </c>
      <c r="V2662">
        <v>8.63</v>
      </c>
      <c r="W2662">
        <v>47256</v>
      </c>
      <c r="X2662">
        <v>30296</v>
      </c>
      <c r="Y2662">
        <v>1.56</v>
      </c>
      <c r="Z2662">
        <v>157</v>
      </c>
      <c r="AA2662">
        <v>607</v>
      </c>
      <c r="AB2662" t="s">
        <v>32</v>
      </c>
      <c r="AC2662">
        <v>44.02</v>
      </c>
    </row>
    <row r="2663" spans="1:29">
      <c r="A2663" t="str">
        <f>"600675"</f>
        <v>600675</v>
      </c>
      <c r="B2663" t="s">
        <v>2833</v>
      </c>
      <c r="C2663">
        <v>3.2</v>
      </c>
      <c r="D2663">
        <v>4.52</v>
      </c>
      <c r="E2663">
        <v>0.14</v>
      </c>
      <c r="F2663">
        <v>4.52</v>
      </c>
      <c r="G2663">
        <v>4.53</v>
      </c>
      <c r="H2663">
        <v>48062</v>
      </c>
      <c r="I2663">
        <v>70</v>
      </c>
      <c r="J2663">
        <v>-0.21</v>
      </c>
      <c r="K2663">
        <v>0.26</v>
      </c>
      <c r="L2663">
        <v>4.39</v>
      </c>
      <c r="M2663">
        <v>4.57</v>
      </c>
      <c r="N2663">
        <v>4.39</v>
      </c>
      <c r="O2663">
        <v>4.38</v>
      </c>
      <c r="P2663">
        <v>113.64</v>
      </c>
      <c r="Q2663">
        <v>21729196</v>
      </c>
      <c r="R2663">
        <v>1.4</v>
      </c>
      <c r="S2663" t="s">
        <v>40</v>
      </c>
      <c r="T2663" t="s">
        <v>366</v>
      </c>
      <c r="U2663">
        <v>4.11</v>
      </c>
      <c r="V2663">
        <v>4.52</v>
      </c>
      <c r="W2663">
        <v>18309</v>
      </c>
      <c r="X2663">
        <v>29753</v>
      </c>
      <c r="Y2663">
        <v>0.62</v>
      </c>
      <c r="Z2663">
        <v>8</v>
      </c>
      <c r="AA2663">
        <v>156</v>
      </c>
      <c r="AB2663" t="s">
        <v>32</v>
      </c>
      <c r="AC2663">
        <v>18.67</v>
      </c>
    </row>
    <row r="2664" spans="1:29">
      <c r="A2664" t="str">
        <f>"600676"</f>
        <v>600676</v>
      </c>
      <c r="B2664" t="s">
        <v>2834</v>
      </c>
      <c r="C2664">
        <v>2.24</v>
      </c>
      <c r="D2664">
        <v>5.03</v>
      </c>
      <c r="E2664">
        <v>0.11</v>
      </c>
      <c r="F2664">
        <v>5.02</v>
      </c>
      <c r="G2664">
        <v>5.03</v>
      </c>
      <c r="H2664">
        <v>57466</v>
      </c>
      <c r="I2664">
        <v>100</v>
      </c>
      <c r="J2664">
        <v>0.2</v>
      </c>
      <c r="K2664">
        <v>0.6</v>
      </c>
      <c r="L2664">
        <v>4.91</v>
      </c>
      <c r="M2664">
        <v>5.06</v>
      </c>
      <c r="N2664">
        <v>4.91</v>
      </c>
      <c r="O2664">
        <v>4.92</v>
      </c>
      <c r="P2664">
        <v>15.66</v>
      </c>
      <c r="Q2664">
        <v>28781448</v>
      </c>
      <c r="R2664">
        <v>2.14</v>
      </c>
      <c r="S2664" t="s">
        <v>1253</v>
      </c>
      <c r="T2664" t="s">
        <v>366</v>
      </c>
      <c r="U2664">
        <v>3.05</v>
      </c>
      <c r="V2664">
        <v>5.01</v>
      </c>
      <c r="W2664">
        <v>26562</v>
      </c>
      <c r="X2664">
        <v>30903</v>
      </c>
      <c r="Y2664">
        <v>0.86</v>
      </c>
      <c r="Z2664">
        <v>144</v>
      </c>
      <c r="AA2664">
        <v>192</v>
      </c>
      <c r="AB2664" t="s">
        <v>32</v>
      </c>
      <c r="AC2664">
        <v>9.62</v>
      </c>
    </row>
    <row r="2665" spans="1:29">
      <c r="A2665" t="str">
        <f>"600677"</f>
        <v>600677</v>
      </c>
      <c r="B2665" t="s">
        <v>2835</v>
      </c>
      <c r="C2665">
        <v>0.24</v>
      </c>
      <c r="D2665">
        <v>8.5</v>
      </c>
      <c r="E2665">
        <v>0.02</v>
      </c>
      <c r="F2665">
        <v>8.49</v>
      </c>
      <c r="G2665">
        <v>8.5</v>
      </c>
      <c r="H2665">
        <v>122845</v>
      </c>
      <c r="I2665">
        <v>10</v>
      </c>
      <c r="J2665">
        <v>0</v>
      </c>
      <c r="K2665">
        <v>2.95</v>
      </c>
      <c r="L2665">
        <v>8.46</v>
      </c>
      <c r="M2665">
        <v>8.58</v>
      </c>
      <c r="N2665">
        <v>8.35</v>
      </c>
      <c r="O2665">
        <v>8.48</v>
      </c>
      <c r="P2665" t="s">
        <v>32</v>
      </c>
      <c r="Q2665">
        <v>104167544</v>
      </c>
      <c r="R2665">
        <v>1.09</v>
      </c>
      <c r="S2665" t="s">
        <v>119</v>
      </c>
      <c r="T2665" t="s">
        <v>149</v>
      </c>
      <c r="U2665">
        <v>2.71</v>
      </c>
      <c r="V2665">
        <v>8.48</v>
      </c>
      <c r="W2665">
        <v>64397</v>
      </c>
      <c r="X2665">
        <v>58448</v>
      </c>
      <c r="Y2665">
        <v>1.1</v>
      </c>
      <c r="Z2665">
        <v>162</v>
      </c>
      <c r="AA2665">
        <v>229</v>
      </c>
      <c r="AB2665" t="s">
        <v>32</v>
      </c>
      <c r="AC2665">
        <v>4.16</v>
      </c>
    </row>
    <row r="2666" spans="1:29">
      <c r="A2666" t="str">
        <f>"600678"</f>
        <v>600678</v>
      </c>
      <c r="B2666" t="s">
        <v>2836</v>
      </c>
      <c r="C2666">
        <v>0</v>
      </c>
      <c r="D2666">
        <v>10.24</v>
      </c>
      <c r="E2666">
        <v>0</v>
      </c>
      <c r="F2666" t="s">
        <v>32</v>
      </c>
      <c r="G2666" t="s">
        <v>32</v>
      </c>
      <c r="H2666">
        <v>0</v>
      </c>
      <c r="I2666">
        <v>0</v>
      </c>
      <c r="J2666">
        <v>0</v>
      </c>
      <c r="K2666">
        <v>0</v>
      </c>
      <c r="L2666" t="s">
        <v>32</v>
      </c>
      <c r="M2666" t="s">
        <v>32</v>
      </c>
      <c r="N2666" t="s">
        <v>32</v>
      </c>
      <c r="O2666">
        <v>10.24</v>
      </c>
      <c r="P2666">
        <v>156.81</v>
      </c>
      <c r="Q2666">
        <v>0</v>
      </c>
      <c r="R2666">
        <v>0</v>
      </c>
      <c r="S2666" t="s">
        <v>166</v>
      </c>
      <c r="T2666" t="s">
        <v>146</v>
      </c>
      <c r="U2666">
        <v>0</v>
      </c>
      <c r="V2666">
        <v>10.24</v>
      </c>
      <c r="W2666">
        <v>0</v>
      </c>
      <c r="X2666">
        <v>0</v>
      </c>
      <c r="Y2666" t="s">
        <v>32</v>
      </c>
      <c r="Z2666">
        <v>0</v>
      </c>
      <c r="AA2666">
        <v>0</v>
      </c>
      <c r="AB2666" t="s">
        <v>32</v>
      </c>
      <c r="AC2666">
        <v>3.49</v>
      </c>
    </row>
    <row r="2667" spans="1:29">
      <c r="A2667" t="str">
        <f>"600679"</f>
        <v>600679</v>
      </c>
      <c r="B2667" t="s">
        <v>2837</v>
      </c>
      <c r="C2667">
        <v>1.06</v>
      </c>
      <c r="D2667">
        <v>11.41</v>
      </c>
      <c r="E2667">
        <v>0.12</v>
      </c>
      <c r="F2667">
        <v>11.41</v>
      </c>
      <c r="G2667">
        <v>11.42</v>
      </c>
      <c r="H2667">
        <v>18422</v>
      </c>
      <c r="I2667">
        <v>17</v>
      </c>
      <c r="J2667">
        <v>0.18</v>
      </c>
      <c r="K2667">
        <v>0.96</v>
      </c>
      <c r="L2667">
        <v>11.36</v>
      </c>
      <c r="M2667">
        <v>11.67</v>
      </c>
      <c r="N2667">
        <v>11.2</v>
      </c>
      <c r="O2667">
        <v>11.29</v>
      </c>
      <c r="P2667">
        <v>225.69</v>
      </c>
      <c r="Q2667">
        <v>21116970</v>
      </c>
      <c r="R2667">
        <v>0.92</v>
      </c>
      <c r="S2667" t="s">
        <v>57</v>
      </c>
      <c r="T2667" t="s">
        <v>366</v>
      </c>
      <c r="U2667">
        <v>4.16</v>
      </c>
      <c r="V2667">
        <v>11.46</v>
      </c>
      <c r="W2667">
        <v>9037</v>
      </c>
      <c r="X2667">
        <v>9385</v>
      </c>
      <c r="Y2667">
        <v>0.96</v>
      </c>
      <c r="Z2667">
        <v>41</v>
      </c>
      <c r="AA2667">
        <v>8</v>
      </c>
      <c r="AB2667" t="s">
        <v>32</v>
      </c>
      <c r="AC2667">
        <v>1.91</v>
      </c>
    </row>
    <row r="2668" spans="1:29">
      <c r="A2668" t="str">
        <f>"600681"</f>
        <v>600681</v>
      </c>
      <c r="B2668" t="s">
        <v>2838</v>
      </c>
      <c r="C2668">
        <v>2.24</v>
      </c>
      <c r="D2668">
        <v>13.71</v>
      </c>
      <c r="E2668">
        <v>0.3</v>
      </c>
      <c r="F2668">
        <v>13.7</v>
      </c>
      <c r="G2668">
        <v>13.71</v>
      </c>
      <c r="H2668">
        <v>28623</v>
      </c>
      <c r="I2668">
        <v>2</v>
      </c>
      <c r="J2668">
        <v>0.22</v>
      </c>
      <c r="K2668">
        <v>0.87</v>
      </c>
      <c r="L2668">
        <v>13.4</v>
      </c>
      <c r="M2668">
        <v>13.73</v>
      </c>
      <c r="N2668">
        <v>13.28</v>
      </c>
      <c r="O2668">
        <v>13.41</v>
      </c>
      <c r="P2668">
        <v>12.09</v>
      </c>
      <c r="Q2668">
        <v>38612140</v>
      </c>
      <c r="R2668">
        <v>1.49</v>
      </c>
      <c r="S2668" t="s">
        <v>174</v>
      </c>
      <c r="T2668" t="s">
        <v>193</v>
      </c>
      <c r="U2668">
        <v>3.36</v>
      </c>
      <c r="V2668">
        <v>13.49</v>
      </c>
      <c r="W2668">
        <v>11610</v>
      </c>
      <c r="X2668">
        <v>17012</v>
      </c>
      <c r="Y2668">
        <v>0.68</v>
      </c>
      <c r="Z2668">
        <v>67</v>
      </c>
      <c r="AA2668">
        <v>366</v>
      </c>
      <c r="AB2668" t="s">
        <v>32</v>
      </c>
      <c r="AC2668">
        <v>3.27</v>
      </c>
    </row>
    <row r="2669" spans="1:29">
      <c r="A2669" t="str">
        <f>"600682"</f>
        <v>600682</v>
      </c>
      <c r="B2669" t="s">
        <v>2839</v>
      </c>
      <c r="C2669">
        <v>4.19</v>
      </c>
      <c r="D2669">
        <v>16.17</v>
      </c>
      <c r="E2669">
        <v>0.65</v>
      </c>
      <c r="F2669">
        <v>16.12</v>
      </c>
      <c r="G2669">
        <v>16.13</v>
      </c>
      <c r="H2669">
        <v>388226</v>
      </c>
      <c r="I2669">
        <v>1</v>
      </c>
      <c r="J2669">
        <v>-0.24</v>
      </c>
      <c r="K2669">
        <v>4.46</v>
      </c>
      <c r="L2669">
        <v>15.3</v>
      </c>
      <c r="M2669">
        <v>16.31</v>
      </c>
      <c r="N2669">
        <v>15.25</v>
      </c>
      <c r="O2669">
        <v>15.52</v>
      </c>
      <c r="P2669">
        <v>48.98</v>
      </c>
      <c r="Q2669">
        <v>615098560</v>
      </c>
      <c r="R2669">
        <v>0.76</v>
      </c>
      <c r="S2669" t="s">
        <v>186</v>
      </c>
      <c r="T2669" t="s">
        <v>87</v>
      </c>
      <c r="U2669">
        <v>6.83</v>
      </c>
      <c r="V2669">
        <v>15.84</v>
      </c>
      <c r="W2669">
        <v>176096</v>
      </c>
      <c r="X2669">
        <v>212130</v>
      </c>
      <c r="Y2669">
        <v>0.83</v>
      </c>
      <c r="Z2669">
        <v>113</v>
      </c>
      <c r="AA2669">
        <v>14</v>
      </c>
      <c r="AB2669" t="s">
        <v>32</v>
      </c>
      <c r="AC2669">
        <v>8.71</v>
      </c>
    </row>
    <row r="2670" spans="1:29">
      <c r="A2670" t="str">
        <f>"600683"</f>
        <v>600683</v>
      </c>
      <c r="B2670" t="s">
        <v>2840</v>
      </c>
      <c r="C2670">
        <v>2</v>
      </c>
      <c r="D2670">
        <v>4.59</v>
      </c>
      <c r="E2670">
        <v>0.09</v>
      </c>
      <c r="F2670">
        <v>4.58</v>
      </c>
      <c r="G2670">
        <v>4.6</v>
      </c>
      <c r="H2670">
        <v>38000</v>
      </c>
      <c r="I2670">
        <v>37</v>
      </c>
      <c r="J2670">
        <v>-0.21</v>
      </c>
      <c r="K2670">
        <v>0.51</v>
      </c>
      <c r="L2670">
        <v>4.47</v>
      </c>
      <c r="M2670">
        <v>4.62</v>
      </c>
      <c r="N2670">
        <v>4.45</v>
      </c>
      <c r="O2670">
        <v>4.5</v>
      </c>
      <c r="P2670">
        <v>9.66</v>
      </c>
      <c r="Q2670">
        <v>17410172</v>
      </c>
      <c r="R2670">
        <v>1.47</v>
      </c>
      <c r="S2670" t="s">
        <v>40</v>
      </c>
      <c r="T2670" t="s">
        <v>149</v>
      </c>
      <c r="U2670">
        <v>3.78</v>
      </c>
      <c r="V2670">
        <v>4.58</v>
      </c>
      <c r="W2670">
        <v>15597</v>
      </c>
      <c r="X2670">
        <v>22403</v>
      </c>
      <c r="Y2670">
        <v>0.7</v>
      </c>
      <c r="Z2670">
        <v>761</v>
      </c>
      <c r="AA2670">
        <v>813</v>
      </c>
      <c r="AB2670" t="s">
        <v>32</v>
      </c>
      <c r="AC2670">
        <v>7.41</v>
      </c>
    </row>
    <row r="2671" spans="1:29">
      <c r="A2671" t="str">
        <f>"600684"</f>
        <v>600684</v>
      </c>
      <c r="B2671" t="s">
        <v>2841</v>
      </c>
      <c r="C2671">
        <v>0.83</v>
      </c>
      <c r="D2671">
        <v>4.88</v>
      </c>
      <c r="E2671">
        <v>0.04</v>
      </c>
      <c r="F2671">
        <v>4.88</v>
      </c>
      <c r="G2671">
        <v>4.89</v>
      </c>
      <c r="H2671">
        <v>100657</v>
      </c>
      <c r="I2671">
        <v>12</v>
      </c>
      <c r="J2671">
        <v>0.21</v>
      </c>
      <c r="K2671">
        <v>1.18</v>
      </c>
      <c r="L2671">
        <v>4.77</v>
      </c>
      <c r="M2671">
        <v>4.93</v>
      </c>
      <c r="N2671">
        <v>4.77</v>
      </c>
      <c r="O2671">
        <v>4.84</v>
      </c>
      <c r="P2671">
        <v>6.96</v>
      </c>
      <c r="Q2671">
        <v>49008512</v>
      </c>
      <c r="R2671">
        <v>1.41</v>
      </c>
      <c r="S2671" t="s">
        <v>34</v>
      </c>
      <c r="T2671" t="s">
        <v>136</v>
      </c>
      <c r="U2671">
        <v>3.31</v>
      </c>
      <c r="V2671">
        <v>4.87</v>
      </c>
      <c r="W2671">
        <v>51319</v>
      </c>
      <c r="X2671">
        <v>49338</v>
      </c>
      <c r="Y2671">
        <v>1.04</v>
      </c>
      <c r="Z2671">
        <v>881</v>
      </c>
      <c r="AA2671">
        <v>2216</v>
      </c>
      <c r="AB2671" t="s">
        <v>32</v>
      </c>
      <c r="AC2671">
        <v>8.53</v>
      </c>
    </row>
    <row r="2672" spans="1:29">
      <c r="A2672" t="str">
        <f>"600685"</f>
        <v>600685</v>
      </c>
      <c r="B2672" t="s">
        <v>2842</v>
      </c>
      <c r="C2672">
        <v>1.66</v>
      </c>
      <c r="D2672">
        <v>14.05</v>
      </c>
      <c r="E2672">
        <v>0.23</v>
      </c>
      <c r="F2672">
        <v>14.05</v>
      </c>
      <c r="G2672">
        <v>14.06</v>
      </c>
      <c r="H2672">
        <v>121002</v>
      </c>
      <c r="I2672">
        <v>16</v>
      </c>
      <c r="J2672">
        <v>-0.06</v>
      </c>
      <c r="K2672">
        <v>1.47</v>
      </c>
      <c r="L2672">
        <v>13.8</v>
      </c>
      <c r="M2672">
        <v>14.17</v>
      </c>
      <c r="N2672">
        <v>13.65</v>
      </c>
      <c r="O2672">
        <v>13.82</v>
      </c>
      <c r="P2672">
        <v>204.85</v>
      </c>
      <c r="Q2672">
        <v>168709136</v>
      </c>
      <c r="R2672">
        <v>1.4</v>
      </c>
      <c r="S2672" t="s">
        <v>1549</v>
      </c>
      <c r="T2672" t="s">
        <v>136</v>
      </c>
      <c r="U2672">
        <v>3.76</v>
      </c>
      <c r="V2672">
        <v>13.94</v>
      </c>
      <c r="W2672">
        <v>62979</v>
      </c>
      <c r="X2672">
        <v>58022</v>
      </c>
      <c r="Y2672">
        <v>1.09</v>
      </c>
      <c r="Z2672">
        <v>151</v>
      </c>
      <c r="AA2672">
        <v>294</v>
      </c>
      <c r="AB2672" t="s">
        <v>32</v>
      </c>
      <c r="AC2672">
        <v>8.21</v>
      </c>
    </row>
    <row r="2673" spans="1:29">
      <c r="A2673" t="str">
        <f>"600686"</f>
        <v>600686</v>
      </c>
      <c r="B2673" t="s">
        <v>2843</v>
      </c>
      <c r="C2673">
        <v>2.31</v>
      </c>
      <c r="D2673">
        <v>12.4</v>
      </c>
      <c r="E2673">
        <v>0.28</v>
      </c>
      <c r="F2673">
        <v>12.39</v>
      </c>
      <c r="G2673">
        <v>12.4</v>
      </c>
      <c r="H2673">
        <v>42937</v>
      </c>
      <c r="I2673">
        <v>11</v>
      </c>
      <c r="J2673">
        <v>0.24</v>
      </c>
      <c r="K2673">
        <v>0.71</v>
      </c>
      <c r="L2673">
        <v>12.08</v>
      </c>
      <c r="M2673">
        <v>12.44</v>
      </c>
      <c r="N2673">
        <v>12.03</v>
      </c>
      <c r="O2673">
        <v>12.12</v>
      </c>
      <c r="P2673">
        <v>4995.72</v>
      </c>
      <c r="Q2673">
        <v>52792356</v>
      </c>
      <c r="R2673">
        <v>0.82</v>
      </c>
      <c r="S2673" t="s">
        <v>262</v>
      </c>
      <c r="T2673" t="s">
        <v>236</v>
      </c>
      <c r="U2673">
        <v>3.38</v>
      </c>
      <c r="V2673">
        <v>12.3</v>
      </c>
      <c r="W2673">
        <v>18998</v>
      </c>
      <c r="X2673">
        <v>23938</v>
      </c>
      <c r="Y2673">
        <v>0.79</v>
      </c>
      <c r="Z2673">
        <v>607</v>
      </c>
      <c r="AA2673">
        <v>41</v>
      </c>
      <c r="AB2673" t="s">
        <v>32</v>
      </c>
      <c r="AC2673">
        <v>6.07</v>
      </c>
    </row>
    <row r="2674" spans="1:29">
      <c r="A2674" t="str">
        <f>"600687"</f>
        <v>600687</v>
      </c>
      <c r="B2674" t="s">
        <v>2844</v>
      </c>
      <c r="C2674">
        <v>0</v>
      </c>
      <c r="D2674">
        <v>9.09</v>
      </c>
      <c r="E2674">
        <v>0</v>
      </c>
      <c r="F2674" t="s">
        <v>32</v>
      </c>
      <c r="G2674" t="s">
        <v>32</v>
      </c>
      <c r="H2674">
        <v>0</v>
      </c>
      <c r="I2674">
        <v>0</v>
      </c>
      <c r="J2674">
        <v>0</v>
      </c>
      <c r="K2674">
        <v>0</v>
      </c>
      <c r="L2674" t="s">
        <v>32</v>
      </c>
      <c r="M2674" t="s">
        <v>32</v>
      </c>
      <c r="N2674" t="s">
        <v>32</v>
      </c>
      <c r="O2674">
        <v>9.09</v>
      </c>
      <c r="P2674">
        <v>30.74</v>
      </c>
      <c r="Q2674">
        <v>0</v>
      </c>
      <c r="R2674">
        <v>0</v>
      </c>
      <c r="S2674" t="s">
        <v>778</v>
      </c>
      <c r="T2674" t="s">
        <v>266</v>
      </c>
      <c r="U2674">
        <v>0</v>
      </c>
      <c r="V2674">
        <v>9.09</v>
      </c>
      <c r="W2674">
        <v>0</v>
      </c>
      <c r="X2674">
        <v>0</v>
      </c>
      <c r="Y2674" t="s">
        <v>32</v>
      </c>
      <c r="Z2674">
        <v>0</v>
      </c>
      <c r="AA2674">
        <v>0</v>
      </c>
      <c r="AB2674" t="s">
        <v>32</v>
      </c>
      <c r="AC2674">
        <v>10.79</v>
      </c>
    </row>
    <row r="2675" spans="1:29">
      <c r="A2675" t="str">
        <f>"600688"</f>
        <v>600688</v>
      </c>
      <c r="B2675" t="s">
        <v>2845</v>
      </c>
      <c r="C2675">
        <v>1.13</v>
      </c>
      <c r="D2675">
        <v>5.35</v>
      </c>
      <c r="E2675">
        <v>0.06</v>
      </c>
      <c r="F2675">
        <v>5.34</v>
      </c>
      <c r="G2675">
        <v>5.35</v>
      </c>
      <c r="H2675">
        <v>107442</v>
      </c>
      <c r="I2675">
        <v>10</v>
      </c>
      <c r="J2675">
        <v>0.38</v>
      </c>
      <c r="K2675">
        <v>0.15</v>
      </c>
      <c r="L2675">
        <v>5.28</v>
      </c>
      <c r="M2675">
        <v>5.37</v>
      </c>
      <c r="N2675">
        <v>5.26</v>
      </c>
      <c r="O2675">
        <v>5.29</v>
      </c>
      <c r="P2675">
        <v>8.17</v>
      </c>
      <c r="Q2675">
        <v>57290624</v>
      </c>
      <c r="R2675">
        <v>1.57</v>
      </c>
      <c r="S2675" t="s">
        <v>110</v>
      </c>
      <c r="T2675" t="s">
        <v>366</v>
      </c>
      <c r="U2675">
        <v>2.08</v>
      </c>
      <c r="V2675">
        <v>5.33</v>
      </c>
      <c r="W2675">
        <v>54681</v>
      </c>
      <c r="X2675">
        <v>52760</v>
      </c>
      <c r="Y2675">
        <v>1.04</v>
      </c>
      <c r="Z2675">
        <v>1363</v>
      </c>
      <c r="AA2675">
        <v>2106</v>
      </c>
      <c r="AB2675" t="s">
        <v>32</v>
      </c>
      <c r="AC2675">
        <v>73.29</v>
      </c>
    </row>
    <row r="2676" spans="1:29">
      <c r="A2676" t="str">
        <f>"600689"</f>
        <v>600689</v>
      </c>
      <c r="B2676" t="s">
        <v>2846</v>
      </c>
      <c r="C2676">
        <v>1.45</v>
      </c>
      <c r="D2676">
        <v>10.49</v>
      </c>
      <c r="E2676">
        <v>0.15</v>
      </c>
      <c r="F2676">
        <v>10.48</v>
      </c>
      <c r="G2676">
        <v>10.49</v>
      </c>
      <c r="H2676">
        <v>61548</v>
      </c>
      <c r="I2676">
        <v>23</v>
      </c>
      <c r="J2676">
        <v>0.29</v>
      </c>
      <c r="K2676">
        <v>4.04</v>
      </c>
      <c r="L2676">
        <v>10.44</v>
      </c>
      <c r="M2676">
        <v>10.58</v>
      </c>
      <c r="N2676">
        <v>10.34</v>
      </c>
      <c r="O2676">
        <v>10.34</v>
      </c>
      <c r="P2676">
        <v>214.61</v>
      </c>
      <c r="Q2676">
        <v>64339992</v>
      </c>
      <c r="R2676">
        <v>0.62</v>
      </c>
      <c r="S2676" t="s">
        <v>99</v>
      </c>
      <c r="T2676" t="s">
        <v>366</v>
      </c>
      <c r="U2676">
        <v>2.32</v>
      </c>
      <c r="V2676">
        <v>10.45</v>
      </c>
      <c r="W2676">
        <v>31610</v>
      </c>
      <c r="X2676">
        <v>29938</v>
      </c>
      <c r="Y2676">
        <v>1.06</v>
      </c>
      <c r="Z2676">
        <v>359</v>
      </c>
      <c r="AA2676">
        <v>189</v>
      </c>
      <c r="AB2676" t="s">
        <v>32</v>
      </c>
      <c r="AC2676">
        <v>1.52</v>
      </c>
    </row>
    <row r="2677" spans="1:29">
      <c r="A2677" t="str">
        <f>"600690"</f>
        <v>600690</v>
      </c>
      <c r="B2677" t="s">
        <v>2847</v>
      </c>
      <c r="C2677">
        <v>0.61</v>
      </c>
      <c r="D2677">
        <v>18.09</v>
      </c>
      <c r="E2677">
        <v>0.11</v>
      </c>
      <c r="F2677">
        <v>18.08</v>
      </c>
      <c r="G2677">
        <v>18.09</v>
      </c>
      <c r="H2677">
        <v>839784</v>
      </c>
      <c r="I2677">
        <v>1029</v>
      </c>
      <c r="J2677">
        <v>0.06</v>
      </c>
      <c r="K2677">
        <v>1.38</v>
      </c>
      <c r="L2677">
        <v>18.08</v>
      </c>
      <c r="M2677">
        <v>18.48</v>
      </c>
      <c r="N2677">
        <v>18.02</v>
      </c>
      <c r="O2677">
        <v>17.98</v>
      </c>
      <c r="P2677">
        <v>13.93</v>
      </c>
      <c r="Q2677">
        <v>1526820864</v>
      </c>
      <c r="R2677">
        <v>2.63</v>
      </c>
      <c r="S2677" t="s">
        <v>55</v>
      </c>
      <c r="T2677" t="s">
        <v>162</v>
      </c>
      <c r="U2677">
        <v>2.56</v>
      </c>
      <c r="V2677">
        <v>18.18</v>
      </c>
      <c r="W2677">
        <v>380526</v>
      </c>
      <c r="X2677">
        <v>459258</v>
      </c>
      <c r="Y2677">
        <v>0.83</v>
      </c>
      <c r="Z2677">
        <v>179</v>
      </c>
      <c r="AA2677">
        <v>527</v>
      </c>
      <c r="AB2677" t="s">
        <v>32</v>
      </c>
      <c r="AC2677">
        <v>60.97</v>
      </c>
    </row>
    <row r="2678" spans="1:29">
      <c r="A2678" t="str">
        <f>"600691"</f>
        <v>600691</v>
      </c>
      <c r="B2678" t="s">
        <v>2848</v>
      </c>
      <c r="C2678">
        <v>2.88</v>
      </c>
      <c r="D2678">
        <v>2.86</v>
      </c>
      <c r="E2678">
        <v>0.08</v>
      </c>
      <c r="F2678">
        <v>2.85</v>
      </c>
      <c r="G2678">
        <v>2.86</v>
      </c>
      <c r="H2678">
        <v>169060</v>
      </c>
      <c r="I2678">
        <v>100</v>
      </c>
      <c r="J2678">
        <v>0.35</v>
      </c>
      <c r="K2678">
        <v>0.96</v>
      </c>
      <c r="L2678">
        <v>2.76</v>
      </c>
      <c r="M2678">
        <v>2.87</v>
      </c>
      <c r="N2678">
        <v>2.76</v>
      </c>
      <c r="O2678">
        <v>2.78</v>
      </c>
      <c r="P2678">
        <v>31.22</v>
      </c>
      <c r="Q2678">
        <v>48037392</v>
      </c>
      <c r="R2678">
        <v>2.01</v>
      </c>
      <c r="S2678" t="s">
        <v>145</v>
      </c>
      <c r="T2678" t="s">
        <v>169</v>
      </c>
      <c r="U2678">
        <v>3.96</v>
      </c>
      <c r="V2678">
        <v>2.84</v>
      </c>
      <c r="W2678">
        <v>72581</v>
      </c>
      <c r="X2678">
        <v>96479</v>
      </c>
      <c r="Y2678">
        <v>0.75</v>
      </c>
      <c r="Z2678">
        <v>1949</v>
      </c>
      <c r="AA2678">
        <v>2175</v>
      </c>
      <c r="AB2678" t="s">
        <v>32</v>
      </c>
      <c r="AC2678">
        <v>17.56</v>
      </c>
    </row>
    <row r="2679" spans="1:29">
      <c r="A2679" t="str">
        <f>"600692"</f>
        <v>600692</v>
      </c>
      <c r="B2679" t="s">
        <v>2849</v>
      </c>
      <c r="C2679">
        <v>1.84</v>
      </c>
      <c r="D2679">
        <v>7.21</v>
      </c>
      <c r="E2679">
        <v>0.13</v>
      </c>
      <c r="F2679">
        <v>7.2</v>
      </c>
      <c r="G2679">
        <v>7.21</v>
      </c>
      <c r="H2679">
        <v>37809</v>
      </c>
      <c r="I2679">
        <v>30</v>
      </c>
      <c r="J2679">
        <v>-0.27</v>
      </c>
      <c r="K2679">
        <v>1.48</v>
      </c>
      <c r="L2679">
        <v>7.06</v>
      </c>
      <c r="M2679">
        <v>7.26</v>
      </c>
      <c r="N2679">
        <v>7.03</v>
      </c>
      <c r="O2679">
        <v>7.08</v>
      </c>
      <c r="P2679">
        <v>78.99</v>
      </c>
      <c r="Q2679">
        <v>27143040</v>
      </c>
      <c r="R2679">
        <v>1.68</v>
      </c>
      <c r="S2679" t="s">
        <v>229</v>
      </c>
      <c r="T2679" t="s">
        <v>366</v>
      </c>
      <c r="U2679">
        <v>3.25</v>
      </c>
      <c r="V2679">
        <v>7.18</v>
      </c>
      <c r="W2679">
        <v>16533</v>
      </c>
      <c r="X2679">
        <v>21276</v>
      </c>
      <c r="Y2679">
        <v>0.78</v>
      </c>
      <c r="Z2679">
        <v>417</v>
      </c>
      <c r="AA2679">
        <v>62</v>
      </c>
      <c r="AB2679" t="s">
        <v>32</v>
      </c>
      <c r="AC2679">
        <v>2.55</v>
      </c>
    </row>
    <row r="2680" spans="1:29">
      <c r="A2680" t="str">
        <f>"600693"</f>
        <v>600693</v>
      </c>
      <c r="B2680" t="s">
        <v>2850</v>
      </c>
      <c r="C2680">
        <v>10.05</v>
      </c>
      <c r="D2680">
        <v>6.24</v>
      </c>
      <c r="E2680">
        <v>0.57</v>
      </c>
      <c r="F2680">
        <v>6.24</v>
      </c>
      <c r="G2680" t="s">
        <v>32</v>
      </c>
      <c r="H2680">
        <v>184431</v>
      </c>
      <c r="I2680">
        <v>10</v>
      </c>
      <c r="J2680">
        <v>0</v>
      </c>
      <c r="K2680">
        <v>2.06</v>
      </c>
      <c r="L2680">
        <v>6.24</v>
      </c>
      <c r="M2680">
        <v>6.24</v>
      </c>
      <c r="N2680">
        <v>5.98</v>
      </c>
      <c r="O2680">
        <v>5.67</v>
      </c>
      <c r="P2680">
        <v>47.74</v>
      </c>
      <c r="Q2680">
        <v>114538800</v>
      </c>
      <c r="R2680">
        <v>6.15</v>
      </c>
      <c r="S2680" t="s">
        <v>186</v>
      </c>
      <c r="T2680" t="s">
        <v>236</v>
      </c>
      <c r="U2680">
        <v>4.59</v>
      </c>
      <c r="V2680">
        <v>6.21</v>
      </c>
      <c r="W2680">
        <v>142857</v>
      </c>
      <c r="X2680">
        <v>41573</v>
      </c>
      <c r="Y2680">
        <v>3.44</v>
      </c>
      <c r="Z2680">
        <v>15291</v>
      </c>
      <c r="AA2680">
        <v>0</v>
      </c>
      <c r="AB2680" t="s">
        <v>32</v>
      </c>
      <c r="AC2680">
        <v>8.97</v>
      </c>
    </row>
    <row r="2681" spans="1:29">
      <c r="A2681" t="str">
        <f>"600694"</f>
        <v>600694</v>
      </c>
      <c r="B2681" t="s">
        <v>2851</v>
      </c>
      <c r="C2681">
        <v>1.05</v>
      </c>
      <c r="D2681">
        <v>32.67</v>
      </c>
      <c r="E2681">
        <v>0.34</v>
      </c>
      <c r="F2681">
        <v>32.66</v>
      </c>
      <c r="G2681">
        <v>32.67</v>
      </c>
      <c r="H2681">
        <v>15043</v>
      </c>
      <c r="I2681">
        <v>10</v>
      </c>
      <c r="J2681">
        <v>-0.05</v>
      </c>
      <c r="K2681">
        <v>0.51</v>
      </c>
      <c r="L2681">
        <v>32.32</v>
      </c>
      <c r="M2681">
        <v>32.8</v>
      </c>
      <c r="N2681">
        <v>32.28</v>
      </c>
      <c r="O2681">
        <v>32.33</v>
      </c>
      <c r="P2681">
        <v>6.82</v>
      </c>
      <c r="Q2681">
        <v>49001464</v>
      </c>
      <c r="R2681">
        <v>1.61</v>
      </c>
      <c r="S2681" t="s">
        <v>186</v>
      </c>
      <c r="T2681" t="s">
        <v>111</v>
      </c>
      <c r="U2681">
        <v>1.61</v>
      </c>
      <c r="V2681">
        <v>32.57</v>
      </c>
      <c r="W2681">
        <v>7442</v>
      </c>
      <c r="X2681">
        <v>7601</v>
      </c>
      <c r="Y2681">
        <v>0.98</v>
      </c>
      <c r="Z2681">
        <v>19</v>
      </c>
      <c r="AA2681">
        <v>33</v>
      </c>
      <c r="AB2681" t="s">
        <v>32</v>
      </c>
      <c r="AC2681">
        <v>2.94</v>
      </c>
    </row>
    <row r="2682" spans="1:29">
      <c r="A2682" t="str">
        <f>"600695"</f>
        <v>600695</v>
      </c>
      <c r="B2682" t="s">
        <v>2852</v>
      </c>
      <c r="C2682">
        <v>1.92</v>
      </c>
      <c r="D2682">
        <v>3.72</v>
      </c>
      <c r="E2682">
        <v>0.07</v>
      </c>
      <c r="F2682">
        <v>3.71</v>
      </c>
      <c r="G2682">
        <v>3.72</v>
      </c>
      <c r="H2682">
        <v>171248</v>
      </c>
      <c r="I2682">
        <v>284</v>
      </c>
      <c r="J2682">
        <v>0</v>
      </c>
      <c r="K2682">
        <v>4.67</v>
      </c>
      <c r="L2682">
        <v>3.61</v>
      </c>
      <c r="M2682">
        <v>3.74</v>
      </c>
      <c r="N2682">
        <v>3.61</v>
      </c>
      <c r="O2682">
        <v>3.65</v>
      </c>
      <c r="P2682" t="s">
        <v>32</v>
      </c>
      <c r="Q2682">
        <v>63217052</v>
      </c>
      <c r="R2682">
        <v>0.76</v>
      </c>
      <c r="S2682" t="s">
        <v>183</v>
      </c>
      <c r="T2682" t="s">
        <v>366</v>
      </c>
      <c r="U2682">
        <v>3.56</v>
      </c>
      <c r="V2682">
        <v>3.69</v>
      </c>
      <c r="W2682">
        <v>77839</v>
      </c>
      <c r="X2682">
        <v>93409</v>
      </c>
      <c r="Y2682">
        <v>0.83</v>
      </c>
      <c r="Z2682">
        <v>1554</v>
      </c>
      <c r="AA2682">
        <v>570</v>
      </c>
      <c r="AB2682" t="s">
        <v>32</v>
      </c>
      <c r="AC2682">
        <v>3.66</v>
      </c>
    </row>
    <row r="2683" spans="1:29">
      <c r="A2683" t="str">
        <f>"600696"</f>
        <v>600696</v>
      </c>
      <c r="B2683" t="s">
        <v>2853</v>
      </c>
      <c r="C2683">
        <v>1.36</v>
      </c>
      <c r="D2683">
        <v>3.74</v>
      </c>
      <c r="E2683">
        <v>0.05</v>
      </c>
      <c r="F2683">
        <v>3.74</v>
      </c>
      <c r="G2683">
        <v>3.75</v>
      </c>
      <c r="H2683">
        <v>14560</v>
      </c>
      <c r="I2683">
        <v>105</v>
      </c>
      <c r="J2683">
        <v>-0.26</v>
      </c>
      <c r="K2683">
        <v>0.43</v>
      </c>
      <c r="L2683">
        <v>3.69</v>
      </c>
      <c r="M2683">
        <v>3.76</v>
      </c>
      <c r="N2683">
        <v>3.69</v>
      </c>
      <c r="O2683">
        <v>3.69</v>
      </c>
      <c r="P2683">
        <v>46.53</v>
      </c>
      <c r="Q2683">
        <v>5434011</v>
      </c>
      <c r="R2683">
        <v>0.59</v>
      </c>
      <c r="S2683" t="s">
        <v>40</v>
      </c>
      <c r="T2683" t="s">
        <v>366</v>
      </c>
      <c r="U2683">
        <v>1.9</v>
      </c>
      <c r="V2683">
        <v>3.73</v>
      </c>
      <c r="W2683">
        <v>6407</v>
      </c>
      <c r="X2683">
        <v>8153</v>
      </c>
      <c r="Y2683">
        <v>0.79</v>
      </c>
      <c r="Z2683">
        <v>259</v>
      </c>
      <c r="AA2683">
        <v>48</v>
      </c>
      <c r="AB2683" t="s">
        <v>32</v>
      </c>
      <c r="AC2683">
        <v>3.41</v>
      </c>
    </row>
    <row r="2684" spans="1:29">
      <c r="A2684" t="str">
        <f>"600697"</f>
        <v>600697</v>
      </c>
      <c r="B2684" t="s">
        <v>2854</v>
      </c>
      <c r="C2684">
        <v>0.76</v>
      </c>
      <c r="D2684">
        <v>21.31</v>
      </c>
      <c r="E2684">
        <v>0.16</v>
      </c>
      <c r="F2684">
        <v>21.31</v>
      </c>
      <c r="G2684">
        <v>21.33</v>
      </c>
      <c r="H2684">
        <v>13038</v>
      </c>
      <c r="I2684">
        <v>10</v>
      </c>
      <c r="J2684">
        <v>0</v>
      </c>
      <c r="K2684">
        <v>0.84</v>
      </c>
      <c r="L2684">
        <v>21.17</v>
      </c>
      <c r="M2684">
        <v>21.36</v>
      </c>
      <c r="N2684">
        <v>21.02</v>
      </c>
      <c r="O2684">
        <v>21.15</v>
      </c>
      <c r="P2684">
        <v>16.9</v>
      </c>
      <c r="Q2684">
        <v>27701624</v>
      </c>
      <c r="R2684">
        <v>1.7</v>
      </c>
      <c r="S2684" t="s">
        <v>186</v>
      </c>
      <c r="T2684" t="s">
        <v>81</v>
      </c>
      <c r="U2684">
        <v>1.61</v>
      </c>
      <c r="V2684">
        <v>21.25</v>
      </c>
      <c r="W2684">
        <v>7045</v>
      </c>
      <c r="X2684">
        <v>5993</v>
      </c>
      <c r="Y2684">
        <v>1.18</v>
      </c>
      <c r="Z2684">
        <v>69</v>
      </c>
      <c r="AA2684">
        <v>9</v>
      </c>
      <c r="AB2684" t="s">
        <v>32</v>
      </c>
      <c r="AC2684">
        <v>1.55</v>
      </c>
    </row>
    <row r="2685" spans="1:29">
      <c r="A2685" t="str">
        <f>"600698"</f>
        <v>600698</v>
      </c>
      <c r="B2685" t="s">
        <v>2855</v>
      </c>
      <c r="C2685">
        <v>3.52</v>
      </c>
      <c r="D2685">
        <v>5</v>
      </c>
      <c r="E2685">
        <v>0.17</v>
      </c>
      <c r="F2685">
        <v>5</v>
      </c>
      <c r="G2685">
        <v>5.01</v>
      </c>
      <c r="H2685">
        <v>207709</v>
      </c>
      <c r="I2685">
        <v>5</v>
      </c>
      <c r="J2685">
        <v>0</v>
      </c>
      <c r="K2685">
        <v>2.82</v>
      </c>
      <c r="L2685">
        <v>4.76</v>
      </c>
      <c r="M2685">
        <v>5.29</v>
      </c>
      <c r="N2685">
        <v>4.76</v>
      </c>
      <c r="O2685">
        <v>4.83</v>
      </c>
      <c r="P2685" t="s">
        <v>32</v>
      </c>
      <c r="Q2685">
        <v>103506432</v>
      </c>
      <c r="R2685">
        <v>2.6</v>
      </c>
      <c r="S2685" t="s">
        <v>80</v>
      </c>
      <c r="T2685" t="s">
        <v>152</v>
      </c>
      <c r="U2685">
        <v>10.97</v>
      </c>
      <c r="V2685">
        <v>4.98</v>
      </c>
      <c r="W2685">
        <v>90171</v>
      </c>
      <c r="X2685">
        <v>117537</v>
      </c>
      <c r="Y2685">
        <v>0.77</v>
      </c>
      <c r="Z2685">
        <v>743</v>
      </c>
      <c r="AA2685">
        <v>1205</v>
      </c>
      <c r="AB2685" t="s">
        <v>32</v>
      </c>
      <c r="AC2685">
        <v>7.37</v>
      </c>
    </row>
    <row r="2686" spans="1:29">
      <c r="A2686" t="str">
        <f>"600699"</f>
        <v>600699</v>
      </c>
      <c r="B2686" t="s">
        <v>2856</v>
      </c>
      <c r="C2686">
        <v>2.31</v>
      </c>
      <c r="D2686">
        <v>26.15</v>
      </c>
      <c r="E2686">
        <v>0.59</v>
      </c>
      <c r="F2686">
        <v>26.15</v>
      </c>
      <c r="G2686">
        <v>26.16</v>
      </c>
      <c r="H2686">
        <v>38183</v>
      </c>
      <c r="I2686">
        <v>14</v>
      </c>
      <c r="J2686">
        <v>0.04</v>
      </c>
      <c r="K2686">
        <v>0.4</v>
      </c>
      <c r="L2686">
        <v>25.65</v>
      </c>
      <c r="M2686">
        <v>26.16</v>
      </c>
      <c r="N2686">
        <v>25.52</v>
      </c>
      <c r="O2686">
        <v>25.56</v>
      </c>
      <c r="P2686">
        <v>199.53</v>
      </c>
      <c r="Q2686">
        <v>99207160</v>
      </c>
      <c r="R2686">
        <v>1.99</v>
      </c>
      <c r="S2686" t="s">
        <v>80</v>
      </c>
      <c r="T2686" t="s">
        <v>149</v>
      </c>
      <c r="U2686">
        <v>2.5</v>
      </c>
      <c r="V2686">
        <v>25.98</v>
      </c>
      <c r="W2686">
        <v>15239</v>
      </c>
      <c r="X2686">
        <v>22944</v>
      </c>
      <c r="Y2686">
        <v>0.66</v>
      </c>
      <c r="Z2686">
        <v>13</v>
      </c>
      <c r="AA2686">
        <v>344</v>
      </c>
      <c r="AB2686" t="s">
        <v>32</v>
      </c>
      <c r="AC2686">
        <v>9.49</v>
      </c>
    </row>
    <row r="2687" spans="1:29">
      <c r="A2687" t="str">
        <f>"600701"</f>
        <v>600701</v>
      </c>
      <c r="B2687" t="s">
        <v>2857</v>
      </c>
      <c r="C2687">
        <v>0</v>
      </c>
      <c r="D2687">
        <v>9.22</v>
      </c>
      <c r="E2687">
        <v>0</v>
      </c>
      <c r="F2687" t="s">
        <v>32</v>
      </c>
      <c r="G2687" t="s">
        <v>32</v>
      </c>
      <c r="H2687">
        <v>0</v>
      </c>
      <c r="I2687">
        <v>0</v>
      </c>
      <c r="J2687">
        <v>0</v>
      </c>
      <c r="K2687">
        <v>0</v>
      </c>
      <c r="L2687" t="s">
        <v>32</v>
      </c>
      <c r="M2687" t="s">
        <v>32</v>
      </c>
      <c r="N2687" t="s">
        <v>32</v>
      </c>
      <c r="O2687">
        <v>9.22</v>
      </c>
      <c r="P2687" t="s">
        <v>32</v>
      </c>
      <c r="Q2687">
        <v>0</v>
      </c>
      <c r="R2687">
        <v>0</v>
      </c>
      <c r="S2687" t="s">
        <v>47</v>
      </c>
      <c r="T2687" t="s">
        <v>297</v>
      </c>
      <c r="U2687">
        <v>0</v>
      </c>
      <c r="V2687">
        <v>9.22</v>
      </c>
      <c r="W2687">
        <v>0</v>
      </c>
      <c r="X2687">
        <v>0</v>
      </c>
      <c r="Y2687" t="s">
        <v>32</v>
      </c>
      <c r="Z2687">
        <v>0</v>
      </c>
      <c r="AA2687">
        <v>0</v>
      </c>
      <c r="AB2687" t="s">
        <v>32</v>
      </c>
      <c r="AC2687">
        <v>7.76</v>
      </c>
    </row>
    <row r="2688" spans="1:29">
      <c r="A2688" t="str">
        <f>"600702"</f>
        <v>600702</v>
      </c>
      <c r="B2688" t="s">
        <v>2858</v>
      </c>
      <c r="C2688">
        <v>5.32</v>
      </c>
      <c r="D2688">
        <v>34.26</v>
      </c>
      <c r="E2688">
        <v>1.73</v>
      </c>
      <c r="F2688">
        <v>34.28</v>
      </c>
      <c r="G2688">
        <v>34.29</v>
      </c>
      <c r="H2688">
        <v>89222</v>
      </c>
      <c r="I2688">
        <v>27</v>
      </c>
      <c r="J2688">
        <v>0.71</v>
      </c>
      <c r="K2688">
        <v>2.65</v>
      </c>
      <c r="L2688">
        <v>32.49</v>
      </c>
      <c r="M2688">
        <v>34.3</v>
      </c>
      <c r="N2688">
        <v>32.23</v>
      </c>
      <c r="O2688">
        <v>32.53</v>
      </c>
      <c r="P2688">
        <v>34.91</v>
      </c>
      <c r="Q2688">
        <v>297139648</v>
      </c>
      <c r="R2688">
        <v>1.3</v>
      </c>
      <c r="S2688" t="s">
        <v>285</v>
      </c>
      <c r="T2688" t="s">
        <v>146</v>
      </c>
      <c r="U2688">
        <v>6.36</v>
      </c>
      <c r="V2688">
        <v>33.3</v>
      </c>
      <c r="W2688">
        <v>35443</v>
      </c>
      <c r="X2688">
        <v>53778</v>
      </c>
      <c r="Y2688">
        <v>0.66</v>
      </c>
      <c r="Z2688">
        <v>1</v>
      </c>
      <c r="AA2688">
        <v>2</v>
      </c>
      <c r="AB2688" t="s">
        <v>32</v>
      </c>
      <c r="AC2688">
        <v>3.37</v>
      </c>
    </row>
    <row r="2689" spans="1:29">
      <c r="A2689" t="str">
        <f>"600703"</f>
        <v>600703</v>
      </c>
      <c r="B2689" t="s">
        <v>2859</v>
      </c>
      <c r="C2689">
        <v>2.92</v>
      </c>
      <c r="D2689">
        <v>20.77</v>
      </c>
      <c r="E2689">
        <v>0.59</v>
      </c>
      <c r="F2689">
        <v>20.76</v>
      </c>
      <c r="G2689">
        <v>20.78</v>
      </c>
      <c r="H2689">
        <v>456957</v>
      </c>
      <c r="I2689">
        <v>10</v>
      </c>
      <c r="J2689">
        <v>0</v>
      </c>
      <c r="K2689">
        <v>1.12</v>
      </c>
      <c r="L2689">
        <v>20.26</v>
      </c>
      <c r="M2689">
        <v>20.94</v>
      </c>
      <c r="N2689">
        <v>20.26</v>
      </c>
      <c r="O2689">
        <v>20.18</v>
      </c>
      <c r="P2689">
        <v>21.87</v>
      </c>
      <c r="Q2689">
        <v>944662976</v>
      </c>
      <c r="R2689">
        <v>1.25</v>
      </c>
      <c r="S2689" t="s">
        <v>699</v>
      </c>
      <c r="T2689" t="s">
        <v>193</v>
      </c>
      <c r="U2689">
        <v>3.37</v>
      </c>
      <c r="V2689">
        <v>20.67</v>
      </c>
      <c r="W2689">
        <v>184802</v>
      </c>
      <c r="X2689">
        <v>272154</v>
      </c>
      <c r="Y2689">
        <v>0.68</v>
      </c>
      <c r="Z2689">
        <v>109</v>
      </c>
      <c r="AA2689">
        <v>480</v>
      </c>
      <c r="AB2689" t="s">
        <v>32</v>
      </c>
      <c r="AC2689">
        <v>40.78</v>
      </c>
    </row>
    <row r="2690" spans="1:29">
      <c r="A2690" t="str">
        <f>"600704"</f>
        <v>600704</v>
      </c>
      <c r="B2690" t="s">
        <v>2860</v>
      </c>
      <c r="C2690">
        <v>0.56</v>
      </c>
      <c r="D2690">
        <v>5.38</v>
      </c>
      <c r="E2690">
        <v>0.03</v>
      </c>
      <c r="F2690">
        <v>5.38</v>
      </c>
      <c r="G2690">
        <v>5.39</v>
      </c>
      <c r="H2690">
        <v>131115</v>
      </c>
      <c r="I2690">
        <v>114</v>
      </c>
      <c r="J2690">
        <v>0</v>
      </c>
      <c r="K2690">
        <v>0.98</v>
      </c>
      <c r="L2690">
        <v>5.37</v>
      </c>
      <c r="M2690">
        <v>5.44</v>
      </c>
      <c r="N2690">
        <v>5.29</v>
      </c>
      <c r="O2690">
        <v>5.35</v>
      </c>
      <c r="P2690">
        <v>6.97</v>
      </c>
      <c r="Q2690">
        <v>70473256</v>
      </c>
      <c r="R2690">
        <v>1.48</v>
      </c>
      <c r="S2690" t="s">
        <v>140</v>
      </c>
      <c r="T2690" t="s">
        <v>149</v>
      </c>
      <c r="U2690">
        <v>2.8</v>
      </c>
      <c r="V2690">
        <v>5.37</v>
      </c>
      <c r="W2690">
        <v>67018</v>
      </c>
      <c r="X2690">
        <v>64097</v>
      </c>
      <c r="Y2690">
        <v>1.05</v>
      </c>
      <c r="Z2690">
        <v>13</v>
      </c>
      <c r="AA2690">
        <v>561</v>
      </c>
      <c r="AB2690" t="s">
        <v>32</v>
      </c>
      <c r="AC2690">
        <v>13.38</v>
      </c>
    </row>
    <row r="2691" spans="1:29">
      <c r="A2691" t="str">
        <f>"600705"</f>
        <v>600705</v>
      </c>
      <c r="B2691" t="s">
        <v>2861</v>
      </c>
      <c r="C2691">
        <v>1.03</v>
      </c>
      <c r="D2691">
        <v>4.89</v>
      </c>
      <c r="E2691">
        <v>0.05</v>
      </c>
      <c r="F2691">
        <v>4.89</v>
      </c>
      <c r="G2691">
        <v>4.9</v>
      </c>
      <c r="H2691">
        <v>376681</v>
      </c>
      <c r="I2691">
        <v>90</v>
      </c>
      <c r="J2691">
        <v>0.2</v>
      </c>
      <c r="K2691">
        <v>0.49</v>
      </c>
      <c r="L2691">
        <v>4.86</v>
      </c>
      <c r="M2691">
        <v>4.95</v>
      </c>
      <c r="N2691">
        <v>4.82</v>
      </c>
      <c r="O2691">
        <v>4.84</v>
      </c>
      <c r="P2691">
        <v>13.85</v>
      </c>
      <c r="Q2691">
        <v>184278912</v>
      </c>
      <c r="R2691">
        <v>0.88</v>
      </c>
      <c r="S2691" t="s">
        <v>183</v>
      </c>
      <c r="T2691" t="s">
        <v>297</v>
      </c>
      <c r="U2691">
        <v>2.69</v>
      </c>
      <c r="V2691">
        <v>4.89</v>
      </c>
      <c r="W2691">
        <v>179541</v>
      </c>
      <c r="X2691">
        <v>197140</v>
      </c>
      <c r="Y2691">
        <v>0.91</v>
      </c>
      <c r="Z2691">
        <v>440</v>
      </c>
      <c r="AA2691">
        <v>4802</v>
      </c>
      <c r="AB2691" t="s">
        <v>32</v>
      </c>
      <c r="AC2691">
        <v>76.19</v>
      </c>
    </row>
    <row r="2692" spans="1:29">
      <c r="A2692" t="str">
        <f>"600706"</f>
        <v>600706</v>
      </c>
      <c r="B2692" t="s">
        <v>2862</v>
      </c>
      <c r="C2692">
        <v>2.81</v>
      </c>
      <c r="D2692">
        <v>12.42</v>
      </c>
      <c r="E2692">
        <v>0.34</v>
      </c>
      <c r="F2692">
        <v>12.41</v>
      </c>
      <c r="G2692">
        <v>12.43</v>
      </c>
      <c r="H2692">
        <v>67512</v>
      </c>
      <c r="I2692">
        <v>240</v>
      </c>
      <c r="J2692">
        <v>0.4</v>
      </c>
      <c r="K2692">
        <v>3.79</v>
      </c>
      <c r="L2692">
        <v>11.99</v>
      </c>
      <c r="M2692">
        <v>12.48</v>
      </c>
      <c r="N2692">
        <v>11.87</v>
      </c>
      <c r="O2692">
        <v>12.08</v>
      </c>
      <c r="P2692">
        <v>18.61</v>
      </c>
      <c r="Q2692">
        <v>81965456</v>
      </c>
      <c r="R2692">
        <v>1.62</v>
      </c>
      <c r="S2692" t="s">
        <v>321</v>
      </c>
      <c r="T2692" t="s">
        <v>223</v>
      </c>
      <c r="U2692">
        <v>5.05</v>
      </c>
      <c r="V2692">
        <v>12.14</v>
      </c>
      <c r="W2692">
        <v>34001</v>
      </c>
      <c r="X2692">
        <v>33510</v>
      </c>
      <c r="Y2692">
        <v>1.01</v>
      </c>
      <c r="Z2692">
        <v>63</v>
      </c>
      <c r="AA2692">
        <v>114</v>
      </c>
      <c r="AB2692" t="s">
        <v>32</v>
      </c>
      <c r="AC2692">
        <v>1.78</v>
      </c>
    </row>
    <row r="2693" spans="1:29">
      <c r="A2693" t="str">
        <f>"600707"</f>
        <v>600707</v>
      </c>
      <c r="B2693" t="s">
        <v>2863</v>
      </c>
      <c r="C2693">
        <v>1.18</v>
      </c>
      <c r="D2693">
        <v>6.87</v>
      </c>
      <c r="E2693">
        <v>0.08</v>
      </c>
      <c r="F2693">
        <v>6.86</v>
      </c>
      <c r="G2693">
        <v>6.87</v>
      </c>
      <c r="H2693">
        <v>26373</v>
      </c>
      <c r="I2693">
        <v>5</v>
      </c>
      <c r="J2693">
        <v>-0.28</v>
      </c>
      <c r="K2693">
        <v>0.36</v>
      </c>
      <c r="L2693">
        <v>6.79</v>
      </c>
      <c r="M2693">
        <v>6.91</v>
      </c>
      <c r="N2693">
        <v>6.75</v>
      </c>
      <c r="O2693">
        <v>6.79</v>
      </c>
      <c r="P2693" t="s">
        <v>32</v>
      </c>
      <c r="Q2693">
        <v>18090016</v>
      </c>
      <c r="R2693">
        <v>1.34</v>
      </c>
      <c r="S2693" t="s">
        <v>63</v>
      </c>
      <c r="T2693" t="s">
        <v>223</v>
      </c>
      <c r="U2693">
        <v>2.36</v>
      </c>
      <c r="V2693">
        <v>6.86</v>
      </c>
      <c r="W2693">
        <v>12517</v>
      </c>
      <c r="X2693">
        <v>13856</v>
      </c>
      <c r="Y2693">
        <v>0.9</v>
      </c>
      <c r="Z2693">
        <v>209</v>
      </c>
      <c r="AA2693">
        <v>74</v>
      </c>
      <c r="AB2693" t="s">
        <v>32</v>
      </c>
      <c r="AC2693">
        <v>7.36</v>
      </c>
    </row>
    <row r="2694" spans="1:29">
      <c r="A2694" t="str">
        <f>"600708"</f>
        <v>600708</v>
      </c>
      <c r="B2694" t="s">
        <v>2864</v>
      </c>
      <c r="C2694">
        <v>3.22</v>
      </c>
      <c r="D2694">
        <v>4.49</v>
      </c>
      <c r="E2694">
        <v>0.14</v>
      </c>
      <c r="F2694">
        <v>4.48</v>
      </c>
      <c r="G2694">
        <v>4.49</v>
      </c>
      <c r="H2694">
        <v>173186</v>
      </c>
      <c r="I2694">
        <v>71</v>
      </c>
      <c r="J2694">
        <v>0</v>
      </c>
      <c r="K2694">
        <v>1.35</v>
      </c>
      <c r="L2694">
        <v>4.35</v>
      </c>
      <c r="M2694">
        <v>4.51</v>
      </c>
      <c r="N2694">
        <v>4.35</v>
      </c>
      <c r="O2694">
        <v>4.35</v>
      </c>
      <c r="P2694">
        <v>4.87</v>
      </c>
      <c r="Q2694">
        <v>77157432</v>
      </c>
      <c r="R2694">
        <v>1.99</v>
      </c>
      <c r="S2694" t="s">
        <v>34</v>
      </c>
      <c r="T2694" t="s">
        <v>366</v>
      </c>
      <c r="U2694">
        <v>3.68</v>
      </c>
      <c r="V2694">
        <v>4.46</v>
      </c>
      <c r="W2694">
        <v>68755</v>
      </c>
      <c r="X2694">
        <v>104430</v>
      </c>
      <c r="Y2694">
        <v>0.66</v>
      </c>
      <c r="Z2694">
        <v>963</v>
      </c>
      <c r="AA2694">
        <v>1018</v>
      </c>
      <c r="AB2694" t="s">
        <v>32</v>
      </c>
      <c r="AC2694">
        <v>12.86</v>
      </c>
    </row>
    <row r="2695" spans="1:29">
      <c r="A2695" t="str">
        <f>"600710"</f>
        <v>600710</v>
      </c>
      <c r="B2695" t="s">
        <v>2865</v>
      </c>
      <c r="C2695">
        <v>3.33</v>
      </c>
      <c r="D2695">
        <v>4.35</v>
      </c>
      <c r="E2695">
        <v>0.14</v>
      </c>
      <c r="F2695">
        <v>4.35</v>
      </c>
      <c r="G2695">
        <v>4.37</v>
      </c>
      <c r="H2695">
        <v>51130</v>
      </c>
      <c r="I2695">
        <v>137</v>
      </c>
      <c r="J2695">
        <v>0</v>
      </c>
      <c r="K2695">
        <v>0.8</v>
      </c>
      <c r="L2695">
        <v>4.21</v>
      </c>
      <c r="M2695">
        <v>4.42</v>
      </c>
      <c r="N2695">
        <v>4.21</v>
      </c>
      <c r="O2695">
        <v>4.21</v>
      </c>
      <c r="P2695">
        <v>18.33</v>
      </c>
      <c r="Q2695">
        <v>22131452</v>
      </c>
      <c r="R2695">
        <v>1.85</v>
      </c>
      <c r="S2695" t="s">
        <v>151</v>
      </c>
      <c r="T2695" t="s">
        <v>87</v>
      </c>
      <c r="U2695">
        <v>4.99</v>
      </c>
      <c r="V2695">
        <v>4.33</v>
      </c>
      <c r="W2695">
        <v>18524</v>
      </c>
      <c r="X2695">
        <v>32606</v>
      </c>
      <c r="Y2695">
        <v>0.57</v>
      </c>
      <c r="Z2695">
        <v>5</v>
      </c>
      <c r="AA2695">
        <v>870</v>
      </c>
      <c r="AB2695" t="s">
        <v>32</v>
      </c>
      <c r="AC2695">
        <v>6.4</v>
      </c>
    </row>
    <row r="2696" spans="1:29">
      <c r="A2696" t="str">
        <f>"600711"</f>
        <v>600711</v>
      </c>
      <c r="B2696" t="s">
        <v>2866</v>
      </c>
      <c r="C2696">
        <v>0.94</v>
      </c>
      <c r="D2696">
        <v>9.71</v>
      </c>
      <c r="E2696">
        <v>0.09</v>
      </c>
      <c r="F2696">
        <v>9.71</v>
      </c>
      <c r="G2696">
        <v>9.72</v>
      </c>
      <c r="H2696">
        <v>821856</v>
      </c>
      <c r="I2696">
        <v>10</v>
      </c>
      <c r="J2696">
        <v>-0.09</v>
      </c>
      <c r="K2696">
        <v>5.49</v>
      </c>
      <c r="L2696">
        <v>9.6</v>
      </c>
      <c r="M2696">
        <v>9.99</v>
      </c>
      <c r="N2696">
        <v>9.56</v>
      </c>
      <c r="O2696">
        <v>9.62</v>
      </c>
      <c r="P2696">
        <v>26.3</v>
      </c>
      <c r="Q2696">
        <v>804518400</v>
      </c>
      <c r="R2696">
        <v>1.01</v>
      </c>
      <c r="S2696" t="s">
        <v>356</v>
      </c>
      <c r="T2696" t="s">
        <v>236</v>
      </c>
      <c r="U2696">
        <v>4.47</v>
      </c>
      <c r="V2696">
        <v>9.79</v>
      </c>
      <c r="W2696">
        <v>427378</v>
      </c>
      <c r="X2696">
        <v>394478</v>
      </c>
      <c r="Y2696">
        <v>1.08</v>
      </c>
      <c r="Z2696">
        <v>36</v>
      </c>
      <c r="AA2696">
        <v>2404</v>
      </c>
      <c r="AB2696" t="s">
        <v>32</v>
      </c>
      <c r="AC2696">
        <v>14.97</v>
      </c>
    </row>
    <row r="2697" spans="1:29">
      <c r="A2697" t="str">
        <f>"600712"</f>
        <v>600712</v>
      </c>
      <c r="B2697" t="s">
        <v>2867</v>
      </c>
      <c r="C2697">
        <v>2.39</v>
      </c>
      <c r="D2697">
        <v>4.28</v>
      </c>
      <c r="E2697">
        <v>0.1</v>
      </c>
      <c r="F2697">
        <v>4.27</v>
      </c>
      <c r="G2697">
        <v>4.28</v>
      </c>
      <c r="H2697">
        <v>32976</v>
      </c>
      <c r="I2697">
        <v>337</v>
      </c>
      <c r="J2697">
        <v>0</v>
      </c>
      <c r="K2697">
        <v>0.61</v>
      </c>
      <c r="L2697">
        <v>4.25</v>
      </c>
      <c r="M2697">
        <v>4.3</v>
      </c>
      <c r="N2697">
        <v>4.22</v>
      </c>
      <c r="O2697">
        <v>4.18</v>
      </c>
      <c r="P2697" t="s">
        <v>32</v>
      </c>
      <c r="Q2697">
        <v>14058302</v>
      </c>
      <c r="R2697">
        <v>1.88</v>
      </c>
      <c r="S2697" t="s">
        <v>186</v>
      </c>
      <c r="T2697" t="s">
        <v>238</v>
      </c>
      <c r="U2697">
        <v>1.91</v>
      </c>
      <c r="V2697">
        <v>4.26</v>
      </c>
      <c r="W2697">
        <v>12033</v>
      </c>
      <c r="X2697">
        <v>20942</v>
      </c>
      <c r="Y2697">
        <v>0.57</v>
      </c>
      <c r="Z2697">
        <v>622</v>
      </c>
      <c r="AA2697">
        <v>351</v>
      </c>
      <c r="AB2697" t="s">
        <v>32</v>
      </c>
      <c r="AC2697">
        <v>5.38</v>
      </c>
    </row>
    <row r="2698" spans="1:29">
      <c r="A2698" t="str">
        <f>"600713"</f>
        <v>600713</v>
      </c>
      <c r="B2698" t="s">
        <v>2868</v>
      </c>
      <c r="C2698">
        <v>1.87</v>
      </c>
      <c r="D2698">
        <v>4.91</v>
      </c>
      <c r="E2698">
        <v>0.09</v>
      </c>
      <c r="F2698">
        <v>4.9</v>
      </c>
      <c r="G2698">
        <v>4.91</v>
      </c>
      <c r="H2698">
        <v>37017</v>
      </c>
      <c r="I2698">
        <v>5</v>
      </c>
      <c r="J2698">
        <v>0</v>
      </c>
      <c r="K2698">
        <v>0.41</v>
      </c>
      <c r="L2698">
        <v>4.8</v>
      </c>
      <c r="M2698">
        <v>4.91</v>
      </c>
      <c r="N2698">
        <v>4.77</v>
      </c>
      <c r="O2698">
        <v>4.82</v>
      </c>
      <c r="P2698">
        <v>19.29</v>
      </c>
      <c r="Q2698">
        <v>18028632</v>
      </c>
      <c r="R2698">
        <v>2.27</v>
      </c>
      <c r="S2698" t="s">
        <v>77</v>
      </c>
      <c r="T2698" t="s">
        <v>87</v>
      </c>
      <c r="U2698">
        <v>2.9</v>
      </c>
      <c r="V2698">
        <v>4.87</v>
      </c>
      <c r="W2698">
        <v>11454</v>
      </c>
      <c r="X2698">
        <v>25563</v>
      </c>
      <c r="Y2698">
        <v>0.45</v>
      </c>
      <c r="Z2698">
        <v>662</v>
      </c>
      <c r="AA2698">
        <v>346</v>
      </c>
      <c r="AB2698" t="s">
        <v>32</v>
      </c>
      <c r="AC2698">
        <v>8.97</v>
      </c>
    </row>
    <row r="2699" spans="1:29">
      <c r="A2699" t="str">
        <f>"600714"</f>
        <v>600714</v>
      </c>
      <c r="B2699" t="s">
        <v>2869</v>
      </c>
      <c r="C2699">
        <v>1.92</v>
      </c>
      <c r="D2699">
        <v>6.9</v>
      </c>
      <c r="E2699">
        <v>0.13</v>
      </c>
      <c r="F2699">
        <v>6.88</v>
      </c>
      <c r="G2699">
        <v>6.9</v>
      </c>
      <c r="H2699">
        <v>11437</v>
      </c>
      <c r="I2699">
        <v>11</v>
      </c>
      <c r="J2699">
        <v>0</v>
      </c>
      <c r="K2699">
        <v>0.4</v>
      </c>
      <c r="L2699">
        <v>6.75</v>
      </c>
      <c r="M2699">
        <v>6.95</v>
      </c>
      <c r="N2699">
        <v>6.75</v>
      </c>
      <c r="O2699">
        <v>6.77</v>
      </c>
      <c r="P2699">
        <v>111.72</v>
      </c>
      <c r="Q2699">
        <v>7858684</v>
      </c>
      <c r="R2699">
        <v>1.83</v>
      </c>
      <c r="S2699" t="s">
        <v>265</v>
      </c>
      <c r="T2699" t="s">
        <v>176</v>
      </c>
      <c r="U2699">
        <v>2.95</v>
      </c>
      <c r="V2699">
        <v>6.87</v>
      </c>
      <c r="W2699">
        <v>4966</v>
      </c>
      <c r="X2699">
        <v>6471</v>
      </c>
      <c r="Y2699">
        <v>0.77</v>
      </c>
      <c r="Z2699">
        <v>10</v>
      </c>
      <c r="AA2699">
        <v>119</v>
      </c>
      <c r="AB2699" t="s">
        <v>32</v>
      </c>
      <c r="AC2699">
        <v>2.88</v>
      </c>
    </row>
    <row r="2700" spans="1:29">
      <c r="A2700" t="str">
        <f>"600715"</f>
        <v>600715</v>
      </c>
      <c r="B2700" t="s">
        <v>2870</v>
      </c>
      <c r="C2700">
        <v>1.01</v>
      </c>
      <c r="D2700">
        <v>7.98</v>
      </c>
      <c r="E2700">
        <v>0.08</v>
      </c>
      <c r="F2700">
        <v>7.97</v>
      </c>
      <c r="G2700">
        <v>7.98</v>
      </c>
      <c r="H2700">
        <v>74204</v>
      </c>
      <c r="I2700">
        <v>66</v>
      </c>
      <c r="J2700">
        <v>0.13</v>
      </c>
      <c r="K2700">
        <v>1.65</v>
      </c>
      <c r="L2700">
        <v>7.86</v>
      </c>
      <c r="M2700">
        <v>8.15</v>
      </c>
      <c r="N2700">
        <v>7.82</v>
      </c>
      <c r="O2700">
        <v>7.9</v>
      </c>
      <c r="P2700">
        <v>41.93</v>
      </c>
      <c r="Q2700">
        <v>59498652</v>
      </c>
      <c r="R2700">
        <v>1.08</v>
      </c>
      <c r="S2700" t="s">
        <v>148</v>
      </c>
      <c r="T2700" t="s">
        <v>111</v>
      </c>
      <c r="U2700">
        <v>4.18</v>
      </c>
      <c r="V2700">
        <v>8.02</v>
      </c>
      <c r="W2700">
        <v>36636</v>
      </c>
      <c r="X2700">
        <v>37568</v>
      </c>
      <c r="Y2700">
        <v>0.98</v>
      </c>
      <c r="Z2700">
        <v>365</v>
      </c>
      <c r="AA2700">
        <v>50</v>
      </c>
      <c r="AB2700" t="s">
        <v>32</v>
      </c>
      <c r="AC2700">
        <v>4.49</v>
      </c>
    </row>
    <row r="2701" spans="1:29">
      <c r="A2701" t="str">
        <f>"600716"</f>
        <v>600716</v>
      </c>
      <c r="B2701" t="s">
        <v>2871</v>
      </c>
      <c r="C2701">
        <v>1.35</v>
      </c>
      <c r="D2701">
        <v>3.76</v>
      </c>
      <c r="E2701">
        <v>0.05</v>
      </c>
      <c r="F2701">
        <v>3.75</v>
      </c>
      <c r="G2701">
        <v>3.76</v>
      </c>
      <c r="H2701">
        <v>50548</v>
      </c>
      <c r="I2701">
        <v>18</v>
      </c>
      <c r="J2701">
        <v>0.27</v>
      </c>
      <c r="K2701">
        <v>0.56</v>
      </c>
      <c r="L2701">
        <v>3.71</v>
      </c>
      <c r="M2701">
        <v>3.77</v>
      </c>
      <c r="N2701">
        <v>3.71</v>
      </c>
      <c r="O2701">
        <v>3.71</v>
      </c>
      <c r="P2701" t="s">
        <v>32</v>
      </c>
      <c r="Q2701">
        <v>18941046</v>
      </c>
      <c r="R2701">
        <v>1.6</v>
      </c>
      <c r="S2701" t="s">
        <v>40</v>
      </c>
      <c r="T2701" t="s">
        <v>87</v>
      </c>
      <c r="U2701">
        <v>1.62</v>
      </c>
      <c r="V2701">
        <v>3.75</v>
      </c>
      <c r="W2701">
        <v>26218</v>
      </c>
      <c r="X2701">
        <v>24330</v>
      </c>
      <c r="Y2701">
        <v>1.08</v>
      </c>
      <c r="Z2701">
        <v>766</v>
      </c>
      <c r="AA2701">
        <v>328</v>
      </c>
      <c r="AB2701" t="s">
        <v>32</v>
      </c>
      <c r="AC2701">
        <v>9.1</v>
      </c>
    </row>
    <row r="2702" spans="1:29">
      <c r="A2702" t="str">
        <f>"600717"</f>
        <v>600717</v>
      </c>
      <c r="B2702" t="s">
        <v>2872</v>
      </c>
      <c r="C2702">
        <v>2.61</v>
      </c>
      <c r="D2702">
        <v>7.87</v>
      </c>
      <c r="E2702">
        <v>0.2</v>
      </c>
      <c r="F2702">
        <v>7.87</v>
      </c>
      <c r="G2702">
        <v>7.88</v>
      </c>
      <c r="H2702">
        <v>102886</v>
      </c>
      <c r="I2702">
        <v>310</v>
      </c>
      <c r="J2702">
        <v>0.13</v>
      </c>
      <c r="K2702">
        <v>0.61</v>
      </c>
      <c r="L2702">
        <v>7.65</v>
      </c>
      <c r="M2702">
        <v>7.89</v>
      </c>
      <c r="N2702">
        <v>7.64</v>
      </c>
      <c r="O2702">
        <v>7.67</v>
      </c>
      <c r="P2702">
        <v>14.24</v>
      </c>
      <c r="Q2702">
        <v>80505896</v>
      </c>
      <c r="R2702">
        <v>2.94</v>
      </c>
      <c r="S2702" t="s">
        <v>67</v>
      </c>
      <c r="T2702" t="s">
        <v>248</v>
      </c>
      <c r="U2702">
        <v>3.26</v>
      </c>
      <c r="V2702">
        <v>7.82</v>
      </c>
      <c r="W2702">
        <v>43126</v>
      </c>
      <c r="X2702">
        <v>59760</v>
      </c>
      <c r="Y2702">
        <v>0.72</v>
      </c>
      <c r="Z2702">
        <v>92</v>
      </c>
      <c r="AA2702">
        <v>1688</v>
      </c>
      <c r="AB2702" t="s">
        <v>32</v>
      </c>
      <c r="AC2702">
        <v>16.75</v>
      </c>
    </row>
    <row r="2703" spans="1:29">
      <c r="A2703" t="str">
        <f>"600718"</f>
        <v>600718</v>
      </c>
      <c r="B2703" t="s">
        <v>2873</v>
      </c>
      <c r="C2703">
        <v>3.48</v>
      </c>
      <c r="D2703">
        <v>13.69</v>
      </c>
      <c r="E2703">
        <v>0.46</v>
      </c>
      <c r="F2703">
        <v>13.69</v>
      </c>
      <c r="G2703">
        <v>13.7</v>
      </c>
      <c r="H2703">
        <v>240839</v>
      </c>
      <c r="I2703">
        <v>70</v>
      </c>
      <c r="J2703">
        <v>0.29</v>
      </c>
      <c r="K2703">
        <v>1.95</v>
      </c>
      <c r="L2703">
        <v>13.26</v>
      </c>
      <c r="M2703">
        <v>13.9</v>
      </c>
      <c r="N2703">
        <v>13.04</v>
      </c>
      <c r="O2703">
        <v>13.23</v>
      </c>
      <c r="P2703">
        <v>151.36</v>
      </c>
      <c r="Q2703">
        <v>323138432</v>
      </c>
      <c r="R2703">
        <v>2.52</v>
      </c>
      <c r="S2703" t="s">
        <v>270</v>
      </c>
      <c r="T2703" t="s">
        <v>111</v>
      </c>
      <c r="U2703">
        <v>6.5</v>
      </c>
      <c r="V2703">
        <v>13.42</v>
      </c>
      <c r="W2703">
        <v>103696</v>
      </c>
      <c r="X2703">
        <v>137142</v>
      </c>
      <c r="Y2703">
        <v>0.76</v>
      </c>
      <c r="Z2703">
        <v>25</v>
      </c>
      <c r="AA2703">
        <v>1</v>
      </c>
      <c r="AB2703" t="s">
        <v>32</v>
      </c>
      <c r="AC2703">
        <v>12.37</v>
      </c>
    </row>
    <row r="2704" spans="1:29">
      <c r="A2704" t="str">
        <f>"600719"</f>
        <v>600719</v>
      </c>
      <c r="B2704" t="s">
        <v>2874</v>
      </c>
      <c r="C2704">
        <v>1.17</v>
      </c>
      <c r="D2704">
        <v>4.34</v>
      </c>
      <c r="E2704">
        <v>0.05</v>
      </c>
      <c r="F2704">
        <v>4.33</v>
      </c>
      <c r="G2704">
        <v>4.34</v>
      </c>
      <c r="H2704">
        <v>30121</v>
      </c>
      <c r="I2704">
        <v>1</v>
      </c>
      <c r="J2704">
        <v>-0.68</v>
      </c>
      <c r="K2704">
        <v>0.74</v>
      </c>
      <c r="L2704">
        <v>4.3</v>
      </c>
      <c r="M2704">
        <v>4.38</v>
      </c>
      <c r="N2704">
        <v>4.28</v>
      </c>
      <c r="O2704">
        <v>4.29</v>
      </c>
      <c r="P2704">
        <v>8.34</v>
      </c>
      <c r="Q2704">
        <v>13085227</v>
      </c>
      <c r="R2704">
        <v>2.16</v>
      </c>
      <c r="S2704" t="s">
        <v>174</v>
      </c>
      <c r="T2704" t="s">
        <v>111</v>
      </c>
      <c r="U2704">
        <v>2.33</v>
      </c>
      <c r="V2704">
        <v>4.34</v>
      </c>
      <c r="W2704">
        <v>14774</v>
      </c>
      <c r="X2704">
        <v>15347</v>
      </c>
      <c r="Y2704">
        <v>0.96</v>
      </c>
      <c r="Z2704">
        <v>596</v>
      </c>
      <c r="AA2704">
        <v>29</v>
      </c>
      <c r="AB2704" t="s">
        <v>32</v>
      </c>
      <c r="AC2704">
        <v>4.05</v>
      </c>
    </row>
    <row r="2705" spans="1:29">
      <c r="A2705" t="str">
        <f>"600720"</f>
        <v>600720</v>
      </c>
      <c r="B2705" t="s">
        <v>2875</v>
      </c>
      <c r="C2705">
        <v>9.86</v>
      </c>
      <c r="D2705">
        <v>7.8</v>
      </c>
      <c r="E2705">
        <v>0.7</v>
      </c>
      <c r="F2705">
        <v>7.79</v>
      </c>
      <c r="G2705">
        <v>7.8</v>
      </c>
      <c r="H2705">
        <v>551754</v>
      </c>
      <c r="I2705">
        <v>20</v>
      </c>
      <c r="J2705">
        <v>0.13</v>
      </c>
      <c r="K2705">
        <v>7.11</v>
      </c>
      <c r="L2705">
        <v>7.25</v>
      </c>
      <c r="M2705">
        <v>7.81</v>
      </c>
      <c r="N2705">
        <v>7.25</v>
      </c>
      <c r="O2705">
        <v>7.1</v>
      </c>
      <c r="P2705" t="s">
        <v>32</v>
      </c>
      <c r="Q2705">
        <v>416935328</v>
      </c>
      <c r="R2705">
        <v>4.68</v>
      </c>
      <c r="S2705" t="s">
        <v>166</v>
      </c>
      <c r="T2705" t="s">
        <v>266</v>
      </c>
      <c r="U2705">
        <v>7.89</v>
      </c>
      <c r="V2705">
        <v>7.56</v>
      </c>
      <c r="W2705">
        <v>226483</v>
      </c>
      <c r="X2705">
        <v>325270</v>
      </c>
      <c r="Y2705">
        <v>0.7</v>
      </c>
      <c r="Z2705">
        <v>297</v>
      </c>
      <c r="AA2705">
        <v>722</v>
      </c>
      <c r="AB2705" t="s">
        <v>32</v>
      </c>
      <c r="AC2705">
        <v>7.76</v>
      </c>
    </row>
    <row r="2706" spans="1:29">
      <c r="A2706" t="str">
        <f>"600721"</f>
        <v>600721</v>
      </c>
      <c r="B2706" t="s">
        <v>2876</v>
      </c>
      <c r="C2706">
        <v>1.79</v>
      </c>
      <c r="D2706">
        <v>6.81</v>
      </c>
      <c r="E2706">
        <v>0.12</v>
      </c>
      <c r="F2706">
        <v>6.82</v>
      </c>
      <c r="G2706">
        <v>6.83</v>
      </c>
      <c r="H2706">
        <v>37465</v>
      </c>
      <c r="I2706">
        <v>275</v>
      </c>
      <c r="J2706">
        <v>0.44</v>
      </c>
      <c r="K2706">
        <v>1.24</v>
      </c>
      <c r="L2706">
        <v>6.68</v>
      </c>
      <c r="M2706">
        <v>6.86</v>
      </c>
      <c r="N2706">
        <v>6.62</v>
      </c>
      <c r="O2706">
        <v>6.69</v>
      </c>
      <c r="P2706">
        <v>21.56</v>
      </c>
      <c r="Q2706">
        <v>25426408</v>
      </c>
      <c r="R2706">
        <v>1.16</v>
      </c>
      <c r="S2706" t="s">
        <v>36</v>
      </c>
      <c r="T2706" t="s">
        <v>156</v>
      </c>
      <c r="U2706">
        <v>3.59</v>
      </c>
      <c r="V2706">
        <v>6.79</v>
      </c>
      <c r="W2706">
        <v>18365</v>
      </c>
      <c r="X2706">
        <v>19100</v>
      </c>
      <c r="Y2706">
        <v>0.96</v>
      </c>
      <c r="Z2706">
        <v>24</v>
      </c>
      <c r="AA2706">
        <v>181</v>
      </c>
      <c r="AB2706" t="s">
        <v>32</v>
      </c>
      <c r="AC2706">
        <v>3.03</v>
      </c>
    </row>
    <row r="2707" spans="1:29">
      <c r="A2707" t="str">
        <f>"600722"</f>
        <v>600722</v>
      </c>
      <c r="B2707" t="s">
        <v>2877</v>
      </c>
      <c r="C2707">
        <v>2.45</v>
      </c>
      <c r="D2707">
        <v>4.6</v>
      </c>
      <c r="E2707">
        <v>0.11</v>
      </c>
      <c r="F2707">
        <v>4.6</v>
      </c>
      <c r="G2707">
        <v>4.61</v>
      </c>
      <c r="H2707">
        <v>78295</v>
      </c>
      <c r="I2707">
        <v>13</v>
      </c>
      <c r="J2707">
        <v>0.22</v>
      </c>
      <c r="K2707">
        <v>1.15</v>
      </c>
      <c r="L2707">
        <v>4.51</v>
      </c>
      <c r="M2707">
        <v>4.61</v>
      </c>
      <c r="N2707">
        <v>4.47</v>
      </c>
      <c r="O2707">
        <v>4.49</v>
      </c>
      <c r="P2707">
        <v>225.89</v>
      </c>
      <c r="Q2707">
        <v>35779844</v>
      </c>
      <c r="R2707">
        <v>1.61</v>
      </c>
      <c r="S2707" t="s">
        <v>218</v>
      </c>
      <c r="T2707" t="s">
        <v>154</v>
      </c>
      <c r="U2707">
        <v>3.12</v>
      </c>
      <c r="V2707">
        <v>4.57</v>
      </c>
      <c r="W2707">
        <v>35427</v>
      </c>
      <c r="X2707">
        <v>42868</v>
      </c>
      <c r="Y2707">
        <v>0.83</v>
      </c>
      <c r="Z2707">
        <v>20</v>
      </c>
      <c r="AA2707">
        <v>748</v>
      </c>
      <c r="AB2707" t="s">
        <v>32</v>
      </c>
      <c r="AC2707">
        <v>6.8</v>
      </c>
    </row>
    <row r="2708" spans="1:29">
      <c r="A2708" t="str">
        <f>"600723"</f>
        <v>600723</v>
      </c>
      <c r="B2708" t="s">
        <v>2878</v>
      </c>
      <c r="C2708">
        <v>1.31</v>
      </c>
      <c r="D2708">
        <v>6.98</v>
      </c>
      <c r="E2708">
        <v>0.09</v>
      </c>
      <c r="F2708">
        <v>6.97</v>
      </c>
      <c r="G2708">
        <v>6.98</v>
      </c>
      <c r="H2708">
        <v>15381</v>
      </c>
      <c r="I2708">
        <v>20</v>
      </c>
      <c r="J2708">
        <v>0.14</v>
      </c>
      <c r="K2708">
        <v>0.23</v>
      </c>
      <c r="L2708">
        <v>6.94</v>
      </c>
      <c r="M2708">
        <v>7.02</v>
      </c>
      <c r="N2708">
        <v>6.87</v>
      </c>
      <c r="O2708">
        <v>6.89</v>
      </c>
      <c r="P2708">
        <v>12.73</v>
      </c>
      <c r="Q2708">
        <v>10679585</v>
      </c>
      <c r="R2708">
        <v>1.39</v>
      </c>
      <c r="S2708" t="s">
        <v>186</v>
      </c>
      <c r="T2708" t="s">
        <v>45</v>
      </c>
      <c r="U2708">
        <v>2.18</v>
      </c>
      <c r="V2708">
        <v>6.94</v>
      </c>
      <c r="W2708">
        <v>6758</v>
      </c>
      <c r="X2708">
        <v>8622</v>
      </c>
      <c r="Y2708">
        <v>0.78</v>
      </c>
      <c r="Z2708">
        <v>201</v>
      </c>
      <c r="AA2708">
        <v>42</v>
      </c>
      <c r="AB2708" t="s">
        <v>32</v>
      </c>
      <c r="AC2708">
        <v>6.58</v>
      </c>
    </row>
    <row r="2709" spans="1:29">
      <c r="A2709" t="str">
        <f>"600724"</f>
        <v>600724</v>
      </c>
      <c r="B2709" t="s">
        <v>2879</v>
      </c>
      <c r="C2709">
        <v>0</v>
      </c>
      <c r="D2709">
        <v>3.29</v>
      </c>
      <c r="E2709">
        <v>0</v>
      </c>
      <c r="F2709" t="s">
        <v>32</v>
      </c>
      <c r="G2709" t="s">
        <v>32</v>
      </c>
      <c r="H2709">
        <v>0</v>
      </c>
      <c r="I2709">
        <v>0</v>
      </c>
      <c r="J2709">
        <v>0</v>
      </c>
      <c r="K2709">
        <v>0</v>
      </c>
      <c r="L2709" t="s">
        <v>32</v>
      </c>
      <c r="M2709" t="s">
        <v>32</v>
      </c>
      <c r="N2709" t="s">
        <v>32</v>
      </c>
      <c r="O2709">
        <v>3.29</v>
      </c>
      <c r="P2709">
        <v>20.84</v>
      </c>
      <c r="Q2709">
        <v>0</v>
      </c>
      <c r="R2709">
        <v>0</v>
      </c>
      <c r="S2709" t="s">
        <v>40</v>
      </c>
      <c r="T2709" t="s">
        <v>149</v>
      </c>
      <c r="U2709">
        <v>0</v>
      </c>
      <c r="V2709">
        <v>3.29</v>
      </c>
      <c r="W2709">
        <v>0</v>
      </c>
      <c r="X2709">
        <v>0</v>
      </c>
      <c r="Y2709" t="s">
        <v>32</v>
      </c>
      <c r="Z2709">
        <v>0</v>
      </c>
      <c r="AA2709">
        <v>0</v>
      </c>
      <c r="AB2709" t="s">
        <v>32</v>
      </c>
      <c r="AC2709">
        <v>14.45</v>
      </c>
    </row>
    <row r="2710" spans="1:29">
      <c r="A2710" t="str">
        <f>"600725"</f>
        <v>600725</v>
      </c>
      <c r="B2710" t="s">
        <v>2880</v>
      </c>
      <c r="C2710">
        <v>4.81</v>
      </c>
      <c r="D2710">
        <v>2.18</v>
      </c>
      <c r="E2710">
        <v>0.1</v>
      </c>
      <c r="F2710">
        <v>2.18</v>
      </c>
      <c r="G2710" t="s">
        <v>32</v>
      </c>
      <c r="H2710">
        <v>41528</v>
      </c>
      <c r="I2710">
        <v>100</v>
      </c>
      <c r="J2710">
        <v>0</v>
      </c>
      <c r="K2710">
        <v>0.34</v>
      </c>
      <c r="L2710">
        <v>2.08</v>
      </c>
      <c r="M2710">
        <v>2.18</v>
      </c>
      <c r="N2710">
        <v>2.07</v>
      </c>
      <c r="O2710">
        <v>2.08</v>
      </c>
      <c r="P2710">
        <v>149.13</v>
      </c>
      <c r="Q2710">
        <v>8884214</v>
      </c>
      <c r="R2710">
        <v>2.25</v>
      </c>
      <c r="S2710" t="s">
        <v>414</v>
      </c>
      <c r="T2710" t="s">
        <v>250</v>
      </c>
      <c r="U2710">
        <v>5.29</v>
      </c>
      <c r="V2710">
        <v>2.14</v>
      </c>
      <c r="W2710">
        <v>13309</v>
      </c>
      <c r="X2710">
        <v>28218</v>
      </c>
      <c r="Y2710">
        <v>0.47</v>
      </c>
      <c r="Z2710">
        <v>1393</v>
      </c>
      <c r="AA2710">
        <v>0</v>
      </c>
      <c r="AB2710" t="s">
        <v>32</v>
      </c>
      <c r="AC2710">
        <v>12.32</v>
      </c>
    </row>
    <row r="2711" spans="1:29">
      <c r="A2711" t="str">
        <f>"600726"</f>
        <v>600726</v>
      </c>
      <c r="B2711" t="s">
        <v>2881</v>
      </c>
      <c r="C2711">
        <v>1.49</v>
      </c>
      <c r="D2711">
        <v>2.72</v>
      </c>
      <c r="E2711">
        <v>0.04</v>
      </c>
      <c r="F2711">
        <v>2.72</v>
      </c>
      <c r="G2711">
        <v>2.73</v>
      </c>
      <c r="H2711">
        <v>54907</v>
      </c>
      <c r="I2711">
        <v>2</v>
      </c>
      <c r="J2711">
        <v>-0.36</v>
      </c>
      <c r="K2711">
        <v>0.36</v>
      </c>
      <c r="L2711">
        <v>2.68</v>
      </c>
      <c r="M2711">
        <v>2.73</v>
      </c>
      <c r="N2711">
        <v>2.67</v>
      </c>
      <c r="O2711">
        <v>2.68</v>
      </c>
      <c r="P2711">
        <v>7.38</v>
      </c>
      <c r="Q2711">
        <v>14904562</v>
      </c>
      <c r="R2711">
        <v>1.16</v>
      </c>
      <c r="S2711" t="s">
        <v>75</v>
      </c>
      <c r="T2711" t="s">
        <v>297</v>
      </c>
      <c r="U2711">
        <v>2.24</v>
      </c>
      <c r="V2711">
        <v>2.71</v>
      </c>
      <c r="W2711">
        <v>26518</v>
      </c>
      <c r="X2711">
        <v>28389</v>
      </c>
      <c r="Y2711">
        <v>0.93</v>
      </c>
      <c r="Z2711">
        <v>385</v>
      </c>
      <c r="AA2711">
        <v>4639</v>
      </c>
      <c r="AB2711" t="s">
        <v>32</v>
      </c>
      <c r="AC2711">
        <v>15.35</v>
      </c>
    </row>
    <row r="2712" spans="1:29">
      <c r="A2712" t="str">
        <f>"600727"</f>
        <v>600727</v>
      </c>
      <c r="B2712" t="s">
        <v>2882</v>
      </c>
      <c r="C2712">
        <v>1.81</v>
      </c>
      <c r="D2712">
        <v>7.3</v>
      </c>
      <c r="E2712">
        <v>0.13</v>
      </c>
      <c r="F2712">
        <v>7.29</v>
      </c>
      <c r="G2712">
        <v>7.3</v>
      </c>
      <c r="H2712">
        <v>65857</v>
      </c>
      <c r="I2712">
        <v>50</v>
      </c>
      <c r="J2712">
        <v>0</v>
      </c>
      <c r="K2712">
        <v>1.88</v>
      </c>
      <c r="L2712">
        <v>7.15</v>
      </c>
      <c r="M2712">
        <v>7.35</v>
      </c>
      <c r="N2712">
        <v>7.12</v>
      </c>
      <c r="O2712">
        <v>7.17</v>
      </c>
      <c r="P2712">
        <v>25.64</v>
      </c>
      <c r="Q2712">
        <v>47863772</v>
      </c>
      <c r="R2712">
        <v>1.15</v>
      </c>
      <c r="S2712" t="s">
        <v>145</v>
      </c>
      <c r="T2712" t="s">
        <v>162</v>
      </c>
      <c r="U2712">
        <v>3.21</v>
      </c>
      <c r="V2712">
        <v>7.27</v>
      </c>
      <c r="W2712">
        <v>33399</v>
      </c>
      <c r="X2712">
        <v>32458</v>
      </c>
      <c r="Y2712">
        <v>1.03</v>
      </c>
      <c r="Z2712">
        <v>110</v>
      </c>
      <c r="AA2712">
        <v>441</v>
      </c>
      <c r="AB2712" t="s">
        <v>32</v>
      </c>
      <c r="AC2712">
        <v>3.51</v>
      </c>
    </row>
    <row r="2713" spans="1:29">
      <c r="A2713" t="str">
        <f>"600728"</f>
        <v>600728</v>
      </c>
      <c r="B2713" t="s">
        <v>2883</v>
      </c>
      <c r="C2713">
        <v>0.13</v>
      </c>
      <c r="D2713">
        <v>7.52</v>
      </c>
      <c r="E2713">
        <v>0.01</v>
      </c>
      <c r="F2713">
        <v>7.51</v>
      </c>
      <c r="G2713">
        <v>7.52</v>
      </c>
      <c r="H2713">
        <v>174416</v>
      </c>
      <c r="I2713">
        <v>71</v>
      </c>
      <c r="J2713">
        <v>0.13</v>
      </c>
      <c r="K2713">
        <v>1.27</v>
      </c>
      <c r="L2713">
        <v>7.49</v>
      </c>
      <c r="M2713">
        <v>7.57</v>
      </c>
      <c r="N2713">
        <v>7.45</v>
      </c>
      <c r="O2713">
        <v>7.51</v>
      </c>
      <c r="P2713">
        <v>104.39</v>
      </c>
      <c r="Q2713">
        <v>131119936</v>
      </c>
      <c r="R2713">
        <v>1.22</v>
      </c>
      <c r="S2713" t="s">
        <v>270</v>
      </c>
      <c r="T2713" t="s">
        <v>136</v>
      </c>
      <c r="U2713">
        <v>1.6</v>
      </c>
      <c r="V2713">
        <v>7.52</v>
      </c>
      <c r="W2713">
        <v>95721</v>
      </c>
      <c r="X2713">
        <v>78694</v>
      </c>
      <c r="Y2713">
        <v>1.22</v>
      </c>
      <c r="Z2713">
        <v>2535</v>
      </c>
      <c r="AA2713">
        <v>1569</v>
      </c>
      <c r="AB2713" t="s">
        <v>32</v>
      </c>
      <c r="AC2713">
        <v>13.79</v>
      </c>
    </row>
    <row r="2714" spans="1:29">
      <c r="A2714" t="str">
        <f>"600729"</f>
        <v>600729</v>
      </c>
      <c r="B2714" t="s">
        <v>2884</v>
      </c>
      <c r="C2714">
        <v>1.27</v>
      </c>
      <c r="D2714">
        <v>34.99</v>
      </c>
      <c r="E2714">
        <v>0.44</v>
      </c>
      <c r="F2714">
        <v>35</v>
      </c>
      <c r="G2714">
        <v>35.01</v>
      </c>
      <c r="H2714">
        <v>39050</v>
      </c>
      <c r="I2714">
        <v>7</v>
      </c>
      <c r="J2714">
        <v>0.11</v>
      </c>
      <c r="K2714">
        <v>0.96</v>
      </c>
      <c r="L2714">
        <v>34.42</v>
      </c>
      <c r="M2714">
        <v>35.07</v>
      </c>
      <c r="N2714">
        <v>34.42</v>
      </c>
      <c r="O2714">
        <v>34.55</v>
      </c>
      <c r="P2714">
        <v>6.8</v>
      </c>
      <c r="Q2714">
        <v>136042560</v>
      </c>
      <c r="R2714">
        <v>0.82</v>
      </c>
      <c r="S2714" t="s">
        <v>186</v>
      </c>
      <c r="T2714" t="s">
        <v>221</v>
      </c>
      <c r="U2714">
        <v>1.88</v>
      </c>
      <c r="V2714">
        <v>34.84</v>
      </c>
      <c r="W2714">
        <v>17932</v>
      </c>
      <c r="X2714">
        <v>21117</v>
      </c>
      <c r="Y2714">
        <v>0.85</v>
      </c>
      <c r="Z2714">
        <v>23</v>
      </c>
      <c r="AA2714">
        <v>43</v>
      </c>
      <c r="AB2714" t="s">
        <v>32</v>
      </c>
      <c r="AC2714">
        <v>4.06</v>
      </c>
    </row>
    <row r="2715" spans="1:29">
      <c r="A2715" t="str">
        <f>"600730"</f>
        <v>600730</v>
      </c>
      <c r="B2715" t="s">
        <v>2885</v>
      </c>
      <c r="C2715">
        <v>0.59</v>
      </c>
      <c r="D2715">
        <v>5.15</v>
      </c>
      <c r="E2715">
        <v>0.03</v>
      </c>
      <c r="F2715">
        <v>5.15</v>
      </c>
      <c r="G2715">
        <v>5.16</v>
      </c>
      <c r="H2715">
        <v>44536</v>
      </c>
      <c r="I2715">
        <v>100</v>
      </c>
      <c r="J2715">
        <v>0.39</v>
      </c>
      <c r="K2715">
        <v>0.76</v>
      </c>
      <c r="L2715">
        <v>5.06</v>
      </c>
      <c r="M2715">
        <v>5.18</v>
      </c>
      <c r="N2715">
        <v>5.06</v>
      </c>
      <c r="O2715">
        <v>5.12</v>
      </c>
      <c r="P2715">
        <v>150.02</v>
      </c>
      <c r="Q2715">
        <v>22862536</v>
      </c>
      <c r="R2715">
        <v>0.64</v>
      </c>
      <c r="S2715" t="s">
        <v>47</v>
      </c>
      <c r="T2715" t="s">
        <v>45</v>
      </c>
      <c r="U2715">
        <v>2.34</v>
      </c>
      <c r="V2715">
        <v>5.13</v>
      </c>
      <c r="W2715">
        <v>24769</v>
      </c>
      <c r="X2715">
        <v>19767</v>
      </c>
      <c r="Y2715">
        <v>1.25</v>
      </c>
      <c r="Z2715">
        <v>15</v>
      </c>
      <c r="AA2715">
        <v>393</v>
      </c>
      <c r="AB2715" t="s">
        <v>32</v>
      </c>
      <c r="AC2715">
        <v>5.87</v>
      </c>
    </row>
    <row r="2716" spans="1:29">
      <c r="A2716" t="str">
        <f>"600731"</f>
        <v>600731</v>
      </c>
      <c r="B2716" t="s">
        <v>2886</v>
      </c>
      <c r="C2716">
        <v>1.82</v>
      </c>
      <c r="D2716">
        <v>5.03</v>
      </c>
      <c r="E2716">
        <v>0.09</v>
      </c>
      <c r="F2716">
        <v>5.03</v>
      </c>
      <c r="G2716">
        <v>5.04</v>
      </c>
      <c r="H2716">
        <v>25218</v>
      </c>
      <c r="I2716">
        <v>3</v>
      </c>
      <c r="J2716">
        <v>0</v>
      </c>
      <c r="K2716">
        <v>0.77</v>
      </c>
      <c r="L2716">
        <v>4.97</v>
      </c>
      <c r="M2716">
        <v>5.05</v>
      </c>
      <c r="N2716">
        <v>4.94</v>
      </c>
      <c r="O2716">
        <v>4.94</v>
      </c>
      <c r="P2716">
        <v>63.69</v>
      </c>
      <c r="Q2716">
        <v>12641707</v>
      </c>
      <c r="R2716">
        <v>1.4</v>
      </c>
      <c r="S2716" t="s">
        <v>145</v>
      </c>
      <c r="T2716" t="s">
        <v>152</v>
      </c>
      <c r="U2716">
        <v>2.23</v>
      </c>
      <c r="V2716">
        <v>5.01</v>
      </c>
      <c r="W2716">
        <v>11809</v>
      </c>
      <c r="X2716">
        <v>13409</v>
      </c>
      <c r="Y2716">
        <v>0.88</v>
      </c>
      <c r="Z2716">
        <v>68</v>
      </c>
      <c r="AA2716">
        <v>515</v>
      </c>
      <c r="AB2716" t="s">
        <v>32</v>
      </c>
      <c r="AC2716">
        <v>3.27</v>
      </c>
    </row>
    <row r="2717" spans="1:29">
      <c r="A2717" t="str">
        <f>"600732"</f>
        <v>600732</v>
      </c>
      <c r="B2717" t="s">
        <v>2887</v>
      </c>
      <c r="C2717">
        <v>1.19</v>
      </c>
      <c r="D2717">
        <v>5.11</v>
      </c>
      <c r="E2717">
        <v>0.06</v>
      </c>
      <c r="F2717">
        <v>5.1</v>
      </c>
      <c r="G2717">
        <v>5.11</v>
      </c>
      <c r="H2717">
        <v>13596</v>
      </c>
      <c r="I2717">
        <v>91</v>
      </c>
      <c r="J2717">
        <v>0</v>
      </c>
      <c r="K2717">
        <v>0.3</v>
      </c>
      <c r="L2717">
        <v>5.05</v>
      </c>
      <c r="M2717">
        <v>5.14</v>
      </c>
      <c r="N2717">
        <v>5.04</v>
      </c>
      <c r="O2717">
        <v>5.05</v>
      </c>
      <c r="P2717">
        <v>1486.97</v>
      </c>
      <c r="Q2717">
        <v>6925721</v>
      </c>
      <c r="R2717">
        <v>1.16</v>
      </c>
      <c r="S2717" t="s">
        <v>40</v>
      </c>
      <c r="T2717" t="s">
        <v>366</v>
      </c>
      <c r="U2717">
        <v>1.98</v>
      </c>
      <c r="V2717">
        <v>5.09</v>
      </c>
      <c r="W2717">
        <v>5569</v>
      </c>
      <c r="X2717">
        <v>8027</v>
      </c>
      <c r="Y2717">
        <v>0.69</v>
      </c>
      <c r="Z2717">
        <v>428</v>
      </c>
      <c r="AA2717">
        <v>9</v>
      </c>
      <c r="AB2717" t="s">
        <v>32</v>
      </c>
      <c r="AC2717">
        <v>4.46</v>
      </c>
    </row>
    <row r="2718" spans="1:29">
      <c r="A2718" t="str">
        <f>"600733"</f>
        <v>600733</v>
      </c>
      <c r="B2718" t="s">
        <v>2888</v>
      </c>
      <c r="C2718">
        <v>0</v>
      </c>
      <c r="D2718">
        <v>52.69</v>
      </c>
      <c r="E2718">
        <v>0</v>
      </c>
      <c r="F2718" t="s">
        <v>32</v>
      </c>
      <c r="G2718" t="s">
        <v>32</v>
      </c>
      <c r="H2718">
        <v>0</v>
      </c>
      <c r="I2718">
        <v>0</v>
      </c>
      <c r="J2718">
        <v>0</v>
      </c>
      <c r="K2718">
        <v>0</v>
      </c>
      <c r="L2718" t="s">
        <v>32</v>
      </c>
      <c r="M2718" t="s">
        <v>32</v>
      </c>
      <c r="N2718" t="s">
        <v>32</v>
      </c>
      <c r="O2718">
        <v>52.69</v>
      </c>
      <c r="P2718" t="s">
        <v>32</v>
      </c>
      <c r="Q2718">
        <v>0</v>
      </c>
      <c r="R2718">
        <v>0</v>
      </c>
      <c r="S2718" t="s">
        <v>40</v>
      </c>
      <c r="T2718" t="s">
        <v>45</v>
      </c>
      <c r="U2718">
        <v>0</v>
      </c>
      <c r="V2718">
        <v>52.69</v>
      </c>
      <c r="W2718">
        <v>0</v>
      </c>
      <c r="X2718">
        <v>0</v>
      </c>
      <c r="Y2718" t="s">
        <v>32</v>
      </c>
      <c r="Z2718">
        <v>0</v>
      </c>
      <c r="AA2718">
        <v>0</v>
      </c>
      <c r="AB2718" t="s">
        <v>32</v>
      </c>
      <c r="AC2718">
        <v>0.76</v>
      </c>
    </row>
    <row r="2719" spans="1:29">
      <c r="A2719" t="str">
        <f>"600734"</f>
        <v>600734</v>
      </c>
      <c r="B2719" t="s">
        <v>2889</v>
      </c>
      <c r="C2719">
        <v>5.21</v>
      </c>
      <c r="D2719">
        <v>8.48</v>
      </c>
      <c r="E2719">
        <v>0.42</v>
      </c>
      <c r="F2719">
        <v>8.49</v>
      </c>
      <c r="G2719">
        <v>8.5</v>
      </c>
      <c r="H2719">
        <v>1039757</v>
      </c>
      <c r="I2719">
        <v>35</v>
      </c>
      <c r="J2719">
        <v>0.47</v>
      </c>
      <c r="K2719">
        <v>29.32</v>
      </c>
      <c r="L2719">
        <v>8.29</v>
      </c>
      <c r="M2719">
        <v>8.87</v>
      </c>
      <c r="N2719">
        <v>7.82</v>
      </c>
      <c r="O2719">
        <v>8.06</v>
      </c>
      <c r="P2719" t="s">
        <v>32</v>
      </c>
      <c r="Q2719">
        <v>879013056</v>
      </c>
      <c r="R2719">
        <v>3.25</v>
      </c>
      <c r="S2719" t="s">
        <v>65</v>
      </c>
      <c r="T2719" t="s">
        <v>236</v>
      </c>
      <c r="U2719">
        <v>13.03</v>
      </c>
      <c r="V2719">
        <v>8.45</v>
      </c>
      <c r="W2719">
        <v>543104</v>
      </c>
      <c r="X2719">
        <v>496652</v>
      </c>
      <c r="Y2719">
        <v>1.09</v>
      </c>
      <c r="Z2719">
        <v>413</v>
      </c>
      <c r="AA2719">
        <v>488</v>
      </c>
      <c r="AB2719" t="s">
        <v>32</v>
      </c>
      <c r="AC2719">
        <v>3.55</v>
      </c>
    </row>
    <row r="2720" spans="1:29">
      <c r="A2720" t="str">
        <f>"600735"</f>
        <v>600735</v>
      </c>
      <c r="B2720" t="s">
        <v>2890</v>
      </c>
      <c r="C2720">
        <v>2.41</v>
      </c>
      <c r="D2720">
        <v>6.81</v>
      </c>
      <c r="E2720">
        <v>0.16</v>
      </c>
      <c r="F2720">
        <v>6.8</v>
      </c>
      <c r="G2720">
        <v>6.81</v>
      </c>
      <c r="H2720">
        <v>137816</v>
      </c>
      <c r="I2720">
        <v>60</v>
      </c>
      <c r="J2720">
        <v>0</v>
      </c>
      <c r="K2720">
        <v>3.67</v>
      </c>
      <c r="L2720">
        <v>6.69</v>
      </c>
      <c r="M2720">
        <v>6.95</v>
      </c>
      <c r="N2720">
        <v>6.59</v>
      </c>
      <c r="O2720">
        <v>6.65</v>
      </c>
      <c r="P2720">
        <v>38.03</v>
      </c>
      <c r="Q2720">
        <v>93186696</v>
      </c>
      <c r="R2720">
        <v>1.21</v>
      </c>
      <c r="S2720" t="s">
        <v>140</v>
      </c>
      <c r="T2720" t="s">
        <v>162</v>
      </c>
      <c r="U2720">
        <v>5.41</v>
      </c>
      <c r="V2720">
        <v>6.76</v>
      </c>
      <c r="W2720">
        <v>69201</v>
      </c>
      <c r="X2720">
        <v>68615</v>
      </c>
      <c r="Y2720">
        <v>1.01</v>
      </c>
      <c r="Z2720">
        <v>768</v>
      </c>
      <c r="AA2720">
        <v>15</v>
      </c>
      <c r="AB2720" t="s">
        <v>32</v>
      </c>
      <c r="AC2720">
        <v>3.76</v>
      </c>
    </row>
    <row r="2721" spans="1:29">
      <c r="A2721" t="str">
        <f>"600736"</f>
        <v>600736</v>
      </c>
      <c r="B2721" t="s">
        <v>2891</v>
      </c>
      <c r="C2721">
        <v>1.31</v>
      </c>
      <c r="D2721">
        <v>6.17</v>
      </c>
      <c r="E2721">
        <v>0.08</v>
      </c>
      <c r="F2721">
        <v>6.17</v>
      </c>
      <c r="G2721">
        <v>6.18</v>
      </c>
      <c r="H2721">
        <v>24507</v>
      </c>
      <c r="I2721">
        <v>1</v>
      </c>
      <c r="J2721">
        <v>0</v>
      </c>
      <c r="K2721">
        <v>0.21</v>
      </c>
      <c r="L2721">
        <v>6.1</v>
      </c>
      <c r="M2721">
        <v>6.19</v>
      </c>
      <c r="N2721">
        <v>6.08</v>
      </c>
      <c r="O2721">
        <v>6.09</v>
      </c>
      <c r="P2721">
        <v>13.2</v>
      </c>
      <c r="Q2721">
        <v>15094502</v>
      </c>
      <c r="R2721">
        <v>1.73</v>
      </c>
      <c r="S2721" t="s">
        <v>338</v>
      </c>
      <c r="T2721" t="s">
        <v>87</v>
      </c>
      <c r="U2721">
        <v>1.81</v>
      </c>
      <c r="V2721">
        <v>6.16</v>
      </c>
      <c r="W2721">
        <v>10905</v>
      </c>
      <c r="X2721">
        <v>13602</v>
      </c>
      <c r="Y2721">
        <v>0.8</v>
      </c>
      <c r="Z2721">
        <v>30</v>
      </c>
      <c r="AA2721">
        <v>177</v>
      </c>
      <c r="AB2721" t="s">
        <v>32</v>
      </c>
      <c r="AC2721">
        <v>11.94</v>
      </c>
    </row>
    <row r="2722" spans="1:29">
      <c r="A2722" t="str">
        <f>"600737"</f>
        <v>600737</v>
      </c>
      <c r="B2722" t="s">
        <v>2892</v>
      </c>
      <c r="C2722">
        <v>0.91</v>
      </c>
      <c r="D2722">
        <v>7.76</v>
      </c>
      <c r="E2722">
        <v>0.07</v>
      </c>
      <c r="F2722">
        <v>7.76</v>
      </c>
      <c r="G2722">
        <v>7.77</v>
      </c>
      <c r="H2722">
        <v>97811</v>
      </c>
      <c r="I2722">
        <v>52</v>
      </c>
      <c r="J2722">
        <v>-0.12</v>
      </c>
      <c r="K2722">
        <v>0.48</v>
      </c>
      <c r="L2722">
        <v>7.66</v>
      </c>
      <c r="M2722">
        <v>7.83</v>
      </c>
      <c r="N2722">
        <v>7.59</v>
      </c>
      <c r="O2722">
        <v>7.69</v>
      </c>
      <c r="P2722">
        <v>11.54</v>
      </c>
      <c r="Q2722">
        <v>75826296</v>
      </c>
      <c r="R2722">
        <v>1.42</v>
      </c>
      <c r="S2722" t="s">
        <v>213</v>
      </c>
      <c r="T2722" t="s">
        <v>156</v>
      </c>
      <c r="U2722">
        <v>3.12</v>
      </c>
      <c r="V2722">
        <v>7.75</v>
      </c>
      <c r="W2722">
        <v>39048</v>
      </c>
      <c r="X2722">
        <v>58763</v>
      </c>
      <c r="Y2722">
        <v>0.66</v>
      </c>
      <c r="Z2722">
        <v>148</v>
      </c>
      <c r="AA2722">
        <v>387</v>
      </c>
      <c r="AB2722" t="s">
        <v>32</v>
      </c>
      <c r="AC2722">
        <v>20.52</v>
      </c>
    </row>
    <row r="2723" spans="1:29">
      <c r="A2723" t="str">
        <f>"600738"</f>
        <v>600738</v>
      </c>
      <c r="B2723" t="s">
        <v>2893</v>
      </c>
      <c r="C2723">
        <v>0.51</v>
      </c>
      <c r="D2723">
        <v>7.93</v>
      </c>
      <c r="E2723">
        <v>0.04</v>
      </c>
      <c r="F2723">
        <v>7.9</v>
      </c>
      <c r="G2723">
        <v>7.96</v>
      </c>
      <c r="H2723">
        <v>25751</v>
      </c>
      <c r="I2723">
        <v>48</v>
      </c>
      <c r="J2723">
        <v>-0.24</v>
      </c>
      <c r="K2723">
        <v>0.61</v>
      </c>
      <c r="L2723">
        <v>7.89</v>
      </c>
      <c r="M2723">
        <v>8.28</v>
      </c>
      <c r="N2723">
        <v>7.83</v>
      </c>
      <c r="O2723">
        <v>7.89</v>
      </c>
      <c r="P2723">
        <v>27.28</v>
      </c>
      <c r="Q2723">
        <v>20739984</v>
      </c>
      <c r="R2723">
        <v>4.88</v>
      </c>
      <c r="S2723" t="s">
        <v>186</v>
      </c>
      <c r="T2723" t="s">
        <v>266</v>
      </c>
      <c r="U2723">
        <v>5.7</v>
      </c>
      <c r="V2723">
        <v>8.05</v>
      </c>
      <c r="W2723">
        <v>15059</v>
      </c>
      <c r="X2723">
        <v>10691</v>
      </c>
      <c r="Y2723">
        <v>1.41</v>
      </c>
      <c r="Z2723">
        <v>956</v>
      </c>
      <c r="AA2723">
        <v>10</v>
      </c>
      <c r="AB2723" t="s">
        <v>32</v>
      </c>
      <c r="AC2723">
        <v>4.21</v>
      </c>
    </row>
    <row r="2724" spans="1:29">
      <c r="A2724" t="str">
        <f>"600739"</f>
        <v>600739</v>
      </c>
      <c r="B2724" t="s">
        <v>2894</v>
      </c>
      <c r="C2724">
        <v>6.06</v>
      </c>
      <c r="D2724">
        <v>15.76</v>
      </c>
      <c r="E2724">
        <v>0.9</v>
      </c>
      <c r="F2724">
        <v>15.76</v>
      </c>
      <c r="G2724">
        <v>15.78</v>
      </c>
      <c r="H2724">
        <v>222542</v>
      </c>
      <c r="I2724">
        <v>1</v>
      </c>
      <c r="J2724">
        <v>-0.37</v>
      </c>
      <c r="K2724">
        <v>1.45</v>
      </c>
      <c r="L2724">
        <v>14.85</v>
      </c>
      <c r="M2724">
        <v>16.35</v>
      </c>
      <c r="N2724">
        <v>14.69</v>
      </c>
      <c r="O2724">
        <v>14.86</v>
      </c>
      <c r="P2724">
        <v>41.17</v>
      </c>
      <c r="Q2724">
        <v>347219040</v>
      </c>
      <c r="R2724">
        <v>3.82</v>
      </c>
      <c r="S2724" t="s">
        <v>140</v>
      </c>
      <c r="T2724" t="s">
        <v>111</v>
      </c>
      <c r="U2724">
        <v>11.17</v>
      </c>
      <c r="V2724">
        <v>15.6</v>
      </c>
      <c r="W2724">
        <v>109127</v>
      </c>
      <c r="X2724">
        <v>113414</v>
      </c>
      <c r="Y2724">
        <v>0.96</v>
      </c>
      <c r="Z2724">
        <v>34</v>
      </c>
      <c r="AA2724">
        <v>24</v>
      </c>
      <c r="AB2724" t="s">
        <v>32</v>
      </c>
      <c r="AC2724">
        <v>15.3</v>
      </c>
    </row>
    <row r="2725" spans="1:29">
      <c r="A2725" t="str">
        <f>"600740"</f>
        <v>600740</v>
      </c>
      <c r="B2725" t="s">
        <v>2895</v>
      </c>
      <c r="C2725">
        <v>2.72</v>
      </c>
      <c r="D2725">
        <v>10.18</v>
      </c>
      <c r="E2725">
        <v>0.27</v>
      </c>
      <c r="F2725">
        <v>10.18</v>
      </c>
      <c r="G2725">
        <v>10.19</v>
      </c>
      <c r="H2725">
        <v>528766</v>
      </c>
      <c r="I2725">
        <v>106</v>
      </c>
      <c r="J2725">
        <v>0</v>
      </c>
      <c r="K2725">
        <v>8.05</v>
      </c>
      <c r="L2725">
        <v>9.91</v>
      </c>
      <c r="M2725">
        <v>10.41</v>
      </c>
      <c r="N2725">
        <v>9.85</v>
      </c>
      <c r="O2725">
        <v>9.91</v>
      </c>
      <c r="P2725">
        <v>10.61</v>
      </c>
      <c r="Q2725">
        <v>538574080</v>
      </c>
      <c r="R2725">
        <v>2.19</v>
      </c>
      <c r="S2725" t="s">
        <v>414</v>
      </c>
      <c r="T2725" t="s">
        <v>169</v>
      </c>
      <c r="U2725">
        <v>5.65</v>
      </c>
      <c r="V2725">
        <v>10.19</v>
      </c>
      <c r="W2725">
        <v>251656</v>
      </c>
      <c r="X2725">
        <v>277109</v>
      </c>
      <c r="Y2725">
        <v>0.91</v>
      </c>
      <c r="Z2725">
        <v>240</v>
      </c>
      <c r="AA2725">
        <v>1989</v>
      </c>
      <c r="AB2725" t="s">
        <v>32</v>
      </c>
      <c r="AC2725">
        <v>6.57</v>
      </c>
    </row>
    <row r="2726" spans="1:29">
      <c r="A2726" t="str">
        <f>"600741"</f>
        <v>600741</v>
      </c>
      <c r="B2726" t="s">
        <v>2896</v>
      </c>
      <c r="C2726">
        <v>0.17</v>
      </c>
      <c r="D2726">
        <v>23.32</v>
      </c>
      <c r="E2726">
        <v>0.04</v>
      </c>
      <c r="F2726">
        <v>23.31</v>
      </c>
      <c r="G2726">
        <v>23.32</v>
      </c>
      <c r="H2726">
        <v>115311</v>
      </c>
      <c r="I2726">
        <v>56</v>
      </c>
      <c r="J2726">
        <v>-0.33</v>
      </c>
      <c r="K2726">
        <v>0.4</v>
      </c>
      <c r="L2726">
        <v>23.43</v>
      </c>
      <c r="M2726">
        <v>23.8</v>
      </c>
      <c r="N2726">
        <v>23.3</v>
      </c>
      <c r="O2726">
        <v>23.28</v>
      </c>
      <c r="P2726">
        <v>6.31</v>
      </c>
      <c r="Q2726">
        <v>271500896</v>
      </c>
      <c r="R2726">
        <v>1.2</v>
      </c>
      <c r="S2726" t="s">
        <v>80</v>
      </c>
      <c r="T2726" t="s">
        <v>366</v>
      </c>
      <c r="U2726">
        <v>2.15</v>
      </c>
      <c r="V2726">
        <v>23.55</v>
      </c>
      <c r="W2726">
        <v>52824</v>
      </c>
      <c r="X2726">
        <v>62486</v>
      </c>
      <c r="Y2726">
        <v>0.85</v>
      </c>
      <c r="Z2726">
        <v>22</v>
      </c>
      <c r="AA2726">
        <v>1</v>
      </c>
      <c r="AB2726" t="s">
        <v>32</v>
      </c>
      <c r="AC2726">
        <v>28.67</v>
      </c>
    </row>
    <row r="2727" spans="1:29">
      <c r="A2727" t="str">
        <f>"600742"</f>
        <v>600742</v>
      </c>
      <c r="B2727" t="s">
        <v>2897</v>
      </c>
      <c r="C2727">
        <v>3.72</v>
      </c>
      <c r="D2727">
        <v>11.16</v>
      </c>
      <c r="E2727">
        <v>0.4</v>
      </c>
      <c r="F2727">
        <v>11.15</v>
      </c>
      <c r="G2727">
        <v>11.16</v>
      </c>
      <c r="H2727">
        <v>48751</v>
      </c>
      <c r="I2727">
        <v>50</v>
      </c>
      <c r="J2727">
        <v>-0.17</v>
      </c>
      <c r="K2727">
        <v>0.96</v>
      </c>
      <c r="L2727">
        <v>10.76</v>
      </c>
      <c r="M2727">
        <v>11.18</v>
      </c>
      <c r="N2727">
        <v>10.73</v>
      </c>
      <c r="O2727">
        <v>10.76</v>
      </c>
      <c r="P2727">
        <v>12.35</v>
      </c>
      <c r="Q2727">
        <v>53691144</v>
      </c>
      <c r="R2727">
        <v>1.92</v>
      </c>
      <c r="S2727" t="s">
        <v>80</v>
      </c>
      <c r="T2727" t="s">
        <v>81</v>
      </c>
      <c r="U2727">
        <v>4.18</v>
      </c>
      <c r="V2727">
        <v>11.01</v>
      </c>
      <c r="W2727">
        <v>15276</v>
      </c>
      <c r="X2727">
        <v>33475</v>
      </c>
      <c r="Y2727">
        <v>0.46</v>
      </c>
      <c r="Z2727">
        <v>481</v>
      </c>
      <c r="AA2727">
        <v>205</v>
      </c>
      <c r="AB2727" t="s">
        <v>32</v>
      </c>
      <c r="AC2727">
        <v>5.08</v>
      </c>
    </row>
    <row r="2728" spans="1:29">
      <c r="A2728" t="str">
        <f>"600743"</f>
        <v>600743</v>
      </c>
      <c r="B2728" t="s">
        <v>2898</v>
      </c>
      <c r="C2728">
        <v>2.4</v>
      </c>
      <c r="D2728">
        <v>2.56</v>
      </c>
      <c r="E2728">
        <v>0.06</v>
      </c>
      <c r="F2728">
        <v>2.55</v>
      </c>
      <c r="G2728">
        <v>2.56</v>
      </c>
      <c r="H2728">
        <v>85681</v>
      </c>
      <c r="I2728">
        <v>15</v>
      </c>
      <c r="J2728">
        <v>0.39</v>
      </c>
      <c r="K2728">
        <v>0.37</v>
      </c>
      <c r="L2728">
        <v>2.5</v>
      </c>
      <c r="M2728">
        <v>2.57</v>
      </c>
      <c r="N2728">
        <v>2.49</v>
      </c>
      <c r="O2728">
        <v>2.5</v>
      </c>
      <c r="P2728" t="s">
        <v>32</v>
      </c>
      <c r="Q2728">
        <v>21790932</v>
      </c>
      <c r="R2728">
        <v>1.65</v>
      </c>
      <c r="S2728" t="s">
        <v>40</v>
      </c>
      <c r="T2728" t="s">
        <v>45</v>
      </c>
      <c r="U2728">
        <v>3.2</v>
      </c>
      <c r="V2728">
        <v>2.54</v>
      </c>
      <c r="W2728">
        <v>30621</v>
      </c>
      <c r="X2728">
        <v>55060</v>
      </c>
      <c r="Y2728">
        <v>0.56</v>
      </c>
      <c r="Z2728">
        <v>1958</v>
      </c>
      <c r="AA2728">
        <v>664</v>
      </c>
      <c r="AB2728" t="s">
        <v>32</v>
      </c>
      <c r="AC2728">
        <v>23.46</v>
      </c>
    </row>
    <row r="2729" spans="1:29">
      <c r="A2729" t="str">
        <f>"600744"</f>
        <v>600744</v>
      </c>
      <c r="B2729" t="s">
        <v>2899</v>
      </c>
      <c r="C2729">
        <v>1.03</v>
      </c>
      <c r="D2729">
        <v>2.94</v>
      </c>
      <c r="E2729">
        <v>0.03</v>
      </c>
      <c r="F2729">
        <v>2.93</v>
      </c>
      <c r="G2729">
        <v>2.94</v>
      </c>
      <c r="H2729">
        <v>67362</v>
      </c>
      <c r="I2729">
        <v>20</v>
      </c>
      <c r="J2729">
        <v>0</v>
      </c>
      <c r="K2729">
        <v>0.81</v>
      </c>
      <c r="L2729">
        <v>2.89</v>
      </c>
      <c r="M2729">
        <v>2.95</v>
      </c>
      <c r="N2729">
        <v>2.85</v>
      </c>
      <c r="O2729">
        <v>2.91</v>
      </c>
      <c r="P2729">
        <v>42.76</v>
      </c>
      <c r="Q2729">
        <v>19618024</v>
      </c>
      <c r="R2729">
        <v>1.13</v>
      </c>
      <c r="S2729" t="s">
        <v>75</v>
      </c>
      <c r="T2729" t="s">
        <v>152</v>
      </c>
      <c r="U2729">
        <v>3.44</v>
      </c>
      <c r="V2729">
        <v>2.91</v>
      </c>
      <c r="W2729">
        <v>32015</v>
      </c>
      <c r="X2729">
        <v>35347</v>
      </c>
      <c r="Y2729">
        <v>0.91</v>
      </c>
      <c r="Z2729">
        <v>426</v>
      </c>
      <c r="AA2729">
        <v>214</v>
      </c>
      <c r="AB2729" t="s">
        <v>32</v>
      </c>
      <c r="AC2729">
        <v>8.28</v>
      </c>
    </row>
    <row r="2730" spans="1:29">
      <c r="A2730" t="str">
        <f>"600745"</f>
        <v>600745</v>
      </c>
      <c r="B2730" t="s">
        <v>2900</v>
      </c>
      <c r="C2730">
        <v>0</v>
      </c>
      <c r="D2730">
        <v>30.48</v>
      </c>
      <c r="E2730">
        <v>0</v>
      </c>
      <c r="F2730" t="s">
        <v>32</v>
      </c>
      <c r="G2730" t="s">
        <v>32</v>
      </c>
      <c r="H2730">
        <v>0</v>
      </c>
      <c r="I2730">
        <v>0</v>
      </c>
      <c r="J2730">
        <v>0</v>
      </c>
      <c r="K2730">
        <v>0</v>
      </c>
      <c r="L2730" t="s">
        <v>32</v>
      </c>
      <c r="M2730" t="s">
        <v>32</v>
      </c>
      <c r="N2730" t="s">
        <v>32</v>
      </c>
      <c r="O2730">
        <v>30.48</v>
      </c>
      <c r="P2730" t="s">
        <v>32</v>
      </c>
      <c r="Q2730">
        <v>0</v>
      </c>
      <c r="R2730">
        <v>0</v>
      </c>
      <c r="S2730" t="s">
        <v>119</v>
      </c>
      <c r="T2730" t="s">
        <v>193</v>
      </c>
      <c r="U2730">
        <v>0</v>
      </c>
      <c r="V2730">
        <v>30.48</v>
      </c>
      <c r="W2730">
        <v>0</v>
      </c>
      <c r="X2730">
        <v>0</v>
      </c>
      <c r="Y2730" t="s">
        <v>32</v>
      </c>
      <c r="Z2730">
        <v>0</v>
      </c>
      <c r="AA2730">
        <v>0</v>
      </c>
      <c r="AB2730" t="s">
        <v>32</v>
      </c>
      <c r="AC2730">
        <v>4.83</v>
      </c>
    </row>
    <row r="2731" spans="1:29">
      <c r="A2731" t="str">
        <f>"600746"</f>
        <v>600746</v>
      </c>
      <c r="B2731" t="s">
        <v>2901</v>
      </c>
      <c r="C2731">
        <v>1.88</v>
      </c>
      <c r="D2731">
        <v>5.41</v>
      </c>
      <c r="E2731">
        <v>0.1</v>
      </c>
      <c r="F2731">
        <v>5.41</v>
      </c>
      <c r="G2731">
        <v>5.42</v>
      </c>
      <c r="H2731">
        <v>20724</v>
      </c>
      <c r="I2731">
        <v>7</v>
      </c>
      <c r="J2731">
        <v>-0.36</v>
      </c>
      <c r="K2731">
        <v>0.68</v>
      </c>
      <c r="L2731">
        <v>5.3</v>
      </c>
      <c r="M2731">
        <v>5.46</v>
      </c>
      <c r="N2731">
        <v>5.27</v>
      </c>
      <c r="O2731">
        <v>5.31</v>
      </c>
      <c r="P2731" t="s">
        <v>32</v>
      </c>
      <c r="Q2731">
        <v>11132045</v>
      </c>
      <c r="R2731">
        <v>1.57</v>
      </c>
      <c r="S2731" t="s">
        <v>218</v>
      </c>
      <c r="T2731" t="s">
        <v>87</v>
      </c>
      <c r="U2731">
        <v>3.58</v>
      </c>
      <c r="V2731">
        <v>5.37</v>
      </c>
      <c r="W2731">
        <v>6936</v>
      </c>
      <c r="X2731">
        <v>13787</v>
      </c>
      <c r="Y2731">
        <v>0.5</v>
      </c>
      <c r="Z2731">
        <v>874</v>
      </c>
      <c r="AA2731">
        <v>232</v>
      </c>
      <c r="AB2731" t="s">
        <v>32</v>
      </c>
      <c r="AC2731">
        <v>3.05</v>
      </c>
    </row>
    <row r="2732" spans="1:29">
      <c r="A2732" t="str">
        <f>"600747"</f>
        <v>600747</v>
      </c>
      <c r="B2732" t="s">
        <v>2902</v>
      </c>
      <c r="C2732">
        <v>1.3</v>
      </c>
      <c r="D2732">
        <v>1.56</v>
      </c>
      <c r="E2732">
        <v>0.02</v>
      </c>
      <c r="F2732">
        <v>1.55</v>
      </c>
      <c r="G2732">
        <v>1.56</v>
      </c>
      <c r="H2732">
        <v>83504</v>
      </c>
      <c r="I2732">
        <v>639</v>
      </c>
      <c r="J2732">
        <v>0</v>
      </c>
      <c r="K2732">
        <v>0.78</v>
      </c>
      <c r="L2732">
        <v>1.53</v>
      </c>
      <c r="M2732">
        <v>1.56</v>
      </c>
      <c r="N2732">
        <v>1.52</v>
      </c>
      <c r="O2732">
        <v>1.54</v>
      </c>
      <c r="P2732">
        <v>94.32</v>
      </c>
      <c r="Q2732">
        <v>12904792</v>
      </c>
      <c r="R2732">
        <v>1.61</v>
      </c>
      <c r="S2732" t="s">
        <v>183</v>
      </c>
      <c r="T2732" t="s">
        <v>111</v>
      </c>
      <c r="U2732">
        <v>2.6</v>
      </c>
      <c r="V2732">
        <v>1.55</v>
      </c>
      <c r="W2732">
        <v>41554</v>
      </c>
      <c r="X2732">
        <v>41949</v>
      </c>
      <c r="Y2732">
        <v>0.99</v>
      </c>
      <c r="Z2732">
        <v>6974</v>
      </c>
      <c r="AA2732">
        <v>10256</v>
      </c>
      <c r="AB2732" t="s">
        <v>32</v>
      </c>
      <c r="AC2732">
        <v>10.64</v>
      </c>
    </row>
    <row r="2733" spans="1:29">
      <c r="A2733" t="str">
        <f>"600748"</f>
        <v>600748</v>
      </c>
      <c r="B2733" t="s">
        <v>2903</v>
      </c>
      <c r="C2733">
        <v>2.14</v>
      </c>
      <c r="D2733">
        <v>4.78</v>
      </c>
      <c r="E2733">
        <v>0.1</v>
      </c>
      <c r="F2733">
        <v>4.77</v>
      </c>
      <c r="G2733">
        <v>4.78</v>
      </c>
      <c r="H2733">
        <v>62485</v>
      </c>
      <c r="I2733">
        <v>50</v>
      </c>
      <c r="J2733">
        <v>-0.2</v>
      </c>
      <c r="K2733">
        <v>0.44</v>
      </c>
      <c r="L2733">
        <v>4.69</v>
      </c>
      <c r="M2733">
        <v>4.81</v>
      </c>
      <c r="N2733">
        <v>4.66</v>
      </c>
      <c r="O2733">
        <v>4.68</v>
      </c>
      <c r="P2733">
        <v>16.82</v>
      </c>
      <c r="Q2733">
        <v>29773268</v>
      </c>
      <c r="R2733">
        <v>2.24</v>
      </c>
      <c r="S2733" t="s">
        <v>34</v>
      </c>
      <c r="T2733" t="s">
        <v>366</v>
      </c>
      <c r="U2733">
        <v>3.21</v>
      </c>
      <c r="V2733">
        <v>4.76</v>
      </c>
      <c r="W2733">
        <v>21071</v>
      </c>
      <c r="X2733">
        <v>41414</v>
      </c>
      <c r="Y2733">
        <v>0.51</v>
      </c>
      <c r="Z2733">
        <v>671</v>
      </c>
      <c r="AA2733">
        <v>353</v>
      </c>
      <c r="AB2733" t="s">
        <v>32</v>
      </c>
      <c r="AC2733">
        <v>14.08</v>
      </c>
    </row>
    <row r="2734" spans="1:29">
      <c r="A2734" t="str">
        <f>"600749"</f>
        <v>600749</v>
      </c>
      <c r="B2734" t="s">
        <v>2904</v>
      </c>
      <c r="C2734">
        <v>0.98</v>
      </c>
      <c r="D2734">
        <v>9.25</v>
      </c>
      <c r="E2734">
        <v>0.09</v>
      </c>
      <c r="F2734">
        <v>9.24</v>
      </c>
      <c r="G2734">
        <v>9.25</v>
      </c>
      <c r="H2734">
        <v>8331</v>
      </c>
      <c r="I2734">
        <v>3</v>
      </c>
      <c r="J2734">
        <v>0</v>
      </c>
      <c r="K2734">
        <v>0.44</v>
      </c>
      <c r="L2734">
        <v>9.17</v>
      </c>
      <c r="M2734">
        <v>9.34</v>
      </c>
      <c r="N2734">
        <v>9.1</v>
      </c>
      <c r="O2734">
        <v>9.16</v>
      </c>
      <c r="P2734" t="s">
        <v>32</v>
      </c>
      <c r="Q2734">
        <v>7669394</v>
      </c>
      <c r="R2734">
        <v>1.45</v>
      </c>
      <c r="S2734" t="s">
        <v>124</v>
      </c>
      <c r="T2734" t="s">
        <v>432</v>
      </c>
      <c r="U2734">
        <v>2.62</v>
      </c>
      <c r="V2734">
        <v>9.21</v>
      </c>
      <c r="W2734">
        <v>3488</v>
      </c>
      <c r="X2734">
        <v>4842</v>
      </c>
      <c r="Y2734">
        <v>0.72</v>
      </c>
      <c r="Z2734">
        <v>19</v>
      </c>
      <c r="AA2734">
        <v>111</v>
      </c>
      <c r="AB2734" t="s">
        <v>32</v>
      </c>
      <c r="AC2734">
        <v>1.89</v>
      </c>
    </row>
    <row r="2735" spans="1:29">
      <c r="A2735" t="str">
        <f>"600750"</f>
        <v>600750</v>
      </c>
      <c r="B2735" t="s">
        <v>2905</v>
      </c>
      <c r="C2735">
        <v>0</v>
      </c>
      <c r="D2735">
        <v>17.75</v>
      </c>
      <c r="E2735">
        <v>0</v>
      </c>
      <c r="F2735" t="s">
        <v>32</v>
      </c>
      <c r="G2735" t="s">
        <v>32</v>
      </c>
      <c r="H2735">
        <v>0</v>
      </c>
      <c r="I2735">
        <v>0</v>
      </c>
      <c r="J2735">
        <v>0</v>
      </c>
      <c r="K2735">
        <v>0</v>
      </c>
      <c r="L2735" t="s">
        <v>32</v>
      </c>
      <c r="M2735" t="s">
        <v>32</v>
      </c>
      <c r="N2735" t="s">
        <v>32</v>
      </c>
      <c r="O2735">
        <v>17.75</v>
      </c>
      <c r="P2735">
        <v>16.06</v>
      </c>
      <c r="Q2735">
        <v>0</v>
      </c>
      <c r="R2735">
        <v>0</v>
      </c>
      <c r="S2735" t="s">
        <v>195</v>
      </c>
      <c r="T2735" t="s">
        <v>172</v>
      </c>
      <c r="U2735">
        <v>0</v>
      </c>
      <c r="V2735">
        <v>17.75</v>
      </c>
      <c r="W2735">
        <v>0</v>
      </c>
      <c r="X2735">
        <v>0</v>
      </c>
      <c r="Y2735" t="s">
        <v>32</v>
      </c>
      <c r="Z2735">
        <v>0</v>
      </c>
      <c r="AA2735">
        <v>0</v>
      </c>
      <c r="AB2735" t="s">
        <v>32</v>
      </c>
      <c r="AC2735">
        <v>4.2</v>
      </c>
    </row>
    <row r="2736" spans="1:29">
      <c r="A2736" t="str">
        <f>"600751"</f>
        <v>600751</v>
      </c>
      <c r="B2736" t="s">
        <v>2906</v>
      </c>
      <c r="C2736">
        <v>0</v>
      </c>
      <c r="D2736">
        <v>6.49</v>
      </c>
      <c r="E2736">
        <v>0</v>
      </c>
      <c r="F2736" t="s">
        <v>32</v>
      </c>
      <c r="G2736" t="s">
        <v>32</v>
      </c>
      <c r="H2736">
        <v>0</v>
      </c>
      <c r="I2736">
        <v>0</v>
      </c>
      <c r="J2736">
        <v>0</v>
      </c>
      <c r="K2736">
        <v>0</v>
      </c>
      <c r="L2736" t="s">
        <v>32</v>
      </c>
      <c r="M2736" t="s">
        <v>32</v>
      </c>
      <c r="N2736" t="s">
        <v>32</v>
      </c>
      <c r="O2736">
        <v>6.49</v>
      </c>
      <c r="P2736" t="s">
        <v>32</v>
      </c>
      <c r="Q2736">
        <v>0</v>
      </c>
      <c r="R2736">
        <v>0</v>
      </c>
      <c r="S2736" t="s">
        <v>229</v>
      </c>
      <c r="T2736" t="s">
        <v>248</v>
      </c>
      <c r="U2736">
        <v>0</v>
      </c>
      <c r="V2736">
        <v>6.49</v>
      </c>
      <c r="W2736">
        <v>0</v>
      </c>
      <c r="X2736">
        <v>0</v>
      </c>
      <c r="Y2736" t="s">
        <v>32</v>
      </c>
      <c r="Z2736">
        <v>0</v>
      </c>
      <c r="AA2736">
        <v>0</v>
      </c>
      <c r="AB2736" t="s">
        <v>32</v>
      </c>
      <c r="AC2736">
        <v>25.73</v>
      </c>
    </row>
    <row r="2737" spans="1:29">
      <c r="A2737" t="str">
        <f>"600753"</f>
        <v>600753</v>
      </c>
      <c r="B2737" t="s">
        <v>2907</v>
      </c>
      <c r="C2737">
        <v>-3.29</v>
      </c>
      <c r="D2737">
        <v>15.56</v>
      </c>
      <c r="E2737">
        <v>-0.53</v>
      </c>
      <c r="F2737">
        <v>15.57</v>
      </c>
      <c r="G2737">
        <v>15.59</v>
      </c>
      <c r="H2737">
        <v>98035</v>
      </c>
      <c r="I2737">
        <v>35</v>
      </c>
      <c r="J2737">
        <v>-0.05</v>
      </c>
      <c r="K2737">
        <v>7.66</v>
      </c>
      <c r="L2737">
        <v>15.33</v>
      </c>
      <c r="M2737">
        <v>15.88</v>
      </c>
      <c r="N2737">
        <v>15.3</v>
      </c>
      <c r="O2737">
        <v>16.09</v>
      </c>
      <c r="P2737">
        <v>128.15</v>
      </c>
      <c r="Q2737">
        <v>152697568</v>
      </c>
      <c r="R2737">
        <v>1.47</v>
      </c>
      <c r="S2737" t="s">
        <v>117</v>
      </c>
      <c r="T2737" t="s">
        <v>164</v>
      </c>
      <c r="U2737">
        <v>3.6</v>
      </c>
      <c r="V2737">
        <v>15.58</v>
      </c>
      <c r="W2737">
        <v>56310</v>
      </c>
      <c r="X2737">
        <v>41725</v>
      </c>
      <c r="Y2737">
        <v>1.35</v>
      </c>
      <c r="Z2737">
        <v>27</v>
      </c>
      <c r="AA2737">
        <v>31</v>
      </c>
      <c r="AB2737" t="s">
        <v>32</v>
      </c>
      <c r="AC2737">
        <v>1.28</v>
      </c>
    </row>
    <row r="2738" spans="1:29">
      <c r="A2738" t="str">
        <f>"600754"</f>
        <v>600754</v>
      </c>
      <c r="B2738" t="s">
        <v>2908</v>
      </c>
      <c r="C2738">
        <v>0.84</v>
      </c>
      <c r="D2738">
        <v>33.56</v>
      </c>
      <c r="E2738">
        <v>0.28</v>
      </c>
      <c r="F2738">
        <v>33.57</v>
      </c>
      <c r="G2738">
        <v>33.58</v>
      </c>
      <c r="H2738">
        <v>29591</v>
      </c>
      <c r="I2738">
        <v>2</v>
      </c>
      <c r="J2738">
        <v>-0.29</v>
      </c>
      <c r="K2738">
        <v>0.46</v>
      </c>
      <c r="L2738">
        <v>33.29</v>
      </c>
      <c r="M2738">
        <v>33.86</v>
      </c>
      <c r="N2738">
        <v>32.67</v>
      </c>
      <c r="O2738">
        <v>33.28</v>
      </c>
      <c r="P2738">
        <v>34.88</v>
      </c>
      <c r="Q2738">
        <v>98872896</v>
      </c>
      <c r="R2738">
        <v>0.94</v>
      </c>
      <c r="S2738" t="s">
        <v>42</v>
      </c>
      <c r="T2738" t="s">
        <v>366</v>
      </c>
      <c r="U2738">
        <v>3.58</v>
      </c>
      <c r="V2738">
        <v>33.41</v>
      </c>
      <c r="W2738">
        <v>15133</v>
      </c>
      <c r="X2738">
        <v>14458</v>
      </c>
      <c r="Y2738">
        <v>1.05</v>
      </c>
      <c r="Z2738">
        <v>19</v>
      </c>
      <c r="AA2738">
        <v>23</v>
      </c>
      <c r="AB2738" t="s">
        <v>32</v>
      </c>
      <c r="AC2738">
        <v>6.49</v>
      </c>
    </row>
    <row r="2739" spans="1:29">
      <c r="A2739" t="str">
        <f>"600755"</f>
        <v>600755</v>
      </c>
      <c r="B2739" t="s">
        <v>2909</v>
      </c>
      <c r="C2739">
        <v>0.8</v>
      </c>
      <c r="D2739">
        <v>7.54</v>
      </c>
      <c r="E2739">
        <v>0.06</v>
      </c>
      <c r="F2739">
        <v>7.53</v>
      </c>
      <c r="G2739">
        <v>7.54</v>
      </c>
      <c r="H2739">
        <v>330362</v>
      </c>
      <c r="I2739">
        <v>27</v>
      </c>
      <c r="J2739">
        <v>0.13</v>
      </c>
      <c r="K2739">
        <v>1.82</v>
      </c>
      <c r="L2739">
        <v>7.45</v>
      </c>
      <c r="M2739">
        <v>7.6</v>
      </c>
      <c r="N2739">
        <v>7.41</v>
      </c>
      <c r="O2739">
        <v>7.48</v>
      </c>
      <c r="P2739">
        <v>6.5</v>
      </c>
      <c r="Q2739">
        <v>248699072</v>
      </c>
      <c r="R2739">
        <v>1.59</v>
      </c>
      <c r="S2739" t="s">
        <v>140</v>
      </c>
      <c r="T2739" t="s">
        <v>236</v>
      </c>
      <c r="U2739">
        <v>2.54</v>
      </c>
      <c r="V2739">
        <v>7.53</v>
      </c>
      <c r="W2739">
        <v>176046</v>
      </c>
      <c r="X2739">
        <v>154315</v>
      </c>
      <c r="Y2739">
        <v>1.14</v>
      </c>
      <c r="Z2739">
        <v>3078</v>
      </c>
      <c r="AA2739">
        <v>1</v>
      </c>
      <c r="AB2739" t="s">
        <v>32</v>
      </c>
      <c r="AC2739">
        <v>18.16</v>
      </c>
    </row>
    <row r="2740" spans="1:29">
      <c r="A2740" t="str">
        <f>"600756"</f>
        <v>600756</v>
      </c>
      <c r="B2740" t="s">
        <v>2910</v>
      </c>
      <c r="C2740">
        <v>-0.37</v>
      </c>
      <c r="D2740">
        <v>19.05</v>
      </c>
      <c r="E2740">
        <v>-0.07</v>
      </c>
      <c r="F2740">
        <v>19.05</v>
      </c>
      <c r="G2740">
        <v>19.06</v>
      </c>
      <c r="H2740">
        <v>231361</v>
      </c>
      <c r="I2740">
        <v>238</v>
      </c>
      <c r="J2740">
        <v>0.11</v>
      </c>
      <c r="K2740">
        <v>7.14</v>
      </c>
      <c r="L2740">
        <v>19.2</v>
      </c>
      <c r="M2740">
        <v>19.27</v>
      </c>
      <c r="N2740">
        <v>18.68</v>
      </c>
      <c r="O2740">
        <v>19.12</v>
      </c>
      <c r="P2740">
        <v>76.86</v>
      </c>
      <c r="Q2740">
        <v>438732512</v>
      </c>
      <c r="R2740">
        <v>1.03</v>
      </c>
      <c r="S2740" t="s">
        <v>270</v>
      </c>
      <c r="T2740" t="s">
        <v>162</v>
      </c>
      <c r="U2740">
        <v>3.09</v>
      </c>
      <c r="V2740">
        <v>18.96</v>
      </c>
      <c r="W2740">
        <v>120382</v>
      </c>
      <c r="X2740">
        <v>110979</v>
      </c>
      <c r="Y2740">
        <v>1.08</v>
      </c>
      <c r="Z2740">
        <v>20</v>
      </c>
      <c r="AA2740">
        <v>467</v>
      </c>
      <c r="AB2740" t="s">
        <v>32</v>
      </c>
      <c r="AC2740">
        <v>3.24</v>
      </c>
    </row>
    <row r="2741" spans="1:29">
      <c r="A2741" t="str">
        <f>"600757"</f>
        <v>600757</v>
      </c>
      <c r="B2741" t="s">
        <v>2911</v>
      </c>
      <c r="C2741">
        <v>1.92</v>
      </c>
      <c r="D2741">
        <v>5.83</v>
      </c>
      <c r="E2741">
        <v>0.11</v>
      </c>
      <c r="F2741">
        <v>5.82</v>
      </c>
      <c r="G2741">
        <v>5.83</v>
      </c>
      <c r="H2741">
        <v>60440</v>
      </c>
      <c r="I2741">
        <v>5</v>
      </c>
      <c r="J2741">
        <v>0</v>
      </c>
      <c r="K2741">
        <v>0.5</v>
      </c>
      <c r="L2741">
        <v>5.72</v>
      </c>
      <c r="M2741">
        <v>5.84</v>
      </c>
      <c r="N2741">
        <v>5.72</v>
      </c>
      <c r="O2741">
        <v>5.72</v>
      </c>
      <c r="P2741">
        <v>9.89</v>
      </c>
      <c r="Q2741">
        <v>35044480</v>
      </c>
      <c r="R2741">
        <v>1.85</v>
      </c>
      <c r="S2741" t="s">
        <v>211</v>
      </c>
      <c r="T2741" t="s">
        <v>193</v>
      </c>
      <c r="U2741">
        <v>2.1</v>
      </c>
      <c r="V2741">
        <v>5.8</v>
      </c>
      <c r="W2741">
        <v>22558</v>
      </c>
      <c r="X2741">
        <v>37881</v>
      </c>
      <c r="Y2741">
        <v>0.6</v>
      </c>
      <c r="Z2741">
        <v>82</v>
      </c>
      <c r="AA2741">
        <v>1084</v>
      </c>
      <c r="AB2741" t="s">
        <v>32</v>
      </c>
      <c r="AC2741">
        <v>12.13</v>
      </c>
    </row>
    <row r="2742" spans="1:29">
      <c r="A2742" t="str">
        <f>"600758"</f>
        <v>600758</v>
      </c>
      <c r="B2742" t="s">
        <v>2912</v>
      </c>
      <c r="C2742">
        <v>1.87</v>
      </c>
      <c r="D2742">
        <v>4.35</v>
      </c>
      <c r="E2742">
        <v>0.08</v>
      </c>
      <c r="F2742">
        <v>4.35</v>
      </c>
      <c r="G2742">
        <v>4.36</v>
      </c>
      <c r="H2742">
        <v>80771</v>
      </c>
      <c r="I2742">
        <v>8</v>
      </c>
      <c r="J2742">
        <v>0</v>
      </c>
      <c r="K2742">
        <v>1.19</v>
      </c>
      <c r="L2742">
        <v>4.26</v>
      </c>
      <c r="M2742">
        <v>4.38</v>
      </c>
      <c r="N2742">
        <v>4.25</v>
      </c>
      <c r="O2742">
        <v>4.27</v>
      </c>
      <c r="P2742">
        <v>16.62</v>
      </c>
      <c r="Q2742">
        <v>34971560</v>
      </c>
      <c r="R2742">
        <v>2.74</v>
      </c>
      <c r="S2742" t="s">
        <v>265</v>
      </c>
      <c r="T2742" t="s">
        <v>111</v>
      </c>
      <c r="U2742">
        <v>3.04</v>
      </c>
      <c r="V2742">
        <v>4.33</v>
      </c>
      <c r="W2742">
        <v>42043</v>
      </c>
      <c r="X2742">
        <v>38727</v>
      </c>
      <c r="Y2742">
        <v>1.09</v>
      </c>
      <c r="Z2742">
        <v>912</v>
      </c>
      <c r="AA2742">
        <v>1105</v>
      </c>
      <c r="AB2742" t="s">
        <v>32</v>
      </c>
      <c r="AC2742">
        <v>6.76</v>
      </c>
    </row>
    <row r="2743" spans="1:29">
      <c r="A2743" t="str">
        <f>"600759"</f>
        <v>600759</v>
      </c>
      <c r="B2743" t="s">
        <v>2913</v>
      </c>
      <c r="C2743">
        <v>0</v>
      </c>
      <c r="D2743">
        <v>3.94</v>
      </c>
      <c r="E2743">
        <v>0</v>
      </c>
      <c r="F2743" t="s">
        <v>32</v>
      </c>
      <c r="G2743" t="s">
        <v>32</v>
      </c>
      <c r="H2743">
        <v>0</v>
      </c>
      <c r="I2743">
        <v>0</v>
      </c>
      <c r="J2743">
        <v>0</v>
      </c>
      <c r="K2743">
        <v>0</v>
      </c>
      <c r="L2743" t="s">
        <v>32</v>
      </c>
      <c r="M2743" t="s">
        <v>32</v>
      </c>
      <c r="N2743" t="s">
        <v>32</v>
      </c>
      <c r="O2743">
        <v>3.94</v>
      </c>
      <c r="P2743">
        <v>55.39</v>
      </c>
      <c r="Q2743">
        <v>0</v>
      </c>
      <c r="R2743">
        <v>0</v>
      </c>
      <c r="S2743" t="s">
        <v>831</v>
      </c>
      <c r="T2743" t="s">
        <v>209</v>
      </c>
      <c r="U2743">
        <v>0</v>
      </c>
      <c r="V2743">
        <v>3.94</v>
      </c>
      <c r="W2743">
        <v>0</v>
      </c>
      <c r="X2743">
        <v>0</v>
      </c>
      <c r="Y2743" t="s">
        <v>32</v>
      </c>
      <c r="Z2743">
        <v>0</v>
      </c>
      <c r="AA2743">
        <v>0</v>
      </c>
      <c r="AB2743" t="s">
        <v>32</v>
      </c>
      <c r="AC2743">
        <v>22.58</v>
      </c>
    </row>
    <row r="2744" spans="1:29">
      <c r="A2744" t="str">
        <f>"600760"</f>
        <v>600760</v>
      </c>
      <c r="B2744" t="s">
        <v>2914</v>
      </c>
      <c r="C2744">
        <v>0</v>
      </c>
      <c r="D2744">
        <v>40.15</v>
      </c>
      <c r="E2744">
        <v>0</v>
      </c>
      <c r="F2744">
        <v>40.15</v>
      </c>
      <c r="G2744">
        <v>40.16</v>
      </c>
      <c r="H2744">
        <v>135648</v>
      </c>
      <c r="I2744">
        <v>162</v>
      </c>
      <c r="J2744">
        <v>-0.14</v>
      </c>
      <c r="K2744">
        <v>3.93</v>
      </c>
      <c r="L2744">
        <v>40.5</v>
      </c>
      <c r="M2744">
        <v>40.84</v>
      </c>
      <c r="N2744">
        <v>39.76</v>
      </c>
      <c r="O2744">
        <v>40.15</v>
      </c>
      <c r="P2744" t="s">
        <v>32</v>
      </c>
      <c r="Q2744">
        <v>546304384</v>
      </c>
      <c r="R2744">
        <v>1.48</v>
      </c>
      <c r="S2744" t="s">
        <v>389</v>
      </c>
      <c r="T2744" t="s">
        <v>162</v>
      </c>
      <c r="U2744">
        <v>2.69</v>
      </c>
      <c r="V2744">
        <v>40.27</v>
      </c>
      <c r="W2744">
        <v>68987</v>
      </c>
      <c r="X2744">
        <v>66661</v>
      </c>
      <c r="Y2744">
        <v>1.03</v>
      </c>
      <c r="Z2744">
        <v>68</v>
      </c>
      <c r="AA2744">
        <v>57</v>
      </c>
      <c r="AB2744" t="s">
        <v>32</v>
      </c>
      <c r="AC2744">
        <v>3.45</v>
      </c>
    </row>
    <row r="2745" spans="1:29">
      <c r="A2745" t="str">
        <f>"600761"</f>
        <v>600761</v>
      </c>
      <c r="B2745" t="s">
        <v>2915</v>
      </c>
      <c r="C2745">
        <v>1.27</v>
      </c>
      <c r="D2745">
        <v>9.59</v>
      </c>
      <c r="E2745">
        <v>0.12</v>
      </c>
      <c r="F2745">
        <v>9.58</v>
      </c>
      <c r="G2745">
        <v>9.59</v>
      </c>
      <c r="H2745">
        <v>118782</v>
      </c>
      <c r="I2745">
        <v>1044</v>
      </c>
      <c r="J2745">
        <v>0.21</v>
      </c>
      <c r="K2745">
        <v>1.6</v>
      </c>
      <c r="L2745">
        <v>9.48</v>
      </c>
      <c r="M2745">
        <v>9.69</v>
      </c>
      <c r="N2745">
        <v>9.41</v>
      </c>
      <c r="O2745">
        <v>9.47</v>
      </c>
      <c r="P2745">
        <v>13.05</v>
      </c>
      <c r="Q2745">
        <v>113472552</v>
      </c>
      <c r="R2745">
        <v>2.66</v>
      </c>
      <c r="S2745" t="s">
        <v>151</v>
      </c>
      <c r="T2745" t="s">
        <v>143</v>
      </c>
      <c r="U2745">
        <v>2.96</v>
      </c>
      <c r="V2745">
        <v>9.55</v>
      </c>
      <c r="W2745">
        <v>53932</v>
      </c>
      <c r="X2745">
        <v>64849</v>
      </c>
      <c r="Y2745">
        <v>0.83</v>
      </c>
      <c r="Z2745">
        <v>32</v>
      </c>
      <c r="AA2745">
        <v>200</v>
      </c>
      <c r="AB2745" t="s">
        <v>32</v>
      </c>
      <c r="AC2745">
        <v>7.4</v>
      </c>
    </row>
    <row r="2746" spans="1:29">
      <c r="A2746" t="str">
        <f>"600763"</f>
        <v>600763</v>
      </c>
      <c r="B2746" t="s">
        <v>2916</v>
      </c>
      <c r="C2746">
        <v>4.07</v>
      </c>
      <c r="D2746">
        <v>53.49</v>
      </c>
      <c r="E2746">
        <v>2.09</v>
      </c>
      <c r="F2746">
        <v>53.45</v>
      </c>
      <c r="G2746">
        <v>53.48</v>
      </c>
      <c r="H2746">
        <v>63361</v>
      </c>
      <c r="I2746">
        <v>3</v>
      </c>
      <c r="J2746">
        <v>-0.06</v>
      </c>
      <c r="K2746">
        <v>1.98</v>
      </c>
      <c r="L2746">
        <v>51.4</v>
      </c>
      <c r="M2746">
        <v>54.61</v>
      </c>
      <c r="N2746">
        <v>50.11</v>
      </c>
      <c r="O2746">
        <v>51.4</v>
      </c>
      <c r="P2746">
        <v>69.59</v>
      </c>
      <c r="Q2746">
        <v>333805504</v>
      </c>
      <c r="R2746">
        <v>1.33</v>
      </c>
      <c r="S2746" t="s">
        <v>138</v>
      </c>
      <c r="T2746" t="s">
        <v>149</v>
      </c>
      <c r="U2746">
        <v>8.75</v>
      </c>
      <c r="V2746">
        <v>52.68</v>
      </c>
      <c r="W2746">
        <v>28374</v>
      </c>
      <c r="X2746">
        <v>34986</v>
      </c>
      <c r="Y2746">
        <v>0.81</v>
      </c>
      <c r="Z2746">
        <v>3</v>
      </c>
      <c r="AA2746">
        <v>56</v>
      </c>
      <c r="AB2746" t="s">
        <v>32</v>
      </c>
      <c r="AC2746">
        <v>3.21</v>
      </c>
    </row>
    <row r="2747" spans="1:29">
      <c r="A2747" t="str">
        <f>"600764"</f>
        <v>600764</v>
      </c>
      <c r="B2747" t="s">
        <v>2917</v>
      </c>
      <c r="C2747">
        <v>0</v>
      </c>
      <c r="D2747">
        <v>31.71</v>
      </c>
      <c r="E2747">
        <v>0</v>
      </c>
      <c r="F2747" t="s">
        <v>32</v>
      </c>
      <c r="G2747" t="s">
        <v>32</v>
      </c>
      <c r="H2747">
        <v>0</v>
      </c>
      <c r="I2747">
        <v>0</v>
      </c>
      <c r="J2747">
        <v>0</v>
      </c>
      <c r="K2747">
        <v>0</v>
      </c>
      <c r="L2747" t="s">
        <v>32</v>
      </c>
      <c r="M2747" t="s">
        <v>32</v>
      </c>
      <c r="N2747" t="s">
        <v>32</v>
      </c>
      <c r="O2747">
        <v>31.71</v>
      </c>
      <c r="P2747">
        <v>1069.3</v>
      </c>
      <c r="Q2747">
        <v>0</v>
      </c>
      <c r="R2747">
        <v>0</v>
      </c>
      <c r="S2747" t="s">
        <v>119</v>
      </c>
      <c r="T2747" t="s">
        <v>45</v>
      </c>
      <c r="U2747">
        <v>0</v>
      </c>
      <c r="V2747">
        <v>31.71</v>
      </c>
      <c r="W2747">
        <v>0</v>
      </c>
      <c r="X2747">
        <v>0</v>
      </c>
      <c r="Y2747" t="s">
        <v>32</v>
      </c>
      <c r="Z2747">
        <v>0</v>
      </c>
      <c r="AA2747">
        <v>0</v>
      </c>
      <c r="AB2747" t="s">
        <v>32</v>
      </c>
      <c r="AC2747">
        <v>3.3</v>
      </c>
    </row>
    <row r="2748" spans="1:29">
      <c r="A2748" t="str">
        <f>"600765"</f>
        <v>600765</v>
      </c>
      <c r="B2748" t="s">
        <v>2918</v>
      </c>
      <c r="C2748">
        <v>1.51</v>
      </c>
      <c r="D2748">
        <v>8.08</v>
      </c>
      <c r="E2748">
        <v>0.12</v>
      </c>
      <c r="F2748">
        <v>8.08</v>
      </c>
      <c r="G2748">
        <v>8.09</v>
      </c>
      <c r="H2748">
        <v>72105</v>
      </c>
      <c r="I2748">
        <v>8</v>
      </c>
      <c r="J2748">
        <v>0</v>
      </c>
      <c r="K2748">
        <v>0.93</v>
      </c>
      <c r="L2748">
        <v>7.99</v>
      </c>
      <c r="M2748">
        <v>8.19</v>
      </c>
      <c r="N2748">
        <v>7.9</v>
      </c>
      <c r="O2748">
        <v>7.96</v>
      </c>
      <c r="P2748">
        <v>57.64</v>
      </c>
      <c r="Q2748">
        <v>58146456</v>
      </c>
      <c r="R2748">
        <v>1.37</v>
      </c>
      <c r="S2748" t="s">
        <v>241</v>
      </c>
      <c r="T2748" t="s">
        <v>253</v>
      </c>
      <c r="U2748">
        <v>3.64</v>
      </c>
      <c r="V2748">
        <v>8.06</v>
      </c>
      <c r="W2748">
        <v>32233</v>
      </c>
      <c r="X2748">
        <v>39871</v>
      </c>
      <c r="Y2748">
        <v>0.81</v>
      </c>
      <c r="Z2748">
        <v>2</v>
      </c>
      <c r="AA2748">
        <v>711</v>
      </c>
      <c r="AB2748" t="s">
        <v>32</v>
      </c>
      <c r="AC2748">
        <v>7.78</v>
      </c>
    </row>
    <row r="2749" spans="1:29">
      <c r="A2749" t="str">
        <f>"600766"</f>
        <v>600766</v>
      </c>
      <c r="B2749" t="s">
        <v>2919</v>
      </c>
      <c r="C2749">
        <v>0</v>
      </c>
      <c r="D2749">
        <v>6.69</v>
      </c>
      <c r="E2749">
        <v>0</v>
      </c>
      <c r="F2749" t="s">
        <v>32</v>
      </c>
      <c r="G2749" t="s">
        <v>32</v>
      </c>
      <c r="H2749">
        <v>0</v>
      </c>
      <c r="I2749">
        <v>0</v>
      </c>
      <c r="J2749">
        <v>0</v>
      </c>
      <c r="K2749">
        <v>0</v>
      </c>
      <c r="L2749" t="s">
        <v>32</v>
      </c>
      <c r="M2749" t="s">
        <v>32</v>
      </c>
      <c r="N2749" t="s">
        <v>32</v>
      </c>
      <c r="O2749">
        <v>6.69</v>
      </c>
      <c r="P2749">
        <v>335.59</v>
      </c>
      <c r="Q2749">
        <v>0</v>
      </c>
      <c r="R2749">
        <v>0</v>
      </c>
      <c r="S2749" t="s">
        <v>778</v>
      </c>
      <c r="T2749" t="s">
        <v>162</v>
      </c>
      <c r="U2749">
        <v>0</v>
      </c>
      <c r="V2749">
        <v>6.69</v>
      </c>
      <c r="W2749">
        <v>0</v>
      </c>
      <c r="X2749">
        <v>0</v>
      </c>
      <c r="Y2749" t="s">
        <v>32</v>
      </c>
      <c r="Z2749">
        <v>0</v>
      </c>
      <c r="AA2749">
        <v>0</v>
      </c>
      <c r="AB2749" t="s">
        <v>32</v>
      </c>
      <c r="AC2749">
        <v>2.24</v>
      </c>
    </row>
    <row r="2750" spans="1:29">
      <c r="A2750" t="str">
        <f>"600767"</f>
        <v>600767</v>
      </c>
      <c r="B2750" t="s">
        <v>2920</v>
      </c>
      <c r="C2750">
        <v>1.76</v>
      </c>
      <c r="D2750">
        <v>4.63</v>
      </c>
      <c r="E2750">
        <v>0.08</v>
      </c>
      <c r="F2750">
        <v>4.63</v>
      </c>
      <c r="G2750">
        <v>4.64</v>
      </c>
      <c r="H2750">
        <v>10087</v>
      </c>
      <c r="I2750">
        <v>74</v>
      </c>
      <c r="J2750">
        <v>-0.21</v>
      </c>
      <c r="K2750">
        <v>0.3</v>
      </c>
      <c r="L2750">
        <v>4.54</v>
      </c>
      <c r="M2750">
        <v>4.64</v>
      </c>
      <c r="N2750">
        <v>4.54</v>
      </c>
      <c r="O2750">
        <v>4.55</v>
      </c>
      <c r="P2750" t="s">
        <v>32</v>
      </c>
      <c r="Q2750">
        <v>4645199</v>
      </c>
      <c r="R2750">
        <v>1.17</v>
      </c>
      <c r="S2750" t="s">
        <v>138</v>
      </c>
      <c r="T2750" t="s">
        <v>366</v>
      </c>
      <c r="U2750">
        <v>2.2</v>
      </c>
      <c r="V2750">
        <v>4.61</v>
      </c>
      <c r="W2750">
        <v>3862</v>
      </c>
      <c r="X2750">
        <v>6225</v>
      </c>
      <c r="Y2750">
        <v>0.62</v>
      </c>
      <c r="Z2750">
        <v>264</v>
      </c>
      <c r="AA2750">
        <v>62</v>
      </c>
      <c r="AB2750" t="s">
        <v>32</v>
      </c>
      <c r="AC2750">
        <v>3.41</v>
      </c>
    </row>
    <row r="2751" spans="1:29">
      <c r="A2751" t="str">
        <f>"600768"</f>
        <v>600768</v>
      </c>
      <c r="B2751" t="s">
        <v>2921</v>
      </c>
      <c r="C2751">
        <v>0</v>
      </c>
      <c r="D2751">
        <v>11.04</v>
      </c>
      <c r="E2751">
        <v>0</v>
      </c>
      <c r="F2751" t="s">
        <v>32</v>
      </c>
      <c r="G2751" t="s">
        <v>32</v>
      </c>
      <c r="H2751">
        <v>0</v>
      </c>
      <c r="I2751">
        <v>0</v>
      </c>
      <c r="J2751">
        <v>0</v>
      </c>
      <c r="K2751">
        <v>0</v>
      </c>
      <c r="L2751" t="s">
        <v>32</v>
      </c>
      <c r="M2751" t="s">
        <v>32</v>
      </c>
      <c r="N2751" t="s">
        <v>32</v>
      </c>
      <c r="O2751">
        <v>11.04</v>
      </c>
      <c r="P2751" t="s">
        <v>32</v>
      </c>
      <c r="Q2751">
        <v>0</v>
      </c>
      <c r="R2751">
        <v>0</v>
      </c>
      <c r="S2751" t="s">
        <v>324</v>
      </c>
      <c r="T2751" t="s">
        <v>149</v>
      </c>
      <c r="U2751">
        <v>0</v>
      </c>
      <c r="V2751">
        <v>11.04</v>
      </c>
      <c r="W2751">
        <v>0</v>
      </c>
      <c r="X2751">
        <v>0</v>
      </c>
      <c r="Y2751" t="s">
        <v>32</v>
      </c>
      <c r="Z2751">
        <v>0</v>
      </c>
      <c r="AA2751">
        <v>0</v>
      </c>
      <c r="AB2751" t="s">
        <v>32</v>
      </c>
      <c r="AC2751">
        <v>1.34</v>
      </c>
    </row>
    <row r="2752" spans="1:29">
      <c r="A2752" t="str">
        <f>"600769"</f>
        <v>600769</v>
      </c>
      <c r="B2752" t="s">
        <v>2922</v>
      </c>
      <c r="C2752">
        <v>2.46</v>
      </c>
      <c r="D2752">
        <v>4.99</v>
      </c>
      <c r="E2752">
        <v>0.12</v>
      </c>
      <c r="F2752">
        <v>5</v>
      </c>
      <c r="G2752">
        <v>5.01</v>
      </c>
      <c r="H2752">
        <v>24571</v>
      </c>
      <c r="I2752">
        <v>19</v>
      </c>
      <c r="J2752">
        <v>-0.39</v>
      </c>
      <c r="K2752">
        <v>0.66</v>
      </c>
      <c r="L2752">
        <v>4.88</v>
      </c>
      <c r="M2752">
        <v>5.03</v>
      </c>
      <c r="N2752">
        <v>4.88</v>
      </c>
      <c r="O2752">
        <v>4.87</v>
      </c>
      <c r="P2752">
        <v>452.18</v>
      </c>
      <c r="Q2752">
        <v>12236461</v>
      </c>
      <c r="R2752">
        <v>1.6</v>
      </c>
      <c r="S2752" t="s">
        <v>49</v>
      </c>
      <c r="T2752" t="s">
        <v>193</v>
      </c>
      <c r="U2752">
        <v>3.08</v>
      </c>
      <c r="V2752">
        <v>4.98</v>
      </c>
      <c r="W2752">
        <v>10010</v>
      </c>
      <c r="X2752">
        <v>14561</v>
      </c>
      <c r="Y2752">
        <v>0.69</v>
      </c>
      <c r="Z2752">
        <v>97</v>
      </c>
      <c r="AA2752">
        <v>463</v>
      </c>
      <c r="AB2752" t="s">
        <v>32</v>
      </c>
      <c r="AC2752">
        <v>3.75</v>
      </c>
    </row>
    <row r="2753" spans="1:29">
      <c r="A2753" t="str">
        <f>"600770"</f>
        <v>600770</v>
      </c>
      <c r="B2753" t="s">
        <v>2923</v>
      </c>
      <c r="C2753">
        <v>0.82</v>
      </c>
      <c r="D2753">
        <v>6.15</v>
      </c>
      <c r="E2753">
        <v>0.05</v>
      </c>
      <c r="F2753">
        <v>6.15</v>
      </c>
      <c r="G2753">
        <v>6.16</v>
      </c>
      <c r="H2753">
        <v>105862</v>
      </c>
      <c r="I2753">
        <v>61</v>
      </c>
      <c r="J2753">
        <v>-0.15</v>
      </c>
      <c r="K2753">
        <v>0.81</v>
      </c>
      <c r="L2753">
        <v>6.12</v>
      </c>
      <c r="M2753">
        <v>6.22</v>
      </c>
      <c r="N2753">
        <v>6.06</v>
      </c>
      <c r="O2753">
        <v>6.1</v>
      </c>
      <c r="P2753">
        <v>629.23</v>
      </c>
      <c r="Q2753">
        <v>65063060</v>
      </c>
      <c r="R2753">
        <v>0.78</v>
      </c>
      <c r="S2753" t="s">
        <v>47</v>
      </c>
      <c r="T2753" t="s">
        <v>87</v>
      </c>
      <c r="U2753">
        <v>2.62</v>
      </c>
      <c r="V2753">
        <v>6.15</v>
      </c>
      <c r="W2753">
        <v>48457</v>
      </c>
      <c r="X2753">
        <v>57404</v>
      </c>
      <c r="Y2753">
        <v>0.84</v>
      </c>
      <c r="Z2753">
        <v>199</v>
      </c>
      <c r="AA2753">
        <v>943</v>
      </c>
      <c r="AB2753" t="s">
        <v>32</v>
      </c>
      <c r="AC2753">
        <v>13</v>
      </c>
    </row>
    <row r="2754" spans="1:29">
      <c r="A2754" t="str">
        <f>"600771"</f>
        <v>600771</v>
      </c>
      <c r="B2754" t="s">
        <v>2924</v>
      </c>
      <c r="C2754">
        <v>1</v>
      </c>
      <c r="D2754">
        <v>49.55</v>
      </c>
      <c r="E2754">
        <v>0.49</v>
      </c>
      <c r="F2754">
        <v>49.48</v>
      </c>
      <c r="G2754">
        <v>49.5</v>
      </c>
      <c r="H2754">
        <v>18070</v>
      </c>
      <c r="I2754">
        <v>2</v>
      </c>
      <c r="J2754">
        <v>-0.05</v>
      </c>
      <c r="K2754">
        <v>0.67</v>
      </c>
      <c r="L2754">
        <v>49.02</v>
      </c>
      <c r="M2754">
        <v>49.95</v>
      </c>
      <c r="N2754">
        <v>48.21</v>
      </c>
      <c r="O2754">
        <v>49.06</v>
      </c>
      <c r="P2754">
        <v>84.7</v>
      </c>
      <c r="Q2754">
        <v>89256800</v>
      </c>
      <c r="R2754">
        <v>0.68</v>
      </c>
      <c r="S2754" t="s">
        <v>195</v>
      </c>
      <c r="T2754" t="s">
        <v>176</v>
      </c>
      <c r="U2754">
        <v>3.55</v>
      </c>
      <c r="V2754">
        <v>49.39</v>
      </c>
      <c r="W2754">
        <v>10083</v>
      </c>
      <c r="X2754">
        <v>7987</v>
      </c>
      <c r="Y2754">
        <v>1.26</v>
      </c>
      <c r="Z2754">
        <v>6</v>
      </c>
      <c r="AA2754">
        <v>7</v>
      </c>
      <c r="AB2754" t="s">
        <v>32</v>
      </c>
      <c r="AC2754">
        <v>2.68</v>
      </c>
    </row>
    <row r="2755" spans="1:29">
      <c r="A2755" t="str">
        <f>"600773"</f>
        <v>600773</v>
      </c>
      <c r="B2755" t="s">
        <v>2925</v>
      </c>
      <c r="C2755">
        <v>1.8</v>
      </c>
      <c r="D2755">
        <v>7.35</v>
      </c>
      <c r="E2755">
        <v>0.13</v>
      </c>
      <c r="F2755">
        <v>7.35</v>
      </c>
      <c r="G2755">
        <v>7.36</v>
      </c>
      <c r="H2755">
        <v>142645</v>
      </c>
      <c r="I2755">
        <v>7</v>
      </c>
      <c r="J2755">
        <v>-0.13</v>
      </c>
      <c r="K2755">
        <v>1.96</v>
      </c>
      <c r="L2755">
        <v>7.17</v>
      </c>
      <c r="M2755">
        <v>7.54</v>
      </c>
      <c r="N2755">
        <v>7.16</v>
      </c>
      <c r="O2755">
        <v>7.22</v>
      </c>
      <c r="P2755">
        <v>71.5</v>
      </c>
      <c r="Q2755">
        <v>105358800</v>
      </c>
      <c r="R2755">
        <v>1.5</v>
      </c>
      <c r="S2755" t="s">
        <v>40</v>
      </c>
      <c r="T2755" t="s">
        <v>432</v>
      </c>
      <c r="U2755">
        <v>5.26</v>
      </c>
      <c r="V2755">
        <v>7.39</v>
      </c>
      <c r="W2755">
        <v>73263</v>
      </c>
      <c r="X2755">
        <v>69381</v>
      </c>
      <c r="Y2755">
        <v>1.06</v>
      </c>
      <c r="Z2755">
        <v>247</v>
      </c>
      <c r="AA2755">
        <v>508</v>
      </c>
      <c r="AB2755" t="s">
        <v>32</v>
      </c>
      <c r="AC2755">
        <v>7.29</v>
      </c>
    </row>
    <row r="2756" spans="1:29">
      <c r="A2756" t="str">
        <f>"600774"</f>
        <v>600774</v>
      </c>
      <c r="B2756" t="s">
        <v>2926</v>
      </c>
      <c r="C2756">
        <v>1.95</v>
      </c>
      <c r="D2756">
        <v>11</v>
      </c>
      <c r="E2756">
        <v>0.21</v>
      </c>
      <c r="F2756">
        <v>10.99</v>
      </c>
      <c r="G2756">
        <v>11</v>
      </c>
      <c r="H2756">
        <v>3450</v>
      </c>
      <c r="I2756">
        <v>1</v>
      </c>
      <c r="J2756">
        <v>0</v>
      </c>
      <c r="K2756">
        <v>0.15</v>
      </c>
      <c r="L2756">
        <v>10.79</v>
      </c>
      <c r="M2756">
        <v>11.05</v>
      </c>
      <c r="N2756">
        <v>10.69</v>
      </c>
      <c r="O2756">
        <v>10.79</v>
      </c>
      <c r="P2756">
        <v>76.97</v>
      </c>
      <c r="Q2756">
        <v>3773407</v>
      </c>
      <c r="R2756">
        <v>2.4</v>
      </c>
      <c r="S2756" t="s">
        <v>186</v>
      </c>
      <c r="T2756" t="s">
        <v>193</v>
      </c>
      <c r="U2756">
        <v>3.34</v>
      </c>
      <c r="V2756">
        <v>10.94</v>
      </c>
      <c r="W2756">
        <v>1460</v>
      </c>
      <c r="X2756">
        <v>1989</v>
      </c>
      <c r="Y2756">
        <v>0.73</v>
      </c>
      <c r="Z2756">
        <v>52</v>
      </c>
      <c r="AA2756">
        <v>6</v>
      </c>
      <c r="AB2756" t="s">
        <v>32</v>
      </c>
      <c r="AC2756">
        <v>2.27</v>
      </c>
    </row>
    <row r="2757" spans="1:29">
      <c r="A2757" t="str">
        <f>"600775"</f>
        <v>600775</v>
      </c>
      <c r="B2757" t="s">
        <v>2927</v>
      </c>
      <c r="C2757">
        <v>2.78</v>
      </c>
      <c r="D2757">
        <v>6.29</v>
      </c>
      <c r="E2757">
        <v>0.17</v>
      </c>
      <c r="F2757">
        <v>6.28</v>
      </c>
      <c r="G2757">
        <v>6.29</v>
      </c>
      <c r="H2757">
        <v>116018</v>
      </c>
      <c r="I2757">
        <v>87</v>
      </c>
      <c r="J2757">
        <v>-0.15</v>
      </c>
      <c r="K2757">
        <v>1.73</v>
      </c>
      <c r="L2757">
        <v>6.1</v>
      </c>
      <c r="M2757">
        <v>6.48</v>
      </c>
      <c r="N2757">
        <v>6.1</v>
      </c>
      <c r="O2757">
        <v>6.12</v>
      </c>
      <c r="P2757">
        <v>54.24</v>
      </c>
      <c r="Q2757">
        <v>72438400</v>
      </c>
      <c r="R2757">
        <v>0.87</v>
      </c>
      <c r="S2757" t="s">
        <v>119</v>
      </c>
      <c r="T2757" t="s">
        <v>87</v>
      </c>
      <c r="U2757">
        <v>6.21</v>
      </c>
      <c r="V2757">
        <v>6.24</v>
      </c>
      <c r="W2757">
        <v>53571</v>
      </c>
      <c r="X2757">
        <v>62447</v>
      </c>
      <c r="Y2757">
        <v>0.86</v>
      </c>
      <c r="Z2757">
        <v>198</v>
      </c>
      <c r="AA2757">
        <v>178</v>
      </c>
      <c r="AB2757" t="s">
        <v>32</v>
      </c>
      <c r="AC2757">
        <v>6.72</v>
      </c>
    </row>
    <row r="2758" spans="1:29">
      <c r="A2758" t="str">
        <f>"600776"</f>
        <v>600776</v>
      </c>
      <c r="B2758" t="s">
        <v>2928</v>
      </c>
      <c r="C2758">
        <v>1.2</v>
      </c>
      <c r="D2758">
        <v>5.04</v>
      </c>
      <c r="E2758">
        <v>0.06</v>
      </c>
      <c r="F2758">
        <v>5.04</v>
      </c>
      <c r="G2758">
        <v>5.05</v>
      </c>
      <c r="H2758">
        <v>67229</v>
      </c>
      <c r="I2758">
        <v>31</v>
      </c>
      <c r="J2758">
        <v>0</v>
      </c>
      <c r="K2758">
        <v>0.7</v>
      </c>
      <c r="L2758">
        <v>4.98</v>
      </c>
      <c r="M2758">
        <v>5.08</v>
      </c>
      <c r="N2758">
        <v>4.94</v>
      </c>
      <c r="O2758">
        <v>4.98</v>
      </c>
      <c r="P2758">
        <v>76.67</v>
      </c>
      <c r="Q2758">
        <v>33756584</v>
      </c>
      <c r="R2758">
        <v>1.12</v>
      </c>
      <c r="S2758" t="s">
        <v>119</v>
      </c>
      <c r="T2758" t="s">
        <v>149</v>
      </c>
      <c r="U2758">
        <v>2.81</v>
      </c>
      <c r="V2758">
        <v>5.02</v>
      </c>
      <c r="W2758">
        <v>29259</v>
      </c>
      <c r="X2758">
        <v>37969</v>
      </c>
      <c r="Y2758">
        <v>0.77</v>
      </c>
      <c r="Z2758">
        <v>278</v>
      </c>
      <c r="AA2758">
        <v>1965</v>
      </c>
      <c r="AB2758" t="s">
        <v>32</v>
      </c>
      <c r="AC2758">
        <v>9.56</v>
      </c>
    </row>
    <row r="2759" spans="1:29">
      <c r="A2759" t="str">
        <f>"600777"</f>
        <v>600777</v>
      </c>
      <c r="B2759" t="s">
        <v>2929</v>
      </c>
      <c r="C2759">
        <v>3.47</v>
      </c>
      <c r="D2759">
        <v>2.09</v>
      </c>
      <c r="E2759">
        <v>0.07</v>
      </c>
      <c r="F2759">
        <v>2.09</v>
      </c>
      <c r="G2759">
        <v>2.1</v>
      </c>
      <c r="H2759">
        <v>429542</v>
      </c>
      <c r="I2759">
        <v>132</v>
      </c>
      <c r="J2759">
        <v>0.48</v>
      </c>
      <c r="K2759">
        <v>1.81</v>
      </c>
      <c r="L2759">
        <v>2.01</v>
      </c>
      <c r="M2759">
        <v>2.1</v>
      </c>
      <c r="N2759">
        <v>2.01</v>
      </c>
      <c r="O2759">
        <v>2.02</v>
      </c>
      <c r="P2759">
        <v>41.75</v>
      </c>
      <c r="Q2759">
        <v>88830784</v>
      </c>
      <c r="R2759">
        <v>1.85</v>
      </c>
      <c r="S2759" t="s">
        <v>47</v>
      </c>
      <c r="T2759" t="s">
        <v>162</v>
      </c>
      <c r="U2759">
        <v>4.46</v>
      </c>
      <c r="V2759">
        <v>2.07</v>
      </c>
      <c r="W2759">
        <v>146531</v>
      </c>
      <c r="X2759">
        <v>283011</v>
      </c>
      <c r="Y2759">
        <v>0.52</v>
      </c>
      <c r="Z2759">
        <v>168</v>
      </c>
      <c r="AA2759">
        <v>27445</v>
      </c>
      <c r="AB2759" t="s">
        <v>32</v>
      </c>
      <c r="AC2759">
        <v>23.77</v>
      </c>
    </row>
    <row r="2760" spans="1:29">
      <c r="A2760" t="str">
        <f>"600778"</f>
        <v>600778</v>
      </c>
      <c r="B2760" t="s">
        <v>2930</v>
      </c>
      <c r="C2760">
        <v>1.23</v>
      </c>
      <c r="D2760">
        <v>4.95</v>
      </c>
      <c r="E2760">
        <v>0.06</v>
      </c>
      <c r="F2760">
        <v>4.93</v>
      </c>
      <c r="G2760">
        <v>4.96</v>
      </c>
      <c r="H2760">
        <v>10936</v>
      </c>
      <c r="I2760">
        <v>33</v>
      </c>
      <c r="J2760">
        <v>0.41</v>
      </c>
      <c r="K2760">
        <v>0.35</v>
      </c>
      <c r="L2760">
        <v>4.86</v>
      </c>
      <c r="M2760">
        <v>4.96</v>
      </c>
      <c r="N2760">
        <v>4.86</v>
      </c>
      <c r="O2760">
        <v>4.89</v>
      </c>
      <c r="P2760">
        <v>9.75</v>
      </c>
      <c r="Q2760">
        <v>5362657</v>
      </c>
      <c r="R2760">
        <v>1.17</v>
      </c>
      <c r="S2760" t="s">
        <v>186</v>
      </c>
      <c r="T2760" t="s">
        <v>156</v>
      </c>
      <c r="U2760">
        <v>2.04</v>
      </c>
      <c r="V2760">
        <v>4.9</v>
      </c>
      <c r="W2760">
        <v>7123</v>
      </c>
      <c r="X2760">
        <v>3813</v>
      </c>
      <c r="Y2760">
        <v>1.87</v>
      </c>
      <c r="Z2760">
        <v>28</v>
      </c>
      <c r="AA2760">
        <v>663</v>
      </c>
      <c r="AB2760" t="s">
        <v>32</v>
      </c>
      <c r="AC2760">
        <v>3.11</v>
      </c>
    </row>
    <row r="2761" spans="1:29">
      <c r="A2761" t="str">
        <f>"600779"</f>
        <v>600779</v>
      </c>
      <c r="B2761" t="s">
        <v>2931</v>
      </c>
      <c r="C2761">
        <v>0.26</v>
      </c>
      <c r="D2761">
        <v>54.99</v>
      </c>
      <c r="E2761">
        <v>0.14</v>
      </c>
      <c r="F2761">
        <v>54.99</v>
      </c>
      <c r="G2761">
        <v>55</v>
      </c>
      <c r="H2761">
        <v>54963</v>
      </c>
      <c r="I2761">
        <v>4</v>
      </c>
      <c r="J2761">
        <v>0.05</v>
      </c>
      <c r="K2761">
        <v>1.13</v>
      </c>
      <c r="L2761">
        <v>55.01</v>
      </c>
      <c r="M2761">
        <v>55.28</v>
      </c>
      <c r="N2761">
        <v>54.45</v>
      </c>
      <c r="O2761">
        <v>54.85</v>
      </c>
      <c r="P2761">
        <v>43.38</v>
      </c>
      <c r="Q2761">
        <v>301714144</v>
      </c>
      <c r="R2761">
        <v>1.49</v>
      </c>
      <c r="S2761" t="s">
        <v>285</v>
      </c>
      <c r="T2761" t="s">
        <v>146</v>
      </c>
      <c r="U2761">
        <v>1.51</v>
      </c>
      <c r="V2761">
        <v>54.89</v>
      </c>
      <c r="W2761">
        <v>26779</v>
      </c>
      <c r="X2761">
        <v>28184</v>
      </c>
      <c r="Y2761">
        <v>0.95</v>
      </c>
      <c r="Z2761">
        <v>3</v>
      </c>
      <c r="AA2761">
        <v>23</v>
      </c>
      <c r="AB2761" t="s">
        <v>32</v>
      </c>
      <c r="AC2761">
        <v>4.89</v>
      </c>
    </row>
    <row r="2762" spans="1:29">
      <c r="A2762" t="str">
        <f>"600780"</f>
        <v>600780</v>
      </c>
      <c r="B2762" t="s">
        <v>2932</v>
      </c>
      <c r="C2762">
        <v>2.93</v>
      </c>
      <c r="D2762">
        <v>3.87</v>
      </c>
      <c r="E2762">
        <v>0.11</v>
      </c>
      <c r="F2762">
        <v>3.86</v>
      </c>
      <c r="G2762">
        <v>3.87</v>
      </c>
      <c r="H2762">
        <v>119344</v>
      </c>
      <c r="I2762">
        <v>8</v>
      </c>
      <c r="J2762">
        <v>0.52</v>
      </c>
      <c r="K2762">
        <v>1.04</v>
      </c>
      <c r="L2762">
        <v>3.75</v>
      </c>
      <c r="M2762">
        <v>3.88</v>
      </c>
      <c r="N2762">
        <v>3.74</v>
      </c>
      <c r="O2762">
        <v>3.76</v>
      </c>
      <c r="P2762">
        <v>13.51</v>
      </c>
      <c r="Q2762">
        <v>45714180</v>
      </c>
      <c r="R2762">
        <v>2.1</v>
      </c>
      <c r="S2762" t="s">
        <v>75</v>
      </c>
      <c r="T2762" t="s">
        <v>169</v>
      </c>
      <c r="U2762">
        <v>3.72</v>
      </c>
      <c r="V2762">
        <v>3.83</v>
      </c>
      <c r="W2762">
        <v>35189</v>
      </c>
      <c r="X2762">
        <v>84155</v>
      </c>
      <c r="Y2762">
        <v>0.42</v>
      </c>
      <c r="Z2762">
        <v>65</v>
      </c>
      <c r="AA2762">
        <v>458</v>
      </c>
      <c r="AB2762" t="s">
        <v>32</v>
      </c>
      <c r="AC2762">
        <v>11.47</v>
      </c>
    </row>
    <row r="2763" spans="1:29">
      <c r="A2763" t="str">
        <f>"600781"</f>
        <v>600781</v>
      </c>
      <c r="B2763" t="s">
        <v>2933</v>
      </c>
      <c r="C2763">
        <v>2.86</v>
      </c>
      <c r="D2763">
        <v>16.17</v>
      </c>
      <c r="E2763">
        <v>0.45</v>
      </c>
      <c r="F2763">
        <v>16.16</v>
      </c>
      <c r="G2763">
        <v>16.17</v>
      </c>
      <c r="H2763">
        <v>18551</v>
      </c>
      <c r="I2763">
        <v>10</v>
      </c>
      <c r="J2763">
        <v>0.43</v>
      </c>
      <c r="K2763">
        <v>1.04</v>
      </c>
      <c r="L2763">
        <v>15.62</v>
      </c>
      <c r="M2763">
        <v>16.18</v>
      </c>
      <c r="N2763">
        <v>15.47</v>
      </c>
      <c r="O2763">
        <v>15.72</v>
      </c>
      <c r="P2763">
        <v>13.82</v>
      </c>
      <c r="Q2763">
        <v>29421424</v>
      </c>
      <c r="R2763">
        <v>0.83</v>
      </c>
      <c r="S2763" t="s">
        <v>195</v>
      </c>
      <c r="T2763" t="s">
        <v>164</v>
      </c>
      <c r="U2763">
        <v>4.52</v>
      </c>
      <c r="V2763">
        <v>15.86</v>
      </c>
      <c r="W2763">
        <v>7459</v>
      </c>
      <c r="X2763">
        <v>11092</v>
      </c>
      <c r="Y2763">
        <v>0.67</v>
      </c>
      <c r="Z2763">
        <v>6</v>
      </c>
      <c r="AA2763">
        <v>15</v>
      </c>
      <c r="AB2763" t="s">
        <v>32</v>
      </c>
      <c r="AC2763">
        <v>1.78</v>
      </c>
    </row>
    <row r="2764" spans="1:29">
      <c r="A2764" t="str">
        <f>"600782"</f>
        <v>600782</v>
      </c>
      <c r="B2764" t="s">
        <v>2934</v>
      </c>
      <c r="C2764">
        <v>0.14</v>
      </c>
      <c r="D2764">
        <v>7.05</v>
      </c>
      <c r="E2764">
        <v>0.01</v>
      </c>
      <c r="F2764">
        <v>7.05</v>
      </c>
      <c r="G2764">
        <v>7.06</v>
      </c>
      <c r="H2764">
        <v>1228517</v>
      </c>
      <c r="I2764">
        <v>2</v>
      </c>
      <c r="J2764">
        <v>0.57</v>
      </c>
      <c r="K2764">
        <v>4.41</v>
      </c>
      <c r="L2764">
        <v>7.35</v>
      </c>
      <c r="M2764">
        <v>7.55</v>
      </c>
      <c r="N2764">
        <v>6.97</v>
      </c>
      <c r="O2764">
        <v>7.04</v>
      </c>
      <c r="P2764">
        <v>6.46</v>
      </c>
      <c r="Q2764">
        <v>894712896</v>
      </c>
      <c r="R2764">
        <v>2.06</v>
      </c>
      <c r="S2764" t="s">
        <v>353</v>
      </c>
      <c r="T2764" t="s">
        <v>172</v>
      </c>
      <c r="U2764">
        <v>8.24</v>
      </c>
      <c r="V2764">
        <v>7.28</v>
      </c>
      <c r="W2764">
        <v>612853</v>
      </c>
      <c r="X2764">
        <v>615664</v>
      </c>
      <c r="Y2764">
        <v>1</v>
      </c>
      <c r="Z2764">
        <v>188</v>
      </c>
      <c r="AA2764">
        <v>115</v>
      </c>
      <c r="AB2764" t="s">
        <v>32</v>
      </c>
      <c r="AC2764">
        <v>27.87</v>
      </c>
    </row>
    <row r="2765" spans="1:29">
      <c r="A2765" t="str">
        <f>"600783"</f>
        <v>600783</v>
      </c>
      <c r="B2765" t="s">
        <v>2935</v>
      </c>
      <c r="C2765">
        <v>1.82</v>
      </c>
      <c r="D2765">
        <v>10.09</v>
      </c>
      <c r="E2765">
        <v>0.18</v>
      </c>
      <c r="F2765">
        <v>10.07</v>
      </c>
      <c r="G2765">
        <v>10.09</v>
      </c>
      <c r="H2765">
        <v>36736</v>
      </c>
      <c r="I2765">
        <v>157</v>
      </c>
      <c r="J2765">
        <v>-0.09</v>
      </c>
      <c r="K2765">
        <v>0.49</v>
      </c>
      <c r="L2765">
        <v>9.92</v>
      </c>
      <c r="M2765">
        <v>10.16</v>
      </c>
      <c r="N2765">
        <v>9.86</v>
      </c>
      <c r="O2765">
        <v>9.91</v>
      </c>
      <c r="P2765">
        <v>68.67</v>
      </c>
      <c r="Q2765">
        <v>36968908</v>
      </c>
      <c r="R2765">
        <v>1.74</v>
      </c>
      <c r="S2765" t="s">
        <v>227</v>
      </c>
      <c r="T2765" t="s">
        <v>162</v>
      </c>
      <c r="U2765">
        <v>3.03</v>
      </c>
      <c r="V2765">
        <v>10.06</v>
      </c>
      <c r="W2765">
        <v>14058</v>
      </c>
      <c r="X2765">
        <v>22678</v>
      </c>
      <c r="Y2765">
        <v>0.62</v>
      </c>
      <c r="Z2765">
        <v>77</v>
      </c>
      <c r="AA2765">
        <v>86</v>
      </c>
      <c r="AB2765" t="s">
        <v>32</v>
      </c>
      <c r="AC2765">
        <v>7.44</v>
      </c>
    </row>
    <row r="2766" spans="1:29">
      <c r="A2766" t="str">
        <f>"600784"</f>
        <v>600784</v>
      </c>
      <c r="B2766" t="s">
        <v>2936</v>
      </c>
      <c r="C2766">
        <v>5.5</v>
      </c>
      <c r="D2766">
        <v>5.75</v>
      </c>
      <c r="E2766">
        <v>0.3</v>
      </c>
      <c r="F2766">
        <v>5.76</v>
      </c>
      <c r="G2766">
        <v>5.77</v>
      </c>
      <c r="H2766">
        <v>83005</v>
      </c>
      <c r="I2766">
        <v>52</v>
      </c>
      <c r="J2766">
        <v>2.5</v>
      </c>
      <c r="K2766">
        <v>1.46</v>
      </c>
      <c r="L2766">
        <v>5.45</v>
      </c>
      <c r="M2766">
        <v>5.8</v>
      </c>
      <c r="N2766">
        <v>5.42</v>
      </c>
      <c r="O2766">
        <v>5.45</v>
      </c>
      <c r="P2766">
        <v>10.47</v>
      </c>
      <c r="Q2766">
        <v>46528632</v>
      </c>
      <c r="R2766">
        <v>1.48</v>
      </c>
      <c r="S2766" t="s">
        <v>353</v>
      </c>
      <c r="T2766" t="s">
        <v>162</v>
      </c>
      <c r="U2766">
        <v>6.97</v>
      </c>
      <c r="V2766">
        <v>5.61</v>
      </c>
      <c r="W2766">
        <v>36342</v>
      </c>
      <c r="X2766">
        <v>46662</v>
      </c>
      <c r="Y2766">
        <v>0.78</v>
      </c>
      <c r="Z2766">
        <v>149</v>
      </c>
      <c r="AA2766">
        <v>240</v>
      </c>
      <c r="AB2766" t="s">
        <v>32</v>
      </c>
      <c r="AC2766">
        <v>5.68</v>
      </c>
    </row>
    <row r="2767" spans="1:29">
      <c r="A2767" t="str">
        <f>"600785"</f>
        <v>600785</v>
      </c>
      <c r="B2767" t="s">
        <v>2937</v>
      </c>
      <c r="C2767">
        <v>-0.4</v>
      </c>
      <c r="D2767">
        <v>20.12</v>
      </c>
      <c r="E2767">
        <v>-0.08</v>
      </c>
      <c r="F2767">
        <v>20.11</v>
      </c>
      <c r="G2767">
        <v>20.13</v>
      </c>
      <c r="H2767">
        <v>18260</v>
      </c>
      <c r="I2767">
        <v>51</v>
      </c>
      <c r="J2767">
        <v>-0.09</v>
      </c>
      <c r="K2767">
        <v>0.81</v>
      </c>
      <c r="L2767">
        <v>22.02</v>
      </c>
      <c r="M2767">
        <v>22.02</v>
      </c>
      <c r="N2767">
        <v>20.11</v>
      </c>
      <c r="O2767">
        <v>20.2</v>
      </c>
      <c r="P2767">
        <v>11.69</v>
      </c>
      <c r="Q2767">
        <v>38001412</v>
      </c>
      <c r="R2767">
        <v>4</v>
      </c>
      <c r="S2767" t="s">
        <v>186</v>
      </c>
      <c r="T2767" t="s">
        <v>273</v>
      </c>
      <c r="U2767">
        <v>9.46</v>
      </c>
      <c r="V2767">
        <v>20.81</v>
      </c>
      <c r="W2767">
        <v>8982</v>
      </c>
      <c r="X2767">
        <v>9278</v>
      </c>
      <c r="Y2767">
        <v>0.97</v>
      </c>
      <c r="Z2767">
        <v>26</v>
      </c>
      <c r="AA2767">
        <v>45</v>
      </c>
      <c r="AB2767" t="s">
        <v>32</v>
      </c>
      <c r="AC2767">
        <v>2.26</v>
      </c>
    </row>
    <row r="2768" spans="1:29">
      <c r="A2768" t="str">
        <f>"600787"</f>
        <v>600787</v>
      </c>
      <c r="B2768" t="s">
        <v>2938</v>
      </c>
      <c r="C2768">
        <v>2.2</v>
      </c>
      <c r="D2768">
        <v>6.98</v>
      </c>
      <c r="E2768">
        <v>0.15</v>
      </c>
      <c r="F2768">
        <v>6.97</v>
      </c>
      <c r="G2768">
        <v>6.98</v>
      </c>
      <c r="H2768">
        <v>145672</v>
      </c>
      <c r="I2768">
        <v>110</v>
      </c>
      <c r="J2768">
        <v>0</v>
      </c>
      <c r="K2768">
        <v>0.78</v>
      </c>
      <c r="L2768">
        <v>6.83</v>
      </c>
      <c r="M2768">
        <v>7.02</v>
      </c>
      <c r="N2768">
        <v>6.81</v>
      </c>
      <c r="O2768">
        <v>6.83</v>
      </c>
      <c r="P2768">
        <v>216.08</v>
      </c>
      <c r="Q2768">
        <v>101129168</v>
      </c>
      <c r="R2768">
        <v>2.04</v>
      </c>
      <c r="S2768" t="s">
        <v>742</v>
      </c>
      <c r="T2768" t="s">
        <v>248</v>
      </c>
      <c r="U2768">
        <v>3.07</v>
      </c>
      <c r="V2768">
        <v>6.94</v>
      </c>
      <c r="W2768">
        <v>66571</v>
      </c>
      <c r="X2768">
        <v>79100</v>
      </c>
      <c r="Y2768">
        <v>0.84</v>
      </c>
      <c r="Z2768">
        <v>320</v>
      </c>
      <c r="AA2768">
        <v>103</v>
      </c>
      <c r="AB2768" t="s">
        <v>32</v>
      </c>
      <c r="AC2768">
        <v>18.6</v>
      </c>
    </row>
    <row r="2769" spans="1:29">
      <c r="A2769" t="str">
        <f>"600789"</f>
        <v>600789</v>
      </c>
      <c r="B2769" t="s">
        <v>2939</v>
      </c>
      <c r="C2769">
        <v>5.08</v>
      </c>
      <c r="D2769">
        <v>13.45</v>
      </c>
      <c r="E2769">
        <v>0.65</v>
      </c>
      <c r="F2769">
        <v>13.43</v>
      </c>
      <c r="G2769">
        <v>13.45</v>
      </c>
      <c r="H2769">
        <v>923400</v>
      </c>
      <c r="I2769">
        <v>48</v>
      </c>
      <c r="J2769">
        <v>0.07</v>
      </c>
      <c r="K2769">
        <v>15.88</v>
      </c>
      <c r="L2769">
        <v>12.62</v>
      </c>
      <c r="M2769">
        <v>13.9</v>
      </c>
      <c r="N2769">
        <v>12.49</v>
      </c>
      <c r="O2769">
        <v>12.8</v>
      </c>
      <c r="P2769">
        <v>25.11</v>
      </c>
      <c r="Q2769">
        <v>1209921152</v>
      </c>
      <c r="R2769">
        <v>1.08</v>
      </c>
      <c r="S2769" t="s">
        <v>142</v>
      </c>
      <c r="T2769" t="s">
        <v>162</v>
      </c>
      <c r="U2769">
        <v>11.02</v>
      </c>
      <c r="V2769">
        <v>13.1</v>
      </c>
      <c r="W2769">
        <v>448152</v>
      </c>
      <c r="X2769">
        <v>475248</v>
      </c>
      <c r="Y2769">
        <v>0.94</v>
      </c>
      <c r="Z2769">
        <v>77</v>
      </c>
      <c r="AA2769">
        <v>89</v>
      </c>
      <c r="AB2769" t="s">
        <v>32</v>
      </c>
      <c r="AC2769">
        <v>5.82</v>
      </c>
    </row>
    <row r="2770" spans="1:29">
      <c r="A2770" t="str">
        <f>"600790"</f>
        <v>600790</v>
      </c>
      <c r="B2770" t="s">
        <v>2940</v>
      </c>
      <c r="C2770">
        <v>1.96</v>
      </c>
      <c r="D2770">
        <v>3.65</v>
      </c>
      <c r="E2770">
        <v>0.07</v>
      </c>
      <c r="F2770">
        <v>3.65</v>
      </c>
      <c r="G2770">
        <v>3.66</v>
      </c>
      <c r="H2770">
        <v>160320</v>
      </c>
      <c r="I2770">
        <v>15</v>
      </c>
      <c r="J2770">
        <v>-0.26</v>
      </c>
      <c r="K2770">
        <v>1.09</v>
      </c>
      <c r="L2770">
        <v>3.58</v>
      </c>
      <c r="M2770">
        <v>3.67</v>
      </c>
      <c r="N2770">
        <v>3.57</v>
      </c>
      <c r="O2770">
        <v>3.58</v>
      </c>
      <c r="P2770">
        <v>14.41</v>
      </c>
      <c r="Q2770">
        <v>58309880</v>
      </c>
      <c r="R2770">
        <v>1.68</v>
      </c>
      <c r="S2770" t="s">
        <v>969</v>
      </c>
      <c r="T2770" t="s">
        <v>149</v>
      </c>
      <c r="U2770">
        <v>2.79</v>
      </c>
      <c r="V2770">
        <v>3.64</v>
      </c>
      <c r="W2770">
        <v>53459</v>
      </c>
      <c r="X2770">
        <v>106860</v>
      </c>
      <c r="Y2770">
        <v>0.5</v>
      </c>
      <c r="Z2770">
        <v>187</v>
      </c>
      <c r="AA2770">
        <v>2048</v>
      </c>
      <c r="AB2770" t="s">
        <v>32</v>
      </c>
      <c r="AC2770">
        <v>14.66</v>
      </c>
    </row>
    <row r="2771" spans="1:29">
      <c r="A2771" t="str">
        <f>"600791"</f>
        <v>600791</v>
      </c>
      <c r="B2771" t="s">
        <v>2941</v>
      </c>
      <c r="C2771">
        <v>2.38</v>
      </c>
      <c r="D2771">
        <v>4.31</v>
      </c>
      <c r="E2771">
        <v>0.1</v>
      </c>
      <c r="F2771">
        <v>4.31</v>
      </c>
      <c r="G2771">
        <v>4.32</v>
      </c>
      <c r="H2771">
        <v>42016</v>
      </c>
      <c r="I2771">
        <v>41</v>
      </c>
      <c r="J2771">
        <v>0.47</v>
      </c>
      <c r="K2771">
        <v>0.93</v>
      </c>
      <c r="L2771">
        <v>4.25</v>
      </c>
      <c r="M2771">
        <v>4.34</v>
      </c>
      <c r="N2771">
        <v>4.2</v>
      </c>
      <c r="O2771">
        <v>4.21</v>
      </c>
      <c r="P2771">
        <v>161.93</v>
      </c>
      <c r="Q2771">
        <v>18051076</v>
      </c>
      <c r="R2771">
        <v>2.78</v>
      </c>
      <c r="S2771" t="s">
        <v>34</v>
      </c>
      <c r="T2771" t="s">
        <v>45</v>
      </c>
      <c r="U2771">
        <v>3.33</v>
      </c>
      <c r="V2771">
        <v>4.3</v>
      </c>
      <c r="W2771">
        <v>18179</v>
      </c>
      <c r="X2771">
        <v>23837</v>
      </c>
      <c r="Y2771">
        <v>0.76</v>
      </c>
      <c r="Z2771">
        <v>345</v>
      </c>
      <c r="AA2771">
        <v>144</v>
      </c>
      <c r="AB2771" t="s">
        <v>32</v>
      </c>
      <c r="AC2771">
        <v>4.52</v>
      </c>
    </row>
    <row r="2772" spans="1:29">
      <c r="A2772" t="str">
        <f>"600792"</f>
        <v>600792</v>
      </c>
      <c r="B2772" t="s">
        <v>2942</v>
      </c>
      <c r="C2772">
        <v>0.56</v>
      </c>
      <c r="D2772">
        <v>3.58</v>
      </c>
      <c r="E2772">
        <v>0.02</v>
      </c>
      <c r="F2772">
        <v>3.58</v>
      </c>
      <c r="G2772">
        <v>3.59</v>
      </c>
      <c r="H2772">
        <v>63511</v>
      </c>
      <c r="I2772">
        <v>18</v>
      </c>
      <c r="J2772">
        <v>0.28</v>
      </c>
      <c r="K2772">
        <v>0.64</v>
      </c>
      <c r="L2772">
        <v>3.56</v>
      </c>
      <c r="M2772">
        <v>3.62</v>
      </c>
      <c r="N2772">
        <v>3.56</v>
      </c>
      <c r="O2772">
        <v>3.56</v>
      </c>
      <c r="P2772">
        <v>140.35</v>
      </c>
      <c r="Q2772">
        <v>22707322</v>
      </c>
      <c r="R2772">
        <v>3.78</v>
      </c>
      <c r="S2772" t="s">
        <v>414</v>
      </c>
      <c r="T2772" t="s">
        <v>250</v>
      </c>
      <c r="U2772">
        <v>1.69</v>
      </c>
      <c r="V2772">
        <v>3.58</v>
      </c>
      <c r="W2772">
        <v>37736</v>
      </c>
      <c r="X2772">
        <v>25775</v>
      </c>
      <c r="Y2772">
        <v>1.46</v>
      </c>
      <c r="Z2772">
        <v>647</v>
      </c>
      <c r="AA2772">
        <v>571</v>
      </c>
      <c r="AB2772" t="s">
        <v>32</v>
      </c>
      <c r="AC2772">
        <v>9.9</v>
      </c>
    </row>
    <row r="2773" spans="1:29">
      <c r="A2773" t="str">
        <f>"600793"</f>
        <v>600793</v>
      </c>
      <c r="B2773" t="s">
        <v>2943</v>
      </c>
      <c r="C2773">
        <v>3.62</v>
      </c>
      <c r="D2773">
        <v>16.61</v>
      </c>
      <c r="E2773">
        <v>0.58</v>
      </c>
      <c r="F2773">
        <v>16.6</v>
      </c>
      <c r="G2773">
        <v>16.61</v>
      </c>
      <c r="H2773">
        <v>33193</v>
      </c>
      <c r="I2773">
        <v>10</v>
      </c>
      <c r="J2773">
        <v>-0.29</v>
      </c>
      <c r="K2773">
        <v>3.15</v>
      </c>
      <c r="L2773">
        <v>15.87</v>
      </c>
      <c r="M2773">
        <v>17.4</v>
      </c>
      <c r="N2773">
        <v>15.7</v>
      </c>
      <c r="O2773">
        <v>16.03</v>
      </c>
      <c r="P2773">
        <v>257.89</v>
      </c>
      <c r="Q2773">
        <v>54676908</v>
      </c>
      <c r="R2773">
        <v>1.2</v>
      </c>
      <c r="S2773" t="s">
        <v>204</v>
      </c>
      <c r="T2773" t="s">
        <v>146</v>
      </c>
      <c r="U2773">
        <v>10.61</v>
      </c>
      <c r="V2773">
        <v>16.47</v>
      </c>
      <c r="W2773">
        <v>17606</v>
      </c>
      <c r="X2773">
        <v>15587</v>
      </c>
      <c r="Y2773">
        <v>1.13</v>
      </c>
      <c r="Z2773">
        <v>702</v>
      </c>
      <c r="AA2773">
        <v>204</v>
      </c>
      <c r="AB2773" t="s">
        <v>32</v>
      </c>
      <c r="AC2773">
        <v>1.05</v>
      </c>
    </row>
    <row r="2774" spans="1:29">
      <c r="A2774" t="str">
        <f>"600794"</f>
        <v>600794</v>
      </c>
      <c r="B2774" t="s">
        <v>2944</v>
      </c>
      <c r="C2774">
        <v>2.65</v>
      </c>
      <c r="D2774">
        <v>3.1</v>
      </c>
      <c r="E2774">
        <v>0.08</v>
      </c>
      <c r="F2774">
        <v>3.09</v>
      </c>
      <c r="G2774">
        <v>3.1</v>
      </c>
      <c r="H2774">
        <v>67770</v>
      </c>
      <c r="I2774">
        <v>20</v>
      </c>
      <c r="J2774">
        <v>0.32</v>
      </c>
      <c r="K2774">
        <v>0.57</v>
      </c>
      <c r="L2774">
        <v>3.04</v>
      </c>
      <c r="M2774">
        <v>3.1</v>
      </c>
      <c r="N2774">
        <v>3.01</v>
      </c>
      <c r="O2774">
        <v>3.02</v>
      </c>
      <c r="P2774">
        <v>31.09</v>
      </c>
      <c r="Q2774">
        <v>20758576</v>
      </c>
      <c r="R2774">
        <v>1.68</v>
      </c>
      <c r="S2774" t="s">
        <v>742</v>
      </c>
      <c r="T2774" t="s">
        <v>87</v>
      </c>
      <c r="U2774">
        <v>2.98</v>
      </c>
      <c r="V2774">
        <v>3.06</v>
      </c>
      <c r="W2774">
        <v>28385</v>
      </c>
      <c r="X2774">
        <v>39384</v>
      </c>
      <c r="Y2774">
        <v>0.72</v>
      </c>
      <c r="Z2774">
        <v>7416</v>
      </c>
      <c r="AA2774">
        <v>2496</v>
      </c>
      <c r="AB2774" t="s">
        <v>32</v>
      </c>
      <c r="AC2774">
        <v>11.92</v>
      </c>
    </row>
    <row r="2775" spans="1:29">
      <c r="A2775" t="str">
        <f>"600795"</f>
        <v>600795</v>
      </c>
      <c r="B2775" t="s">
        <v>2945</v>
      </c>
      <c r="C2775">
        <v>0.73</v>
      </c>
      <c r="D2775">
        <v>2.75</v>
      </c>
      <c r="E2775">
        <v>0.02</v>
      </c>
      <c r="F2775">
        <v>2.75</v>
      </c>
      <c r="G2775">
        <v>2.76</v>
      </c>
      <c r="H2775">
        <v>574102</v>
      </c>
      <c r="I2775">
        <v>28</v>
      </c>
      <c r="J2775">
        <v>0</v>
      </c>
      <c r="K2775">
        <v>0.29</v>
      </c>
      <c r="L2775">
        <v>2.73</v>
      </c>
      <c r="M2775">
        <v>2.76</v>
      </c>
      <c r="N2775">
        <v>2.71</v>
      </c>
      <c r="O2775">
        <v>2.73</v>
      </c>
      <c r="P2775">
        <v>11.23</v>
      </c>
      <c r="Q2775">
        <v>157228144</v>
      </c>
      <c r="R2775">
        <v>0.92</v>
      </c>
      <c r="S2775" t="s">
        <v>75</v>
      </c>
      <c r="T2775" t="s">
        <v>111</v>
      </c>
      <c r="U2775">
        <v>1.83</v>
      </c>
      <c r="V2775">
        <v>2.74</v>
      </c>
      <c r="W2775">
        <v>264617</v>
      </c>
      <c r="X2775">
        <v>309485</v>
      </c>
      <c r="Y2775">
        <v>0.86</v>
      </c>
      <c r="Z2775">
        <v>190</v>
      </c>
      <c r="AA2775">
        <v>32885</v>
      </c>
      <c r="AB2775" t="s">
        <v>32</v>
      </c>
      <c r="AC2775">
        <v>196.5</v>
      </c>
    </row>
    <row r="2776" spans="1:29">
      <c r="A2776" t="str">
        <f>"600796"</f>
        <v>600796</v>
      </c>
      <c r="B2776" t="s">
        <v>2946</v>
      </c>
      <c r="C2776">
        <v>0</v>
      </c>
      <c r="D2776">
        <v>6.08</v>
      </c>
      <c r="E2776">
        <v>0</v>
      </c>
      <c r="F2776" t="s">
        <v>32</v>
      </c>
      <c r="G2776" t="s">
        <v>32</v>
      </c>
      <c r="H2776">
        <v>0</v>
      </c>
      <c r="I2776">
        <v>0</v>
      </c>
      <c r="J2776">
        <v>0</v>
      </c>
      <c r="K2776">
        <v>0</v>
      </c>
      <c r="L2776" t="s">
        <v>32</v>
      </c>
      <c r="M2776" t="s">
        <v>32</v>
      </c>
      <c r="N2776" t="s">
        <v>32</v>
      </c>
      <c r="O2776">
        <v>6.08</v>
      </c>
      <c r="P2776" t="s">
        <v>32</v>
      </c>
      <c r="Q2776">
        <v>0</v>
      </c>
      <c r="R2776">
        <v>0</v>
      </c>
      <c r="S2776" t="s">
        <v>145</v>
      </c>
      <c r="T2776" t="s">
        <v>149</v>
      </c>
      <c r="U2776">
        <v>0</v>
      </c>
      <c r="V2776">
        <v>6.08</v>
      </c>
      <c r="W2776">
        <v>0</v>
      </c>
      <c r="X2776">
        <v>0</v>
      </c>
      <c r="Y2776" t="s">
        <v>32</v>
      </c>
      <c r="Z2776">
        <v>0</v>
      </c>
      <c r="AA2776">
        <v>0</v>
      </c>
      <c r="AB2776" t="s">
        <v>32</v>
      </c>
      <c r="AC2776">
        <v>3.01</v>
      </c>
    </row>
    <row r="2777" spans="1:29">
      <c r="A2777" t="str">
        <f>"600797"</f>
        <v>600797</v>
      </c>
      <c r="B2777" t="s">
        <v>2947</v>
      </c>
      <c r="C2777">
        <v>0.39</v>
      </c>
      <c r="D2777">
        <v>10.39</v>
      </c>
      <c r="E2777">
        <v>0.04</v>
      </c>
      <c r="F2777">
        <v>10.39</v>
      </c>
      <c r="G2777">
        <v>10.4</v>
      </c>
      <c r="H2777">
        <v>217414</v>
      </c>
      <c r="I2777">
        <v>56</v>
      </c>
      <c r="J2777">
        <v>0.1</v>
      </c>
      <c r="K2777">
        <v>2.59</v>
      </c>
      <c r="L2777">
        <v>10.38</v>
      </c>
      <c r="M2777">
        <v>10.49</v>
      </c>
      <c r="N2777">
        <v>10.24</v>
      </c>
      <c r="O2777">
        <v>10.35</v>
      </c>
      <c r="P2777">
        <v>77.88</v>
      </c>
      <c r="Q2777">
        <v>225410544</v>
      </c>
      <c r="R2777">
        <v>1.36</v>
      </c>
      <c r="S2777" t="s">
        <v>270</v>
      </c>
      <c r="T2777" t="s">
        <v>149</v>
      </c>
      <c r="U2777">
        <v>2.42</v>
      </c>
      <c r="V2777">
        <v>10.37</v>
      </c>
      <c r="W2777">
        <v>114823</v>
      </c>
      <c r="X2777">
        <v>102590</v>
      </c>
      <c r="Y2777">
        <v>1.12</v>
      </c>
      <c r="Z2777">
        <v>375</v>
      </c>
      <c r="AA2777">
        <v>187</v>
      </c>
      <c r="AB2777" t="s">
        <v>32</v>
      </c>
      <c r="AC2777">
        <v>8.4</v>
      </c>
    </row>
    <row r="2778" spans="1:29">
      <c r="A2778" t="str">
        <f>"600798"</f>
        <v>600798</v>
      </c>
      <c r="B2778" t="s">
        <v>2948</v>
      </c>
      <c r="C2778">
        <v>3.1</v>
      </c>
      <c r="D2778">
        <v>3.66</v>
      </c>
      <c r="E2778">
        <v>0.11</v>
      </c>
      <c r="F2778">
        <v>3.65</v>
      </c>
      <c r="G2778">
        <v>3.66</v>
      </c>
      <c r="H2778">
        <v>152967</v>
      </c>
      <c r="I2778">
        <v>102</v>
      </c>
      <c r="J2778">
        <v>0.27</v>
      </c>
      <c r="K2778">
        <v>1.48</v>
      </c>
      <c r="L2778">
        <v>3.54</v>
      </c>
      <c r="M2778">
        <v>3.73</v>
      </c>
      <c r="N2778">
        <v>3.52</v>
      </c>
      <c r="O2778">
        <v>3.55</v>
      </c>
      <c r="P2778">
        <v>38.1</v>
      </c>
      <c r="Q2778">
        <v>55703636</v>
      </c>
      <c r="R2778">
        <v>2.83</v>
      </c>
      <c r="S2778" t="s">
        <v>229</v>
      </c>
      <c r="T2778" t="s">
        <v>149</v>
      </c>
      <c r="U2778">
        <v>5.92</v>
      </c>
      <c r="V2778">
        <v>3.64</v>
      </c>
      <c r="W2778">
        <v>71436</v>
      </c>
      <c r="X2778">
        <v>81531</v>
      </c>
      <c r="Y2778">
        <v>0.88</v>
      </c>
      <c r="Z2778">
        <v>260</v>
      </c>
      <c r="AA2778">
        <v>110</v>
      </c>
      <c r="AB2778" t="s">
        <v>32</v>
      </c>
      <c r="AC2778">
        <v>10.31</v>
      </c>
    </row>
    <row r="2779" spans="1:29">
      <c r="A2779" t="str">
        <f>"600800"</f>
        <v>600800</v>
      </c>
      <c r="B2779" t="s">
        <v>2949</v>
      </c>
      <c r="C2779">
        <v>0</v>
      </c>
      <c r="D2779">
        <v>5.47</v>
      </c>
      <c r="E2779">
        <v>0</v>
      </c>
      <c r="F2779" t="s">
        <v>32</v>
      </c>
      <c r="G2779" t="s">
        <v>32</v>
      </c>
      <c r="H2779">
        <v>0</v>
      </c>
      <c r="I2779">
        <v>0</v>
      </c>
      <c r="J2779">
        <v>0</v>
      </c>
      <c r="K2779">
        <v>0</v>
      </c>
      <c r="L2779" t="s">
        <v>32</v>
      </c>
      <c r="M2779" t="s">
        <v>32</v>
      </c>
      <c r="N2779" t="s">
        <v>32</v>
      </c>
      <c r="O2779">
        <v>5.47</v>
      </c>
      <c r="P2779" t="s">
        <v>32</v>
      </c>
      <c r="Q2779">
        <v>0</v>
      </c>
      <c r="R2779">
        <v>0</v>
      </c>
      <c r="S2779" t="s">
        <v>47</v>
      </c>
      <c r="T2779" t="s">
        <v>248</v>
      </c>
      <c r="U2779">
        <v>0</v>
      </c>
      <c r="V2779">
        <v>5.47</v>
      </c>
      <c r="W2779">
        <v>0</v>
      </c>
      <c r="X2779">
        <v>0</v>
      </c>
      <c r="Y2779" t="s">
        <v>32</v>
      </c>
      <c r="Z2779">
        <v>0</v>
      </c>
      <c r="AA2779">
        <v>0</v>
      </c>
      <c r="AB2779" t="s">
        <v>32</v>
      </c>
      <c r="AC2779">
        <v>6.11</v>
      </c>
    </row>
    <row r="2780" spans="1:29">
      <c r="A2780" t="str">
        <f>"600801"</f>
        <v>600801</v>
      </c>
      <c r="B2780" t="s">
        <v>2950</v>
      </c>
      <c r="C2780">
        <v>3.24</v>
      </c>
      <c r="D2780">
        <v>20.37</v>
      </c>
      <c r="E2780">
        <v>0.64</v>
      </c>
      <c r="F2780">
        <v>20.35</v>
      </c>
      <c r="G2780">
        <v>20.36</v>
      </c>
      <c r="H2780">
        <v>557847</v>
      </c>
      <c r="I2780">
        <v>29</v>
      </c>
      <c r="J2780">
        <v>0.3</v>
      </c>
      <c r="K2780">
        <v>5.73</v>
      </c>
      <c r="L2780">
        <v>20.03</v>
      </c>
      <c r="M2780">
        <v>20.89</v>
      </c>
      <c r="N2780">
        <v>19.85</v>
      </c>
      <c r="O2780">
        <v>19.73</v>
      </c>
      <c r="P2780">
        <v>14.38</v>
      </c>
      <c r="Q2780">
        <v>1131856768</v>
      </c>
      <c r="R2780">
        <v>1.63</v>
      </c>
      <c r="S2780" t="s">
        <v>166</v>
      </c>
      <c r="T2780" t="s">
        <v>193</v>
      </c>
      <c r="U2780">
        <v>5.27</v>
      </c>
      <c r="V2780">
        <v>20.29</v>
      </c>
      <c r="W2780">
        <v>277061</v>
      </c>
      <c r="X2780">
        <v>280786</v>
      </c>
      <c r="Y2780">
        <v>0.99</v>
      </c>
      <c r="Z2780">
        <v>1009</v>
      </c>
      <c r="AA2780">
        <v>21</v>
      </c>
      <c r="AB2780" t="s">
        <v>32</v>
      </c>
      <c r="AC2780">
        <v>9.73</v>
      </c>
    </row>
    <row r="2781" spans="1:29">
      <c r="A2781" t="str">
        <f>"600802"</f>
        <v>600802</v>
      </c>
      <c r="B2781" t="s">
        <v>2951</v>
      </c>
      <c r="C2781">
        <v>5.36</v>
      </c>
      <c r="D2781">
        <v>8.84</v>
      </c>
      <c r="E2781">
        <v>0.45</v>
      </c>
      <c r="F2781">
        <v>8.84</v>
      </c>
      <c r="G2781">
        <v>8.85</v>
      </c>
      <c r="H2781">
        <v>474697</v>
      </c>
      <c r="I2781">
        <v>30</v>
      </c>
      <c r="J2781">
        <v>0</v>
      </c>
      <c r="K2781">
        <v>12.43</v>
      </c>
      <c r="L2781">
        <v>8.47</v>
      </c>
      <c r="M2781">
        <v>8.96</v>
      </c>
      <c r="N2781">
        <v>8.47</v>
      </c>
      <c r="O2781">
        <v>8.39</v>
      </c>
      <c r="P2781">
        <v>9.76</v>
      </c>
      <c r="Q2781">
        <v>413106336</v>
      </c>
      <c r="R2781">
        <v>2.82</v>
      </c>
      <c r="S2781" t="s">
        <v>166</v>
      </c>
      <c r="T2781" t="s">
        <v>236</v>
      </c>
      <c r="U2781">
        <v>5.84</v>
      </c>
      <c r="V2781">
        <v>8.7</v>
      </c>
      <c r="W2781">
        <v>210657</v>
      </c>
      <c r="X2781">
        <v>264040</v>
      </c>
      <c r="Y2781">
        <v>0.8</v>
      </c>
      <c r="Z2781">
        <v>59</v>
      </c>
      <c r="AA2781">
        <v>1530</v>
      </c>
      <c r="AB2781" t="s">
        <v>32</v>
      </c>
      <c r="AC2781">
        <v>3.82</v>
      </c>
    </row>
    <row r="2782" spans="1:29">
      <c r="A2782" t="str">
        <f>"600803"</f>
        <v>600803</v>
      </c>
      <c r="B2782" t="s">
        <v>2952</v>
      </c>
      <c r="C2782">
        <v>0.16</v>
      </c>
      <c r="D2782">
        <v>12.38</v>
      </c>
      <c r="E2782">
        <v>0.02</v>
      </c>
      <c r="F2782">
        <v>12.36</v>
      </c>
      <c r="G2782">
        <v>12.37</v>
      </c>
      <c r="H2782">
        <v>83849</v>
      </c>
      <c r="I2782">
        <v>21</v>
      </c>
      <c r="J2782">
        <v>-0.15</v>
      </c>
      <c r="K2782">
        <v>0.68</v>
      </c>
      <c r="L2782">
        <v>12.36</v>
      </c>
      <c r="M2782">
        <v>12.47</v>
      </c>
      <c r="N2782">
        <v>12.24</v>
      </c>
      <c r="O2782">
        <v>12.36</v>
      </c>
      <c r="P2782">
        <v>11.05</v>
      </c>
      <c r="Q2782">
        <v>103754160</v>
      </c>
      <c r="R2782">
        <v>1.04</v>
      </c>
      <c r="S2782" t="s">
        <v>145</v>
      </c>
      <c r="T2782" t="s">
        <v>154</v>
      </c>
      <c r="U2782">
        <v>1.86</v>
      </c>
      <c r="V2782">
        <v>12.37</v>
      </c>
      <c r="W2782">
        <v>47006</v>
      </c>
      <c r="X2782">
        <v>36843</v>
      </c>
      <c r="Y2782">
        <v>1.28</v>
      </c>
      <c r="Z2782">
        <v>319</v>
      </c>
      <c r="AA2782">
        <v>324</v>
      </c>
      <c r="AB2782" t="s">
        <v>32</v>
      </c>
      <c r="AC2782">
        <v>12.29</v>
      </c>
    </row>
    <row r="2783" spans="1:29">
      <c r="A2783" t="str">
        <f>"600804"</f>
        <v>600804</v>
      </c>
      <c r="B2783" t="s">
        <v>2953</v>
      </c>
      <c r="C2783">
        <v>2.81</v>
      </c>
      <c r="D2783">
        <v>11.69</v>
      </c>
      <c r="E2783">
        <v>0.32</v>
      </c>
      <c r="F2783">
        <v>11.68</v>
      </c>
      <c r="G2783">
        <v>11.69</v>
      </c>
      <c r="H2783">
        <v>143128</v>
      </c>
      <c r="I2783">
        <v>10</v>
      </c>
      <c r="J2783">
        <v>0.26</v>
      </c>
      <c r="K2783">
        <v>1</v>
      </c>
      <c r="L2783">
        <v>11.36</v>
      </c>
      <c r="M2783">
        <v>11.86</v>
      </c>
      <c r="N2783">
        <v>11.3</v>
      </c>
      <c r="O2783">
        <v>11.37</v>
      </c>
      <c r="P2783">
        <v>45.98</v>
      </c>
      <c r="Q2783">
        <v>165641360</v>
      </c>
      <c r="R2783">
        <v>2.5</v>
      </c>
      <c r="S2783" t="s">
        <v>714</v>
      </c>
      <c r="T2783" t="s">
        <v>146</v>
      </c>
      <c r="U2783">
        <v>4.93</v>
      </c>
      <c r="V2783">
        <v>11.57</v>
      </c>
      <c r="W2783">
        <v>65247</v>
      </c>
      <c r="X2783">
        <v>77881</v>
      </c>
      <c r="Y2783">
        <v>0.84</v>
      </c>
      <c r="Z2783">
        <v>74</v>
      </c>
      <c r="AA2783">
        <v>1031</v>
      </c>
      <c r="AB2783" t="s">
        <v>32</v>
      </c>
      <c r="AC2783">
        <v>14.32</v>
      </c>
    </row>
    <row r="2784" spans="1:29">
      <c r="A2784" t="str">
        <f>"600805"</f>
        <v>600805</v>
      </c>
      <c r="B2784" t="s">
        <v>2954</v>
      </c>
      <c r="C2784">
        <v>0.37</v>
      </c>
      <c r="D2784">
        <v>5.38</v>
      </c>
      <c r="E2784">
        <v>0.02</v>
      </c>
      <c r="F2784">
        <v>5.38</v>
      </c>
      <c r="G2784">
        <v>5.39</v>
      </c>
      <c r="H2784">
        <v>74732</v>
      </c>
      <c r="I2784">
        <v>10</v>
      </c>
      <c r="J2784">
        <v>-0.36</v>
      </c>
      <c r="K2784">
        <v>0.88</v>
      </c>
      <c r="L2784">
        <v>5.34</v>
      </c>
      <c r="M2784">
        <v>5.41</v>
      </c>
      <c r="N2784">
        <v>5.32</v>
      </c>
      <c r="O2784">
        <v>5.36</v>
      </c>
      <c r="P2784">
        <v>22.85</v>
      </c>
      <c r="Q2784">
        <v>40162208</v>
      </c>
      <c r="R2784">
        <v>0.8</v>
      </c>
      <c r="S2784" t="s">
        <v>47</v>
      </c>
      <c r="T2784" t="s">
        <v>87</v>
      </c>
      <c r="U2784">
        <v>1.68</v>
      </c>
      <c r="V2784">
        <v>5.37</v>
      </c>
      <c r="W2784">
        <v>43656</v>
      </c>
      <c r="X2784">
        <v>31075</v>
      </c>
      <c r="Y2784">
        <v>1.4</v>
      </c>
      <c r="Z2784">
        <v>572</v>
      </c>
      <c r="AA2784">
        <v>636</v>
      </c>
      <c r="AB2784" t="s">
        <v>32</v>
      </c>
      <c r="AC2784">
        <v>8.5</v>
      </c>
    </row>
    <row r="2785" spans="1:29">
      <c r="A2785" t="str">
        <f>"600807"</f>
        <v>600807</v>
      </c>
      <c r="B2785" t="s">
        <v>2955</v>
      </c>
      <c r="C2785">
        <v>0.93</v>
      </c>
      <c r="D2785">
        <v>2.18</v>
      </c>
      <c r="E2785">
        <v>0.02</v>
      </c>
      <c r="F2785">
        <v>2.17</v>
      </c>
      <c r="G2785">
        <v>2.18</v>
      </c>
      <c r="H2785">
        <v>92777</v>
      </c>
      <c r="I2785">
        <v>129</v>
      </c>
      <c r="J2785">
        <v>0</v>
      </c>
      <c r="K2785">
        <v>1.18</v>
      </c>
      <c r="L2785">
        <v>2.15</v>
      </c>
      <c r="M2785">
        <v>2.2</v>
      </c>
      <c r="N2785">
        <v>2.14</v>
      </c>
      <c r="O2785">
        <v>2.16</v>
      </c>
      <c r="P2785" t="s">
        <v>32</v>
      </c>
      <c r="Q2785">
        <v>20154856</v>
      </c>
      <c r="R2785">
        <v>0.68</v>
      </c>
      <c r="S2785" t="s">
        <v>40</v>
      </c>
      <c r="T2785" t="s">
        <v>162</v>
      </c>
      <c r="U2785">
        <v>2.78</v>
      </c>
      <c r="V2785">
        <v>2.17</v>
      </c>
      <c r="W2785">
        <v>52363</v>
      </c>
      <c r="X2785">
        <v>40413</v>
      </c>
      <c r="Y2785">
        <v>1.3</v>
      </c>
      <c r="Z2785">
        <v>4662</v>
      </c>
      <c r="AA2785">
        <v>371</v>
      </c>
      <c r="AB2785" t="s">
        <v>32</v>
      </c>
      <c r="AC2785">
        <v>7.87</v>
      </c>
    </row>
    <row r="2786" spans="1:29">
      <c r="A2786" t="str">
        <f>"600808"</f>
        <v>600808</v>
      </c>
      <c r="B2786" t="s">
        <v>2956</v>
      </c>
      <c r="C2786">
        <v>2.9</v>
      </c>
      <c r="D2786">
        <v>3.9</v>
      </c>
      <c r="E2786">
        <v>0.11</v>
      </c>
      <c r="F2786">
        <v>3.89</v>
      </c>
      <c r="G2786">
        <v>3.9</v>
      </c>
      <c r="H2786">
        <v>1387084</v>
      </c>
      <c r="I2786">
        <v>100</v>
      </c>
      <c r="J2786">
        <v>0.26</v>
      </c>
      <c r="K2786">
        <v>2.32</v>
      </c>
      <c r="L2786">
        <v>3.85</v>
      </c>
      <c r="M2786">
        <v>4.04</v>
      </c>
      <c r="N2786">
        <v>3.85</v>
      </c>
      <c r="O2786">
        <v>3.79</v>
      </c>
      <c r="P2786">
        <v>5.3</v>
      </c>
      <c r="Q2786">
        <v>545197056</v>
      </c>
      <c r="R2786">
        <v>2.01</v>
      </c>
      <c r="S2786" t="s">
        <v>353</v>
      </c>
      <c r="T2786" t="s">
        <v>143</v>
      </c>
      <c r="U2786">
        <v>5.01</v>
      </c>
      <c r="V2786">
        <v>3.93</v>
      </c>
      <c r="W2786">
        <v>718364</v>
      </c>
      <c r="X2786">
        <v>668719</v>
      </c>
      <c r="Y2786">
        <v>1.07</v>
      </c>
      <c r="Z2786">
        <v>1256</v>
      </c>
      <c r="AA2786">
        <v>453</v>
      </c>
      <c r="AB2786" t="s">
        <v>32</v>
      </c>
      <c r="AC2786">
        <v>59.68</v>
      </c>
    </row>
    <row r="2787" spans="1:29">
      <c r="A2787" t="str">
        <f>"600809"</f>
        <v>600809</v>
      </c>
      <c r="B2787" t="s">
        <v>2957</v>
      </c>
      <c r="C2787">
        <v>4.65</v>
      </c>
      <c r="D2787">
        <v>63.28</v>
      </c>
      <c r="E2787">
        <v>2.81</v>
      </c>
      <c r="F2787">
        <v>63.3</v>
      </c>
      <c r="G2787">
        <v>63.33</v>
      </c>
      <c r="H2787">
        <v>69986</v>
      </c>
      <c r="I2787">
        <v>2</v>
      </c>
      <c r="J2787">
        <v>0.29</v>
      </c>
      <c r="K2787">
        <v>0.81</v>
      </c>
      <c r="L2787">
        <v>60.45</v>
      </c>
      <c r="M2787">
        <v>63.3</v>
      </c>
      <c r="N2787">
        <v>59.8</v>
      </c>
      <c r="O2787">
        <v>60.47</v>
      </c>
      <c r="P2787">
        <v>19.29</v>
      </c>
      <c r="Q2787">
        <v>433446592</v>
      </c>
      <c r="R2787">
        <v>1.53</v>
      </c>
      <c r="S2787" t="s">
        <v>285</v>
      </c>
      <c r="T2787" t="s">
        <v>169</v>
      </c>
      <c r="U2787">
        <v>5.79</v>
      </c>
      <c r="V2787">
        <v>61.93</v>
      </c>
      <c r="W2787">
        <v>28310</v>
      </c>
      <c r="X2787">
        <v>41675</v>
      </c>
      <c r="Y2787">
        <v>0.68</v>
      </c>
      <c r="Z2787">
        <v>26</v>
      </c>
      <c r="AA2787">
        <v>42</v>
      </c>
      <c r="AB2787" t="s">
        <v>32</v>
      </c>
      <c r="AC2787">
        <v>8.66</v>
      </c>
    </row>
    <row r="2788" spans="1:29">
      <c r="A2788" t="str">
        <f>"600810"</f>
        <v>600810</v>
      </c>
      <c r="B2788" t="s">
        <v>2958</v>
      </c>
      <c r="C2788">
        <v>-1.9</v>
      </c>
      <c r="D2788">
        <v>18.6</v>
      </c>
      <c r="E2788">
        <v>-0.36</v>
      </c>
      <c r="F2788">
        <v>18.6</v>
      </c>
      <c r="G2788">
        <v>18.61</v>
      </c>
      <c r="H2788">
        <v>299095</v>
      </c>
      <c r="I2788">
        <v>9</v>
      </c>
      <c r="J2788">
        <v>0</v>
      </c>
      <c r="K2788">
        <v>6.76</v>
      </c>
      <c r="L2788">
        <v>18.75</v>
      </c>
      <c r="M2788">
        <v>19.1</v>
      </c>
      <c r="N2788">
        <v>18.26</v>
      </c>
      <c r="O2788">
        <v>18.96</v>
      </c>
      <c r="P2788">
        <v>20.2</v>
      </c>
      <c r="Q2788">
        <v>554991232</v>
      </c>
      <c r="R2788">
        <v>0.68</v>
      </c>
      <c r="S2788" t="s">
        <v>190</v>
      </c>
      <c r="T2788" t="s">
        <v>164</v>
      </c>
      <c r="U2788">
        <v>4.43</v>
      </c>
      <c r="V2788">
        <v>18.56</v>
      </c>
      <c r="W2788">
        <v>159441</v>
      </c>
      <c r="X2788">
        <v>139654</v>
      </c>
      <c r="Y2788">
        <v>1.14</v>
      </c>
      <c r="Z2788">
        <v>46</v>
      </c>
      <c r="AA2788">
        <v>25</v>
      </c>
      <c r="AB2788" t="s">
        <v>32</v>
      </c>
      <c r="AC2788">
        <v>4.42</v>
      </c>
    </row>
    <row r="2789" spans="1:29">
      <c r="A2789" t="str">
        <f>"600811"</f>
        <v>600811</v>
      </c>
      <c r="B2789" t="s">
        <v>2959</v>
      </c>
      <c r="C2789">
        <v>0</v>
      </c>
      <c r="D2789">
        <v>4.3</v>
      </c>
      <c r="E2789">
        <v>0</v>
      </c>
      <c r="F2789" t="s">
        <v>32</v>
      </c>
      <c r="G2789" t="s">
        <v>32</v>
      </c>
      <c r="H2789">
        <v>0</v>
      </c>
      <c r="I2789">
        <v>0</v>
      </c>
      <c r="J2789">
        <v>0</v>
      </c>
      <c r="K2789">
        <v>0</v>
      </c>
      <c r="L2789" t="s">
        <v>32</v>
      </c>
      <c r="M2789" t="s">
        <v>32</v>
      </c>
      <c r="N2789" t="s">
        <v>32</v>
      </c>
      <c r="O2789">
        <v>4.3</v>
      </c>
      <c r="P2789">
        <v>24</v>
      </c>
      <c r="Q2789">
        <v>0</v>
      </c>
      <c r="R2789">
        <v>0</v>
      </c>
      <c r="S2789" t="s">
        <v>47</v>
      </c>
      <c r="T2789" t="s">
        <v>297</v>
      </c>
      <c r="U2789">
        <v>0</v>
      </c>
      <c r="V2789">
        <v>4.3</v>
      </c>
      <c r="W2789">
        <v>0</v>
      </c>
      <c r="X2789">
        <v>0</v>
      </c>
      <c r="Y2789" t="s">
        <v>32</v>
      </c>
      <c r="Z2789">
        <v>0</v>
      </c>
      <c r="AA2789">
        <v>0</v>
      </c>
      <c r="AB2789" t="s">
        <v>32</v>
      </c>
      <c r="AC2789">
        <v>32.73</v>
      </c>
    </row>
    <row r="2790" spans="1:29">
      <c r="A2790" t="str">
        <f>"600812"</f>
        <v>600812</v>
      </c>
      <c r="B2790" t="s">
        <v>2960</v>
      </c>
      <c r="C2790">
        <v>9.96</v>
      </c>
      <c r="D2790">
        <v>4.97</v>
      </c>
      <c r="E2790">
        <v>0.45</v>
      </c>
      <c r="F2790">
        <v>4.97</v>
      </c>
      <c r="G2790" t="s">
        <v>32</v>
      </c>
      <c r="H2790">
        <v>66584</v>
      </c>
      <c r="I2790">
        <v>3</v>
      </c>
      <c r="J2790">
        <v>0</v>
      </c>
      <c r="K2790">
        <v>0.41</v>
      </c>
      <c r="L2790">
        <v>4.97</v>
      </c>
      <c r="M2790">
        <v>4.97</v>
      </c>
      <c r="N2790">
        <v>4.97</v>
      </c>
      <c r="O2790">
        <v>4.52</v>
      </c>
      <c r="P2790">
        <v>76.63</v>
      </c>
      <c r="Q2790">
        <v>33092248</v>
      </c>
      <c r="R2790">
        <v>1.13</v>
      </c>
      <c r="S2790" t="s">
        <v>142</v>
      </c>
      <c r="T2790" t="s">
        <v>154</v>
      </c>
      <c r="U2790">
        <v>0</v>
      </c>
      <c r="V2790">
        <v>4.97</v>
      </c>
      <c r="W2790">
        <v>59493</v>
      </c>
      <c r="X2790">
        <v>7091</v>
      </c>
      <c r="Y2790">
        <v>8.39</v>
      </c>
      <c r="Z2790">
        <v>63359</v>
      </c>
      <c r="AA2790">
        <v>0</v>
      </c>
      <c r="AB2790" t="s">
        <v>32</v>
      </c>
      <c r="AC2790">
        <v>16.31</v>
      </c>
    </row>
    <row r="2791" spans="1:29">
      <c r="A2791" t="str">
        <f>"600814"</f>
        <v>600814</v>
      </c>
      <c r="B2791" t="s">
        <v>2961</v>
      </c>
      <c r="C2791">
        <v>1.1</v>
      </c>
      <c r="D2791">
        <v>6.44</v>
      </c>
      <c r="E2791">
        <v>0.07</v>
      </c>
      <c r="F2791">
        <v>6.43</v>
      </c>
      <c r="G2791">
        <v>6.44</v>
      </c>
      <c r="H2791">
        <v>20658</v>
      </c>
      <c r="I2791">
        <v>35</v>
      </c>
      <c r="J2791">
        <v>-0.15</v>
      </c>
      <c r="K2791">
        <v>0.29</v>
      </c>
      <c r="L2791">
        <v>6.3</v>
      </c>
      <c r="M2791">
        <v>6.51</v>
      </c>
      <c r="N2791">
        <v>6.3</v>
      </c>
      <c r="O2791">
        <v>6.37</v>
      </c>
      <c r="P2791">
        <v>18.57</v>
      </c>
      <c r="Q2791">
        <v>13257402</v>
      </c>
      <c r="R2791">
        <v>1.02</v>
      </c>
      <c r="S2791" t="s">
        <v>186</v>
      </c>
      <c r="T2791" t="s">
        <v>149</v>
      </c>
      <c r="U2791">
        <v>3.3</v>
      </c>
      <c r="V2791">
        <v>6.42</v>
      </c>
      <c r="W2791">
        <v>10836</v>
      </c>
      <c r="X2791">
        <v>9822</v>
      </c>
      <c r="Y2791">
        <v>1.1</v>
      </c>
      <c r="Z2791">
        <v>152</v>
      </c>
      <c r="AA2791">
        <v>35</v>
      </c>
      <c r="AB2791" t="s">
        <v>32</v>
      </c>
      <c r="AC2791">
        <v>7.15</v>
      </c>
    </row>
    <row r="2792" spans="1:29">
      <c r="A2792" t="str">
        <f>"600815"</f>
        <v>600815</v>
      </c>
      <c r="B2792" t="s">
        <v>2962</v>
      </c>
      <c r="C2792">
        <v>4.79</v>
      </c>
      <c r="D2792">
        <v>4.16</v>
      </c>
      <c r="E2792">
        <v>0.19</v>
      </c>
      <c r="F2792">
        <v>4.16</v>
      </c>
      <c r="G2792">
        <v>4.17</v>
      </c>
      <c r="H2792">
        <v>65312</v>
      </c>
      <c r="I2792">
        <v>19</v>
      </c>
      <c r="J2792">
        <v>0.24</v>
      </c>
      <c r="K2792">
        <v>0.68</v>
      </c>
      <c r="L2792">
        <v>4.02</v>
      </c>
      <c r="M2792">
        <v>4.19</v>
      </c>
      <c r="N2792">
        <v>4</v>
      </c>
      <c r="O2792">
        <v>3.97</v>
      </c>
      <c r="P2792">
        <v>65.38</v>
      </c>
      <c r="Q2792">
        <v>26961312</v>
      </c>
      <c r="R2792">
        <v>2.47</v>
      </c>
      <c r="S2792" t="s">
        <v>151</v>
      </c>
      <c r="T2792" t="s">
        <v>236</v>
      </c>
      <c r="U2792">
        <v>4.79</v>
      </c>
      <c r="V2792">
        <v>4.13</v>
      </c>
      <c r="W2792">
        <v>25850</v>
      </c>
      <c r="X2792">
        <v>39462</v>
      </c>
      <c r="Y2792">
        <v>0.66</v>
      </c>
      <c r="Z2792">
        <v>63</v>
      </c>
      <c r="AA2792">
        <v>1315</v>
      </c>
      <c r="AB2792" t="s">
        <v>32</v>
      </c>
      <c r="AC2792">
        <v>9.59</v>
      </c>
    </row>
    <row r="2793" spans="1:29">
      <c r="A2793" t="str">
        <f>"600816"</f>
        <v>600816</v>
      </c>
      <c r="B2793" t="s">
        <v>2963</v>
      </c>
      <c r="C2793">
        <v>-0.53</v>
      </c>
      <c r="D2793">
        <v>7.5</v>
      </c>
      <c r="E2793">
        <v>-0.04</v>
      </c>
      <c r="F2793">
        <v>7.49</v>
      </c>
      <c r="G2793">
        <v>7.5</v>
      </c>
      <c r="H2793">
        <v>530136</v>
      </c>
      <c r="I2793">
        <v>11</v>
      </c>
      <c r="J2793">
        <v>-0.26</v>
      </c>
      <c r="K2793">
        <v>1.13</v>
      </c>
      <c r="L2793">
        <v>7.49</v>
      </c>
      <c r="M2793">
        <v>7.75</v>
      </c>
      <c r="N2793">
        <v>7.46</v>
      </c>
      <c r="O2793">
        <v>7.54</v>
      </c>
      <c r="P2793">
        <v>9.71</v>
      </c>
      <c r="Q2793">
        <v>402291552</v>
      </c>
      <c r="R2793">
        <v>1.33</v>
      </c>
      <c r="S2793" t="s">
        <v>183</v>
      </c>
      <c r="T2793" t="s">
        <v>366</v>
      </c>
      <c r="U2793">
        <v>3.85</v>
      </c>
      <c r="V2793">
        <v>7.59</v>
      </c>
      <c r="W2793">
        <v>276882</v>
      </c>
      <c r="X2793">
        <v>253253</v>
      </c>
      <c r="Y2793">
        <v>1.09</v>
      </c>
      <c r="Z2793">
        <v>476</v>
      </c>
      <c r="AA2793">
        <v>2180</v>
      </c>
      <c r="AB2793" t="s">
        <v>32</v>
      </c>
      <c r="AC2793">
        <v>46.73</v>
      </c>
    </row>
    <row r="2794" spans="1:29">
      <c r="A2794" t="str">
        <f>"600817"</f>
        <v>600817</v>
      </c>
      <c r="B2794" t="s">
        <v>2964</v>
      </c>
      <c r="C2794">
        <v>0.83</v>
      </c>
      <c r="D2794">
        <v>7.28</v>
      </c>
      <c r="E2794">
        <v>0.06</v>
      </c>
      <c r="F2794">
        <v>7.23</v>
      </c>
      <c r="G2794">
        <v>7.28</v>
      </c>
      <c r="H2794">
        <v>4977</v>
      </c>
      <c r="I2794">
        <v>30</v>
      </c>
      <c r="J2794">
        <v>0</v>
      </c>
      <c r="K2794">
        <v>0.32</v>
      </c>
      <c r="L2794">
        <v>7.15</v>
      </c>
      <c r="M2794">
        <v>7.32</v>
      </c>
      <c r="N2794">
        <v>7.15</v>
      </c>
      <c r="O2794">
        <v>7.22</v>
      </c>
      <c r="P2794">
        <v>705.68</v>
      </c>
      <c r="Q2794">
        <v>3594934</v>
      </c>
      <c r="R2794">
        <v>0.86</v>
      </c>
      <c r="S2794" t="s">
        <v>183</v>
      </c>
      <c r="T2794" t="s">
        <v>223</v>
      </c>
      <c r="U2794">
        <v>2.35</v>
      </c>
      <c r="V2794">
        <v>7.22</v>
      </c>
      <c r="W2794">
        <v>2355</v>
      </c>
      <c r="X2794">
        <v>2622</v>
      </c>
      <c r="Y2794">
        <v>0.9</v>
      </c>
      <c r="Z2794">
        <v>70</v>
      </c>
      <c r="AA2794">
        <v>20</v>
      </c>
      <c r="AB2794" t="s">
        <v>32</v>
      </c>
      <c r="AC2794">
        <v>1.56</v>
      </c>
    </row>
    <row r="2795" spans="1:29">
      <c r="A2795" t="str">
        <f>"600818"</f>
        <v>600818</v>
      </c>
      <c r="B2795" t="s">
        <v>2965</v>
      </c>
      <c r="C2795">
        <v>0.53</v>
      </c>
      <c r="D2795">
        <v>13.26</v>
      </c>
      <c r="E2795">
        <v>0.07</v>
      </c>
      <c r="F2795">
        <v>13.26</v>
      </c>
      <c r="G2795">
        <v>13.27</v>
      </c>
      <c r="H2795">
        <v>11221</v>
      </c>
      <c r="I2795">
        <v>30</v>
      </c>
      <c r="J2795">
        <v>-0.07</v>
      </c>
      <c r="K2795">
        <v>0.47</v>
      </c>
      <c r="L2795">
        <v>13.29</v>
      </c>
      <c r="M2795">
        <v>13.37</v>
      </c>
      <c r="N2795">
        <v>13.11</v>
      </c>
      <c r="O2795">
        <v>13.19</v>
      </c>
      <c r="P2795">
        <v>450.09</v>
      </c>
      <c r="Q2795">
        <v>14833770</v>
      </c>
      <c r="R2795">
        <v>1.09</v>
      </c>
      <c r="S2795" t="s">
        <v>57</v>
      </c>
      <c r="T2795" t="s">
        <v>366</v>
      </c>
      <c r="U2795">
        <v>1.97</v>
      </c>
      <c r="V2795">
        <v>13.22</v>
      </c>
      <c r="W2795">
        <v>6892</v>
      </c>
      <c r="X2795">
        <v>4328</v>
      </c>
      <c r="Y2795">
        <v>1.59</v>
      </c>
      <c r="Z2795">
        <v>17</v>
      </c>
      <c r="AA2795">
        <v>28</v>
      </c>
      <c r="AB2795" t="s">
        <v>32</v>
      </c>
      <c r="AC2795">
        <v>2.38</v>
      </c>
    </row>
    <row r="2796" spans="1:29">
      <c r="A2796" t="str">
        <f>"600819"</f>
        <v>600819</v>
      </c>
      <c r="B2796" t="s">
        <v>2966</v>
      </c>
      <c r="C2796">
        <v>2.54</v>
      </c>
      <c r="D2796">
        <v>4.04</v>
      </c>
      <c r="E2796">
        <v>0.1</v>
      </c>
      <c r="F2796">
        <v>4.04</v>
      </c>
      <c r="G2796">
        <v>4.05</v>
      </c>
      <c r="H2796">
        <v>40953</v>
      </c>
      <c r="I2796">
        <v>1</v>
      </c>
      <c r="J2796">
        <v>0</v>
      </c>
      <c r="K2796">
        <v>0.55</v>
      </c>
      <c r="L2796">
        <v>3.9</v>
      </c>
      <c r="M2796">
        <v>4.08</v>
      </c>
      <c r="N2796">
        <v>3.9</v>
      </c>
      <c r="O2796">
        <v>3.94</v>
      </c>
      <c r="P2796">
        <v>33.78</v>
      </c>
      <c r="Q2796">
        <v>16466692</v>
      </c>
      <c r="R2796">
        <v>1.82</v>
      </c>
      <c r="S2796" t="s">
        <v>52</v>
      </c>
      <c r="T2796" t="s">
        <v>366</v>
      </c>
      <c r="U2796">
        <v>4.57</v>
      </c>
      <c r="V2796">
        <v>4.02</v>
      </c>
      <c r="W2796">
        <v>17466</v>
      </c>
      <c r="X2796">
        <v>23486</v>
      </c>
      <c r="Y2796">
        <v>0.74</v>
      </c>
      <c r="Z2796">
        <v>167</v>
      </c>
      <c r="AA2796">
        <v>267</v>
      </c>
      <c r="AB2796" t="s">
        <v>32</v>
      </c>
      <c r="AC2796">
        <v>7.47</v>
      </c>
    </row>
    <row r="2797" spans="1:29">
      <c r="A2797" t="str">
        <f>"600820"</f>
        <v>600820</v>
      </c>
      <c r="B2797" t="s">
        <v>2967</v>
      </c>
      <c r="C2797">
        <v>7.15</v>
      </c>
      <c r="D2797">
        <v>6.44</v>
      </c>
      <c r="E2797">
        <v>0.43</v>
      </c>
      <c r="F2797">
        <v>6.44</v>
      </c>
      <c r="G2797">
        <v>6.45</v>
      </c>
      <c r="H2797">
        <v>550364</v>
      </c>
      <c r="I2797">
        <v>337</v>
      </c>
      <c r="J2797">
        <v>0</v>
      </c>
      <c r="K2797">
        <v>1.75</v>
      </c>
      <c r="L2797">
        <v>6.06</v>
      </c>
      <c r="M2797">
        <v>6.5</v>
      </c>
      <c r="N2797">
        <v>6.06</v>
      </c>
      <c r="O2797">
        <v>6.01</v>
      </c>
      <c r="P2797">
        <v>13.04</v>
      </c>
      <c r="Q2797">
        <v>348629280</v>
      </c>
      <c r="R2797">
        <v>5.02</v>
      </c>
      <c r="S2797" t="s">
        <v>49</v>
      </c>
      <c r="T2797" t="s">
        <v>366</v>
      </c>
      <c r="U2797">
        <v>7.32</v>
      </c>
      <c r="V2797">
        <v>6.33</v>
      </c>
      <c r="W2797">
        <v>248529</v>
      </c>
      <c r="X2797">
        <v>301835</v>
      </c>
      <c r="Y2797">
        <v>0.82</v>
      </c>
      <c r="Z2797">
        <v>1911</v>
      </c>
      <c r="AA2797">
        <v>2678</v>
      </c>
      <c r="AB2797" t="s">
        <v>32</v>
      </c>
      <c r="AC2797">
        <v>31.44</v>
      </c>
    </row>
    <row r="2798" spans="1:29">
      <c r="A2798" t="str">
        <f>"600821"</f>
        <v>600821</v>
      </c>
      <c r="B2798" t="s">
        <v>2968</v>
      </c>
      <c r="C2798">
        <v>1.95</v>
      </c>
      <c r="D2798">
        <v>4.19</v>
      </c>
      <c r="E2798">
        <v>0.08</v>
      </c>
      <c r="F2798">
        <v>4.18</v>
      </c>
      <c r="G2798">
        <v>4.19</v>
      </c>
      <c r="H2798">
        <v>40568</v>
      </c>
      <c r="I2798">
        <v>1</v>
      </c>
      <c r="J2798">
        <v>-0.23</v>
      </c>
      <c r="K2798">
        <v>0.97</v>
      </c>
      <c r="L2798">
        <v>4.13</v>
      </c>
      <c r="M2798">
        <v>4.21</v>
      </c>
      <c r="N2798">
        <v>4.11</v>
      </c>
      <c r="O2798">
        <v>4.11</v>
      </c>
      <c r="P2798" t="s">
        <v>32</v>
      </c>
      <c r="Q2798">
        <v>16923236</v>
      </c>
      <c r="R2798">
        <v>0.8</v>
      </c>
      <c r="S2798" t="s">
        <v>186</v>
      </c>
      <c r="T2798" t="s">
        <v>248</v>
      </c>
      <c r="U2798">
        <v>2.43</v>
      </c>
      <c r="V2798">
        <v>4.17</v>
      </c>
      <c r="W2798">
        <v>16416</v>
      </c>
      <c r="X2798">
        <v>24151</v>
      </c>
      <c r="Y2798">
        <v>0.68</v>
      </c>
      <c r="Z2798">
        <v>175</v>
      </c>
      <c r="AA2798">
        <v>4</v>
      </c>
      <c r="AB2798" t="s">
        <v>32</v>
      </c>
      <c r="AC2798">
        <v>4.16</v>
      </c>
    </row>
    <row r="2799" spans="1:29">
      <c r="A2799" t="str">
        <f>"600822"</f>
        <v>600822</v>
      </c>
      <c r="B2799" t="s">
        <v>2969</v>
      </c>
      <c r="C2799">
        <v>2.22</v>
      </c>
      <c r="D2799">
        <v>8.76</v>
      </c>
      <c r="E2799">
        <v>0.19</v>
      </c>
      <c r="F2799">
        <v>8.75</v>
      </c>
      <c r="G2799">
        <v>8.76</v>
      </c>
      <c r="H2799">
        <v>57921</v>
      </c>
      <c r="I2799">
        <v>3</v>
      </c>
      <c r="J2799">
        <v>0.11</v>
      </c>
      <c r="K2799">
        <v>1.46</v>
      </c>
      <c r="L2799">
        <v>8.55</v>
      </c>
      <c r="M2799">
        <v>8.87</v>
      </c>
      <c r="N2799">
        <v>8.51</v>
      </c>
      <c r="O2799">
        <v>8.57</v>
      </c>
      <c r="P2799">
        <v>66.95</v>
      </c>
      <c r="Q2799">
        <v>50424060</v>
      </c>
      <c r="R2799">
        <v>1.79</v>
      </c>
      <c r="S2799" t="s">
        <v>140</v>
      </c>
      <c r="T2799" t="s">
        <v>366</v>
      </c>
      <c r="U2799">
        <v>4.2</v>
      </c>
      <c r="V2799">
        <v>8.71</v>
      </c>
      <c r="W2799">
        <v>23826</v>
      </c>
      <c r="X2799">
        <v>34095</v>
      </c>
      <c r="Y2799">
        <v>0.7</v>
      </c>
      <c r="Z2799">
        <v>108</v>
      </c>
      <c r="AA2799">
        <v>58</v>
      </c>
      <c r="AB2799" t="s">
        <v>32</v>
      </c>
      <c r="AC2799">
        <v>3.96</v>
      </c>
    </row>
    <row r="2800" spans="1:29">
      <c r="A2800" t="str">
        <f>"600823"</f>
        <v>600823</v>
      </c>
      <c r="B2800" t="s">
        <v>2970</v>
      </c>
      <c r="C2800">
        <v>1.7</v>
      </c>
      <c r="D2800">
        <v>4.18</v>
      </c>
      <c r="E2800">
        <v>0.07</v>
      </c>
      <c r="F2800">
        <v>4.18</v>
      </c>
      <c r="G2800">
        <v>4.19</v>
      </c>
      <c r="H2800">
        <v>179730</v>
      </c>
      <c r="I2800">
        <v>2</v>
      </c>
      <c r="J2800">
        <v>-0.23</v>
      </c>
      <c r="K2800">
        <v>0.48</v>
      </c>
      <c r="L2800">
        <v>4.11</v>
      </c>
      <c r="M2800">
        <v>4.23</v>
      </c>
      <c r="N2800">
        <v>4.1</v>
      </c>
      <c r="O2800">
        <v>4.11</v>
      </c>
      <c r="P2800">
        <v>15.74</v>
      </c>
      <c r="Q2800">
        <v>75251376</v>
      </c>
      <c r="R2800">
        <v>2.38</v>
      </c>
      <c r="S2800" t="s">
        <v>34</v>
      </c>
      <c r="T2800" t="s">
        <v>366</v>
      </c>
      <c r="U2800">
        <v>3.16</v>
      </c>
      <c r="V2800">
        <v>4.19</v>
      </c>
      <c r="W2800">
        <v>90299</v>
      </c>
      <c r="X2800">
        <v>89430</v>
      </c>
      <c r="Y2800">
        <v>1.01</v>
      </c>
      <c r="Z2800">
        <v>1091</v>
      </c>
      <c r="AA2800">
        <v>351</v>
      </c>
      <c r="AB2800" t="s">
        <v>32</v>
      </c>
      <c r="AC2800">
        <v>37.51</v>
      </c>
    </row>
    <row r="2801" spans="1:29">
      <c r="A2801" t="str">
        <f>"600824"</f>
        <v>600824</v>
      </c>
      <c r="B2801" t="s">
        <v>2971</v>
      </c>
      <c r="C2801">
        <v>1.98</v>
      </c>
      <c r="D2801">
        <v>3.61</v>
      </c>
      <c r="E2801">
        <v>0.07</v>
      </c>
      <c r="F2801">
        <v>3.6</v>
      </c>
      <c r="G2801">
        <v>3.61</v>
      </c>
      <c r="H2801">
        <v>38819</v>
      </c>
      <c r="I2801">
        <v>1</v>
      </c>
      <c r="J2801">
        <v>-0.27</v>
      </c>
      <c r="K2801">
        <v>0.37</v>
      </c>
      <c r="L2801">
        <v>3.53</v>
      </c>
      <c r="M2801">
        <v>3.64</v>
      </c>
      <c r="N2801">
        <v>3.52</v>
      </c>
      <c r="O2801">
        <v>3.54</v>
      </c>
      <c r="P2801">
        <v>18.74</v>
      </c>
      <c r="Q2801">
        <v>13949090</v>
      </c>
      <c r="R2801">
        <v>2.53</v>
      </c>
      <c r="S2801" t="s">
        <v>186</v>
      </c>
      <c r="T2801" t="s">
        <v>366</v>
      </c>
      <c r="U2801">
        <v>3.39</v>
      </c>
      <c r="V2801">
        <v>3.59</v>
      </c>
      <c r="W2801">
        <v>17944</v>
      </c>
      <c r="X2801">
        <v>20875</v>
      </c>
      <c r="Y2801">
        <v>0.86</v>
      </c>
      <c r="Z2801">
        <v>1563</v>
      </c>
      <c r="AA2801">
        <v>36</v>
      </c>
      <c r="AB2801" t="s">
        <v>32</v>
      </c>
      <c r="AC2801">
        <v>10.54</v>
      </c>
    </row>
    <row r="2802" spans="1:29">
      <c r="A2802" t="str">
        <f>"600825"</f>
        <v>600825</v>
      </c>
      <c r="B2802" t="s">
        <v>2972</v>
      </c>
      <c r="C2802">
        <v>2.28</v>
      </c>
      <c r="D2802">
        <v>4.03</v>
      </c>
      <c r="E2802">
        <v>0.09</v>
      </c>
      <c r="F2802">
        <v>4.03</v>
      </c>
      <c r="G2802">
        <v>4.04</v>
      </c>
      <c r="H2802">
        <v>56162</v>
      </c>
      <c r="I2802">
        <v>42</v>
      </c>
      <c r="J2802">
        <v>0</v>
      </c>
      <c r="K2802">
        <v>0.54</v>
      </c>
      <c r="L2802">
        <v>3.95</v>
      </c>
      <c r="M2802">
        <v>4.06</v>
      </c>
      <c r="N2802">
        <v>3.93</v>
      </c>
      <c r="O2802">
        <v>3.94</v>
      </c>
      <c r="P2802">
        <v>122.74</v>
      </c>
      <c r="Q2802">
        <v>22533754</v>
      </c>
      <c r="R2802">
        <v>2.19</v>
      </c>
      <c r="S2802" t="s">
        <v>211</v>
      </c>
      <c r="T2802" t="s">
        <v>366</v>
      </c>
      <c r="U2802">
        <v>3.3</v>
      </c>
      <c r="V2802">
        <v>4.01</v>
      </c>
      <c r="W2802">
        <v>22698</v>
      </c>
      <c r="X2802">
        <v>33463</v>
      </c>
      <c r="Y2802">
        <v>0.68</v>
      </c>
      <c r="Z2802">
        <v>100</v>
      </c>
      <c r="AA2802">
        <v>1565</v>
      </c>
      <c r="AB2802" t="s">
        <v>32</v>
      </c>
      <c r="AC2802">
        <v>10.45</v>
      </c>
    </row>
    <row r="2803" spans="1:29">
      <c r="A2803" t="str">
        <f>"600826"</f>
        <v>600826</v>
      </c>
      <c r="B2803" t="s">
        <v>2973</v>
      </c>
      <c r="C2803">
        <v>1</v>
      </c>
      <c r="D2803">
        <v>15.14</v>
      </c>
      <c r="E2803">
        <v>0.15</v>
      </c>
      <c r="F2803">
        <v>15.13</v>
      </c>
      <c r="G2803">
        <v>15.14</v>
      </c>
      <c r="H2803">
        <v>38652</v>
      </c>
      <c r="I2803">
        <v>4</v>
      </c>
      <c r="J2803">
        <v>-0.06</v>
      </c>
      <c r="K2803">
        <v>0.92</v>
      </c>
      <c r="L2803">
        <v>15.08</v>
      </c>
      <c r="M2803">
        <v>15.36</v>
      </c>
      <c r="N2803">
        <v>14.97</v>
      </c>
      <c r="O2803">
        <v>14.99</v>
      </c>
      <c r="P2803">
        <v>62.7</v>
      </c>
      <c r="Q2803">
        <v>58587960</v>
      </c>
      <c r="R2803">
        <v>1.34</v>
      </c>
      <c r="S2803" t="s">
        <v>140</v>
      </c>
      <c r="T2803" t="s">
        <v>366</v>
      </c>
      <c r="U2803">
        <v>2.6</v>
      </c>
      <c r="V2803">
        <v>15.16</v>
      </c>
      <c r="W2803">
        <v>18270</v>
      </c>
      <c r="X2803">
        <v>20382</v>
      </c>
      <c r="Y2803">
        <v>0.9</v>
      </c>
      <c r="Z2803">
        <v>66</v>
      </c>
      <c r="AA2803">
        <v>44</v>
      </c>
      <c r="AB2803" t="s">
        <v>32</v>
      </c>
      <c r="AC2803">
        <v>4.21</v>
      </c>
    </row>
    <row r="2804" spans="1:29">
      <c r="A2804" t="str">
        <f>"600827"</f>
        <v>600827</v>
      </c>
      <c r="B2804" t="s">
        <v>2974</v>
      </c>
      <c r="C2804">
        <v>2.02</v>
      </c>
      <c r="D2804">
        <v>10.1</v>
      </c>
      <c r="E2804">
        <v>0.2</v>
      </c>
      <c r="F2804">
        <v>10.09</v>
      </c>
      <c r="G2804">
        <v>10.1</v>
      </c>
      <c r="H2804">
        <v>54123</v>
      </c>
      <c r="I2804">
        <v>5</v>
      </c>
      <c r="J2804">
        <v>0</v>
      </c>
      <c r="K2804">
        <v>0.35</v>
      </c>
      <c r="L2804">
        <v>9.89</v>
      </c>
      <c r="M2804">
        <v>10.13</v>
      </c>
      <c r="N2804">
        <v>9.86</v>
      </c>
      <c r="O2804">
        <v>9.9</v>
      </c>
      <c r="P2804">
        <v>14.58</v>
      </c>
      <c r="Q2804">
        <v>54428688</v>
      </c>
      <c r="R2804">
        <v>1.88</v>
      </c>
      <c r="S2804" t="s">
        <v>439</v>
      </c>
      <c r="T2804" t="s">
        <v>366</v>
      </c>
      <c r="U2804">
        <v>2.73</v>
      </c>
      <c r="V2804">
        <v>10.06</v>
      </c>
      <c r="W2804">
        <v>22774</v>
      </c>
      <c r="X2804">
        <v>31349</v>
      </c>
      <c r="Y2804">
        <v>0.73</v>
      </c>
      <c r="Z2804">
        <v>334</v>
      </c>
      <c r="AA2804">
        <v>100</v>
      </c>
      <c r="AB2804" t="s">
        <v>32</v>
      </c>
      <c r="AC2804">
        <v>15.43</v>
      </c>
    </row>
    <row r="2805" spans="1:29">
      <c r="A2805" t="str">
        <f>"600828"</f>
        <v>600828</v>
      </c>
      <c r="B2805" t="s">
        <v>2975</v>
      </c>
      <c r="C2805">
        <v>0.38</v>
      </c>
      <c r="D2805">
        <v>5.25</v>
      </c>
      <c r="E2805">
        <v>0.02</v>
      </c>
      <c r="F2805">
        <v>5.25</v>
      </c>
      <c r="G2805">
        <v>5.26</v>
      </c>
      <c r="H2805">
        <v>69215</v>
      </c>
      <c r="I2805">
        <v>1</v>
      </c>
      <c r="J2805">
        <v>0</v>
      </c>
      <c r="K2805">
        <v>1.07</v>
      </c>
      <c r="L2805">
        <v>5.24</v>
      </c>
      <c r="M2805">
        <v>5.28</v>
      </c>
      <c r="N2805">
        <v>5.21</v>
      </c>
      <c r="O2805">
        <v>5.23</v>
      </c>
      <c r="P2805">
        <v>7.79</v>
      </c>
      <c r="Q2805">
        <v>36296288</v>
      </c>
      <c r="R2805">
        <v>2.02</v>
      </c>
      <c r="S2805" t="s">
        <v>186</v>
      </c>
      <c r="T2805" t="s">
        <v>146</v>
      </c>
      <c r="U2805">
        <v>1.34</v>
      </c>
      <c r="V2805">
        <v>5.24</v>
      </c>
      <c r="W2805">
        <v>40735</v>
      </c>
      <c r="X2805">
        <v>28480</v>
      </c>
      <c r="Y2805">
        <v>1.43</v>
      </c>
      <c r="Z2805">
        <v>264</v>
      </c>
      <c r="AA2805">
        <v>619</v>
      </c>
      <c r="AB2805" t="s">
        <v>32</v>
      </c>
      <c r="AC2805">
        <v>6.49</v>
      </c>
    </row>
    <row r="2806" spans="1:29">
      <c r="A2806" t="str">
        <f>"600829"</f>
        <v>600829</v>
      </c>
      <c r="B2806" t="s">
        <v>2976</v>
      </c>
      <c r="C2806">
        <v>3.27</v>
      </c>
      <c r="D2806">
        <v>7.27</v>
      </c>
      <c r="E2806">
        <v>0.23</v>
      </c>
      <c r="F2806">
        <v>7.26</v>
      </c>
      <c r="G2806">
        <v>7.27</v>
      </c>
      <c r="H2806">
        <v>41367</v>
      </c>
      <c r="I2806">
        <v>4</v>
      </c>
      <c r="J2806">
        <v>0.14</v>
      </c>
      <c r="K2806">
        <v>0.71</v>
      </c>
      <c r="L2806">
        <v>7.06</v>
      </c>
      <c r="M2806">
        <v>7.33</v>
      </c>
      <c r="N2806">
        <v>7.01</v>
      </c>
      <c r="O2806">
        <v>7.04</v>
      </c>
      <c r="P2806">
        <v>15.16</v>
      </c>
      <c r="Q2806">
        <v>29831102</v>
      </c>
      <c r="R2806">
        <v>1.57</v>
      </c>
      <c r="S2806" t="s">
        <v>77</v>
      </c>
      <c r="T2806" t="s">
        <v>297</v>
      </c>
      <c r="U2806">
        <v>4.55</v>
      </c>
      <c r="V2806">
        <v>7.21</v>
      </c>
      <c r="W2806">
        <v>21044</v>
      </c>
      <c r="X2806">
        <v>20323</v>
      </c>
      <c r="Y2806">
        <v>1.04</v>
      </c>
      <c r="Z2806">
        <v>130</v>
      </c>
      <c r="AA2806">
        <v>64</v>
      </c>
      <c r="AB2806" t="s">
        <v>32</v>
      </c>
      <c r="AC2806">
        <v>5.8</v>
      </c>
    </row>
    <row r="2807" spans="1:29">
      <c r="A2807" t="str">
        <f>"600830"</f>
        <v>600830</v>
      </c>
      <c r="B2807" t="s">
        <v>2977</v>
      </c>
      <c r="C2807">
        <v>2.15</v>
      </c>
      <c r="D2807">
        <v>5.69</v>
      </c>
      <c r="E2807">
        <v>0.12</v>
      </c>
      <c r="F2807">
        <v>5.68</v>
      </c>
      <c r="G2807">
        <v>5.69</v>
      </c>
      <c r="H2807">
        <v>102964</v>
      </c>
      <c r="I2807">
        <v>284</v>
      </c>
      <c r="J2807">
        <v>0</v>
      </c>
      <c r="K2807">
        <v>2.27</v>
      </c>
      <c r="L2807">
        <v>5.52</v>
      </c>
      <c r="M2807">
        <v>5.74</v>
      </c>
      <c r="N2807">
        <v>5.52</v>
      </c>
      <c r="O2807">
        <v>5.57</v>
      </c>
      <c r="P2807">
        <v>38.78</v>
      </c>
      <c r="Q2807">
        <v>58321984</v>
      </c>
      <c r="R2807">
        <v>1.76</v>
      </c>
      <c r="S2807" t="s">
        <v>183</v>
      </c>
      <c r="T2807" t="s">
        <v>149</v>
      </c>
      <c r="U2807">
        <v>3.95</v>
      </c>
      <c r="V2807">
        <v>5.66</v>
      </c>
      <c r="W2807">
        <v>47737</v>
      </c>
      <c r="X2807">
        <v>55227</v>
      </c>
      <c r="Y2807">
        <v>0.86</v>
      </c>
      <c r="Z2807">
        <v>1215</v>
      </c>
      <c r="AA2807">
        <v>218</v>
      </c>
      <c r="AB2807" t="s">
        <v>32</v>
      </c>
      <c r="AC2807">
        <v>4.54</v>
      </c>
    </row>
    <row r="2808" spans="1:29">
      <c r="A2808" t="str">
        <f>"600831"</f>
        <v>600831</v>
      </c>
      <c r="B2808" t="s">
        <v>2978</v>
      </c>
      <c r="C2808">
        <v>1.82</v>
      </c>
      <c r="D2808">
        <v>6.14</v>
      </c>
      <c r="E2808">
        <v>0.11</v>
      </c>
      <c r="F2808">
        <v>6.14</v>
      </c>
      <c r="G2808">
        <v>6.15</v>
      </c>
      <c r="H2808">
        <v>75567</v>
      </c>
      <c r="I2808">
        <v>24</v>
      </c>
      <c r="J2808">
        <v>-0.15</v>
      </c>
      <c r="K2808">
        <v>1.34</v>
      </c>
      <c r="L2808">
        <v>6</v>
      </c>
      <c r="M2808">
        <v>6.16</v>
      </c>
      <c r="N2808">
        <v>5.97</v>
      </c>
      <c r="O2808">
        <v>6.03</v>
      </c>
      <c r="P2808">
        <v>20.2</v>
      </c>
      <c r="Q2808">
        <v>45970336</v>
      </c>
      <c r="R2808">
        <v>1.9</v>
      </c>
      <c r="S2808" t="s">
        <v>148</v>
      </c>
      <c r="T2808" t="s">
        <v>223</v>
      </c>
      <c r="U2808">
        <v>3.15</v>
      </c>
      <c r="V2808">
        <v>6.08</v>
      </c>
      <c r="W2808">
        <v>34052</v>
      </c>
      <c r="X2808">
        <v>41514</v>
      </c>
      <c r="Y2808">
        <v>0.82</v>
      </c>
      <c r="Z2808">
        <v>255</v>
      </c>
      <c r="AA2808">
        <v>497</v>
      </c>
      <c r="AB2808" t="s">
        <v>32</v>
      </c>
      <c r="AC2808">
        <v>5.63</v>
      </c>
    </row>
    <row r="2809" spans="1:29">
      <c r="A2809" t="str">
        <f>"600833"</f>
        <v>600833</v>
      </c>
      <c r="B2809" t="s">
        <v>2979</v>
      </c>
      <c r="C2809">
        <v>1.25</v>
      </c>
      <c r="D2809">
        <v>10.54</v>
      </c>
      <c r="E2809">
        <v>0.13</v>
      </c>
      <c r="F2809">
        <v>10.53</v>
      </c>
      <c r="G2809">
        <v>10.54</v>
      </c>
      <c r="H2809">
        <v>18087</v>
      </c>
      <c r="I2809">
        <v>36</v>
      </c>
      <c r="J2809">
        <v>0</v>
      </c>
      <c r="K2809">
        <v>0.81</v>
      </c>
      <c r="L2809">
        <v>10.35</v>
      </c>
      <c r="M2809">
        <v>10.64</v>
      </c>
      <c r="N2809">
        <v>10.25</v>
      </c>
      <c r="O2809">
        <v>10.41</v>
      </c>
      <c r="P2809">
        <v>51.06</v>
      </c>
      <c r="Q2809">
        <v>18928556</v>
      </c>
      <c r="R2809">
        <v>0.95</v>
      </c>
      <c r="S2809" t="s">
        <v>77</v>
      </c>
      <c r="T2809" t="s">
        <v>366</v>
      </c>
      <c r="U2809">
        <v>3.75</v>
      </c>
      <c r="V2809">
        <v>10.47</v>
      </c>
      <c r="W2809">
        <v>8765</v>
      </c>
      <c r="X2809">
        <v>9321</v>
      </c>
      <c r="Y2809">
        <v>0.94</v>
      </c>
      <c r="Z2809">
        <v>226</v>
      </c>
      <c r="AA2809">
        <v>14</v>
      </c>
      <c r="AB2809" t="s">
        <v>32</v>
      </c>
      <c r="AC2809">
        <v>2.23</v>
      </c>
    </row>
    <row r="2810" spans="1:29">
      <c r="A2810" t="str">
        <f>"600834"</f>
        <v>600834</v>
      </c>
      <c r="B2810" t="s">
        <v>2980</v>
      </c>
      <c r="C2810">
        <v>2.32</v>
      </c>
      <c r="D2810">
        <v>7.05</v>
      </c>
      <c r="E2810">
        <v>0.16</v>
      </c>
      <c r="F2810">
        <v>7.05</v>
      </c>
      <c r="G2810">
        <v>7.06</v>
      </c>
      <c r="H2810">
        <v>22038</v>
      </c>
      <c r="I2810">
        <v>3</v>
      </c>
      <c r="J2810">
        <v>0</v>
      </c>
      <c r="K2810">
        <v>0.46</v>
      </c>
      <c r="L2810">
        <v>6.93</v>
      </c>
      <c r="M2810">
        <v>7.13</v>
      </c>
      <c r="N2810">
        <v>6.91</v>
      </c>
      <c r="O2810">
        <v>6.89</v>
      </c>
      <c r="P2810">
        <v>39.53</v>
      </c>
      <c r="Q2810">
        <v>15542894</v>
      </c>
      <c r="R2810">
        <v>2.14</v>
      </c>
      <c r="S2810" t="s">
        <v>1253</v>
      </c>
      <c r="T2810" t="s">
        <v>366</v>
      </c>
      <c r="U2810">
        <v>3.19</v>
      </c>
      <c r="V2810">
        <v>7.05</v>
      </c>
      <c r="W2810">
        <v>12068</v>
      </c>
      <c r="X2810">
        <v>9969</v>
      </c>
      <c r="Y2810">
        <v>1.21</v>
      </c>
      <c r="Z2810">
        <v>37</v>
      </c>
      <c r="AA2810">
        <v>257</v>
      </c>
      <c r="AB2810" t="s">
        <v>32</v>
      </c>
      <c r="AC2810">
        <v>4.77</v>
      </c>
    </row>
    <row r="2811" spans="1:29">
      <c r="A2811" t="str">
        <f>"600835"</f>
        <v>600835</v>
      </c>
      <c r="B2811" t="s">
        <v>2981</v>
      </c>
      <c r="C2811">
        <v>1.35</v>
      </c>
      <c r="D2811">
        <v>18.72</v>
      </c>
      <c r="E2811">
        <v>0.25</v>
      </c>
      <c r="F2811">
        <v>18.71</v>
      </c>
      <c r="G2811">
        <v>18.73</v>
      </c>
      <c r="H2811">
        <v>29484</v>
      </c>
      <c r="I2811">
        <v>3</v>
      </c>
      <c r="J2811">
        <v>-0.04</v>
      </c>
      <c r="K2811">
        <v>0.37</v>
      </c>
      <c r="L2811">
        <v>18.48</v>
      </c>
      <c r="M2811">
        <v>18.84</v>
      </c>
      <c r="N2811">
        <v>18.29</v>
      </c>
      <c r="O2811">
        <v>18.47</v>
      </c>
      <c r="P2811">
        <v>20.04</v>
      </c>
      <c r="Q2811">
        <v>55017504</v>
      </c>
      <c r="R2811">
        <v>1.5</v>
      </c>
      <c r="S2811" t="s">
        <v>44</v>
      </c>
      <c r="T2811" t="s">
        <v>366</v>
      </c>
      <c r="U2811">
        <v>2.98</v>
      </c>
      <c r="V2811">
        <v>18.66</v>
      </c>
      <c r="W2811">
        <v>12714</v>
      </c>
      <c r="X2811">
        <v>16769</v>
      </c>
      <c r="Y2811">
        <v>0.76</v>
      </c>
      <c r="Z2811">
        <v>54</v>
      </c>
      <c r="AA2811">
        <v>157</v>
      </c>
      <c r="AB2811" t="s">
        <v>32</v>
      </c>
      <c r="AC2811">
        <v>8.07</v>
      </c>
    </row>
    <row r="2812" spans="1:29">
      <c r="A2812" t="str">
        <f>"600836"</f>
        <v>600836</v>
      </c>
      <c r="B2812" t="s">
        <v>2982</v>
      </c>
      <c r="C2812">
        <v>2.21</v>
      </c>
      <c r="D2812">
        <v>4.17</v>
      </c>
      <c r="E2812">
        <v>0.09</v>
      </c>
      <c r="F2812">
        <v>4.16</v>
      </c>
      <c r="G2812">
        <v>4.17</v>
      </c>
      <c r="H2812">
        <v>51626</v>
      </c>
      <c r="I2812">
        <v>2</v>
      </c>
      <c r="J2812">
        <v>0.24</v>
      </c>
      <c r="K2812">
        <v>0.78</v>
      </c>
      <c r="L2812">
        <v>4.07</v>
      </c>
      <c r="M2812">
        <v>4.17</v>
      </c>
      <c r="N2812">
        <v>4.07</v>
      </c>
      <c r="O2812">
        <v>4.08</v>
      </c>
      <c r="P2812">
        <v>100.35</v>
      </c>
      <c r="Q2812">
        <v>21345008</v>
      </c>
      <c r="R2812">
        <v>1.99</v>
      </c>
      <c r="S2812" t="s">
        <v>91</v>
      </c>
      <c r="T2812" t="s">
        <v>366</v>
      </c>
      <c r="U2812">
        <v>2.45</v>
      </c>
      <c r="V2812">
        <v>4.13</v>
      </c>
      <c r="W2812">
        <v>21562</v>
      </c>
      <c r="X2812">
        <v>30064</v>
      </c>
      <c r="Y2812">
        <v>0.72</v>
      </c>
      <c r="Z2812">
        <v>196</v>
      </c>
      <c r="AA2812">
        <v>2407</v>
      </c>
      <c r="AB2812" t="s">
        <v>32</v>
      </c>
      <c r="AC2812">
        <v>6.63</v>
      </c>
    </row>
    <row r="2813" spans="1:29">
      <c r="A2813" t="str">
        <f>"600837"</f>
        <v>600837</v>
      </c>
      <c r="B2813" t="s">
        <v>2983</v>
      </c>
      <c r="C2813">
        <v>3.92</v>
      </c>
      <c r="D2813">
        <v>9.8</v>
      </c>
      <c r="E2813">
        <v>0.37</v>
      </c>
      <c r="F2813">
        <v>9.79</v>
      </c>
      <c r="G2813">
        <v>9.8</v>
      </c>
      <c r="H2813">
        <v>1096586</v>
      </c>
      <c r="I2813">
        <v>200</v>
      </c>
      <c r="J2813">
        <v>0.1</v>
      </c>
      <c r="K2813">
        <v>1.36</v>
      </c>
      <c r="L2813">
        <v>9.49</v>
      </c>
      <c r="M2813">
        <v>9.93</v>
      </c>
      <c r="N2813">
        <v>9.49</v>
      </c>
      <c r="O2813">
        <v>9.43</v>
      </c>
      <c r="P2813">
        <v>16.27</v>
      </c>
      <c r="Q2813">
        <v>1072074368</v>
      </c>
      <c r="R2813">
        <v>2.64</v>
      </c>
      <c r="S2813" t="s">
        <v>158</v>
      </c>
      <c r="T2813" t="s">
        <v>366</v>
      </c>
      <c r="U2813">
        <v>4.67</v>
      </c>
      <c r="V2813">
        <v>9.78</v>
      </c>
      <c r="W2813">
        <v>511356</v>
      </c>
      <c r="X2813">
        <v>585229</v>
      </c>
      <c r="Y2813">
        <v>0.87</v>
      </c>
      <c r="Z2813">
        <v>1521</v>
      </c>
      <c r="AA2813">
        <v>1217</v>
      </c>
      <c r="AB2813" t="s">
        <v>32</v>
      </c>
      <c r="AC2813">
        <v>80.92</v>
      </c>
    </row>
    <row r="2814" spans="1:29">
      <c r="A2814" t="str">
        <f>"600838"</f>
        <v>600838</v>
      </c>
      <c r="B2814" t="s">
        <v>2984</v>
      </c>
      <c r="C2814">
        <v>1.26</v>
      </c>
      <c r="D2814">
        <v>7.26</v>
      </c>
      <c r="E2814">
        <v>0.09</v>
      </c>
      <c r="F2814">
        <v>7.25</v>
      </c>
      <c r="G2814">
        <v>7.26</v>
      </c>
      <c r="H2814">
        <v>58608</v>
      </c>
      <c r="I2814">
        <v>186</v>
      </c>
      <c r="J2814">
        <v>-0.13</v>
      </c>
      <c r="K2814">
        <v>1.46</v>
      </c>
      <c r="L2814">
        <v>7.12</v>
      </c>
      <c r="M2814">
        <v>7.3</v>
      </c>
      <c r="N2814">
        <v>7.12</v>
      </c>
      <c r="O2814">
        <v>7.17</v>
      </c>
      <c r="P2814">
        <v>33.29</v>
      </c>
      <c r="Q2814">
        <v>42373176</v>
      </c>
      <c r="R2814">
        <v>1.4</v>
      </c>
      <c r="S2814" t="s">
        <v>186</v>
      </c>
      <c r="T2814" t="s">
        <v>366</v>
      </c>
      <c r="U2814">
        <v>2.51</v>
      </c>
      <c r="V2814">
        <v>7.23</v>
      </c>
      <c r="W2814">
        <v>30278</v>
      </c>
      <c r="X2814">
        <v>28329</v>
      </c>
      <c r="Y2814">
        <v>1.07</v>
      </c>
      <c r="Z2814">
        <v>680</v>
      </c>
      <c r="AA2814">
        <v>62</v>
      </c>
      <c r="AB2814" t="s">
        <v>32</v>
      </c>
      <c r="AC2814">
        <v>4.01</v>
      </c>
    </row>
    <row r="2815" spans="1:29">
      <c r="A2815" t="str">
        <f>"600839"</f>
        <v>600839</v>
      </c>
      <c r="B2815" t="s">
        <v>2985</v>
      </c>
      <c r="C2815">
        <v>1.39</v>
      </c>
      <c r="D2815">
        <v>2.91</v>
      </c>
      <c r="E2815">
        <v>0.04</v>
      </c>
      <c r="F2815">
        <v>2.91</v>
      </c>
      <c r="G2815">
        <v>2.92</v>
      </c>
      <c r="H2815">
        <v>388910</v>
      </c>
      <c r="I2815">
        <v>5</v>
      </c>
      <c r="J2815">
        <v>0</v>
      </c>
      <c r="K2815">
        <v>0.84</v>
      </c>
      <c r="L2815">
        <v>2.86</v>
      </c>
      <c r="M2815">
        <v>2.94</v>
      </c>
      <c r="N2815">
        <v>2.85</v>
      </c>
      <c r="O2815">
        <v>2.87</v>
      </c>
      <c r="P2815">
        <v>54.95</v>
      </c>
      <c r="Q2815">
        <v>112861080</v>
      </c>
      <c r="R2815">
        <v>2.05</v>
      </c>
      <c r="S2815" t="s">
        <v>55</v>
      </c>
      <c r="T2815" t="s">
        <v>146</v>
      </c>
      <c r="U2815">
        <v>3.14</v>
      </c>
      <c r="V2815">
        <v>2.9</v>
      </c>
      <c r="W2815">
        <v>177473</v>
      </c>
      <c r="X2815">
        <v>211437</v>
      </c>
      <c r="Y2815">
        <v>0.84</v>
      </c>
      <c r="Z2815">
        <v>344</v>
      </c>
      <c r="AA2815">
        <v>19298</v>
      </c>
      <c r="AB2815" t="s">
        <v>32</v>
      </c>
      <c r="AC2815">
        <v>46.14</v>
      </c>
    </row>
    <row r="2816" spans="1:29">
      <c r="A2816" t="str">
        <f>"600841"</f>
        <v>600841</v>
      </c>
      <c r="B2816" t="s">
        <v>2986</v>
      </c>
      <c r="C2816">
        <v>1.53</v>
      </c>
      <c r="D2816">
        <v>9.29</v>
      </c>
      <c r="E2816">
        <v>0.14</v>
      </c>
      <c r="F2816">
        <v>9.28</v>
      </c>
      <c r="G2816">
        <v>9.29</v>
      </c>
      <c r="H2816">
        <v>22406</v>
      </c>
      <c r="I2816">
        <v>8</v>
      </c>
      <c r="J2816">
        <v>-0.1</v>
      </c>
      <c r="K2816">
        <v>0.43</v>
      </c>
      <c r="L2816">
        <v>9.15</v>
      </c>
      <c r="M2816">
        <v>9.33</v>
      </c>
      <c r="N2816">
        <v>9.11</v>
      </c>
      <c r="O2816">
        <v>9.15</v>
      </c>
      <c r="P2816">
        <v>45.38</v>
      </c>
      <c r="Q2816">
        <v>20764226</v>
      </c>
      <c r="R2816">
        <v>1.31</v>
      </c>
      <c r="S2816" t="s">
        <v>241</v>
      </c>
      <c r="T2816" t="s">
        <v>366</v>
      </c>
      <c r="U2816">
        <v>2.4</v>
      </c>
      <c r="V2816">
        <v>9.27</v>
      </c>
      <c r="W2816">
        <v>9710</v>
      </c>
      <c r="X2816">
        <v>12696</v>
      </c>
      <c r="Y2816">
        <v>0.76</v>
      </c>
      <c r="Z2816">
        <v>173</v>
      </c>
      <c r="AA2816">
        <v>123</v>
      </c>
      <c r="AB2816" t="s">
        <v>32</v>
      </c>
      <c r="AC2816">
        <v>5.22</v>
      </c>
    </row>
    <row r="2817" spans="1:29">
      <c r="A2817" t="str">
        <f>"600843"</f>
        <v>600843</v>
      </c>
      <c r="B2817" t="s">
        <v>2987</v>
      </c>
      <c r="C2817">
        <v>1.49</v>
      </c>
      <c r="D2817">
        <v>8.18</v>
      </c>
      <c r="E2817">
        <v>0.12</v>
      </c>
      <c r="F2817">
        <v>8.18</v>
      </c>
      <c r="G2817">
        <v>8.19</v>
      </c>
      <c r="H2817">
        <v>10855</v>
      </c>
      <c r="I2817">
        <v>20</v>
      </c>
      <c r="J2817">
        <v>-0.6</v>
      </c>
      <c r="K2817">
        <v>0.36</v>
      </c>
      <c r="L2817">
        <v>8.08</v>
      </c>
      <c r="M2817">
        <v>8.24</v>
      </c>
      <c r="N2817">
        <v>8.05</v>
      </c>
      <c r="O2817">
        <v>8.06</v>
      </c>
      <c r="P2817">
        <v>24.66</v>
      </c>
      <c r="Q2817">
        <v>8874433</v>
      </c>
      <c r="R2817">
        <v>0.81</v>
      </c>
      <c r="S2817" t="s">
        <v>363</v>
      </c>
      <c r="T2817" t="s">
        <v>366</v>
      </c>
      <c r="U2817">
        <v>2.36</v>
      </c>
      <c r="V2817">
        <v>8.18</v>
      </c>
      <c r="W2817">
        <v>5449</v>
      </c>
      <c r="X2817">
        <v>5405</v>
      </c>
      <c r="Y2817">
        <v>1.01</v>
      </c>
      <c r="Z2817">
        <v>107</v>
      </c>
      <c r="AA2817">
        <v>150</v>
      </c>
      <c r="AB2817" t="s">
        <v>32</v>
      </c>
      <c r="AC2817">
        <v>3.05</v>
      </c>
    </row>
    <row r="2818" spans="1:29">
      <c r="A2818" t="str">
        <f>"600844"</f>
        <v>600844</v>
      </c>
      <c r="B2818" t="s">
        <v>2988</v>
      </c>
      <c r="C2818">
        <v>0</v>
      </c>
      <c r="D2818">
        <v>5.36</v>
      </c>
      <c r="E2818">
        <v>0</v>
      </c>
      <c r="F2818" t="s">
        <v>32</v>
      </c>
      <c r="G2818" t="s">
        <v>32</v>
      </c>
      <c r="H2818">
        <v>0</v>
      </c>
      <c r="I2818">
        <v>0</v>
      </c>
      <c r="J2818">
        <v>0</v>
      </c>
      <c r="K2818">
        <v>0</v>
      </c>
      <c r="L2818" t="s">
        <v>32</v>
      </c>
      <c r="M2818" t="s">
        <v>32</v>
      </c>
      <c r="N2818" t="s">
        <v>32</v>
      </c>
      <c r="O2818">
        <v>5.36</v>
      </c>
      <c r="P2818">
        <v>214.67</v>
      </c>
      <c r="Q2818">
        <v>0</v>
      </c>
      <c r="R2818">
        <v>0</v>
      </c>
      <c r="S2818" t="s">
        <v>218</v>
      </c>
      <c r="T2818" t="s">
        <v>366</v>
      </c>
      <c r="U2818">
        <v>0</v>
      </c>
      <c r="V2818">
        <v>5.36</v>
      </c>
      <c r="W2818">
        <v>0</v>
      </c>
      <c r="X2818">
        <v>0</v>
      </c>
      <c r="Y2818" t="s">
        <v>32</v>
      </c>
      <c r="Z2818">
        <v>0</v>
      </c>
      <c r="AA2818">
        <v>0</v>
      </c>
      <c r="AB2818" t="s">
        <v>32</v>
      </c>
      <c r="AC2818">
        <v>8.23</v>
      </c>
    </row>
    <row r="2819" spans="1:29">
      <c r="A2819" t="str">
        <f>"600845"</f>
        <v>600845</v>
      </c>
      <c r="B2819" t="s">
        <v>2989</v>
      </c>
      <c r="C2819">
        <v>-2.61</v>
      </c>
      <c r="D2819">
        <v>27.95</v>
      </c>
      <c r="E2819">
        <v>-0.75</v>
      </c>
      <c r="F2819">
        <v>27.96</v>
      </c>
      <c r="G2819">
        <v>27.97</v>
      </c>
      <c r="H2819">
        <v>149907</v>
      </c>
      <c r="I2819">
        <v>36</v>
      </c>
      <c r="J2819">
        <v>0.5</v>
      </c>
      <c r="K2819">
        <v>2.46</v>
      </c>
      <c r="L2819">
        <v>28.71</v>
      </c>
      <c r="M2819">
        <v>28.72</v>
      </c>
      <c r="N2819">
        <v>27.57</v>
      </c>
      <c r="O2819">
        <v>28.7</v>
      </c>
      <c r="P2819">
        <v>41.56</v>
      </c>
      <c r="Q2819">
        <v>418284256</v>
      </c>
      <c r="R2819">
        <v>1.19</v>
      </c>
      <c r="S2819" t="s">
        <v>270</v>
      </c>
      <c r="T2819" t="s">
        <v>366</v>
      </c>
      <c r="U2819">
        <v>4.01</v>
      </c>
      <c r="V2819">
        <v>27.9</v>
      </c>
      <c r="W2819">
        <v>86187</v>
      </c>
      <c r="X2819">
        <v>63719</v>
      </c>
      <c r="Y2819">
        <v>1.35</v>
      </c>
      <c r="Z2819">
        <v>21</v>
      </c>
      <c r="AA2819">
        <v>82</v>
      </c>
      <c r="AB2819" t="s">
        <v>32</v>
      </c>
      <c r="AC2819">
        <v>6.1</v>
      </c>
    </row>
    <row r="2820" spans="1:29">
      <c r="A2820" t="str">
        <f>"600846"</f>
        <v>600846</v>
      </c>
      <c r="B2820" t="s">
        <v>2990</v>
      </c>
      <c r="C2820">
        <v>4.02</v>
      </c>
      <c r="D2820">
        <v>8.03</v>
      </c>
      <c r="E2820">
        <v>0.31</v>
      </c>
      <c r="F2820">
        <v>8.02</v>
      </c>
      <c r="G2820">
        <v>8.03</v>
      </c>
      <c r="H2820">
        <v>221100</v>
      </c>
      <c r="I2820">
        <v>2</v>
      </c>
      <c r="J2820">
        <v>0.12</v>
      </c>
      <c r="K2820">
        <v>3.54</v>
      </c>
      <c r="L2820">
        <v>7.83</v>
      </c>
      <c r="M2820">
        <v>8.03</v>
      </c>
      <c r="N2820">
        <v>7.75</v>
      </c>
      <c r="O2820">
        <v>7.72</v>
      </c>
      <c r="P2820">
        <v>16.27</v>
      </c>
      <c r="Q2820">
        <v>175901024</v>
      </c>
      <c r="R2820">
        <v>2.64</v>
      </c>
      <c r="S2820" t="s">
        <v>47</v>
      </c>
      <c r="T2820" t="s">
        <v>366</v>
      </c>
      <c r="U2820">
        <v>3.63</v>
      </c>
      <c r="V2820">
        <v>7.96</v>
      </c>
      <c r="W2820">
        <v>104157</v>
      </c>
      <c r="X2820">
        <v>116943</v>
      </c>
      <c r="Y2820">
        <v>0.89</v>
      </c>
      <c r="Z2820">
        <v>788</v>
      </c>
      <c r="AA2820">
        <v>353</v>
      </c>
      <c r="AB2820" t="s">
        <v>32</v>
      </c>
      <c r="AC2820">
        <v>6.25</v>
      </c>
    </row>
    <row r="2821" spans="1:29">
      <c r="A2821" t="str">
        <f>"600847"</f>
        <v>600847</v>
      </c>
      <c r="B2821" t="s">
        <v>2991</v>
      </c>
      <c r="C2821">
        <v>-3.4</v>
      </c>
      <c r="D2821">
        <v>13.65</v>
      </c>
      <c r="E2821">
        <v>-0.48</v>
      </c>
      <c r="F2821">
        <v>13.64</v>
      </c>
      <c r="G2821">
        <v>13.65</v>
      </c>
      <c r="H2821">
        <v>45743</v>
      </c>
      <c r="I2821">
        <v>21</v>
      </c>
      <c r="J2821">
        <v>0</v>
      </c>
      <c r="K2821">
        <v>2.98</v>
      </c>
      <c r="L2821">
        <v>14.06</v>
      </c>
      <c r="M2821">
        <v>14.13</v>
      </c>
      <c r="N2821">
        <v>13.32</v>
      </c>
      <c r="O2821">
        <v>14.13</v>
      </c>
      <c r="P2821">
        <v>222.06</v>
      </c>
      <c r="Q2821">
        <v>62240524</v>
      </c>
      <c r="R2821">
        <v>1.37</v>
      </c>
      <c r="S2821" t="s">
        <v>104</v>
      </c>
      <c r="T2821" t="s">
        <v>221</v>
      </c>
      <c r="U2821">
        <v>5.73</v>
      </c>
      <c r="V2821">
        <v>13.61</v>
      </c>
      <c r="W2821">
        <v>28572</v>
      </c>
      <c r="X2821">
        <v>17171</v>
      </c>
      <c r="Y2821">
        <v>1.66</v>
      </c>
      <c r="Z2821">
        <v>33</v>
      </c>
      <c r="AA2821">
        <v>27</v>
      </c>
      <c r="AB2821" t="s">
        <v>32</v>
      </c>
      <c r="AC2821">
        <v>1.53</v>
      </c>
    </row>
    <row r="2822" spans="1:29">
      <c r="A2822" t="str">
        <f>"600848"</f>
        <v>600848</v>
      </c>
      <c r="B2822" t="s">
        <v>2992</v>
      </c>
      <c r="C2822">
        <v>0</v>
      </c>
      <c r="D2822">
        <v>21.67</v>
      </c>
      <c r="E2822">
        <v>0</v>
      </c>
      <c r="F2822" t="s">
        <v>32</v>
      </c>
      <c r="G2822" t="s">
        <v>32</v>
      </c>
      <c r="H2822">
        <v>0</v>
      </c>
      <c r="I2822">
        <v>0</v>
      </c>
      <c r="J2822">
        <v>0</v>
      </c>
      <c r="K2822">
        <v>0</v>
      </c>
      <c r="L2822" t="s">
        <v>32</v>
      </c>
      <c r="M2822" t="s">
        <v>32</v>
      </c>
      <c r="N2822" t="s">
        <v>32</v>
      </c>
      <c r="O2822">
        <v>21.67</v>
      </c>
      <c r="P2822">
        <v>90.9</v>
      </c>
      <c r="Q2822">
        <v>0</v>
      </c>
      <c r="R2822">
        <v>0</v>
      </c>
      <c r="S2822" t="s">
        <v>338</v>
      </c>
      <c r="T2822" t="s">
        <v>366</v>
      </c>
      <c r="U2822">
        <v>0</v>
      </c>
      <c r="V2822">
        <v>21.67</v>
      </c>
      <c r="W2822">
        <v>0</v>
      </c>
      <c r="X2822">
        <v>0</v>
      </c>
      <c r="Y2822" t="s">
        <v>32</v>
      </c>
      <c r="Z2822">
        <v>0</v>
      </c>
      <c r="AA2822">
        <v>0</v>
      </c>
      <c r="AB2822" t="s">
        <v>32</v>
      </c>
      <c r="AC2822">
        <v>4</v>
      </c>
    </row>
    <row r="2823" spans="1:29">
      <c r="A2823" t="str">
        <f>"600850"</f>
        <v>600850</v>
      </c>
      <c r="B2823" t="s">
        <v>2993</v>
      </c>
      <c r="C2823">
        <v>0</v>
      </c>
      <c r="D2823">
        <v>18.99</v>
      </c>
      <c r="E2823">
        <v>0</v>
      </c>
      <c r="F2823" t="s">
        <v>32</v>
      </c>
      <c r="G2823" t="s">
        <v>32</v>
      </c>
      <c r="H2823">
        <v>0</v>
      </c>
      <c r="I2823">
        <v>0</v>
      </c>
      <c r="J2823">
        <v>0</v>
      </c>
      <c r="K2823">
        <v>0</v>
      </c>
      <c r="L2823" t="s">
        <v>32</v>
      </c>
      <c r="M2823" t="s">
        <v>32</v>
      </c>
      <c r="N2823" t="s">
        <v>32</v>
      </c>
      <c r="O2823">
        <v>18.99</v>
      </c>
      <c r="P2823">
        <v>27.63</v>
      </c>
      <c r="Q2823">
        <v>0</v>
      </c>
      <c r="R2823">
        <v>0</v>
      </c>
      <c r="S2823" t="s">
        <v>270</v>
      </c>
      <c r="T2823" t="s">
        <v>366</v>
      </c>
      <c r="U2823">
        <v>0</v>
      </c>
      <c r="V2823">
        <v>18.99</v>
      </c>
      <c r="W2823">
        <v>0</v>
      </c>
      <c r="X2823">
        <v>0</v>
      </c>
      <c r="Y2823" t="s">
        <v>32</v>
      </c>
      <c r="Z2823">
        <v>0</v>
      </c>
      <c r="AA2823">
        <v>0</v>
      </c>
      <c r="AB2823" t="s">
        <v>32</v>
      </c>
      <c r="AC2823">
        <v>4.23</v>
      </c>
    </row>
    <row r="2824" spans="1:29">
      <c r="A2824" t="str">
        <f>"600851"</f>
        <v>600851</v>
      </c>
      <c r="B2824" t="s">
        <v>2994</v>
      </c>
      <c r="C2824">
        <v>0.59</v>
      </c>
      <c r="D2824">
        <v>8.49</v>
      </c>
      <c r="E2824">
        <v>0.05</v>
      </c>
      <c r="F2824">
        <v>8.48</v>
      </c>
      <c r="G2824">
        <v>8.5</v>
      </c>
      <c r="H2824">
        <v>9879</v>
      </c>
      <c r="I2824">
        <v>50</v>
      </c>
      <c r="J2824">
        <v>-0.22</v>
      </c>
      <c r="K2824">
        <v>0.13</v>
      </c>
      <c r="L2824">
        <v>8.36</v>
      </c>
      <c r="M2824">
        <v>8.51</v>
      </c>
      <c r="N2824">
        <v>8.35</v>
      </c>
      <c r="O2824">
        <v>8.44</v>
      </c>
      <c r="P2824">
        <v>139.86</v>
      </c>
      <c r="Q2824">
        <v>8364712</v>
      </c>
      <c r="R2824">
        <v>0.98</v>
      </c>
      <c r="S2824" t="s">
        <v>99</v>
      </c>
      <c r="T2824" t="s">
        <v>366</v>
      </c>
      <c r="U2824">
        <v>1.9</v>
      </c>
      <c r="V2824">
        <v>8.47</v>
      </c>
      <c r="W2824">
        <v>5026</v>
      </c>
      <c r="X2824">
        <v>4853</v>
      </c>
      <c r="Y2824">
        <v>1.04</v>
      </c>
      <c r="Z2824">
        <v>431</v>
      </c>
      <c r="AA2824">
        <v>153</v>
      </c>
      <c r="AB2824" t="s">
        <v>32</v>
      </c>
      <c r="AC2824">
        <v>7.38</v>
      </c>
    </row>
    <row r="2825" spans="1:29">
      <c r="A2825" t="str">
        <f>"600853"</f>
        <v>600853</v>
      </c>
      <c r="B2825" t="s">
        <v>2995</v>
      </c>
      <c r="C2825">
        <v>7.14</v>
      </c>
      <c r="D2825">
        <v>4.05</v>
      </c>
      <c r="E2825">
        <v>0.27</v>
      </c>
      <c r="F2825">
        <v>4.06</v>
      </c>
      <c r="G2825">
        <v>4.07</v>
      </c>
      <c r="H2825">
        <v>160286</v>
      </c>
      <c r="I2825">
        <v>200</v>
      </c>
      <c r="J2825">
        <v>0.5</v>
      </c>
      <c r="K2825">
        <v>2.99</v>
      </c>
      <c r="L2825">
        <v>3.78</v>
      </c>
      <c r="M2825">
        <v>4.14</v>
      </c>
      <c r="N2825">
        <v>3.77</v>
      </c>
      <c r="O2825">
        <v>3.78</v>
      </c>
      <c r="P2825" t="s">
        <v>32</v>
      </c>
      <c r="Q2825">
        <v>63735844</v>
      </c>
      <c r="R2825">
        <v>2.63</v>
      </c>
      <c r="S2825" t="s">
        <v>49</v>
      </c>
      <c r="T2825" t="s">
        <v>297</v>
      </c>
      <c r="U2825">
        <v>9.79</v>
      </c>
      <c r="V2825">
        <v>3.98</v>
      </c>
      <c r="W2825">
        <v>69662</v>
      </c>
      <c r="X2825">
        <v>90623</v>
      </c>
      <c r="Y2825">
        <v>0.77</v>
      </c>
      <c r="Z2825">
        <v>29</v>
      </c>
      <c r="AA2825">
        <v>20</v>
      </c>
      <c r="AB2825" t="s">
        <v>32</v>
      </c>
      <c r="AC2825">
        <v>5.37</v>
      </c>
    </row>
    <row r="2826" spans="1:29">
      <c r="A2826" t="str">
        <f>"600854"</f>
        <v>600854</v>
      </c>
      <c r="B2826" t="s">
        <v>2996</v>
      </c>
      <c r="C2826">
        <v>1.43</v>
      </c>
      <c r="D2826">
        <v>4.26</v>
      </c>
      <c r="E2826">
        <v>0.06</v>
      </c>
      <c r="F2826">
        <v>4.26</v>
      </c>
      <c r="G2826">
        <v>4.27</v>
      </c>
      <c r="H2826">
        <v>60640</v>
      </c>
      <c r="I2826">
        <v>10</v>
      </c>
      <c r="J2826">
        <v>0</v>
      </c>
      <c r="K2826">
        <v>1.17</v>
      </c>
      <c r="L2826">
        <v>4.2</v>
      </c>
      <c r="M2826">
        <v>4.27</v>
      </c>
      <c r="N2826">
        <v>4.18</v>
      </c>
      <c r="O2826">
        <v>4.2</v>
      </c>
      <c r="P2826">
        <v>21.1</v>
      </c>
      <c r="Q2826">
        <v>25671500</v>
      </c>
      <c r="R2826">
        <v>2.3</v>
      </c>
      <c r="S2826" t="s">
        <v>55</v>
      </c>
      <c r="T2826" t="s">
        <v>87</v>
      </c>
      <c r="U2826">
        <v>2.14</v>
      </c>
      <c r="V2826">
        <v>4.23</v>
      </c>
      <c r="W2826">
        <v>25709</v>
      </c>
      <c r="X2826">
        <v>34931</v>
      </c>
      <c r="Y2826">
        <v>0.74</v>
      </c>
      <c r="Z2826">
        <v>129</v>
      </c>
      <c r="AA2826">
        <v>795</v>
      </c>
      <c r="AB2826" t="s">
        <v>32</v>
      </c>
      <c r="AC2826">
        <v>5.19</v>
      </c>
    </row>
    <row r="2827" spans="1:29">
      <c r="A2827" t="str">
        <f>"600855"</f>
        <v>600855</v>
      </c>
      <c r="B2827" t="s">
        <v>2997</v>
      </c>
      <c r="C2827">
        <v>1.52</v>
      </c>
      <c r="D2827">
        <v>12.04</v>
      </c>
      <c r="E2827">
        <v>0.18</v>
      </c>
      <c r="F2827">
        <v>12.04</v>
      </c>
      <c r="G2827">
        <v>12.05</v>
      </c>
      <c r="H2827">
        <v>99181</v>
      </c>
      <c r="I2827">
        <v>8</v>
      </c>
      <c r="J2827">
        <v>0.33</v>
      </c>
      <c r="K2827">
        <v>3</v>
      </c>
      <c r="L2827">
        <v>11.81</v>
      </c>
      <c r="M2827">
        <v>12.18</v>
      </c>
      <c r="N2827">
        <v>11.73</v>
      </c>
      <c r="O2827">
        <v>11.86</v>
      </c>
      <c r="P2827" t="s">
        <v>32</v>
      </c>
      <c r="Q2827">
        <v>118782512</v>
      </c>
      <c r="R2827">
        <v>1.49</v>
      </c>
      <c r="S2827" t="s">
        <v>171</v>
      </c>
      <c r="T2827" t="s">
        <v>45</v>
      </c>
      <c r="U2827">
        <v>3.79</v>
      </c>
      <c r="V2827">
        <v>11.98</v>
      </c>
      <c r="W2827">
        <v>46173</v>
      </c>
      <c r="X2827">
        <v>53007</v>
      </c>
      <c r="Y2827">
        <v>0.87</v>
      </c>
      <c r="Z2827">
        <v>48</v>
      </c>
      <c r="AA2827">
        <v>209</v>
      </c>
      <c r="AB2827" t="s">
        <v>32</v>
      </c>
      <c r="AC2827">
        <v>3.3</v>
      </c>
    </row>
    <row r="2828" spans="1:29">
      <c r="A2828" t="str">
        <f>"600856"</f>
        <v>600856</v>
      </c>
      <c r="B2828" t="s">
        <v>2998</v>
      </c>
      <c r="C2828">
        <v>4.93</v>
      </c>
      <c r="D2828">
        <v>6.6</v>
      </c>
      <c r="E2828">
        <v>0.31</v>
      </c>
      <c r="F2828">
        <v>6.6</v>
      </c>
      <c r="G2828">
        <v>6.61</v>
      </c>
      <c r="H2828">
        <v>272248</v>
      </c>
      <c r="I2828">
        <v>27</v>
      </c>
      <c r="J2828">
        <v>-0.59</v>
      </c>
      <c r="K2828">
        <v>2.4</v>
      </c>
      <c r="L2828">
        <v>6.32</v>
      </c>
      <c r="M2828">
        <v>6.78</v>
      </c>
      <c r="N2828">
        <v>6.2</v>
      </c>
      <c r="O2828">
        <v>6.29</v>
      </c>
      <c r="P2828">
        <v>16.93</v>
      </c>
      <c r="Q2828">
        <v>176865216</v>
      </c>
      <c r="R2828">
        <v>2.31</v>
      </c>
      <c r="S2828" t="s">
        <v>174</v>
      </c>
      <c r="T2828" t="s">
        <v>81</v>
      </c>
      <c r="U2828">
        <v>9.22</v>
      </c>
      <c r="V2828">
        <v>6.5</v>
      </c>
      <c r="W2828">
        <v>115292</v>
      </c>
      <c r="X2828">
        <v>156955</v>
      </c>
      <c r="Y2828">
        <v>0.73</v>
      </c>
      <c r="Z2828">
        <v>94</v>
      </c>
      <c r="AA2828">
        <v>2356</v>
      </c>
      <c r="AB2828" t="s">
        <v>32</v>
      </c>
      <c r="AC2828">
        <v>11.34</v>
      </c>
    </row>
    <row r="2829" spans="1:29">
      <c r="A2829" t="str">
        <f>"600857"</f>
        <v>600857</v>
      </c>
      <c r="B2829" t="s">
        <v>2999</v>
      </c>
      <c r="C2829">
        <v>1.24</v>
      </c>
      <c r="D2829">
        <v>9.79</v>
      </c>
      <c r="E2829">
        <v>0.12</v>
      </c>
      <c r="F2829">
        <v>9.78</v>
      </c>
      <c r="G2829">
        <v>9.8</v>
      </c>
      <c r="H2829">
        <v>5472</v>
      </c>
      <c r="I2829">
        <v>36</v>
      </c>
      <c r="J2829">
        <v>0.1</v>
      </c>
      <c r="K2829">
        <v>0.24</v>
      </c>
      <c r="L2829">
        <v>9.72</v>
      </c>
      <c r="M2829">
        <v>9.81</v>
      </c>
      <c r="N2829">
        <v>9.63</v>
      </c>
      <c r="O2829">
        <v>9.67</v>
      </c>
      <c r="P2829">
        <v>48.91</v>
      </c>
      <c r="Q2829">
        <v>5336658</v>
      </c>
      <c r="R2829">
        <v>1.14</v>
      </c>
      <c r="S2829" t="s">
        <v>186</v>
      </c>
      <c r="T2829" t="s">
        <v>149</v>
      </c>
      <c r="U2829">
        <v>1.86</v>
      </c>
      <c r="V2829">
        <v>9.75</v>
      </c>
      <c r="W2829">
        <v>1984</v>
      </c>
      <c r="X2829">
        <v>3488</v>
      </c>
      <c r="Y2829">
        <v>0.57</v>
      </c>
      <c r="Z2829">
        <v>45</v>
      </c>
      <c r="AA2829">
        <v>228</v>
      </c>
      <c r="AB2829" t="s">
        <v>32</v>
      </c>
      <c r="AC2829">
        <v>2.24</v>
      </c>
    </row>
    <row r="2830" spans="1:29">
      <c r="A2830" t="str">
        <f>"600858"</f>
        <v>600858</v>
      </c>
      <c r="B2830" t="s">
        <v>3000</v>
      </c>
      <c r="C2830">
        <v>0.62</v>
      </c>
      <c r="D2830">
        <v>6.48</v>
      </c>
      <c r="E2830">
        <v>0.04</v>
      </c>
      <c r="F2830">
        <v>6.47</v>
      </c>
      <c r="G2830">
        <v>6.48</v>
      </c>
      <c r="H2830">
        <v>14437</v>
      </c>
      <c r="I2830">
        <v>15</v>
      </c>
      <c r="J2830">
        <v>0.31</v>
      </c>
      <c r="K2830">
        <v>0.28</v>
      </c>
      <c r="L2830">
        <v>6.55</v>
      </c>
      <c r="M2830">
        <v>6.55</v>
      </c>
      <c r="N2830">
        <v>6.35</v>
      </c>
      <c r="O2830">
        <v>6.44</v>
      </c>
      <c r="P2830">
        <v>12.9</v>
      </c>
      <c r="Q2830">
        <v>9281560</v>
      </c>
      <c r="R2830">
        <v>0.85</v>
      </c>
      <c r="S2830" t="s">
        <v>186</v>
      </c>
      <c r="T2830" t="s">
        <v>162</v>
      </c>
      <c r="U2830">
        <v>3.11</v>
      </c>
      <c r="V2830">
        <v>6.43</v>
      </c>
      <c r="W2830">
        <v>10032</v>
      </c>
      <c r="X2830">
        <v>4405</v>
      </c>
      <c r="Y2830">
        <v>2.28</v>
      </c>
      <c r="Z2830">
        <v>106</v>
      </c>
      <c r="AA2830">
        <v>102</v>
      </c>
      <c r="AB2830" t="s">
        <v>32</v>
      </c>
      <c r="AC2830">
        <v>5.18</v>
      </c>
    </row>
    <row r="2831" spans="1:29">
      <c r="A2831" t="str">
        <f>"600859"</f>
        <v>600859</v>
      </c>
      <c r="B2831" t="s">
        <v>3001</v>
      </c>
      <c r="C2831">
        <v>1.19</v>
      </c>
      <c r="D2831">
        <v>20.44</v>
      </c>
      <c r="E2831">
        <v>0.24</v>
      </c>
      <c r="F2831">
        <v>20.44</v>
      </c>
      <c r="G2831">
        <v>20.45</v>
      </c>
      <c r="H2831">
        <v>83756</v>
      </c>
      <c r="I2831">
        <v>46</v>
      </c>
      <c r="J2831">
        <v>0</v>
      </c>
      <c r="K2831">
        <v>2.74</v>
      </c>
      <c r="L2831">
        <v>20.1</v>
      </c>
      <c r="M2831">
        <v>20.6</v>
      </c>
      <c r="N2831">
        <v>19.9</v>
      </c>
      <c r="O2831">
        <v>20.2</v>
      </c>
      <c r="P2831">
        <v>8.73</v>
      </c>
      <c r="Q2831">
        <v>170059168</v>
      </c>
      <c r="R2831">
        <v>1</v>
      </c>
      <c r="S2831" t="s">
        <v>186</v>
      </c>
      <c r="T2831" t="s">
        <v>45</v>
      </c>
      <c r="U2831">
        <v>3.47</v>
      </c>
      <c r="V2831">
        <v>20.3</v>
      </c>
      <c r="W2831">
        <v>46599</v>
      </c>
      <c r="X2831">
        <v>37157</v>
      </c>
      <c r="Y2831">
        <v>1.25</v>
      </c>
      <c r="Z2831">
        <v>31</v>
      </c>
      <c r="AA2831">
        <v>21</v>
      </c>
      <c r="AB2831" t="s">
        <v>32</v>
      </c>
      <c r="AC2831">
        <v>3.05</v>
      </c>
    </row>
    <row r="2832" spans="1:29">
      <c r="A2832" t="str">
        <f>"600860"</f>
        <v>600860</v>
      </c>
      <c r="B2832" t="s">
        <v>3002</v>
      </c>
      <c r="C2832">
        <v>1.46</v>
      </c>
      <c r="D2832">
        <v>4.86</v>
      </c>
      <c r="E2832">
        <v>0.07</v>
      </c>
      <c r="F2832">
        <v>4.86</v>
      </c>
      <c r="G2832">
        <v>4.87</v>
      </c>
      <c r="H2832">
        <v>12153</v>
      </c>
      <c r="I2832">
        <v>10</v>
      </c>
      <c r="J2832">
        <v>-0.2</v>
      </c>
      <c r="K2832">
        <v>0.38</v>
      </c>
      <c r="L2832">
        <v>4.79</v>
      </c>
      <c r="M2832">
        <v>4.91</v>
      </c>
      <c r="N2832">
        <v>4.79</v>
      </c>
      <c r="O2832">
        <v>4.79</v>
      </c>
      <c r="P2832" t="s">
        <v>32</v>
      </c>
      <c r="Q2832">
        <v>5913692</v>
      </c>
      <c r="R2832">
        <v>0.96</v>
      </c>
      <c r="S2832" t="s">
        <v>171</v>
      </c>
      <c r="T2832" t="s">
        <v>45</v>
      </c>
      <c r="U2832">
        <v>2.51</v>
      </c>
      <c r="V2832">
        <v>4.87</v>
      </c>
      <c r="W2832">
        <v>4195</v>
      </c>
      <c r="X2832">
        <v>7958</v>
      </c>
      <c r="Y2832">
        <v>0.53</v>
      </c>
      <c r="Z2832">
        <v>167</v>
      </c>
      <c r="AA2832">
        <v>97</v>
      </c>
      <c r="AB2832" t="s">
        <v>32</v>
      </c>
      <c r="AC2832">
        <v>3.22</v>
      </c>
    </row>
    <row r="2833" spans="1:29">
      <c r="A2833" t="str">
        <f>"600861"</f>
        <v>600861</v>
      </c>
      <c r="B2833" t="s">
        <v>3003</v>
      </c>
      <c r="C2833">
        <v>1.66</v>
      </c>
      <c r="D2833">
        <v>6.73</v>
      </c>
      <c r="E2833">
        <v>0.11</v>
      </c>
      <c r="F2833">
        <v>6.72</v>
      </c>
      <c r="G2833">
        <v>6.73</v>
      </c>
      <c r="H2833">
        <v>36544</v>
      </c>
      <c r="I2833">
        <v>396</v>
      </c>
      <c r="J2833">
        <v>0.15</v>
      </c>
      <c r="K2833">
        <v>1.15</v>
      </c>
      <c r="L2833">
        <v>6.61</v>
      </c>
      <c r="M2833">
        <v>6.84</v>
      </c>
      <c r="N2833">
        <v>6.59</v>
      </c>
      <c r="O2833">
        <v>6.62</v>
      </c>
      <c r="P2833">
        <v>30.05</v>
      </c>
      <c r="Q2833">
        <v>24642520</v>
      </c>
      <c r="R2833">
        <v>2.67</v>
      </c>
      <c r="S2833" t="s">
        <v>186</v>
      </c>
      <c r="T2833" t="s">
        <v>45</v>
      </c>
      <c r="U2833">
        <v>3.78</v>
      </c>
      <c r="V2833">
        <v>6.74</v>
      </c>
      <c r="W2833">
        <v>18689</v>
      </c>
      <c r="X2833">
        <v>17855</v>
      </c>
      <c r="Y2833">
        <v>1.05</v>
      </c>
      <c r="Z2833">
        <v>307</v>
      </c>
      <c r="AA2833">
        <v>158</v>
      </c>
      <c r="AB2833" t="s">
        <v>32</v>
      </c>
      <c r="AC2833">
        <v>3.17</v>
      </c>
    </row>
    <row r="2834" spans="1:29">
      <c r="A2834" t="str">
        <f>"600862"</f>
        <v>600862</v>
      </c>
      <c r="B2834" t="s">
        <v>3004</v>
      </c>
      <c r="C2834">
        <v>-1.04</v>
      </c>
      <c r="D2834">
        <v>6.65</v>
      </c>
      <c r="E2834">
        <v>-0.07</v>
      </c>
      <c r="F2834">
        <v>6.65</v>
      </c>
      <c r="G2834">
        <v>6.66</v>
      </c>
      <c r="H2834">
        <v>101748</v>
      </c>
      <c r="I2834">
        <v>29</v>
      </c>
      <c r="J2834">
        <v>0.3</v>
      </c>
      <c r="K2834">
        <v>1.29</v>
      </c>
      <c r="L2834">
        <v>6.59</v>
      </c>
      <c r="M2834">
        <v>6.73</v>
      </c>
      <c r="N2834">
        <v>6.56</v>
      </c>
      <c r="O2834">
        <v>6.72</v>
      </c>
      <c r="P2834">
        <v>47.96</v>
      </c>
      <c r="Q2834">
        <v>67628248</v>
      </c>
      <c r="R2834">
        <v>1.5</v>
      </c>
      <c r="S2834" t="s">
        <v>389</v>
      </c>
      <c r="T2834" t="s">
        <v>87</v>
      </c>
      <c r="U2834">
        <v>2.53</v>
      </c>
      <c r="V2834">
        <v>6.65</v>
      </c>
      <c r="W2834">
        <v>54549</v>
      </c>
      <c r="X2834">
        <v>47199</v>
      </c>
      <c r="Y2834">
        <v>1.16</v>
      </c>
      <c r="Z2834">
        <v>52</v>
      </c>
      <c r="AA2834">
        <v>310</v>
      </c>
      <c r="AB2834" t="s">
        <v>32</v>
      </c>
      <c r="AC2834">
        <v>7.91</v>
      </c>
    </row>
    <row r="2835" spans="1:29">
      <c r="A2835" t="str">
        <f>"600863"</f>
        <v>600863</v>
      </c>
      <c r="B2835" t="s">
        <v>3005</v>
      </c>
      <c r="C2835">
        <v>2.15</v>
      </c>
      <c r="D2835">
        <v>2.38</v>
      </c>
      <c r="E2835">
        <v>0.05</v>
      </c>
      <c r="F2835">
        <v>2.38</v>
      </c>
      <c r="G2835">
        <v>2.39</v>
      </c>
      <c r="H2835">
        <v>123035</v>
      </c>
      <c r="I2835">
        <v>3</v>
      </c>
      <c r="J2835">
        <v>0</v>
      </c>
      <c r="K2835">
        <v>0.21</v>
      </c>
      <c r="L2835">
        <v>2.33</v>
      </c>
      <c r="M2835">
        <v>2.4</v>
      </c>
      <c r="N2835">
        <v>2.33</v>
      </c>
      <c r="O2835">
        <v>2.33</v>
      </c>
      <c r="P2835">
        <v>721.35</v>
      </c>
      <c r="Q2835">
        <v>29232448</v>
      </c>
      <c r="R2835">
        <v>1.26</v>
      </c>
      <c r="S2835" t="s">
        <v>75</v>
      </c>
      <c r="T2835" t="s">
        <v>198</v>
      </c>
      <c r="U2835">
        <v>3</v>
      </c>
      <c r="V2835">
        <v>2.38</v>
      </c>
      <c r="W2835">
        <v>56287</v>
      </c>
      <c r="X2835">
        <v>66748</v>
      </c>
      <c r="Y2835">
        <v>0.84</v>
      </c>
      <c r="Z2835">
        <v>1652</v>
      </c>
      <c r="AA2835">
        <v>6888</v>
      </c>
      <c r="AB2835" t="s">
        <v>32</v>
      </c>
      <c r="AC2835">
        <v>58.08</v>
      </c>
    </row>
    <row r="2836" spans="1:29">
      <c r="A2836" t="str">
        <f>"600864"</f>
        <v>600864</v>
      </c>
      <c r="B2836" t="s">
        <v>3006</v>
      </c>
      <c r="C2836">
        <v>2.75</v>
      </c>
      <c r="D2836">
        <v>4.49</v>
      </c>
      <c r="E2836">
        <v>0.12</v>
      </c>
      <c r="F2836">
        <v>4.49</v>
      </c>
      <c r="G2836">
        <v>4.5</v>
      </c>
      <c r="H2836">
        <v>106956</v>
      </c>
      <c r="I2836">
        <v>68</v>
      </c>
      <c r="J2836">
        <v>-0.21</v>
      </c>
      <c r="K2836">
        <v>0.68</v>
      </c>
      <c r="L2836">
        <v>4.36</v>
      </c>
      <c r="M2836">
        <v>4.51</v>
      </c>
      <c r="N2836">
        <v>4.34</v>
      </c>
      <c r="O2836">
        <v>4.37</v>
      </c>
      <c r="P2836">
        <v>78.58</v>
      </c>
      <c r="Q2836">
        <v>47650064</v>
      </c>
      <c r="R2836">
        <v>1.75</v>
      </c>
      <c r="S2836" t="s">
        <v>75</v>
      </c>
      <c r="T2836" t="s">
        <v>297</v>
      </c>
      <c r="U2836">
        <v>3.89</v>
      </c>
      <c r="V2836">
        <v>4.46</v>
      </c>
      <c r="W2836">
        <v>45914</v>
      </c>
      <c r="X2836">
        <v>61042</v>
      </c>
      <c r="Y2836">
        <v>0.75</v>
      </c>
      <c r="Z2836">
        <v>863</v>
      </c>
      <c r="AA2836">
        <v>2446</v>
      </c>
      <c r="AB2836" t="s">
        <v>32</v>
      </c>
      <c r="AC2836">
        <v>15.78</v>
      </c>
    </row>
    <row r="2837" spans="1:29">
      <c r="A2837" t="str">
        <f>"600865"</f>
        <v>600865</v>
      </c>
      <c r="B2837" t="s">
        <v>3007</v>
      </c>
      <c r="C2837">
        <v>3.14</v>
      </c>
      <c r="D2837">
        <v>6.25</v>
      </c>
      <c r="E2837">
        <v>0.19</v>
      </c>
      <c r="F2837">
        <v>6.24</v>
      </c>
      <c r="G2837">
        <v>6.25</v>
      </c>
      <c r="H2837">
        <v>41815</v>
      </c>
      <c r="I2837">
        <v>57</v>
      </c>
      <c r="J2837">
        <v>0</v>
      </c>
      <c r="K2837">
        <v>1.11</v>
      </c>
      <c r="L2837">
        <v>6.05</v>
      </c>
      <c r="M2837">
        <v>6.35</v>
      </c>
      <c r="N2837">
        <v>6.02</v>
      </c>
      <c r="O2837">
        <v>6.06</v>
      </c>
      <c r="P2837">
        <v>19.3</v>
      </c>
      <c r="Q2837">
        <v>25841072</v>
      </c>
      <c r="R2837">
        <v>2.26</v>
      </c>
      <c r="S2837" t="s">
        <v>186</v>
      </c>
      <c r="T2837" t="s">
        <v>149</v>
      </c>
      <c r="U2837">
        <v>5.45</v>
      </c>
      <c r="V2837">
        <v>6.18</v>
      </c>
      <c r="W2837">
        <v>18887</v>
      </c>
      <c r="X2837">
        <v>22927</v>
      </c>
      <c r="Y2837">
        <v>0.82</v>
      </c>
      <c r="Z2837">
        <v>428</v>
      </c>
      <c r="AA2837">
        <v>158</v>
      </c>
      <c r="AB2837" t="s">
        <v>32</v>
      </c>
      <c r="AC2837">
        <v>3.76</v>
      </c>
    </row>
    <row r="2838" spans="1:29">
      <c r="A2838" t="str">
        <f>"600866"</f>
        <v>600866</v>
      </c>
      <c r="B2838" t="s">
        <v>3008</v>
      </c>
      <c r="C2838">
        <v>-2.58</v>
      </c>
      <c r="D2838">
        <v>4.9</v>
      </c>
      <c r="E2838">
        <v>-0.13</v>
      </c>
      <c r="F2838">
        <v>4.91</v>
      </c>
      <c r="G2838">
        <v>4.92</v>
      </c>
      <c r="H2838">
        <v>178823</v>
      </c>
      <c r="I2838">
        <v>1162</v>
      </c>
      <c r="J2838">
        <v>-0.4</v>
      </c>
      <c r="K2838">
        <v>2.77</v>
      </c>
      <c r="L2838">
        <v>5.04</v>
      </c>
      <c r="M2838">
        <v>5.08</v>
      </c>
      <c r="N2838">
        <v>4.85</v>
      </c>
      <c r="O2838">
        <v>5.03</v>
      </c>
      <c r="P2838">
        <v>99.65</v>
      </c>
      <c r="Q2838">
        <v>88493296</v>
      </c>
      <c r="R2838">
        <v>1.05</v>
      </c>
      <c r="S2838" t="s">
        <v>213</v>
      </c>
      <c r="T2838" t="s">
        <v>136</v>
      </c>
      <c r="U2838">
        <v>4.57</v>
      </c>
      <c r="V2838">
        <v>4.95</v>
      </c>
      <c r="W2838">
        <v>106699</v>
      </c>
      <c r="X2838">
        <v>72123</v>
      </c>
      <c r="Y2838">
        <v>1.48</v>
      </c>
      <c r="Z2838">
        <v>14</v>
      </c>
      <c r="AA2838">
        <v>31</v>
      </c>
      <c r="AB2838" t="s">
        <v>32</v>
      </c>
      <c r="AC2838">
        <v>6.45</v>
      </c>
    </row>
    <row r="2839" spans="1:29">
      <c r="A2839" t="str">
        <f>"600867"</f>
        <v>600867</v>
      </c>
      <c r="B2839" t="s">
        <v>3009</v>
      </c>
      <c r="C2839">
        <v>1.89</v>
      </c>
      <c r="D2839">
        <v>24.23</v>
      </c>
      <c r="E2839">
        <v>0.45</v>
      </c>
      <c r="F2839">
        <v>24.21</v>
      </c>
      <c r="G2839">
        <v>24.22</v>
      </c>
      <c r="H2839">
        <v>216575</v>
      </c>
      <c r="I2839">
        <v>66</v>
      </c>
      <c r="J2839">
        <v>0.17</v>
      </c>
      <c r="K2839">
        <v>1.1</v>
      </c>
      <c r="L2839">
        <v>23.47</v>
      </c>
      <c r="M2839">
        <v>24.45</v>
      </c>
      <c r="N2839">
        <v>23.25</v>
      </c>
      <c r="O2839">
        <v>23.78</v>
      </c>
      <c r="P2839">
        <v>45.43</v>
      </c>
      <c r="Q2839">
        <v>518028384</v>
      </c>
      <c r="R2839">
        <v>1.1</v>
      </c>
      <c r="S2839" t="s">
        <v>36</v>
      </c>
      <c r="T2839" t="s">
        <v>81</v>
      </c>
      <c r="U2839">
        <v>5.05</v>
      </c>
      <c r="V2839">
        <v>23.92</v>
      </c>
      <c r="W2839">
        <v>101684</v>
      </c>
      <c r="X2839">
        <v>114891</v>
      </c>
      <c r="Y2839">
        <v>0.89</v>
      </c>
      <c r="Z2839">
        <v>402</v>
      </c>
      <c r="AA2839">
        <v>37</v>
      </c>
      <c r="AB2839" t="s">
        <v>32</v>
      </c>
      <c r="AC2839">
        <v>19.73</v>
      </c>
    </row>
    <row r="2840" spans="1:29">
      <c r="A2840" t="str">
        <f>"600868"</f>
        <v>600868</v>
      </c>
      <c r="B2840" t="s">
        <v>3010</v>
      </c>
      <c r="C2840">
        <v>4.92</v>
      </c>
      <c r="D2840">
        <v>3.2</v>
      </c>
      <c r="E2840">
        <v>0.15</v>
      </c>
      <c r="F2840">
        <v>3.21</v>
      </c>
      <c r="G2840">
        <v>3.22</v>
      </c>
      <c r="H2840">
        <v>583768</v>
      </c>
      <c r="I2840">
        <v>61</v>
      </c>
      <c r="J2840">
        <v>-0.3</v>
      </c>
      <c r="K2840">
        <v>3.08</v>
      </c>
      <c r="L2840">
        <v>3.04</v>
      </c>
      <c r="M2840">
        <v>3.33</v>
      </c>
      <c r="N2840">
        <v>3.03</v>
      </c>
      <c r="O2840">
        <v>3.05</v>
      </c>
      <c r="P2840">
        <v>819.98</v>
      </c>
      <c r="Q2840">
        <v>184493776</v>
      </c>
      <c r="R2840">
        <v>2.62</v>
      </c>
      <c r="S2840" t="s">
        <v>312</v>
      </c>
      <c r="T2840" t="s">
        <v>136</v>
      </c>
      <c r="U2840">
        <v>9.84</v>
      </c>
      <c r="V2840">
        <v>3.16</v>
      </c>
      <c r="W2840">
        <v>224265</v>
      </c>
      <c r="X2840">
        <v>359503</v>
      </c>
      <c r="Y2840">
        <v>0.62</v>
      </c>
      <c r="Z2840">
        <v>123</v>
      </c>
      <c r="AA2840">
        <v>10462</v>
      </c>
      <c r="AB2840" t="s">
        <v>32</v>
      </c>
      <c r="AC2840">
        <v>18.98</v>
      </c>
    </row>
    <row r="2841" spans="1:29">
      <c r="A2841" t="str">
        <f>"600869"</f>
        <v>600869</v>
      </c>
      <c r="B2841" t="s">
        <v>3011</v>
      </c>
      <c r="C2841">
        <v>1.53</v>
      </c>
      <c r="D2841">
        <v>4.65</v>
      </c>
      <c r="E2841">
        <v>0.07</v>
      </c>
      <c r="F2841">
        <v>4.64</v>
      </c>
      <c r="G2841">
        <v>4.65</v>
      </c>
      <c r="H2841">
        <v>74143</v>
      </c>
      <c r="I2841">
        <v>4</v>
      </c>
      <c r="J2841">
        <v>0.22</v>
      </c>
      <c r="K2841">
        <v>0.34</v>
      </c>
      <c r="L2841">
        <v>4.56</v>
      </c>
      <c r="M2841">
        <v>4.65</v>
      </c>
      <c r="N2841">
        <v>4.55</v>
      </c>
      <c r="O2841">
        <v>4.58</v>
      </c>
      <c r="P2841">
        <v>36.67</v>
      </c>
      <c r="Q2841">
        <v>34232040</v>
      </c>
      <c r="R2841">
        <v>1.57</v>
      </c>
      <c r="S2841" t="s">
        <v>104</v>
      </c>
      <c r="T2841" t="s">
        <v>176</v>
      </c>
      <c r="U2841">
        <v>2.18</v>
      </c>
      <c r="V2841">
        <v>4.62</v>
      </c>
      <c r="W2841">
        <v>30192</v>
      </c>
      <c r="X2841">
        <v>43950</v>
      </c>
      <c r="Y2841">
        <v>0.69</v>
      </c>
      <c r="Z2841">
        <v>1315</v>
      </c>
      <c r="AA2841">
        <v>3018</v>
      </c>
      <c r="AB2841" t="s">
        <v>32</v>
      </c>
      <c r="AC2841">
        <v>21.78</v>
      </c>
    </row>
    <row r="2842" spans="1:29">
      <c r="A2842" t="str">
        <f>"600870"</f>
        <v>600870</v>
      </c>
      <c r="B2842" t="s">
        <v>3012</v>
      </c>
      <c r="C2842">
        <v>1.05</v>
      </c>
      <c r="D2842">
        <v>2.88</v>
      </c>
      <c r="E2842">
        <v>0.03</v>
      </c>
      <c r="F2842">
        <v>2.87</v>
      </c>
      <c r="G2842">
        <v>2.88</v>
      </c>
      <c r="H2842">
        <v>26822</v>
      </c>
      <c r="I2842">
        <v>51</v>
      </c>
      <c r="J2842">
        <v>0.35</v>
      </c>
      <c r="K2842">
        <v>0.51</v>
      </c>
      <c r="L2842">
        <v>2.85</v>
      </c>
      <c r="M2842">
        <v>2.89</v>
      </c>
      <c r="N2842">
        <v>2.8</v>
      </c>
      <c r="O2842">
        <v>2.85</v>
      </c>
      <c r="P2842" t="s">
        <v>32</v>
      </c>
      <c r="Q2842">
        <v>7606412</v>
      </c>
      <c r="R2842">
        <v>2.87</v>
      </c>
      <c r="S2842" t="s">
        <v>55</v>
      </c>
      <c r="T2842" t="s">
        <v>236</v>
      </c>
      <c r="U2842">
        <v>3.16</v>
      </c>
      <c r="V2842">
        <v>2.84</v>
      </c>
      <c r="W2842">
        <v>14169</v>
      </c>
      <c r="X2842">
        <v>12652</v>
      </c>
      <c r="Y2842">
        <v>1.12</v>
      </c>
      <c r="Z2842">
        <v>130</v>
      </c>
      <c r="AA2842">
        <v>130</v>
      </c>
      <c r="AB2842" t="s">
        <v>32</v>
      </c>
      <c r="AC2842">
        <v>5.23</v>
      </c>
    </row>
    <row r="2843" spans="1:29">
      <c r="A2843" t="str">
        <f>"600871"</f>
        <v>600871</v>
      </c>
      <c r="B2843" t="s">
        <v>3013</v>
      </c>
      <c r="C2843">
        <v>1.58</v>
      </c>
      <c r="D2843">
        <v>1.93</v>
      </c>
      <c r="E2843">
        <v>0.03</v>
      </c>
      <c r="F2843">
        <v>1.92</v>
      </c>
      <c r="G2843">
        <v>1.93</v>
      </c>
      <c r="H2843">
        <v>109210</v>
      </c>
      <c r="I2843">
        <v>54</v>
      </c>
      <c r="J2843">
        <v>0</v>
      </c>
      <c r="K2843">
        <v>0.09</v>
      </c>
      <c r="L2843">
        <v>1.9</v>
      </c>
      <c r="M2843">
        <v>1.93</v>
      </c>
      <c r="N2843">
        <v>1.89</v>
      </c>
      <c r="O2843">
        <v>1.9</v>
      </c>
      <c r="P2843">
        <v>304.02</v>
      </c>
      <c r="Q2843">
        <v>20958760</v>
      </c>
      <c r="R2843">
        <v>2.11</v>
      </c>
      <c r="S2843" t="s">
        <v>831</v>
      </c>
      <c r="T2843" t="s">
        <v>45</v>
      </c>
      <c r="U2843">
        <v>2.11</v>
      </c>
      <c r="V2843">
        <v>1.92</v>
      </c>
      <c r="W2843">
        <v>43205</v>
      </c>
      <c r="X2843">
        <v>66004</v>
      </c>
      <c r="Y2843">
        <v>0.65</v>
      </c>
      <c r="Z2843">
        <v>6370</v>
      </c>
      <c r="AA2843">
        <v>16823</v>
      </c>
      <c r="AB2843" t="s">
        <v>32</v>
      </c>
      <c r="AC2843">
        <v>120.43</v>
      </c>
    </row>
    <row r="2844" spans="1:29">
      <c r="A2844" t="str">
        <f>"600872"</f>
        <v>600872</v>
      </c>
      <c r="B2844" t="s">
        <v>3014</v>
      </c>
      <c r="C2844">
        <v>1.7</v>
      </c>
      <c r="D2844">
        <v>29.36</v>
      </c>
      <c r="E2844">
        <v>0.49</v>
      </c>
      <c r="F2844">
        <v>29.32</v>
      </c>
      <c r="G2844">
        <v>29.33</v>
      </c>
      <c r="H2844">
        <v>106577</v>
      </c>
      <c r="I2844">
        <v>118</v>
      </c>
      <c r="J2844">
        <v>0.1</v>
      </c>
      <c r="K2844">
        <v>1.34</v>
      </c>
      <c r="L2844">
        <v>29.21</v>
      </c>
      <c r="M2844">
        <v>30.27</v>
      </c>
      <c r="N2844">
        <v>28.72</v>
      </c>
      <c r="O2844">
        <v>28.87</v>
      </c>
      <c r="P2844">
        <v>34.44</v>
      </c>
      <c r="Q2844">
        <v>313036672</v>
      </c>
      <c r="R2844">
        <v>1.37</v>
      </c>
      <c r="S2844" t="s">
        <v>213</v>
      </c>
      <c r="T2844" t="s">
        <v>136</v>
      </c>
      <c r="U2844">
        <v>5.37</v>
      </c>
      <c r="V2844">
        <v>29.37</v>
      </c>
      <c r="W2844">
        <v>43350</v>
      </c>
      <c r="X2844">
        <v>63227</v>
      </c>
      <c r="Y2844">
        <v>0.69</v>
      </c>
      <c r="Z2844">
        <v>14</v>
      </c>
      <c r="AA2844">
        <v>2</v>
      </c>
      <c r="AB2844" t="s">
        <v>32</v>
      </c>
      <c r="AC2844">
        <v>7.97</v>
      </c>
    </row>
    <row r="2845" spans="1:29">
      <c r="A2845" t="str">
        <f>"600873"</f>
        <v>600873</v>
      </c>
      <c r="B2845" t="s">
        <v>3015</v>
      </c>
      <c r="C2845">
        <v>1.12</v>
      </c>
      <c r="D2845">
        <v>4.52</v>
      </c>
      <c r="E2845">
        <v>0.05</v>
      </c>
      <c r="F2845">
        <v>4.51</v>
      </c>
      <c r="G2845">
        <v>4.52</v>
      </c>
      <c r="H2845">
        <v>492881</v>
      </c>
      <c r="I2845">
        <v>7</v>
      </c>
      <c r="J2845">
        <v>0</v>
      </c>
      <c r="K2845">
        <v>1.6</v>
      </c>
      <c r="L2845">
        <v>4.55</v>
      </c>
      <c r="M2845">
        <v>4.66</v>
      </c>
      <c r="N2845">
        <v>4.51</v>
      </c>
      <c r="O2845">
        <v>4.47</v>
      </c>
      <c r="P2845">
        <v>14.17</v>
      </c>
      <c r="Q2845">
        <v>225368512</v>
      </c>
      <c r="R2845">
        <v>2.5</v>
      </c>
      <c r="S2845" t="s">
        <v>213</v>
      </c>
      <c r="T2845" t="s">
        <v>432</v>
      </c>
      <c r="U2845">
        <v>3.36</v>
      </c>
      <c r="V2845">
        <v>4.57</v>
      </c>
      <c r="W2845">
        <v>244332</v>
      </c>
      <c r="X2845">
        <v>248548</v>
      </c>
      <c r="Y2845">
        <v>0.98</v>
      </c>
      <c r="Z2845">
        <v>6298</v>
      </c>
      <c r="AA2845">
        <v>1619</v>
      </c>
      <c r="AB2845" t="s">
        <v>32</v>
      </c>
      <c r="AC2845">
        <v>30.74</v>
      </c>
    </row>
    <row r="2846" spans="1:29">
      <c r="A2846" t="str">
        <f>"600874"</f>
        <v>600874</v>
      </c>
      <c r="B2846" t="s">
        <v>3016</v>
      </c>
      <c r="C2846">
        <v>2.75</v>
      </c>
      <c r="D2846">
        <v>9.71</v>
      </c>
      <c r="E2846">
        <v>0.26</v>
      </c>
      <c r="F2846">
        <v>9.7</v>
      </c>
      <c r="G2846">
        <v>9.71</v>
      </c>
      <c r="H2846">
        <v>199235</v>
      </c>
      <c r="I2846">
        <v>3</v>
      </c>
      <c r="J2846">
        <v>0.31</v>
      </c>
      <c r="K2846">
        <v>1.83</v>
      </c>
      <c r="L2846">
        <v>9.48</v>
      </c>
      <c r="M2846">
        <v>9.75</v>
      </c>
      <c r="N2846">
        <v>9.48</v>
      </c>
      <c r="O2846">
        <v>9.45</v>
      </c>
      <c r="P2846">
        <v>31.65</v>
      </c>
      <c r="Q2846">
        <v>192462944</v>
      </c>
      <c r="R2846">
        <v>1.91</v>
      </c>
      <c r="S2846" t="s">
        <v>86</v>
      </c>
      <c r="T2846" t="s">
        <v>248</v>
      </c>
      <c r="U2846">
        <v>2.86</v>
      </c>
      <c r="V2846">
        <v>9.66</v>
      </c>
      <c r="W2846">
        <v>86161</v>
      </c>
      <c r="X2846">
        <v>113074</v>
      </c>
      <c r="Y2846">
        <v>0.76</v>
      </c>
      <c r="Z2846">
        <v>237</v>
      </c>
      <c r="AA2846">
        <v>1777</v>
      </c>
      <c r="AB2846" t="s">
        <v>32</v>
      </c>
      <c r="AC2846">
        <v>10.87</v>
      </c>
    </row>
    <row r="2847" spans="1:29">
      <c r="A2847" t="str">
        <f>"600875"</f>
        <v>600875</v>
      </c>
      <c r="B2847" t="s">
        <v>3017</v>
      </c>
      <c r="C2847">
        <v>2.6</v>
      </c>
      <c r="D2847">
        <v>7.49</v>
      </c>
      <c r="E2847">
        <v>0.19</v>
      </c>
      <c r="F2847">
        <v>7.48</v>
      </c>
      <c r="G2847">
        <v>7.49</v>
      </c>
      <c r="H2847">
        <v>177357</v>
      </c>
      <c r="I2847">
        <v>1</v>
      </c>
      <c r="J2847">
        <v>0.13</v>
      </c>
      <c r="K2847">
        <v>0.89</v>
      </c>
      <c r="L2847">
        <v>7.32</v>
      </c>
      <c r="M2847">
        <v>7.56</v>
      </c>
      <c r="N2847">
        <v>7.28</v>
      </c>
      <c r="O2847">
        <v>7.3</v>
      </c>
      <c r="P2847">
        <v>27.09</v>
      </c>
      <c r="Q2847">
        <v>132250384</v>
      </c>
      <c r="R2847">
        <v>1.77</v>
      </c>
      <c r="S2847" t="s">
        <v>104</v>
      </c>
      <c r="T2847" t="s">
        <v>146</v>
      </c>
      <c r="U2847">
        <v>3.84</v>
      </c>
      <c r="V2847">
        <v>7.46</v>
      </c>
      <c r="W2847">
        <v>81889</v>
      </c>
      <c r="X2847">
        <v>95467</v>
      </c>
      <c r="Y2847">
        <v>0.86</v>
      </c>
      <c r="Z2847">
        <v>896</v>
      </c>
      <c r="AA2847">
        <v>29</v>
      </c>
      <c r="AB2847" t="s">
        <v>32</v>
      </c>
      <c r="AC2847">
        <v>19.97</v>
      </c>
    </row>
    <row r="2848" spans="1:29">
      <c r="A2848" t="str">
        <f>"600876"</f>
        <v>600876</v>
      </c>
      <c r="B2848" t="s">
        <v>3018</v>
      </c>
      <c r="C2848">
        <v>1.6</v>
      </c>
      <c r="D2848">
        <v>14.57</v>
      </c>
      <c r="E2848">
        <v>0.23</v>
      </c>
      <c r="F2848">
        <v>14.56</v>
      </c>
      <c r="G2848">
        <v>14.57</v>
      </c>
      <c r="H2848">
        <v>51677</v>
      </c>
      <c r="I2848">
        <v>5</v>
      </c>
      <c r="J2848">
        <v>0.34</v>
      </c>
      <c r="K2848">
        <v>1.97</v>
      </c>
      <c r="L2848">
        <v>14.11</v>
      </c>
      <c r="M2848">
        <v>14.66</v>
      </c>
      <c r="N2848">
        <v>14.08</v>
      </c>
      <c r="O2848">
        <v>14.34</v>
      </c>
      <c r="P2848">
        <v>501.42</v>
      </c>
      <c r="Q2848">
        <v>74843936</v>
      </c>
      <c r="R2848">
        <v>2.07</v>
      </c>
      <c r="S2848" t="s">
        <v>52</v>
      </c>
      <c r="T2848" t="s">
        <v>164</v>
      </c>
      <c r="U2848">
        <v>4.04</v>
      </c>
      <c r="V2848">
        <v>14.48</v>
      </c>
      <c r="W2848">
        <v>24506</v>
      </c>
      <c r="X2848">
        <v>27170</v>
      </c>
      <c r="Y2848">
        <v>0.9</v>
      </c>
      <c r="Z2848">
        <v>23</v>
      </c>
      <c r="AA2848">
        <v>18</v>
      </c>
      <c r="AB2848" t="s">
        <v>32</v>
      </c>
      <c r="AC2848">
        <v>2.62</v>
      </c>
    </row>
    <row r="2849" spans="1:29">
      <c r="A2849" t="str">
        <f>"600877"</f>
        <v>600877</v>
      </c>
      <c r="B2849" t="s">
        <v>3019</v>
      </c>
      <c r="C2849">
        <v>0.69</v>
      </c>
      <c r="D2849">
        <v>4.4</v>
      </c>
      <c r="E2849">
        <v>0.03</v>
      </c>
      <c r="F2849">
        <v>4.39</v>
      </c>
      <c r="G2849">
        <v>4.4</v>
      </c>
      <c r="H2849">
        <v>34291</v>
      </c>
      <c r="I2849">
        <v>38</v>
      </c>
      <c r="J2849">
        <v>0</v>
      </c>
      <c r="K2849">
        <v>0.5</v>
      </c>
      <c r="L2849">
        <v>4.35</v>
      </c>
      <c r="M2849">
        <v>4.42</v>
      </c>
      <c r="N2849">
        <v>4.33</v>
      </c>
      <c r="O2849">
        <v>4.37</v>
      </c>
      <c r="P2849" t="s">
        <v>32</v>
      </c>
      <c r="Q2849">
        <v>15077622</v>
      </c>
      <c r="R2849">
        <v>1.13</v>
      </c>
      <c r="S2849" t="s">
        <v>549</v>
      </c>
      <c r="T2849" t="s">
        <v>221</v>
      </c>
      <c r="U2849">
        <v>2.06</v>
      </c>
      <c r="V2849">
        <v>4.4</v>
      </c>
      <c r="W2849">
        <v>17826</v>
      </c>
      <c r="X2849">
        <v>16465</v>
      </c>
      <c r="Y2849">
        <v>1.08</v>
      </c>
      <c r="Z2849">
        <v>1136</v>
      </c>
      <c r="AA2849">
        <v>255</v>
      </c>
      <c r="AB2849" t="s">
        <v>32</v>
      </c>
      <c r="AC2849">
        <v>6.87</v>
      </c>
    </row>
    <row r="2850" spans="1:29">
      <c r="A2850" t="str">
        <f>"600879"</f>
        <v>600879</v>
      </c>
      <c r="B2850" t="s">
        <v>3020</v>
      </c>
      <c r="C2850">
        <v>0.56</v>
      </c>
      <c r="D2850">
        <v>7.17</v>
      </c>
      <c r="E2850">
        <v>0.04</v>
      </c>
      <c r="F2850">
        <v>7.16</v>
      </c>
      <c r="G2850">
        <v>7.17</v>
      </c>
      <c r="H2850">
        <v>280271</v>
      </c>
      <c r="I2850">
        <v>2</v>
      </c>
      <c r="J2850">
        <v>0</v>
      </c>
      <c r="K2850">
        <v>1.16</v>
      </c>
      <c r="L2850">
        <v>7.13</v>
      </c>
      <c r="M2850">
        <v>7.28</v>
      </c>
      <c r="N2850">
        <v>7.09</v>
      </c>
      <c r="O2850">
        <v>7.13</v>
      </c>
      <c r="P2850">
        <v>48.82</v>
      </c>
      <c r="Q2850">
        <v>201857264</v>
      </c>
      <c r="R2850">
        <v>1.45</v>
      </c>
      <c r="S2850" t="s">
        <v>389</v>
      </c>
      <c r="T2850" t="s">
        <v>193</v>
      </c>
      <c r="U2850">
        <v>2.66</v>
      </c>
      <c r="V2850">
        <v>7.2</v>
      </c>
      <c r="W2850">
        <v>139119</v>
      </c>
      <c r="X2850">
        <v>141152</v>
      </c>
      <c r="Y2850">
        <v>0.99</v>
      </c>
      <c r="Z2850">
        <v>1154</v>
      </c>
      <c r="AA2850">
        <v>2708</v>
      </c>
      <c r="AB2850" t="s">
        <v>32</v>
      </c>
      <c r="AC2850">
        <v>24.13</v>
      </c>
    </row>
    <row r="2851" spans="1:29">
      <c r="A2851" t="str">
        <f>"600880"</f>
        <v>600880</v>
      </c>
      <c r="B2851" t="s">
        <v>3021</v>
      </c>
      <c r="C2851">
        <v>1.06</v>
      </c>
      <c r="D2851">
        <v>3.83</v>
      </c>
      <c r="E2851">
        <v>0.04</v>
      </c>
      <c r="F2851">
        <v>3.83</v>
      </c>
      <c r="G2851">
        <v>3.84</v>
      </c>
      <c r="H2851">
        <v>95107</v>
      </c>
      <c r="I2851">
        <v>289</v>
      </c>
      <c r="J2851">
        <v>0</v>
      </c>
      <c r="K2851">
        <v>1.3</v>
      </c>
      <c r="L2851">
        <v>3.75</v>
      </c>
      <c r="M2851">
        <v>3.84</v>
      </c>
      <c r="N2851">
        <v>3.73</v>
      </c>
      <c r="O2851">
        <v>3.79</v>
      </c>
      <c r="P2851">
        <v>100.03</v>
      </c>
      <c r="Q2851">
        <v>36134796</v>
      </c>
      <c r="R2851">
        <v>1.8</v>
      </c>
      <c r="S2851" t="s">
        <v>91</v>
      </c>
      <c r="T2851" t="s">
        <v>146</v>
      </c>
      <c r="U2851">
        <v>2.9</v>
      </c>
      <c r="V2851">
        <v>3.8</v>
      </c>
      <c r="W2851">
        <v>46411</v>
      </c>
      <c r="X2851">
        <v>48695</v>
      </c>
      <c r="Y2851">
        <v>0.95</v>
      </c>
      <c r="Z2851">
        <v>965</v>
      </c>
      <c r="AA2851">
        <v>1227</v>
      </c>
      <c r="AB2851" t="s">
        <v>32</v>
      </c>
      <c r="AC2851">
        <v>7.32</v>
      </c>
    </row>
    <row r="2852" spans="1:29">
      <c r="A2852" t="str">
        <f>"600881"</f>
        <v>600881</v>
      </c>
      <c r="B2852" t="s">
        <v>3022</v>
      </c>
      <c r="C2852">
        <v>2.55</v>
      </c>
      <c r="D2852">
        <v>4.02</v>
      </c>
      <c r="E2852">
        <v>0.1</v>
      </c>
      <c r="F2852">
        <v>4.01</v>
      </c>
      <c r="G2852">
        <v>4.02</v>
      </c>
      <c r="H2852">
        <v>99430</v>
      </c>
      <c r="I2852">
        <v>10</v>
      </c>
      <c r="J2852">
        <v>0</v>
      </c>
      <c r="K2852">
        <v>0.31</v>
      </c>
      <c r="L2852">
        <v>3.9</v>
      </c>
      <c r="M2852">
        <v>4.03</v>
      </c>
      <c r="N2852">
        <v>3.88</v>
      </c>
      <c r="O2852">
        <v>3.92</v>
      </c>
      <c r="P2852" t="s">
        <v>32</v>
      </c>
      <c r="Q2852">
        <v>39685660</v>
      </c>
      <c r="R2852">
        <v>2.01</v>
      </c>
      <c r="S2852" t="s">
        <v>166</v>
      </c>
      <c r="T2852" t="s">
        <v>81</v>
      </c>
      <c r="U2852">
        <v>3.83</v>
      </c>
      <c r="V2852">
        <v>3.99</v>
      </c>
      <c r="W2852">
        <v>38296</v>
      </c>
      <c r="X2852">
        <v>61134</v>
      </c>
      <c r="Y2852">
        <v>0.63</v>
      </c>
      <c r="Z2852">
        <v>1455</v>
      </c>
      <c r="AA2852">
        <v>553</v>
      </c>
      <c r="AB2852" t="s">
        <v>32</v>
      </c>
      <c r="AC2852">
        <v>32.23</v>
      </c>
    </row>
    <row r="2853" spans="1:29">
      <c r="A2853" t="str">
        <f>"600882"</f>
        <v>600882</v>
      </c>
      <c r="B2853" t="s">
        <v>3023</v>
      </c>
      <c r="C2853">
        <v>3.73</v>
      </c>
      <c r="D2853">
        <v>8.07</v>
      </c>
      <c r="E2853">
        <v>0.29</v>
      </c>
      <c r="F2853">
        <v>8.09</v>
      </c>
      <c r="G2853">
        <v>8.1</v>
      </c>
      <c r="H2853">
        <v>11111</v>
      </c>
      <c r="I2853">
        <v>98</v>
      </c>
      <c r="J2853">
        <v>2.28</v>
      </c>
      <c r="K2853">
        <v>0.28</v>
      </c>
      <c r="L2853">
        <v>7.8</v>
      </c>
      <c r="M2853">
        <v>8.15</v>
      </c>
      <c r="N2853">
        <v>7.75</v>
      </c>
      <c r="O2853">
        <v>7.78</v>
      </c>
      <c r="P2853" t="s">
        <v>32</v>
      </c>
      <c r="Q2853">
        <v>8745526</v>
      </c>
      <c r="R2853">
        <v>1.36</v>
      </c>
      <c r="S2853" t="s">
        <v>953</v>
      </c>
      <c r="T2853" t="s">
        <v>366</v>
      </c>
      <c r="U2853">
        <v>5.14</v>
      </c>
      <c r="V2853">
        <v>7.87</v>
      </c>
      <c r="W2853">
        <v>3053</v>
      </c>
      <c r="X2853">
        <v>8058</v>
      </c>
      <c r="Y2853">
        <v>0.38</v>
      </c>
      <c r="Z2853">
        <v>100</v>
      </c>
      <c r="AA2853">
        <v>2</v>
      </c>
      <c r="AB2853" t="s">
        <v>32</v>
      </c>
      <c r="AC2853">
        <v>4.03</v>
      </c>
    </row>
    <row r="2854" spans="1:29">
      <c r="A2854" t="str">
        <f>"600883"</f>
        <v>600883</v>
      </c>
      <c r="B2854" t="s">
        <v>3024</v>
      </c>
      <c r="C2854">
        <v>3.54</v>
      </c>
      <c r="D2854">
        <v>7.02</v>
      </c>
      <c r="E2854">
        <v>0.24</v>
      </c>
      <c r="F2854">
        <v>7.01</v>
      </c>
      <c r="G2854">
        <v>7.02</v>
      </c>
      <c r="H2854">
        <v>29869</v>
      </c>
      <c r="I2854">
        <v>50</v>
      </c>
      <c r="J2854">
        <v>0</v>
      </c>
      <c r="K2854">
        <v>1.27</v>
      </c>
      <c r="L2854">
        <v>6.74</v>
      </c>
      <c r="M2854">
        <v>7.1</v>
      </c>
      <c r="N2854">
        <v>6.73</v>
      </c>
      <c r="O2854">
        <v>6.78</v>
      </c>
      <c r="P2854">
        <v>212.29</v>
      </c>
      <c r="Q2854">
        <v>20708334</v>
      </c>
      <c r="R2854">
        <v>2.54</v>
      </c>
      <c r="S2854" t="s">
        <v>166</v>
      </c>
      <c r="T2854" t="s">
        <v>250</v>
      </c>
      <c r="U2854">
        <v>5.46</v>
      </c>
      <c r="V2854">
        <v>6.93</v>
      </c>
      <c r="W2854">
        <v>14076</v>
      </c>
      <c r="X2854">
        <v>15793</v>
      </c>
      <c r="Y2854">
        <v>0.89</v>
      </c>
      <c r="Z2854">
        <v>39</v>
      </c>
      <c r="AA2854">
        <v>23</v>
      </c>
      <c r="AB2854" t="s">
        <v>32</v>
      </c>
      <c r="AC2854">
        <v>2.36</v>
      </c>
    </row>
    <row r="2855" spans="1:29">
      <c r="A2855" t="str">
        <f>"600884"</f>
        <v>600884</v>
      </c>
      <c r="B2855" t="s">
        <v>3025</v>
      </c>
      <c r="C2855">
        <v>0.7</v>
      </c>
      <c r="D2855">
        <v>20.01</v>
      </c>
      <c r="E2855">
        <v>0.14</v>
      </c>
      <c r="F2855">
        <v>20.01</v>
      </c>
      <c r="G2855">
        <v>20.02</v>
      </c>
      <c r="H2855">
        <v>357245</v>
      </c>
      <c r="I2855">
        <v>13</v>
      </c>
      <c r="J2855">
        <v>0.05</v>
      </c>
      <c r="K2855">
        <v>4.35</v>
      </c>
      <c r="L2855">
        <v>19.92</v>
      </c>
      <c r="M2855">
        <v>20.2</v>
      </c>
      <c r="N2855">
        <v>19.51</v>
      </c>
      <c r="O2855">
        <v>19.87</v>
      </c>
      <c r="P2855">
        <v>37.5</v>
      </c>
      <c r="Q2855">
        <v>712025536</v>
      </c>
      <c r="R2855">
        <v>1.1</v>
      </c>
      <c r="S2855" t="s">
        <v>47</v>
      </c>
      <c r="T2855" t="s">
        <v>149</v>
      </c>
      <c r="U2855">
        <v>3.47</v>
      </c>
      <c r="V2855">
        <v>19.93</v>
      </c>
      <c r="W2855">
        <v>180511</v>
      </c>
      <c r="X2855">
        <v>176734</v>
      </c>
      <c r="Y2855">
        <v>1.02</v>
      </c>
      <c r="Z2855">
        <v>98</v>
      </c>
      <c r="AA2855">
        <v>353</v>
      </c>
      <c r="AB2855" t="s">
        <v>32</v>
      </c>
      <c r="AC2855">
        <v>8.22</v>
      </c>
    </row>
    <row r="2856" spans="1:29">
      <c r="A2856" t="str">
        <f>"600885"</f>
        <v>600885</v>
      </c>
      <c r="B2856" t="s">
        <v>3026</v>
      </c>
      <c r="C2856">
        <v>-0.95</v>
      </c>
      <c r="D2856">
        <v>27.11</v>
      </c>
      <c r="E2856">
        <v>-0.26</v>
      </c>
      <c r="F2856">
        <v>27.15</v>
      </c>
      <c r="G2856">
        <v>27.19</v>
      </c>
      <c r="H2856">
        <v>29547</v>
      </c>
      <c r="I2856">
        <v>1</v>
      </c>
      <c r="J2856">
        <v>0.04</v>
      </c>
      <c r="K2856">
        <v>0.4</v>
      </c>
      <c r="L2856">
        <v>27.25</v>
      </c>
      <c r="M2856">
        <v>27.8</v>
      </c>
      <c r="N2856">
        <v>27.01</v>
      </c>
      <c r="O2856">
        <v>27.37</v>
      </c>
      <c r="P2856">
        <v>30.25</v>
      </c>
      <c r="Q2856">
        <v>81136304</v>
      </c>
      <c r="R2856">
        <v>0.76</v>
      </c>
      <c r="S2856" t="s">
        <v>104</v>
      </c>
      <c r="T2856" t="s">
        <v>193</v>
      </c>
      <c r="U2856">
        <v>2.89</v>
      </c>
      <c r="V2856">
        <v>27.46</v>
      </c>
      <c r="W2856">
        <v>12330</v>
      </c>
      <c r="X2856">
        <v>17216</v>
      </c>
      <c r="Y2856">
        <v>0.72</v>
      </c>
      <c r="Z2856">
        <v>2</v>
      </c>
      <c r="AA2856">
        <v>5</v>
      </c>
      <c r="AB2856" t="s">
        <v>32</v>
      </c>
      <c r="AC2856">
        <v>7.45</v>
      </c>
    </row>
    <row r="2857" spans="1:29">
      <c r="A2857" t="str">
        <f>"600886"</f>
        <v>600886</v>
      </c>
      <c r="B2857" t="s">
        <v>3027</v>
      </c>
      <c r="C2857">
        <v>-0.63</v>
      </c>
      <c r="D2857">
        <v>7.83</v>
      </c>
      <c r="E2857">
        <v>-0.05</v>
      </c>
      <c r="F2857">
        <v>7.82</v>
      </c>
      <c r="G2857">
        <v>7.83</v>
      </c>
      <c r="H2857">
        <v>223362</v>
      </c>
      <c r="I2857">
        <v>15</v>
      </c>
      <c r="J2857">
        <v>0</v>
      </c>
      <c r="K2857">
        <v>0.33</v>
      </c>
      <c r="L2857">
        <v>7.87</v>
      </c>
      <c r="M2857">
        <v>7.95</v>
      </c>
      <c r="N2857">
        <v>7.74</v>
      </c>
      <c r="O2857">
        <v>7.88</v>
      </c>
      <c r="P2857">
        <v>13.43</v>
      </c>
      <c r="Q2857">
        <v>174030816</v>
      </c>
      <c r="R2857">
        <v>0.83</v>
      </c>
      <c r="S2857" t="s">
        <v>312</v>
      </c>
      <c r="T2857" t="s">
        <v>45</v>
      </c>
      <c r="U2857">
        <v>2.66</v>
      </c>
      <c r="V2857">
        <v>7.79</v>
      </c>
      <c r="W2857">
        <v>108790</v>
      </c>
      <c r="X2857">
        <v>114572</v>
      </c>
      <c r="Y2857">
        <v>0.95</v>
      </c>
      <c r="Z2857">
        <v>537</v>
      </c>
      <c r="AA2857">
        <v>216</v>
      </c>
      <c r="AB2857" t="s">
        <v>32</v>
      </c>
      <c r="AC2857">
        <v>67.86</v>
      </c>
    </row>
    <row r="2858" spans="1:29">
      <c r="A2858" t="str">
        <f>"600887"</f>
        <v>600887</v>
      </c>
      <c r="B2858" t="s">
        <v>3028</v>
      </c>
      <c r="C2858">
        <v>1.56</v>
      </c>
      <c r="D2858">
        <v>28.02</v>
      </c>
      <c r="E2858">
        <v>0.43</v>
      </c>
      <c r="F2858">
        <v>28.02</v>
      </c>
      <c r="G2858">
        <v>28.03</v>
      </c>
      <c r="H2858">
        <v>708203</v>
      </c>
      <c r="I2858">
        <v>7</v>
      </c>
      <c r="J2858">
        <v>0.11</v>
      </c>
      <c r="K2858">
        <v>1.17</v>
      </c>
      <c r="L2858">
        <v>27.59</v>
      </c>
      <c r="M2858">
        <v>28.25</v>
      </c>
      <c r="N2858">
        <v>27.27</v>
      </c>
      <c r="O2858">
        <v>27.59</v>
      </c>
      <c r="P2858">
        <v>20.27</v>
      </c>
      <c r="Q2858">
        <v>1974766080</v>
      </c>
      <c r="R2858">
        <v>1.61</v>
      </c>
      <c r="S2858" t="s">
        <v>953</v>
      </c>
      <c r="T2858" t="s">
        <v>198</v>
      </c>
      <c r="U2858">
        <v>3.55</v>
      </c>
      <c r="V2858">
        <v>27.88</v>
      </c>
      <c r="W2858">
        <v>338491</v>
      </c>
      <c r="X2858">
        <v>369712</v>
      </c>
      <c r="Y2858">
        <v>0.92</v>
      </c>
      <c r="Z2858">
        <v>260</v>
      </c>
      <c r="AA2858">
        <v>31</v>
      </c>
      <c r="AB2858" t="s">
        <v>32</v>
      </c>
      <c r="AC2858">
        <v>60.33</v>
      </c>
    </row>
    <row r="2859" spans="1:29">
      <c r="A2859" t="str">
        <f>"600888"</f>
        <v>600888</v>
      </c>
      <c r="B2859" t="s">
        <v>3029</v>
      </c>
      <c r="C2859">
        <v>1.73</v>
      </c>
      <c r="D2859">
        <v>5.88</v>
      </c>
      <c r="E2859">
        <v>0.1</v>
      </c>
      <c r="F2859">
        <v>5.87</v>
      </c>
      <c r="G2859">
        <v>5.88</v>
      </c>
      <c r="H2859">
        <v>90007</v>
      </c>
      <c r="I2859">
        <v>172</v>
      </c>
      <c r="J2859">
        <v>0.17</v>
      </c>
      <c r="K2859">
        <v>1.08</v>
      </c>
      <c r="L2859">
        <v>5.77</v>
      </c>
      <c r="M2859">
        <v>5.96</v>
      </c>
      <c r="N2859">
        <v>5.74</v>
      </c>
      <c r="O2859">
        <v>5.78</v>
      </c>
      <c r="P2859">
        <v>28.13</v>
      </c>
      <c r="Q2859">
        <v>52948432</v>
      </c>
      <c r="R2859">
        <v>1.77</v>
      </c>
      <c r="S2859" t="s">
        <v>324</v>
      </c>
      <c r="T2859" t="s">
        <v>156</v>
      </c>
      <c r="U2859">
        <v>3.81</v>
      </c>
      <c r="V2859">
        <v>5.88</v>
      </c>
      <c r="W2859">
        <v>35273</v>
      </c>
      <c r="X2859">
        <v>54733</v>
      </c>
      <c r="Y2859">
        <v>0.64</v>
      </c>
      <c r="Z2859">
        <v>310</v>
      </c>
      <c r="AA2859">
        <v>1098</v>
      </c>
      <c r="AB2859" t="s">
        <v>32</v>
      </c>
      <c r="AC2859">
        <v>8.34</v>
      </c>
    </row>
    <row r="2860" spans="1:29">
      <c r="A2860" t="str">
        <f>"600889"</f>
        <v>600889</v>
      </c>
      <c r="B2860" t="s">
        <v>3030</v>
      </c>
      <c r="C2860">
        <v>0.55</v>
      </c>
      <c r="D2860">
        <v>5.52</v>
      </c>
      <c r="E2860">
        <v>0.03</v>
      </c>
      <c r="F2860">
        <v>5.52</v>
      </c>
      <c r="G2860">
        <v>5.53</v>
      </c>
      <c r="H2860">
        <v>52791</v>
      </c>
      <c r="I2860">
        <v>1</v>
      </c>
      <c r="J2860">
        <v>0.18</v>
      </c>
      <c r="K2860">
        <v>1.72</v>
      </c>
      <c r="L2860">
        <v>5.48</v>
      </c>
      <c r="M2860">
        <v>5.54</v>
      </c>
      <c r="N2860">
        <v>5.4</v>
      </c>
      <c r="O2860">
        <v>5.49</v>
      </c>
      <c r="P2860" t="s">
        <v>32</v>
      </c>
      <c r="Q2860">
        <v>28939084</v>
      </c>
      <c r="R2860">
        <v>0.5</v>
      </c>
      <c r="S2860" t="s">
        <v>190</v>
      </c>
      <c r="T2860" t="s">
        <v>87</v>
      </c>
      <c r="U2860">
        <v>2.55</v>
      </c>
      <c r="V2860">
        <v>5.48</v>
      </c>
      <c r="W2860">
        <v>28689</v>
      </c>
      <c r="X2860">
        <v>24101</v>
      </c>
      <c r="Y2860">
        <v>1.19</v>
      </c>
      <c r="Z2860">
        <v>136</v>
      </c>
      <c r="AA2860">
        <v>732</v>
      </c>
      <c r="AB2860" t="s">
        <v>32</v>
      </c>
      <c r="AC2860">
        <v>3.07</v>
      </c>
    </row>
    <row r="2861" spans="1:29">
      <c r="A2861" t="str">
        <f>"600890"</f>
        <v>600890</v>
      </c>
      <c r="B2861" t="s">
        <v>3031</v>
      </c>
      <c r="C2861">
        <v>1.76</v>
      </c>
      <c r="D2861">
        <v>7.5</v>
      </c>
      <c r="E2861">
        <v>0.13</v>
      </c>
      <c r="F2861">
        <v>7.51</v>
      </c>
      <c r="G2861">
        <v>7.52</v>
      </c>
      <c r="H2861">
        <v>24856</v>
      </c>
      <c r="I2861">
        <v>100</v>
      </c>
      <c r="J2861">
        <v>0.4</v>
      </c>
      <c r="K2861">
        <v>0.43</v>
      </c>
      <c r="L2861">
        <v>7.41</v>
      </c>
      <c r="M2861">
        <v>7.53</v>
      </c>
      <c r="N2861">
        <v>7.3</v>
      </c>
      <c r="O2861">
        <v>7.37</v>
      </c>
      <c r="P2861" t="s">
        <v>32</v>
      </c>
      <c r="Q2861">
        <v>18515716</v>
      </c>
      <c r="R2861">
        <v>1.14</v>
      </c>
      <c r="S2861" t="s">
        <v>40</v>
      </c>
      <c r="T2861" t="s">
        <v>45</v>
      </c>
      <c r="U2861">
        <v>3.12</v>
      </c>
      <c r="V2861">
        <v>7.45</v>
      </c>
      <c r="W2861">
        <v>12428</v>
      </c>
      <c r="X2861">
        <v>12428</v>
      </c>
      <c r="Y2861">
        <v>1</v>
      </c>
      <c r="Z2861">
        <v>100</v>
      </c>
      <c r="AA2861">
        <v>244</v>
      </c>
      <c r="AB2861" t="s">
        <v>32</v>
      </c>
      <c r="AC2861">
        <v>5.79</v>
      </c>
    </row>
    <row r="2862" spans="1:29">
      <c r="A2862" t="str">
        <f>"600891"</f>
        <v>600891</v>
      </c>
      <c r="B2862" t="s">
        <v>3032</v>
      </c>
      <c r="C2862">
        <v>1.36</v>
      </c>
      <c r="D2862">
        <v>5.2</v>
      </c>
      <c r="E2862">
        <v>0.07</v>
      </c>
      <c r="F2862">
        <v>5.19</v>
      </c>
      <c r="G2862">
        <v>5.2</v>
      </c>
      <c r="H2862">
        <v>27391</v>
      </c>
      <c r="I2862">
        <v>23</v>
      </c>
      <c r="J2862">
        <v>0</v>
      </c>
      <c r="K2862">
        <v>0.71</v>
      </c>
      <c r="L2862">
        <v>5.12</v>
      </c>
      <c r="M2862">
        <v>5.24</v>
      </c>
      <c r="N2862">
        <v>5.11</v>
      </c>
      <c r="O2862">
        <v>5.13</v>
      </c>
      <c r="P2862">
        <v>24.87</v>
      </c>
      <c r="Q2862">
        <v>14172214</v>
      </c>
      <c r="R2862">
        <v>1.93</v>
      </c>
      <c r="S2862" t="s">
        <v>186</v>
      </c>
      <c r="T2862" t="s">
        <v>297</v>
      </c>
      <c r="U2862">
        <v>2.53</v>
      </c>
      <c r="V2862">
        <v>5.17</v>
      </c>
      <c r="W2862">
        <v>12897</v>
      </c>
      <c r="X2862">
        <v>14494</v>
      </c>
      <c r="Y2862">
        <v>0.89</v>
      </c>
      <c r="Z2862">
        <v>129</v>
      </c>
      <c r="AA2862">
        <v>12</v>
      </c>
      <c r="AB2862" t="s">
        <v>32</v>
      </c>
      <c r="AC2862">
        <v>3.84</v>
      </c>
    </row>
    <row r="2863" spans="1:29">
      <c r="A2863" t="str">
        <f>"600892"</f>
        <v>600892</v>
      </c>
      <c r="B2863" t="s">
        <v>3033</v>
      </c>
      <c r="C2863">
        <v>0.36</v>
      </c>
      <c r="D2863">
        <v>8.36</v>
      </c>
      <c r="E2863">
        <v>0.03</v>
      </c>
      <c r="F2863">
        <v>8.35</v>
      </c>
      <c r="G2863">
        <v>8.36</v>
      </c>
      <c r="H2863">
        <v>32970</v>
      </c>
      <c r="I2863">
        <v>320</v>
      </c>
      <c r="J2863">
        <v>0</v>
      </c>
      <c r="K2863">
        <v>1.31</v>
      </c>
      <c r="L2863">
        <v>8.33</v>
      </c>
      <c r="M2863">
        <v>8.45</v>
      </c>
      <c r="N2863">
        <v>8.29</v>
      </c>
      <c r="O2863">
        <v>8.33</v>
      </c>
      <c r="P2863">
        <v>167.8</v>
      </c>
      <c r="Q2863">
        <v>27516640</v>
      </c>
      <c r="R2863">
        <v>1.39</v>
      </c>
      <c r="S2863" t="s">
        <v>148</v>
      </c>
      <c r="T2863" t="s">
        <v>31</v>
      </c>
      <c r="U2863">
        <v>1.92</v>
      </c>
      <c r="V2863">
        <v>8.35</v>
      </c>
      <c r="W2863">
        <v>11314</v>
      </c>
      <c r="X2863">
        <v>21656</v>
      </c>
      <c r="Y2863">
        <v>0.52</v>
      </c>
      <c r="Z2863">
        <v>345</v>
      </c>
      <c r="AA2863">
        <v>278</v>
      </c>
      <c r="AB2863" t="s">
        <v>32</v>
      </c>
      <c r="AC2863">
        <v>2.52</v>
      </c>
    </row>
    <row r="2864" spans="1:29">
      <c r="A2864" t="str">
        <f>"600893"</f>
        <v>600893</v>
      </c>
      <c r="B2864" t="s">
        <v>3034</v>
      </c>
      <c r="C2864">
        <v>0.08</v>
      </c>
      <c r="D2864">
        <v>24.79</v>
      </c>
      <c r="E2864">
        <v>0.02</v>
      </c>
      <c r="F2864">
        <v>24.79</v>
      </c>
      <c r="G2864">
        <v>24.8</v>
      </c>
      <c r="H2864">
        <v>63214</v>
      </c>
      <c r="I2864">
        <v>3</v>
      </c>
      <c r="J2864">
        <v>0.08</v>
      </c>
      <c r="K2864">
        <v>0.32</v>
      </c>
      <c r="L2864">
        <v>24.83</v>
      </c>
      <c r="M2864">
        <v>25.1</v>
      </c>
      <c r="N2864">
        <v>24.64</v>
      </c>
      <c r="O2864">
        <v>24.77</v>
      </c>
      <c r="P2864" t="s">
        <v>32</v>
      </c>
      <c r="Q2864">
        <v>157107424</v>
      </c>
      <c r="R2864">
        <v>0.81</v>
      </c>
      <c r="S2864" t="s">
        <v>389</v>
      </c>
      <c r="T2864" t="s">
        <v>223</v>
      </c>
      <c r="U2864">
        <v>1.86</v>
      </c>
      <c r="V2864">
        <v>24.85</v>
      </c>
      <c r="W2864">
        <v>35172</v>
      </c>
      <c r="X2864">
        <v>28041</v>
      </c>
      <c r="Y2864">
        <v>1.25</v>
      </c>
      <c r="Z2864">
        <v>32</v>
      </c>
      <c r="AA2864">
        <v>177</v>
      </c>
      <c r="AB2864" t="s">
        <v>32</v>
      </c>
      <c r="AC2864">
        <v>19.48</v>
      </c>
    </row>
    <row r="2865" spans="1:29">
      <c r="A2865" t="str">
        <f>"600894"</f>
        <v>600894</v>
      </c>
      <c r="B2865" t="s">
        <v>3035</v>
      </c>
      <c r="C2865">
        <v>3.09</v>
      </c>
      <c r="D2865">
        <v>6</v>
      </c>
      <c r="E2865">
        <v>0.18</v>
      </c>
      <c r="F2865">
        <v>6</v>
      </c>
      <c r="G2865">
        <v>6.01</v>
      </c>
      <c r="H2865">
        <v>64770</v>
      </c>
      <c r="I2865">
        <v>21</v>
      </c>
      <c r="J2865">
        <v>-0.16</v>
      </c>
      <c r="K2865">
        <v>0.75</v>
      </c>
      <c r="L2865">
        <v>5.81</v>
      </c>
      <c r="M2865">
        <v>6.06</v>
      </c>
      <c r="N2865">
        <v>5.8</v>
      </c>
      <c r="O2865">
        <v>5.82</v>
      </c>
      <c r="P2865">
        <v>63.07</v>
      </c>
      <c r="Q2865">
        <v>38580052</v>
      </c>
      <c r="R2865">
        <v>3.17</v>
      </c>
      <c r="S2865" t="s">
        <v>44</v>
      </c>
      <c r="T2865" t="s">
        <v>136</v>
      </c>
      <c r="U2865">
        <v>4.47</v>
      </c>
      <c r="V2865">
        <v>5.96</v>
      </c>
      <c r="W2865">
        <v>25132</v>
      </c>
      <c r="X2865">
        <v>39637</v>
      </c>
      <c r="Y2865">
        <v>0.63</v>
      </c>
      <c r="Z2865">
        <v>265</v>
      </c>
      <c r="AA2865">
        <v>229</v>
      </c>
      <c r="AB2865" t="s">
        <v>32</v>
      </c>
      <c r="AC2865">
        <v>8.6</v>
      </c>
    </row>
    <row r="2866" spans="1:29">
      <c r="A2866" t="str">
        <f>"600895"</f>
        <v>600895</v>
      </c>
      <c r="B2866" t="s">
        <v>3036</v>
      </c>
      <c r="C2866">
        <v>1.83</v>
      </c>
      <c r="D2866">
        <v>11.13</v>
      </c>
      <c r="E2866">
        <v>0.2</v>
      </c>
      <c r="F2866">
        <v>11.13</v>
      </c>
      <c r="G2866">
        <v>11.14</v>
      </c>
      <c r="H2866">
        <v>47376</v>
      </c>
      <c r="I2866">
        <v>5</v>
      </c>
      <c r="J2866">
        <v>0.09</v>
      </c>
      <c r="K2866">
        <v>0.31</v>
      </c>
      <c r="L2866">
        <v>10.93</v>
      </c>
      <c r="M2866">
        <v>11.2</v>
      </c>
      <c r="N2866">
        <v>10.85</v>
      </c>
      <c r="O2866">
        <v>10.93</v>
      </c>
      <c r="P2866">
        <v>17.16</v>
      </c>
      <c r="Q2866">
        <v>52709896</v>
      </c>
      <c r="R2866">
        <v>1.99</v>
      </c>
      <c r="S2866" t="s">
        <v>338</v>
      </c>
      <c r="T2866" t="s">
        <v>366</v>
      </c>
      <c r="U2866">
        <v>3.2</v>
      </c>
      <c r="V2866">
        <v>11.13</v>
      </c>
      <c r="W2866">
        <v>20794</v>
      </c>
      <c r="X2866">
        <v>26581</v>
      </c>
      <c r="Y2866">
        <v>0.78</v>
      </c>
      <c r="Z2866">
        <v>228</v>
      </c>
      <c r="AA2866">
        <v>99</v>
      </c>
      <c r="AB2866" t="s">
        <v>32</v>
      </c>
      <c r="AC2866">
        <v>15.49</v>
      </c>
    </row>
    <row r="2867" spans="1:29">
      <c r="A2867" t="str">
        <f>"600896"</f>
        <v>600896</v>
      </c>
      <c r="B2867" t="s">
        <v>3037</v>
      </c>
      <c r="C2867">
        <v>0.26</v>
      </c>
      <c r="D2867">
        <v>3.79</v>
      </c>
      <c r="E2867">
        <v>0.01</v>
      </c>
      <c r="F2867">
        <v>3.78</v>
      </c>
      <c r="G2867">
        <v>3.79</v>
      </c>
      <c r="H2867">
        <v>47619</v>
      </c>
      <c r="I2867">
        <v>31</v>
      </c>
      <c r="J2867">
        <v>0</v>
      </c>
      <c r="K2867">
        <v>0.83</v>
      </c>
      <c r="L2867">
        <v>3.81</v>
      </c>
      <c r="M2867">
        <v>3.81</v>
      </c>
      <c r="N2867">
        <v>3.74</v>
      </c>
      <c r="O2867">
        <v>3.78</v>
      </c>
      <c r="P2867" t="s">
        <v>32</v>
      </c>
      <c r="Q2867">
        <v>18018864</v>
      </c>
      <c r="R2867">
        <v>0.62</v>
      </c>
      <c r="S2867" t="s">
        <v>229</v>
      </c>
      <c r="T2867" t="s">
        <v>209</v>
      </c>
      <c r="U2867">
        <v>1.85</v>
      </c>
      <c r="V2867">
        <v>3.78</v>
      </c>
      <c r="W2867">
        <v>26199</v>
      </c>
      <c r="X2867">
        <v>21419</v>
      </c>
      <c r="Y2867">
        <v>1.22</v>
      </c>
      <c r="Z2867">
        <v>1994</v>
      </c>
      <c r="AA2867">
        <v>430</v>
      </c>
      <c r="AB2867" t="s">
        <v>32</v>
      </c>
      <c r="AC2867">
        <v>5.77</v>
      </c>
    </row>
    <row r="2868" spans="1:29">
      <c r="A2868" t="str">
        <f>"600897"</f>
        <v>600897</v>
      </c>
      <c r="B2868" t="s">
        <v>3038</v>
      </c>
      <c r="C2868">
        <v>1.32</v>
      </c>
      <c r="D2868">
        <v>19.92</v>
      </c>
      <c r="E2868">
        <v>0.26</v>
      </c>
      <c r="F2868">
        <v>19.92</v>
      </c>
      <c r="G2868">
        <v>19.93</v>
      </c>
      <c r="H2868">
        <v>12756</v>
      </c>
      <c r="I2868">
        <v>10</v>
      </c>
      <c r="J2868">
        <v>0</v>
      </c>
      <c r="K2868">
        <v>0.43</v>
      </c>
      <c r="L2868">
        <v>19.67</v>
      </c>
      <c r="M2868">
        <v>19.97</v>
      </c>
      <c r="N2868">
        <v>19.65</v>
      </c>
      <c r="O2868">
        <v>19.66</v>
      </c>
      <c r="P2868">
        <v>13.27</v>
      </c>
      <c r="Q2868">
        <v>25361226</v>
      </c>
      <c r="R2868">
        <v>1.71</v>
      </c>
      <c r="S2868" t="s">
        <v>129</v>
      </c>
      <c r="T2868" t="s">
        <v>236</v>
      </c>
      <c r="U2868">
        <v>1.63</v>
      </c>
      <c r="V2868">
        <v>19.88</v>
      </c>
      <c r="W2868">
        <v>5489</v>
      </c>
      <c r="X2868">
        <v>7266</v>
      </c>
      <c r="Y2868">
        <v>0.76</v>
      </c>
      <c r="Z2868">
        <v>23</v>
      </c>
      <c r="AA2868">
        <v>1</v>
      </c>
      <c r="AB2868" t="s">
        <v>32</v>
      </c>
      <c r="AC2868">
        <v>2.98</v>
      </c>
    </row>
    <row r="2869" spans="1:29">
      <c r="A2869" t="str">
        <f>"600898"</f>
        <v>600898</v>
      </c>
      <c r="B2869" t="s">
        <v>3039</v>
      </c>
      <c r="C2869">
        <v>1.15</v>
      </c>
      <c r="D2869">
        <v>10.54</v>
      </c>
      <c r="E2869">
        <v>0.12</v>
      </c>
      <c r="F2869">
        <v>10.54</v>
      </c>
      <c r="G2869">
        <v>10.55</v>
      </c>
      <c r="H2869">
        <v>24785</v>
      </c>
      <c r="I2869">
        <v>1</v>
      </c>
      <c r="J2869">
        <v>0.19</v>
      </c>
      <c r="K2869">
        <v>0.98</v>
      </c>
      <c r="L2869">
        <v>10.37</v>
      </c>
      <c r="M2869">
        <v>10.64</v>
      </c>
      <c r="N2869">
        <v>10.28</v>
      </c>
      <c r="O2869">
        <v>10.42</v>
      </c>
      <c r="P2869">
        <v>127.53</v>
      </c>
      <c r="Q2869">
        <v>26004440</v>
      </c>
      <c r="R2869">
        <v>0.83</v>
      </c>
      <c r="S2869" t="s">
        <v>119</v>
      </c>
      <c r="T2869" t="s">
        <v>162</v>
      </c>
      <c r="U2869">
        <v>3.45</v>
      </c>
      <c r="V2869">
        <v>10.49</v>
      </c>
      <c r="W2869">
        <v>12975</v>
      </c>
      <c r="X2869">
        <v>11809</v>
      </c>
      <c r="Y2869">
        <v>1.1</v>
      </c>
      <c r="Z2869">
        <v>13</v>
      </c>
      <c r="AA2869">
        <v>31</v>
      </c>
      <c r="AB2869" t="s">
        <v>32</v>
      </c>
      <c r="AC2869">
        <v>2.53</v>
      </c>
    </row>
    <row r="2870" spans="1:29">
      <c r="A2870" t="str">
        <f>"600900"</f>
        <v>600900</v>
      </c>
      <c r="B2870" t="s">
        <v>3040</v>
      </c>
      <c r="C2870">
        <v>-1.25</v>
      </c>
      <c r="D2870">
        <v>16.54</v>
      </c>
      <c r="E2870">
        <v>-0.21</v>
      </c>
      <c r="F2870">
        <v>16.52</v>
      </c>
      <c r="G2870">
        <v>16.53</v>
      </c>
      <c r="H2870">
        <v>229696</v>
      </c>
      <c r="I2870">
        <v>14</v>
      </c>
      <c r="J2870">
        <v>0.12</v>
      </c>
      <c r="K2870">
        <v>0.2</v>
      </c>
      <c r="L2870">
        <v>16.7</v>
      </c>
      <c r="M2870">
        <v>16.77</v>
      </c>
      <c r="N2870">
        <v>16.41</v>
      </c>
      <c r="O2870">
        <v>16.75</v>
      </c>
      <c r="P2870">
        <v>32.12</v>
      </c>
      <c r="Q2870">
        <v>379823264</v>
      </c>
      <c r="R2870">
        <v>1.58</v>
      </c>
      <c r="S2870" t="s">
        <v>312</v>
      </c>
      <c r="T2870" t="s">
        <v>45</v>
      </c>
      <c r="U2870">
        <v>2.15</v>
      </c>
      <c r="V2870">
        <v>16.54</v>
      </c>
      <c r="W2870">
        <v>147150</v>
      </c>
      <c r="X2870">
        <v>82545</v>
      </c>
      <c r="Y2870">
        <v>1.78</v>
      </c>
      <c r="Z2870">
        <v>79</v>
      </c>
      <c r="AA2870">
        <v>119</v>
      </c>
      <c r="AB2870" t="s">
        <v>32</v>
      </c>
      <c r="AC2870">
        <v>115.06</v>
      </c>
    </row>
    <row r="2871" spans="1:29">
      <c r="A2871" t="str">
        <f>"600901"</f>
        <v>600901</v>
      </c>
      <c r="B2871" t="s">
        <v>3041</v>
      </c>
      <c r="C2871">
        <v>1.43</v>
      </c>
      <c r="D2871">
        <v>7.82</v>
      </c>
      <c r="E2871">
        <v>0.11</v>
      </c>
      <c r="F2871">
        <v>7.82</v>
      </c>
      <c r="G2871">
        <v>7.83</v>
      </c>
      <c r="H2871">
        <v>531998</v>
      </c>
      <c r="I2871">
        <v>8</v>
      </c>
      <c r="J2871">
        <v>0.13</v>
      </c>
      <c r="K2871">
        <v>8.31</v>
      </c>
      <c r="L2871">
        <v>7.61</v>
      </c>
      <c r="M2871">
        <v>7.99</v>
      </c>
      <c r="N2871">
        <v>7.61</v>
      </c>
      <c r="O2871">
        <v>7.71</v>
      </c>
      <c r="P2871">
        <v>17.96</v>
      </c>
      <c r="Q2871">
        <v>416463136</v>
      </c>
      <c r="R2871">
        <v>1.51</v>
      </c>
      <c r="S2871" t="s">
        <v>183</v>
      </c>
      <c r="T2871" t="s">
        <v>87</v>
      </c>
      <c r="U2871">
        <v>4.93</v>
      </c>
      <c r="V2871">
        <v>7.83</v>
      </c>
      <c r="W2871">
        <v>256165</v>
      </c>
      <c r="X2871">
        <v>275832</v>
      </c>
      <c r="Y2871">
        <v>0.93</v>
      </c>
      <c r="Z2871">
        <v>69</v>
      </c>
      <c r="AA2871">
        <v>239</v>
      </c>
      <c r="AB2871" t="s">
        <v>32</v>
      </c>
      <c r="AC2871">
        <v>6.4</v>
      </c>
    </row>
    <row r="2872" spans="1:29">
      <c r="A2872" t="str">
        <f>"600903"</f>
        <v>600903</v>
      </c>
      <c r="B2872" t="s">
        <v>3042</v>
      </c>
      <c r="C2872">
        <v>0.34</v>
      </c>
      <c r="D2872">
        <v>20.96</v>
      </c>
      <c r="E2872">
        <v>0.07</v>
      </c>
      <c r="F2872">
        <v>20.97</v>
      </c>
      <c r="G2872">
        <v>20.98</v>
      </c>
      <c r="H2872">
        <v>93955</v>
      </c>
      <c r="I2872">
        <v>28</v>
      </c>
      <c r="J2872">
        <v>0.1</v>
      </c>
      <c r="K2872">
        <v>7.7</v>
      </c>
      <c r="L2872">
        <v>20.65</v>
      </c>
      <c r="M2872">
        <v>21.16</v>
      </c>
      <c r="N2872">
        <v>20.55</v>
      </c>
      <c r="O2872">
        <v>20.89</v>
      </c>
      <c r="P2872">
        <v>118.87</v>
      </c>
      <c r="Q2872">
        <v>196354928</v>
      </c>
      <c r="R2872">
        <v>1.17</v>
      </c>
      <c r="S2872" t="s">
        <v>174</v>
      </c>
      <c r="T2872" t="s">
        <v>253</v>
      </c>
      <c r="U2872">
        <v>2.92</v>
      </c>
      <c r="V2872">
        <v>20.9</v>
      </c>
      <c r="W2872">
        <v>46410</v>
      </c>
      <c r="X2872">
        <v>47545</v>
      </c>
      <c r="Y2872">
        <v>0.98</v>
      </c>
      <c r="Z2872">
        <v>33</v>
      </c>
      <c r="AA2872">
        <v>478</v>
      </c>
      <c r="AB2872" t="s">
        <v>32</v>
      </c>
      <c r="AC2872">
        <v>1.22</v>
      </c>
    </row>
    <row r="2873" spans="1:29">
      <c r="A2873" t="str">
        <f>"600908"</f>
        <v>600908</v>
      </c>
      <c r="B2873" t="s">
        <v>3043</v>
      </c>
      <c r="C2873">
        <v>-0.83</v>
      </c>
      <c r="D2873">
        <v>5.99</v>
      </c>
      <c r="E2873">
        <v>-0.05</v>
      </c>
      <c r="F2873">
        <v>5.99</v>
      </c>
      <c r="G2873">
        <v>6</v>
      </c>
      <c r="H2873">
        <v>160410</v>
      </c>
      <c r="I2873">
        <v>241</v>
      </c>
      <c r="J2873">
        <v>0</v>
      </c>
      <c r="K2873">
        <v>1.99</v>
      </c>
      <c r="L2873">
        <v>5.96</v>
      </c>
      <c r="M2873">
        <v>6.09</v>
      </c>
      <c r="N2873">
        <v>5.95</v>
      </c>
      <c r="O2873">
        <v>6.04</v>
      </c>
      <c r="P2873">
        <v>10.38</v>
      </c>
      <c r="Q2873">
        <v>96404008</v>
      </c>
      <c r="R2873">
        <v>1.31</v>
      </c>
      <c r="S2873" t="s">
        <v>30</v>
      </c>
      <c r="T2873" t="s">
        <v>87</v>
      </c>
      <c r="U2873">
        <v>2.32</v>
      </c>
      <c r="V2873">
        <v>6.01</v>
      </c>
      <c r="W2873">
        <v>90831</v>
      </c>
      <c r="X2873">
        <v>69578</v>
      </c>
      <c r="Y2873">
        <v>1.31</v>
      </c>
      <c r="Z2873">
        <v>347</v>
      </c>
      <c r="AA2873">
        <v>1570</v>
      </c>
      <c r="AB2873" t="s">
        <v>32</v>
      </c>
      <c r="AC2873">
        <v>8.04</v>
      </c>
    </row>
    <row r="2874" spans="1:29">
      <c r="A2874" t="str">
        <f>"600909"</f>
        <v>600909</v>
      </c>
      <c r="B2874" t="s">
        <v>3044</v>
      </c>
      <c r="C2874">
        <v>1.94</v>
      </c>
      <c r="D2874">
        <v>5.78</v>
      </c>
      <c r="E2874">
        <v>0.11</v>
      </c>
      <c r="F2874">
        <v>5.78</v>
      </c>
      <c r="G2874">
        <v>5.79</v>
      </c>
      <c r="H2874">
        <v>170066</v>
      </c>
      <c r="I2874">
        <v>78</v>
      </c>
      <c r="J2874">
        <v>0</v>
      </c>
      <c r="K2874">
        <v>0.63</v>
      </c>
      <c r="L2874">
        <v>5.65</v>
      </c>
      <c r="M2874">
        <v>5.87</v>
      </c>
      <c r="N2874">
        <v>5.63</v>
      </c>
      <c r="O2874">
        <v>5.67</v>
      </c>
      <c r="P2874">
        <v>32.97</v>
      </c>
      <c r="Q2874">
        <v>98093136</v>
      </c>
      <c r="R2874">
        <v>2.26</v>
      </c>
      <c r="S2874" t="s">
        <v>158</v>
      </c>
      <c r="T2874" t="s">
        <v>143</v>
      </c>
      <c r="U2874">
        <v>4.23</v>
      </c>
      <c r="V2874">
        <v>5.77</v>
      </c>
      <c r="W2874">
        <v>72217</v>
      </c>
      <c r="X2874">
        <v>97848</v>
      </c>
      <c r="Y2874">
        <v>0.74</v>
      </c>
      <c r="Z2874">
        <v>107</v>
      </c>
      <c r="AA2874">
        <v>2159</v>
      </c>
      <c r="AB2874" t="s">
        <v>32</v>
      </c>
      <c r="AC2874">
        <v>27.02</v>
      </c>
    </row>
    <row r="2875" spans="1:29">
      <c r="A2875" t="str">
        <f>"600917"</f>
        <v>600917</v>
      </c>
      <c r="B2875" t="s">
        <v>3045</v>
      </c>
      <c r="C2875">
        <v>0.52</v>
      </c>
      <c r="D2875">
        <v>7.74</v>
      </c>
      <c r="E2875">
        <v>0.04</v>
      </c>
      <c r="F2875">
        <v>7.75</v>
      </c>
      <c r="G2875">
        <v>7.76</v>
      </c>
      <c r="H2875">
        <v>142661</v>
      </c>
      <c r="I2875">
        <v>5</v>
      </c>
      <c r="J2875">
        <v>0.13</v>
      </c>
      <c r="K2875">
        <v>0.92</v>
      </c>
      <c r="L2875">
        <v>7.54</v>
      </c>
      <c r="M2875">
        <v>7.87</v>
      </c>
      <c r="N2875">
        <v>7.45</v>
      </c>
      <c r="O2875">
        <v>7.7</v>
      </c>
      <c r="P2875">
        <v>28.1</v>
      </c>
      <c r="Q2875">
        <v>108715528</v>
      </c>
      <c r="R2875">
        <v>1.87</v>
      </c>
      <c r="S2875" t="s">
        <v>174</v>
      </c>
      <c r="T2875" t="s">
        <v>221</v>
      </c>
      <c r="U2875">
        <v>5.45</v>
      </c>
      <c r="V2875">
        <v>7.62</v>
      </c>
      <c r="W2875">
        <v>82366</v>
      </c>
      <c r="X2875">
        <v>60295</v>
      </c>
      <c r="Y2875">
        <v>1.37</v>
      </c>
      <c r="Z2875">
        <v>34</v>
      </c>
      <c r="AA2875">
        <v>343</v>
      </c>
      <c r="AB2875" t="s">
        <v>32</v>
      </c>
      <c r="AC2875">
        <v>15.56</v>
      </c>
    </row>
    <row r="2876" spans="1:29">
      <c r="A2876" t="str">
        <f>"600919"</f>
        <v>600919</v>
      </c>
      <c r="B2876" t="s">
        <v>3046</v>
      </c>
      <c r="C2876">
        <v>0.78</v>
      </c>
      <c r="D2876">
        <v>6.42</v>
      </c>
      <c r="E2876">
        <v>0.05</v>
      </c>
      <c r="F2876">
        <v>6.42</v>
      </c>
      <c r="G2876">
        <v>6.43</v>
      </c>
      <c r="H2876">
        <v>500866</v>
      </c>
      <c r="I2876">
        <v>10</v>
      </c>
      <c r="J2876">
        <v>0.16</v>
      </c>
      <c r="K2876">
        <v>0.83</v>
      </c>
      <c r="L2876">
        <v>6.35</v>
      </c>
      <c r="M2876">
        <v>6.49</v>
      </c>
      <c r="N2876">
        <v>6.33</v>
      </c>
      <c r="O2876">
        <v>6.37</v>
      </c>
      <c r="P2876">
        <v>5.62</v>
      </c>
      <c r="Q2876">
        <v>321391616</v>
      </c>
      <c r="R2876">
        <v>1.56</v>
      </c>
      <c r="S2876" t="s">
        <v>30</v>
      </c>
      <c r="T2876" t="s">
        <v>87</v>
      </c>
      <c r="U2876">
        <v>2.51</v>
      </c>
      <c r="V2876">
        <v>6.42</v>
      </c>
      <c r="W2876">
        <v>251882</v>
      </c>
      <c r="X2876">
        <v>248984</v>
      </c>
      <c r="Y2876">
        <v>1.01</v>
      </c>
      <c r="Z2876">
        <v>1445</v>
      </c>
      <c r="AA2876">
        <v>4588</v>
      </c>
      <c r="AB2876" t="s">
        <v>32</v>
      </c>
      <c r="AC2876">
        <v>60.08</v>
      </c>
    </row>
    <row r="2877" spans="1:29">
      <c r="A2877" t="str">
        <f>"600926"</f>
        <v>600926</v>
      </c>
      <c r="B2877" t="s">
        <v>3047</v>
      </c>
      <c r="C2877">
        <v>2.24</v>
      </c>
      <c r="D2877">
        <v>8.21</v>
      </c>
      <c r="E2877">
        <v>0.18</v>
      </c>
      <c r="F2877">
        <v>8.21</v>
      </c>
      <c r="G2877">
        <v>8.22</v>
      </c>
      <c r="H2877">
        <v>447010</v>
      </c>
      <c r="I2877">
        <v>58</v>
      </c>
      <c r="J2877">
        <v>-0.11</v>
      </c>
      <c r="K2877">
        <v>2.15</v>
      </c>
      <c r="L2877">
        <v>8.11</v>
      </c>
      <c r="M2877">
        <v>8.33</v>
      </c>
      <c r="N2877">
        <v>8.11</v>
      </c>
      <c r="O2877">
        <v>8.03</v>
      </c>
      <c r="P2877">
        <v>6.92</v>
      </c>
      <c r="Q2877">
        <v>367318528</v>
      </c>
      <c r="R2877">
        <v>2.23</v>
      </c>
      <c r="S2877" t="s">
        <v>30</v>
      </c>
      <c r="T2877" t="s">
        <v>149</v>
      </c>
      <c r="U2877">
        <v>2.74</v>
      </c>
      <c r="V2877">
        <v>8.22</v>
      </c>
      <c r="W2877">
        <v>176431</v>
      </c>
      <c r="X2877">
        <v>270579</v>
      </c>
      <c r="Y2877">
        <v>0.65</v>
      </c>
      <c r="Z2877">
        <v>648</v>
      </c>
      <c r="AA2877">
        <v>423</v>
      </c>
      <c r="AB2877" t="s">
        <v>32</v>
      </c>
      <c r="AC2877">
        <v>20.81</v>
      </c>
    </row>
    <row r="2878" spans="1:29">
      <c r="A2878" t="str">
        <f>"600929"</f>
        <v>600929</v>
      </c>
      <c r="B2878" t="s">
        <v>3048</v>
      </c>
      <c r="C2878">
        <v>1.76</v>
      </c>
      <c r="D2878">
        <v>15.07</v>
      </c>
      <c r="E2878">
        <v>0.26</v>
      </c>
      <c r="F2878">
        <v>15.06</v>
      </c>
      <c r="G2878">
        <v>15.07</v>
      </c>
      <c r="H2878">
        <v>154855</v>
      </c>
      <c r="I2878">
        <v>186</v>
      </c>
      <c r="J2878">
        <v>0.2</v>
      </c>
      <c r="K2878">
        <v>10.32</v>
      </c>
      <c r="L2878">
        <v>14.95</v>
      </c>
      <c r="M2878">
        <v>15.18</v>
      </c>
      <c r="N2878">
        <v>14.76</v>
      </c>
      <c r="O2878">
        <v>14.81</v>
      </c>
      <c r="P2878">
        <v>75.47</v>
      </c>
      <c r="Q2878">
        <v>232166688</v>
      </c>
      <c r="R2878">
        <v>1.03</v>
      </c>
      <c r="S2878" t="s">
        <v>213</v>
      </c>
      <c r="T2878" t="s">
        <v>152</v>
      </c>
      <c r="U2878">
        <v>2.84</v>
      </c>
      <c r="V2878">
        <v>14.99</v>
      </c>
      <c r="W2878">
        <v>78274</v>
      </c>
      <c r="X2878">
        <v>76581</v>
      </c>
      <c r="Y2878">
        <v>1.02</v>
      </c>
      <c r="Z2878">
        <v>790</v>
      </c>
      <c r="AA2878">
        <v>1</v>
      </c>
      <c r="AB2878" t="s">
        <v>32</v>
      </c>
      <c r="AC2878">
        <v>1.5</v>
      </c>
    </row>
    <row r="2879" spans="1:29">
      <c r="A2879" t="str">
        <f>"600933"</f>
        <v>600933</v>
      </c>
      <c r="B2879" t="s">
        <v>3049</v>
      </c>
      <c r="C2879">
        <v>1.59</v>
      </c>
      <c r="D2879">
        <v>11.5</v>
      </c>
      <c r="E2879">
        <v>0.18</v>
      </c>
      <c r="F2879">
        <v>11.49</v>
      </c>
      <c r="G2879">
        <v>11.5</v>
      </c>
      <c r="H2879">
        <v>40423</v>
      </c>
      <c r="I2879">
        <v>2</v>
      </c>
      <c r="J2879">
        <v>0</v>
      </c>
      <c r="K2879">
        <v>2.92</v>
      </c>
      <c r="L2879">
        <v>11.35</v>
      </c>
      <c r="M2879">
        <v>11.55</v>
      </c>
      <c r="N2879">
        <v>11.3</v>
      </c>
      <c r="O2879">
        <v>11.32</v>
      </c>
      <c r="P2879">
        <v>20.74</v>
      </c>
      <c r="Q2879">
        <v>46381400</v>
      </c>
      <c r="R2879">
        <v>1.83</v>
      </c>
      <c r="S2879" t="s">
        <v>80</v>
      </c>
      <c r="T2879" t="s">
        <v>149</v>
      </c>
      <c r="U2879">
        <v>2.21</v>
      </c>
      <c r="V2879">
        <v>11.47</v>
      </c>
      <c r="W2879">
        <v>17667</v>
      </c>
      <c r="X2879">
        <v>22755</v>
      </c>
      <c r="Y2879">
        <v>0.78</v>
      </c>
      <c r="Z2879">
        <v>137</v>
      </c>
      <c r="AA2879">
        <v>1239</v>
      </c>
      <c r="AB2879" t="s">
        <v>32</v>
      </c>
      <c r="AC2879">
        <v>1.38</v>
      </c>
    </row>
    <row r="2880" spans="1:29">
      <c r="A2880" t="str">
        <f>"600936"</f>
        <v>600936</v>
      </c>
      <c r="B2880" t="s">
        <v>3050</v>
      </c>
      <c r="C2880">
        <v>2.52</v>
      </c>
      <c r="D2880">
        <v>4.89</v>
      </c>
      <c r="E2880">
        <v>0.12</v>
      </c>
      <c r="F2880">
        <v>4.89</v>
      </c>
      <c r="G2880">
        <v>4.9</v>
      </c>
      <c r="H2880">
        <v>39573</v>
      </c>
      <c r="I2880">
        <v>890</v>
      </c>
      <c r="J2880">
        <v>0.41</v>
      </c>
      <c r="K2880">
        <v>0.33</v>
      </c>
      <c r="L2880">
        <v>4.78</v>
      </c>
      <c r="M2880">
        <v>4.92</v>
      </c>
      <c r="N2880">
        <v>4.77</v>
      </c>
      <c r="O2880">
        <v>4.77</v>
      </c>
      <c r="P2880">
        <v>43.27</v>
      </c>
      <c r="Q2880">
        <v>19280500</v>
      </c>
      <c r="R2880">
        <v>2.54</v>
      </c>
      <c r="S2880" t="s">
        <v>148</v>
      </c>
      <c r="T2880" t="s">
        <v>238</v>
      </c>
      <c r="U2880">
        <v>3.14</v>
      </c>
      <c r="V2880">
        <v>4.87</v>
      </c>
      <c r="W2880">
        <v>16716</v>
      </c>
      <c r="X2880">
        <v>22856</v>
      </c>
      <c r="Y2880">
        <v>0.73</v>
      </c>
      <c r="Z2880">
        <v>109</v>
      </c>
      <c r="AA2880">
        <v>678</v>
      </c>
      <c r="AB2880" t="s">
        <v>32</v>
      </c>
      <c r="AC2880">
        <v>11.96</v>
      </c>
    </row>
    <row r="2881" spans="1:29">
      <c r="A2881" t="str">
        <f>"600939"</f>
        <v>600939</v>
      </c>
      <c r="B2881" t="s">
        <v>3051</v>
      </c>
      <c r="C2881">
        <v>10.1</v>
      </c>
      <c r="D2881">
        <v>5.78</v>
      </c>
      <c r="E2881">
        <v>0.53</v>
      </c>
      <c r="F2881">
        <v>5.78</v>
      </c>
      <c r="G2881" t="s">
        <v>32</v>
      </c>
      <c r="H2881">
        <v>106284</v>
      </c>
      <c r="I2881">
        <v>10</v>
      </c>
      <c r="J2881">
        <v>0</v>
      </c>
      <c r="K2881">
        <v>2.59</v>
      </c>
      <c r="L2881">
        <v>5.4</v>
      </c>
      <c r="M2881">
        <v>5.78</v>
      </c>
      <c r="N2881">
        <v>5.33</v>
      </c>
      <c r="O2881">
        <v>5.25</v>
      </c>
      <c r="P2881">
        <v>44.96</v>
      </c>
      <c r="Q2881">
        <v>59980556</v>
      </c>
      <c r="R2881">
        <v>2.99</v>
      </c>
      <c r="S2881" t="s">
        <v>49</v>
      </c>
      <c r="T2881" t="s">
        <v>221</v>
      </c>
      <c r="U2881">
        <v>8.57</v>
      </c>
      <c r="V2881">
        <v>5.64</v>
      </c>
      <c r="W2881">
        <v>60285</v>
      </c>
      <c r="X2881">
        <v>45999</v>
      </c>
      <c r="Y2881">
        <v>1.31</v>
      </c>
      <c r="Z2881">
        <v>31494</v>
      </c>
      <c r="AA2881">
        <v>0</v>
      </c>
      <c r="AB2881" t="s">
        <v>32</v>
      </c>
      <c r="AC2881">
        <v>4.1</v>
      </c>
    </row>
    <row r="2882" spans="1:29">
      <c r="A2882" t="str">
        <f>"600958"</f>
        <v>600958</v>
      </c>
      <c r="B2882" t="s">
        <v>3052</v>
      </c>
      <c r="C2882">
        <v>2.11</v>
      </c>
      <c r="D2882">
        <v>9.18</v>
      </c>
      <c r="E2882">
        <v>0.19</v>
      </c>
      <c r="F2882">
        <v>9.17</v>
      </c>
      <c r="G2882">
        <v>9.19</v>
      </c>
      <c r="H2882">
        <v>208823</v>
      </c>
      <c r="I2882">
        <v>50</v>
      </c>
      <c r="J2882">
        <v>-0.21</v>
      </c>
      <c r="K2882">
        <v>0.4</v>
      </c>
      <c r="L2882">
        <v>8.99</v>
      </c>
      <c r="M2882">
        <v>9.33</v>
      </c>
      <c r="N2882">
        <v>8.99</v>
      </c>
      <c r="O2882">
        <v>8.99</v>
      </c>
      <c r="P2882">
        <v>36.8</v>
      </c>
      <c r="Q2882">
        <v>191815440</v>
      </c>
      <c r="R2882">
        <v>1.94</v>
      </c>
      <c r="S2882" t="s">
        <v>158</v>
      </c>
      <c r="T2882" t="s">
        <v>366</v>
      </c>
      <c r="U2882">
        <v>3.78</v>
      </c>
      <c r="V2882">
        <v>9.19</v>
      </c>
      <c r="W2882">
        <v>102999</v>
      </c>
      <c r="X2882">
        <v>105824</v>
      </c>
      <c r="Y2882">
        <v>0.97</v>
      </c>
      <c r="Z2882">
        <v>499</v>
      </c>
      <c r="AA2882">
        <v>364</v>
      </c>
      <c r="AB2882" t="s">
        <v>32</v>
      </c>
      <c r="AC2882">
        <v>51.88</v>
      </c>
    </row>
    <row r="2883" spans="1:29">
      <c r="A2883" t="str">
        <f>"600959"</f>
        <v>600959</v>
      </c>
      <c r="B2883" t="s">
        <v>3053</v>
      </c>
      <c r="C2883">
        <v>3.35</v>
      </c>
      <c r="D2883">
        <v>5.25</v>
      </c>
      <c r="E2883">
        <v>0.17</v>
      </c>
      <c r="F2883">
        <v>5.24</v>
      </c>
      <c r="G2883">
        <v>5.25</v>
      </c>
      <c r="H2883">
        <v>123630</v>
      </c>
      <c r="I2883">
        <v>50</v>
      </c>
      <c r="J2883">
        <v>0</v>
      </c>
      <c r="K2883">
        <v>0.32</v>
      </c>
      <c r="L2883">
        <v>5.09</v>
      </c>
      <c r="M2883">
        <v>5.26</v>
      </c>
      <c r="N2883">
        <v>5.06</v>
      </c>
      <c r="O2883">
        <v>5.08</v>
      </c>
      <c r="P2883">
        <v>37.58</v>
      </c>
      <c r="Q2883">
        <v>64109164</v>
      </c>
      <c r="R2883">
        <v>2.24</v>
      </c>
      <c r="S2883" t="s">
        <v>148</v>
      </c>
      <c r="T2883" t="s">
        <v>87</v>
      </c>
      <c r="U2883">
        <v>3.94</v>
      </c>
      <c r="V2883">
        <v>5.19</v>
      </c>
      <c r="W2883">
        <v>48553</v>
      </c>
      <c r="X2883">
        <v>75077</v>
      </c>
      <c r="Y2883">
        <v>0.65</v>
      </c>
      <c r="Z2883">
        <v>255</v>
      </c>
      <c r="AA2883">
        <v>733</v>
      </c>
      <c r="AB2883" t="s">
        <v>32</v>
      </c>
      <c r="AC2883">
        <v>38.85</v>
      </c>
    </row>
    <row r="2884" spans="1:29">
      <c r="A2884" t="str">
        <f>"600960"</f>
        <v>600960</v>
      </c>
      <c r="B2884" t="s">
        <v>3054</v>
      </c>
      <c r="C2884">
        <v>0.32</v>
      </c>
      <c r="D2884">
        <v>6.27</v>
      </c>
      <c r="E2884">
        <v>0.02</v>
      </c>
      <c r="F2884">
        <v>6.27</v>
      </c>
      <c r="G2884">
        <v>6.28</v>
      </c>
      <c r="H2884">
        <v>87467</v>
      </c>
      <c r="I2884">
        <v>10</v>
      </c>
      <c r="J2884">
        <v>0</v>
      </c>
      <c r="K2884">
        <v>1.29</v>
      </c>
      <c r="L2884">
        <v>6.26</v>
      </c>
      <c r="M2884">
        <v>6.3</v>
      </c>
      <c r="N2884">
        <v>6.2</v>
      </c>
      <c r="O2884">
        <v>6.25</v>
      </c>
      <c r="P2884">
        <v>43.46</v>
      </c>
      <c r="Q2884">
        <v>54746804</v>
      </c>
      <c r="R2884">
        <v>0.87</v>
      </c>
      <c r="S2884" t="s">
        <v>80</v>
      </c>
      <c r="T2884" t="s">
        <v>162</v>
      </c>
      <c r="U2884">
        <v>1.6</v>
      </c>
      <c r="V2884">
        <v>6.26</v>
      </c>
      <c r="W2884">
        <v>44532</v>
      </c>
      <c r="X2884">
        <v>42935</v>
      </c>
      <c r="Y2884">
        <v>1.04</v>
      </c>
      <c r="Z2884">
        <v>55</v>
      </c>
      <c r="AA2884">
        <v>883</v>
      </c>
      <c r="AB2884" t="s">
        <v>32</v>
      </c>
      <c r="AC2884">
        <v>6.8</v>
      </c>
    </row>
    <row r="2885" spans="1:29">
      <c r="A2885" t="str">
        <f>"600961"</f>
        <v>600961</v>
      </c>
      <c r="B2885" t="s">
        <v>3055</v>
      </c>
      <c r="C2885">
        <v>1.99</v>
      </c>
      <c r="D2885">
        <v>6.67</v>
      </c>
      <c r="E2885">
        <v>0.13</v>
      </c>
      <c r="F2885">
        <v>6.65</v>
      </c>
      <c r="G2885">
        <v>6.68</v>
      </c>
      <c r="H2885">
        <v>15716</v>
      </c>
      <c r="I2885">
        <v>23</v>
      </c>
      <c r="J2885">
        <v>-0.14</v>
      </c>
      <c r="K2885">
        <v>0.3</v>
      </c>
      <c r="L2885">
        <v>6.5</v>
      </c>
      <c r="M2885">
        <v>6.83</v>
      </c>
      <c r="N2885">
        <v>6.49</v>
      </c>
      <c r="O2885">
        <v>6.54</v>
      </c>
      <c r="P2885" t="s">
        <v>32</v>
      </c>
      <c r="Q2885">
        <v>10490609</v>
      </c>
      <c r="R2885">
        <v>0.91</v>
      </c>
      <c r="S2885" t="s">
        <v>113</v>
      </c>
      <c r="T2885" t="s">
        <v>152</v>
      </c>
      <c r="U2885">
        <v>5.2</v>
      </c>
      <c r="V2885">
        <v>6.68</v>
      </c>
      <c r="W2885">
        <v>6138</v>
      </c>
      <c r="X2885">
        <v>9578</v>
      </c>
      <c r="Y2885">
        <v>0.64</v>
      </c>
      <c r="Z2885">
        <v>1054</v>
      </c>
      <c r="AA2885">
        <v>146</v>
      </c>
      <c r="AB2885" t="s">
        <v>32</v>
      </c>
      <c r="AC2885">
        <v>5.27</v>
      </c>
    </row>
    <row r="2886" spans="1:29">
      <c r="A2886" t="str">
        <f>"600962"</f>
        <v>600962</v>
      </c>
      <c r="B2886" t="s">
        <v>3056</v>
      </c>
      <c r="C2886">
        <v>1.07</v>
      </c>
      <c r="D2886">
        <v>8.52</v>
      </c>
      <c r="E2886">
        <v>0.09</v>
      </c>
      <c r="F2886">
        <v>8.52</v>
      </c>
      <c r="G2886">
        <v>8.53</v>
      </c>
      <c r="H2886">
        <v>37426</v>
      </c>
      <c r="I2886">
        <v>7</v>
      </c>
      <c r="J2886">
        <v>0</v>
      </c>
      <c r="K2886">
        <v>1.47</v>
      </c>
      <c r="L2886">
        <v>8.35</v>
      </c>
      <c r="M2886">
        <v>8.6</v>
      </c>
      <c r="N2886">
        <v>8.33</v>
      </c>
      <c r="O2886">
        <v>8.43</v>
      </c>
      <c r="P2886">
        <v>246.95</v>
      </c>
      <c r="Q2886">
        <v>31766780</v>
      </c>
      <c r="R2886">
        <v>1.42</v>
      </c>
      <c r="S2886" t="s">
        <v>61</v>
      </c>
      <c r="T2886" t="s">
        <v>45</v>
      </c>
      <c r="U2886">
        <v>3.2</v>
      </c>
      <c r="V2886">
        <v>8.49</v>
      </c>
      <c r="W2886">
        <v>18237</v>
      </c>
      <c r="X2886">
        <v>19188</v>
      </c>
      <c r="Y2886">
        <v>0.95</v>
      </c>
      <c r="Z2886">
        <v>135</v>
      </c>
      <c r="AA2886">
        <v>306</v>
      </c>
      <c r="AB2886" t="s">
        <v>32</v>
      </c>
      <c r="AC2886">
        <v>2.54</v>
      </c>
    </row>
    <row r="2887" spans="1:29">
      <c r="A2887" t="str">
        <f>"600963"</f>
        <v>600963</v>
      </c>
      <c r="B2887" t="s">
        <v>3057</v>
      </c>
      <c r="C2887">
        <v>1.97</v>
      </c>
      <c r="D2887">
        <v>5.18</v>
      </c>
      <c r="E2887">
        <v>0.1</v>
      </c>
      <c r="F2887">
        <v>5.18</v>
      </c>
      <c r="G2887">
        <v>5.19</v>
      </c>
      <c r="H2887">
        <v>273125</v>
      </c>
      <c r="I2887">
        <v>82</v>
      </c>
      <c r="J2887">
        <v>0.39</v>
      </c>
      <c r="K2887">
        <v>2.62</v>
      </c>
      <c r="L2887">
        <v>5.08</v>
      </c>
      <c r="M2887">
        <v>5.26</v>
      </c>
      <c r="N2887">
        <v>5.06</v>
      </c>
      <c r="O2887">
        <v>5.08</v>
      </c>
      <c r="P2887">
        <v>11.8</v>
      </c>
      <c r="Q2887">
        <v>141582688</v>
      </c>
      <c r="R2887">
        <v>3.51</v>
      </c>
      <c r="S2887" t="s">
        <v>204</v>
      </c>
      <c r="T2887" t="s">
        <v>152</v>
      </c>
      <c r="U2887">
        <v>3.94</v>
      </c>
      <c r="V2887">
        <v>5.18</v>
      </c>
      <c r="W2887">
        <v>152481</v>
      </c>
      <c r="X2887">
        <v>120643</v>
      </c>
      <c r="Y2887">
        <v>1.26</v>
      </c>
      <c r="Z2887">
        <v>204</v>
      </c>
      <c r="AA2887">
        <v>52</v>
      </c>
      <c r="AB2887" t="s">
        <v>32</v>
      </c>
      <c r="AC2887">
        <v>10.43</v>
      </c>
    </row>
    <row r="2888" spans="1:29">
      <c r="A2888" t="str">
        <f>"600965"</f>
        <v>600965</v>
      </c>
      <c r="B2888" t="s">
        <v>3058</v>
      </c>
      <c r="C2888">
        <v>3.02</v>
      </c>
      <c r="D2888">
        <v>10.92</v>
      </c>
      <c r="E2888">
        <v>0.32</v>
      </c>
      <c r="F2888">
        <v>10.9</v>
      </c>
      <c r="G2888">
        <v>10.91</v>
      </c>
      <c r="H2888">
        <v>17123</v>
      </c>
      <c r="I2888">
        <v>24</v>
      </c>
      <c r="J2888">
        <v>0</v>
      </c>
      <c r="K2888">
        <v>0.21</v>
      </c>
      <c r="L2888">
        <v>10.65</v>
      </c>
      <c r="M2888">
        <v>11.05</v>
      </c>
      <c r="N2888">
        <v>10.56</v>
      </c>
      <c r="O2888">
        <v>10.6</v>
      </c>
      <c r="P2888">
        <v>61.61</v>
      </c>
      <c r="Q2888">
        <v>18652796</v>
      </c>
      <c r="R2888">
        <v>1.7</v>
      </c>
      <c r="S2888" t="s">
        <v>115</v>
      </c>
      <c r="T2888" t="s">
        <v>154</v>
      </c>
      <c r="U2888">
        <v>4.62</v>
      </c>
      <c r="V2888">
        <v>10.89</v>
      </c>
      <c r="W2888">
        <v>6784</v>
      </c>
      <c r="X2888">
        <v>10338</v>
      </c>
      <c r="Y2888">
        <v>0.66</v>
      </c>
      <c r="Z2888">
        <v>94</v>
      </c>
      <c r="AA2888">
        <v>5</v>
      </c>
      <c r="AB2888" t="s">
        <v>32</v>
      </c>
      <c r="AC2888">
        <v>8.19</v>
      </c>
    </row>
    <row r="2889" spans="1:29">
      <c r="A2889" t="str">
        <f>"600966"</f>
        <v>600966</v>
      </c>
      <c r="B2889" t="s">
        <v>3059</v>
      </c>
      <c r="C2889">
        <v>3.46</v>
      </c>
      <c r="D2889">
        <v>4.19</v>
      </c>
      <c r="E2889">
        <v>0.14</v>
      </c>
      <c r="F2889">
        <v>4.19</v>
      </c>
      <c r="G2889">
        <v>4.2</v>
      </c>
      <c r="H2889">
        <v>203177</v>
      </c>
      <c r="I2889">
        <v>52</v>
      </c>
      <c r="J2889">
        <v>0</v>
      </c>
      <c r="K2889">
        <v>1.52</v>
      </c>
      <c r="L2889">
        <v>4.05</v>
      </c>
      <c r="M2889">
        <v>4.24</v>
      </c>
      <c r="N2889">
        <v>4.03</v>
      </c>
      <c r="O2889">
        <v>4.05</v>
      </c>
      <c r="P2889">
        <v>6.83</v>
      </c>
      <c r="Q2889">
        <v>84604920</v>
      </c>
      <c r="R2889">
        <v>2.87</v>
      </c>
      <c r="S2889" t="s">
        <v>204</v>
      </c>
      <c r="T2889" t="s">
        <v>162</v>
      </c>
      <c r="U2889">
        <v>5.19</v>
      </c>
      <c r="V2889">
        <v>4.16</v>
      </c>
      <c r="W2889">
        <v>95682</v>
      </c>
      <c r="X2889">
        <v>107495</v>
      </c>
      <c r="Y2889">
        <v>0.89</v>
      </c>
      <c r="Z2889">
        <v>3129</v>
      </c>
      <c r="AA2889">
        <v>3811</v>
      </c>
      <c r="AB2889" t="s">
        <v>32</v>
      </c>
      <c r="AC2889">
        <v>13.37</v>
      </c>
    </row>
    <row r="2890" spans="1:29">
      <c r="A2890" t="str">
        <f>"600967"</f>
        <v>600967</v>
      </c>
      <c r="B2890" t="s">
        <v>3060</v>
      </c>
      <c r="C2890">
        <v>-0.37</v>
      </c>
      <c r="D2890">
        <v>13.45</v>
      </c>
      <c r="E2890">
        <v>-0.05</v>
      </c>
      <c r="F2890">
        <v>13.45</v>
      </c>
      <c r="G2890">
        <v>13.46</v>
      </c>
      <c r="H2890">
        <v>141193</v>
      </c>
      <c r="I2890">
        <v>18</v>
      </c>
      <c r="J2890">
        <v>0.07</v>
      </c>
      <c r="K2890">
        <v>1.47</v>
      </c>
      <c r="L2890">
        <v>13.55</v>
      </c>
      <c r="M2890">
        <v>13.57</v>
      </c>
      <c r="N2890">
        <v>13.23</v>
      </c>
      <c r="O2890">
        <v>13.5</v>
      </c>
      <c r="P2890">
        <v>94.12</v>
      </c>
      <c r="Q2890">
        <v>189124192</v>
      </c>
      <c r="R2890">
        <v>1.49</v>
      </c>
      <c r="S2890" t="s">
        <v>44</v>
      </c>
      <c r="T2890" t="s">
        <v>198</v>
      </c>
      <c r="U2890">
        <v>2.52</v>
      </c>
      <c r="V2890">
        <v>13.39</v>
      </c>
      <c r="W2890">
        <v>78431</v>
      </c>
      <c r="X2890">
        <v>62761</v>
      </c>
      <c r="Y2890">
        <v>1.25</v>
      </c>
      <c r="Z2890">
        <v>543</v>
      </c>
      <c r="AA2890">
        <v>305</v>
      </c>
      <c r="AB2890" t="s">
        <v>32</v>
      </c>
      <c r="AC2890">
        <v>9.6</v>
      </c>
    </row>
    <row r="2891" spans="1:29">
      <c r="A2891" t="str">
        <f>"600969"</f>
        <v>600969</v>
      </c>
      <c r="B2891" t="s">
        <v>3061</v>
      </c>
      <c r="C2891">
        <v>3.46</v>
      </c>
      <c r="D2891">
        <v>6.58</v>
      </c>
      <c r="E2891">
        <v>0.22</v>
      </c>
      <c r="F2891">
        <v>6.58</v>
      </c>
      <c r="G2891">
        <v>6.59</v>
      </c>
      <c r="H2891">
        <v>69686</v>
      </c>
      <c r="I2891">
        <v>28</v>
      </c>
      <c r="J2891">
        <v>-0.14</v>
      </c>
      <c r="K2891">
        <v>1.88</v>
      </c>
      <c r="L2891">
        <v>6.36</v>
      </c>
      <c r="M2891">
        <v>6.67</v>
      </c>
      <c r="N2891">
        <v>6.31</v>
      </c>
      <c r="O2891">
        <v>6.36</v>
      </c>
      <c r="P2891">
        <v>34.85</v>
      </c>
      <c r="Q2891">
        <v>45511264</v>
      </c>
      <c r="R2891">
        <v>2.38</v>
      </c>
      <c r="S2891" t="s">
        <v>312</v>
      </c>
      <c r="T2891" t="s">
        <v>152</v>
      </c>
      <c r="U2891">
        <v>5.66</v>
      </c>
      <c r="V2891">
        <v>6.53</v>
      </c>
      <c r="W2891">
        <v>29525</v>
      </c>
      <c r="X2891">
        <v>40161</v>
      </c>
      <c r="Y2891">
        <v>0.74</v>
      </c>
      <c r="Z2891">
        <v>351</v>
      </c>
      <c r="AA2891">
        <v>225</v>
      </c>
      <c r="AB2891" t="s">
        <v>32</v>
      </c>
      <c r="AC2891">
        <v>3.7</v>
      </c>
    </row>
    <row r="2892" spans="1:29">
      <c r="A2892" t="str">
        <f>"600970"</f>
        <v>600970</v>
      </c>
      <c r="B2892" t="s">
        <v>3062</v>
      </c>
      <c r="C2892">
        <v>3.17</v>
      </c>
      <c r="D2892">
        <v>7.17</v>
      </c>
      <c r="E2892">
        <v>0.22</v>
      </c>
      <c r="F2892">
        <v>7.16</v>
      </c>
      <c r="G2892">
        <v>7.17</v>
      </c>
      <c r="H2892">
        <v>626585</v>
      </c>
      <c r="I2892">
        <v>118</v>
      </c>
      <c r="J2892">
        <v>0.7</v>
      </c>
      <c r="K2892">
        <v>3.72</v>
      </c>
      <c r="L2892">
        <v>6.99</v>
      </c>
      <c r="M2892">
        <v>7.27</v>
      </c>
      <c r="N2892">
        <v>6.99</v>
      </c>
      <c r="O2892">
        <v>6.95</v>
      </c>
      <c r="P2892">
        <v>17.76</v>
      </c>
      <c r="Q2892">
        <v>447070272</v>
      </c>
      <c r="R2892">
        <v>1.83</v>
      </c>
      <c r="S2892" t="s">
        <v>49</v>
      </c>
      <c r="T2892" t="s">
        <v>87</v>
      </c>
      <c r="U2892">
        <v>4.03</v>
      </c>
      <c r="V2892">
        <v>7.14</v>
      </c>
      <c r="W2892">
        <v>291052</v>
      </c>
      <c r="X2892">
        <v>335532</v>
      </c>
      <c r="Y2892">
        <v>0.87</v>
      </c>
      <c r="Z2892">
        <v>516</v>
      </c>
      <c r="AA2892">
        <v>237</v>
      </c>
      <c r="AB2892" t="s">
        <v>32</v>
      </c>
      <c r="AC2892">
        <v>16.83</v>
      </c>
    </row>
    <row r="2893" spans="1:29">
      <c r="A2893" t="str">
        <f>"600971"</f>
        <v>600971</v>
      </c>
      <c r="B2893" t="s">
        <v>3063</v>
      </c>
      <c r="C2893">
        <v>3.52</v>
      </c>
      <c r="D2893">
        <v>6.76</v>
      </c>
      <c r="E2893">
        <v>0.23</v>
      </c>
      <c r="F2893">
        <v>6.75</v>
      </c>
      <c r="G2893">
        <v>6.76</v>
      </c>
      <c r="H2893">
        <v>232568</v>
      </c>
      <c r="I2893">
        <v>10</v>
      </c>
      <c r="J2893">
        <v>-0.14</v>
      </c>
      <c r="K2893">
        <v>2.33</v>
      </c>
      <c r="L2893">
        <v>6.53</v>
      </c>
      <c r="M2893">
        <v>6.85</v>
      </c>
      <c r="N2893">
        <v>6.53</v>
      </c>
      <c r="O2893">
        <v>6.53</v>
      </c>
      <c r="P2893">
        <v>8.29</v>
      </c>
      <c r="Q2893">
        <v>156330352</v>
      </c>
      <c r="R2893">
        <v>2.56</v>
      </c>
      <c r="S2893" t="s">
        <v>265</v>
      </c>
      <c r="T2893" t="s">
        <v>143</v>
      </c>
      <c r="U2893">
        <v>4.9</v>
      </c>
      <c r="V2893">
        <v>6.72</v>
      </c>
      <c r="W2893">
        <v>106439</v>
      </c>
      <c r="X2893">
        <v>126129</v>
      </c>
      <c r="Y2893">
        <v>0.84</v>
      </c>
      <c r="Z2893">
        <v>474</v>
      </c>
      <c r="AA2893">
        <v>362</v>
      </c>
      <c r="AB2893" t="s">
        <v>32</v>
      </c>
      <c r="AC2893">
        <v>10</v>
      </c>
    </row>
    <row r="2894" spans="1:29">
      <c r="A2894" t="str">
        <f>"600973"</f>
        <v>600973</v>
      </c>
      <c r="B2894" t="s">
        <v>3064</v>
      </c>
      <c r="C2894">
        <v>1.07</v>
      </c>
      <c r="D2894">
        <v>3.77</v>
      </c>
      <c r="E2894">
        <v>0.04</v>
      </c>
      <c r="F2894">
        <v>3.76</v>
      </c>
      <c r="G2894">
        <v>3.77</v>
      </c>
      <c r="H2894">
        <v>69661</v>
      </c>
      <c r="I2894">
        <v>50</v>
      </c>
      <c r="J2894">
        <v>0</v>
      </c>
      <c r="K2894">
        <v>0.78</v>
      </c>
      <c r="L2894">
        <v>3.72</v>
      </c>
      <c r="M2894">
        <v>3.78</v>
      </c>
      <c r="N2894">
        <v>3.72</v>
      </c>
      <c r="O2894">
        <v>3.73</v>
      </c>
      <c r="P2894">
        <v>35.02</v>
      </c>
      <c r="Q2894">
        <v>26182848</v>
      </c>
      <c r="R2894">
        <v>2.85</v>
      </c>
      <c r="S2894" t="s">
        <v>104</v>
      </c>
      <c r="T2894" t="s">
        <v>87</v>
      </c>
      <c r="U2894">
        <v>1.61</v>
      </c>
      <c r="V2894">
        <v>3.76</v>
      </c>
      <c r="W2894">
        <v>30622</v>
      </c>
      <c r="X2894">
        <v>39039</v>
      </c>
      <c r="Y2894">
        <v>0.78</v>
      </c>
      <c r="Z2894">
        <v>1265</v>
      </c>
      <c r="AA2894">
        <v>924</v>
      </c>
      <c r="AB2894" t="s">
        <v>32</v>
      </c>
      <c r="AC2894">
        <v>8.95</v>
      </c>
    </row>
    <row r="2895" spans="1:29">
      <c r="A2895" t="str">
        <f>"600975"</f>
        <v>600975</v>
      </c>
      <c r="B2895" t="s">
        <v>3065</v>
      </c>
      <c r="C2895">
        <v>1.43</v>
      </c>
      <c r="D2895">
        <v>4.27</v>
      </c>
      <c r="E2895">
        <v>0.06</v>
      </c>
      <c r="F2895">
        <v>4.26</v>
      </c>
      <c r="G2895">
        <v>4.27</v>
      </c>
      <c r="H2895">
        <v>64639</v>
      </c>
      <c r="I2895">
        <v>10</v>
      </c>
      <c r="J2895">
        <v>0.23</v>
      </c>
      <c r="K2895">
        <v>0.99</v>
      </c>
      <c r="L2895">
        <v>4.22</v>
      </c>
      <c r="M2895">
        <v>4.28</v>
      </c>
      <c r="N2895">
        <v>4.16</v>
      </c>
      <c r="O2895">
        <v>4.21</v>
      </c>
      <c r="P2895" t="s">
        <v>32</v>
      </c>
      <c r="Q2895">
        <v>27337432</v>
      </c>
      <c r="R2895">
        <v>1.84</v>
      </c>
      <c r="S2895" t="s">
        <v>115</v>
      </c>
      <c r="T2895" t="s">
        <v>152</v>
      </c>
      <c r="U2895">
        <v>2.85</v>
      </c>
      <c r="V2895">
        <v>4.23</v>
      </c>
      <c r="W2895">
        <v>27269</v>
      </c>
      <c r="X2895">
        <v>37369</v>
      </c>
      <c r="Y2895">
        <v>0.73</v>
      </c>
      <c r="Z2895">
        <v>59</v>
      </c>
      <c r="AA2895">
        <v>332</v>
      </c>
      <c r="AB2895" t="s">
        <v>32</v>
      </c>
      <c r="AC2895">
        <v>6.53</v>
      </c>
    </row>
    <row r="2896" spans="1:29">
      <c r="A2896" t="str">
        <f>"600976"</f>
        <v>600976</v>
      </c>
      <c r="B2896" t="s">
        <v>3066</v>
      </c>
      <c r="C2896">
        <v>2.26</v>
      </c>
      <c r="D2896">
        <v>20.39</v>
      </c>
      <c r="E2896">
        <v>0.45</v>
      </c>
      <c r="F2896">
        <v>20.39</v>
      </c>
      <c r="G2896">
        <v>20.4</v>
      </c>
      <c r="H2896">
        <v>11980</v>
      </c>
      <c r="I2896">
        <v>10</v>
      </c>
      <c r="J2896">
        <v>-0.09</v>
      </c>
      <c r="K2896">
        <v>0.78</v>
      </c>
      <c r="L2896">
        <v>19.85</v>
      </c>
      <c r="M2896">
        <v>20.56</v>
      </c>
      <c r="N2896">
        <v>19.85</v>
      </c>
      <c r="O2896">
        <v>19.94</v>
      </c>
      <c r="P2896">
        <v>27.04</v>
      </c>
      <c r="Q2896">
        <v>24252694</v>
      </c>
      <c r="R2896">
        <v>1.56</v>
      </c>
      <c r="S2896" t="s">
        <v>195</v>
      </c>
      <c r="T2896" t="s">
        <v>193</v>
      </c>
      <c r="U2896">
        <v>3.56</v>
      </c>
      <c r="V2896">
        <v>20.24</v>
      </c>
      <c r="W2896">
        <v>4367</v>
      </c>
      <c r="X2896">
        <v>7612</v>
      </c>
      <c r="Y2896">
        <v>0.57</v>
      </c>
      <c r="Z2896">
        <v>9</v>
      </c>
      <c r="AA2896">
        <v>27</v>
      </c>
      <c r="AB2896" t="s">
        <v>32</v>
      </c>
      <c r="AC2896">
        <v>1.53</v>
      </c>
    </row>
    <row r="2897" spans="1:29">
      <c r="A2897" t="str">
        <f>"600977"</f>
        <v>600977</v>
      </c>
      <c r="B2897" t="s">
        <v>3067</v>
      </c>
      <c r="C2897">
        <v>1.03</v>
      </c>
      <c r="D2897">
        <v>15.73</v>
      </c>
      <c r="E2897">
        <v>0.16</v>
      </c>
      <c r="F2897">
        <v>15.73</v>
      </c>
      <c r="G2897">
        <v>15.74</v>
      </c>
      <c r="H2897">
        <v>73541</v>
      </c>
      <c r="I2897">
        <v>3</v>
      </c>
      <c r="J2897">
        <v>0</v>
      </c>
      <c r="K2897">
        <v>1.3</v>
      </c>
      <c r="L2897">
        <v>15.63</v>
      </c>
      <c r="M2897">
        <v>15.84</v>
      </c>
      <c r="N2897">
        <v>15.53</v>
      </c>
      <c r="O2897">
        <v>15.57</v>
      </c>
      <c r="P2897">
        <v>21.6</v>
      </c>
      <c r="Q2897">
        <v>115697136</v>
      </c>
      <c r="R2897">
        <v>1.77</v>
      </c>
      <c r="S2897" t="s">
        <v>148</v>
      </c>
      <c r="T2897" t="s">
        <v>45</v>
      </c>
      <c r="U2897">
        <v>1.99</v>
      </c>
      <c r="V2897">
        <v>15.73</v>
      </c>
      <c r="W2897">
        <v>34044</v>
      </c>
      <c r="X2897">
        <v>39497</v>
      </c>
      <c r="Y2897">
        <v>0.86</v>
      </c>
      <c r="Z2897">
        <v>17</v>
      </c>
      <c r="AA2897">
        <v>1069</v>
      </c>
      <c r="AB2897" t="s">
        <v>32</v>
      </c>
      <c r="AC2897">
        <v>5.65</v>
      </c>
    </row>
    <row r="2898" spans="1:29">
      <c r="A2898" t="str">
        <f>"600978"</f>
        <v>600978</v>
      </c>
      <c r="B2898" t="s">
        <v>3068</v>
      </c>
      <c r="C2898">
        <v>1.8</v>
      </c>
      <c r="D2898">
        <v>6.8</v>
      </c>
      <c r="E2898">
        <v>0.12</v>
      </c>
      <c r="F2898">
        <v>6.8</v>
      </c>
      <c r="G2898">
        <v>6.81</v>
      </c>
      <c r="H2898">
        <v>84594</v>
      </c>
      <c r="I2898">
        <v>10</v>
      </c>
      <c r="J2898">
        <v>0</v>
      </c>
      <c r="K2898">
        <v>0.57</v>
      </c>
      <c r="L2898">
        <v>6.67</v>
      </c>
      <c r="M2898">
        <v>6.82</v>
      </c>
      <c r="N2898">
        <v>6.65</v>
      </c>
      <c r="O2898">
        <v>6.68</v>
      </c>
      <c r="P2898">
        <v>13.66</v>
      </c>
      <c r="Q2898">
        <v>57226740</v>
      </c>
      <c r="R2898">
        <v>1.98</v>
      </c>
      <c r="S2898" t="s">
        <v>545</v>
      </c>
      <c r="T2898" t="s">
        <v>136</v>
      </c>
      <c r="U2898">
        <v>2.54</v>
      </c>
      <c r="V2898">
        <v>6.76</v>
      </c>
      <c r="W2898">
        <v>39164</v>
      </c>
      <c r="X2898">
        <v>45429</v>
      </c>
      <c r="Y2898">
        <v>0.86</v>
      </c>
      <c r="Z2898">
        <v>51</v>
      </c>
      <c r="AA2898">
        <v>1487</v>
      </c>
      <c r="AB2898" t="s">
        <v>32</v>
      </c>
      <c r="AC2898">
        <v>14.83</v>
      </c>
    </row>
    <row r="2899" spans="1:29">
      <c r="A2899" t="str">
        <f>"600979"</f>
        <v>600979</v>
      </c>
      <c r="B2899" t="s">
        <v>3069</v>
      </c>
      <c r="C2899">
        <v>0.99</v>
      </c>
      <c r="D2899">
        <v>4.07</v>
      </c>
      <c r="E2899">
        <v>0.04</v>
      </c>
      <c r="F2899">
        <v>4.07</v>
      </c>
      <c r="G2899">
        <v>4.08</v>
      </c>
      <c r="H2899">
        <v>46732</v>
      </c>
      <c r="I2899">
        <v>20</v>
      </c>
      <c r="J2899">
        <v>-0.24</v>
      </c>
      <c r="K2899">
        <v>0.65</v>
      </c>
      <c r="L2899">
        <v>4</v>
      </c>
      <c r="M2899">
        <v>4.09</v>
      </c>
      <c r="N2899">
        <v>4</v>
      </c>
      <c r="O2899">
        <v>4.03</v>
      </c>
      <c r="P2899">
        <v>21.13</v>
      </c>
      <c r="Q2899">
        <v>18985320</v>
      </c>
      <c r="R2899">
        <v>2.5</v>
      </c>
      <c r="S2899" t="s">
        <v>312</v>
      </c>
      <c r="T2899" t="s">
        <v>146</v>
      </c>
      <c r="U2899">
        <v>2.23</v>
      </c>
      <c r="V2899">
        <v>4.06</v>
      </c>
      <c r="W2899">
        <v>20884</v>
      </c>
      <c r="X2899">
        <v>25847</v>
      </c>
      <c r="Y2899">
        <v>0.81</v>
      </c>
      <c r="Z2899">
        <v>259</v>
      </c>
      <c r="AA2899">
        <v>478</v>
      </c>
      <c r="AB2899" t="s">
        <v>32</v>
      </c>
      <c r="AC2899">
        <v>7.18</v>
      </c>
    </row>
    <row r="2900" spans="1:29">
      <c r="A2900" t="str">
        <f>"600980"</f>
        <v>600980</v>
      </c>
      <c r="B2900" t="s">
        <v>3070</v>
      </c>
      <c r="C2900">
        <v>1.54</v>
      </c>
      <c r="D2900">
        <v>12.54</v>
      </c>
      <c r="E2900">
        <v>0.19</v>
      </c>
      <c r="F2900">
        <v>12.53</v>
      </c>
      <c r="G2900">
        <v>12.54</v>
      </c>
      <c r="H2900">
        <v>17660</v>
      </c>
      <c r="I2900">
        <v>20</v>
      </c>
      <c r="J2900">
        <v>-0.15</v>
      </c>
      <c r="K2900">
        <v>1.23</v>
      </c>
      <c r="L2900">
        <v>12.37</v>
      </c>
      <c r="M2900">
        <v>12.74</v>
      </c>
      <c r="N2900">
        <v>12.33</v>
      </c>
      <c r="O2900">
        <v>12.35</v>
      </c>
      <c r="P2900">
        <v>123.75</v>
      </c>
      <c r="Q2900">
        <v>22124376</v>
      </c>
      <c r="R2900">
        <v>1.23</v>
      </c>
      <c r="S2900" t="s">
        <v>63</v>
      </c>
      <c r="T2900" t="s">
        <v>45</v>
      </c>
      <c r="U2900">
        <v>3.32</v>
      </c>
      <c r="V2900">
        <v>12.53</v>
      </c>
      <c r="W2900">
        <v>8304</v>
      </c>
      <c r="X2900">
        <v>9356</v>
      </c>
      <c r="Y2900">
        <v>0.89</v>
      </c>
      <c r="Z2900">
        <v>60</v>
      </c>
      <c r="AA2900">
        <v>63</v>
      </c>
      <c r="AB2900" t="s">
        <v>32</v>
      </c>
      <c r="AC2900">
        <v>1.43</v>
      </c>
    </row>
    <row r="2901" spans="1:29">
      <c r="A2901" t="str">
        <f>"600981"</f>
        <v>600981</v>
      </c>
      <c r="B2901" t="s">
        <v>3071</v>
      </c>
      <c r="C2901">
        <v>1.62</v>
      </c>
      <c r="D2901">
        <v>4.4</v>
      </c>
      <c r="E2901">
        <v>0.07</v>
      </c>
      <c r="F2901">
        <v>4.4</v>
      </c>
      <c r="G2901">
        <v>4.41</v>
      </c>
      <c r="H2901">
        <v>22455</v>
      </c>
      <c r="I2901">
        <v>1</v>
      </c>
      <c r="J2901">
        <v>0</v>
      </c>
      <c r="K2901">
        <v>0.93</v>
      </c>
      <c r="L2901">
        <v>4.33</v>
      </c>
      <c r="M2901">
        <v>4.46</v>
      </c>
      <c r="N2901">
        <v>4.31</v>
      </c>
      <c r="O2901">
        <v>4.33</v>
      </c>
      <c r="P2901">
        <v>20.7</v>
      </c>
      <c r="Q2901">
        <v>9885278</v>
      </c>
      <c r="R2901">
        <v>1.51</v>
      </c>
      <c r="S2901" t="s">
        <v>140</v>
      </c>
      <c r="T2901" t="s">
        <v>87</v>
      </c>
      <c r="U2901">
        <v>3.46</v>
      </c>
      <c r="V2901">
        <v>4.4</v>
      </c>
      <c r="W2901">
        <v>11048</v>
      </c>
      <c r="X2901">
        <v>11407</v>
      </c>
      <c r="Y2901">
        <v>0.97</v>
      </c>
      <c r="Z2901">
        <v>89</v>
      </c>
      <c r="AA2901">
        <v>548</v>
      </c>
      <c r="AB2901" t="s">
        <v>32</v>
      </c>
      <c r="AC2901">
        <v>2.42</v>
      </c>
    </row>
    <row r="2902" spans="1:29">
      <c r="A2902" t="str">
        <f>"600982"</f>
        <v>600982</v>
      </c>
      <c r="B2902" t="s">
        <v>3072</v>
      </c>
      <c r="C2902">
        <v>1.9</v>
      </c>
      <c r="D2902">
        <v>3.21</v>
      </c>
      <c r="E2902">
        <v>0.06</v>
      </c>
      <c r="F2902">
        <v>3.21</v>
      </c>
      <c r="G2902">
        <v>3.22</v>
      </c>
      <c r="H2902">
        <v>32621</v>
      </c>
      <c r="I2902">
        <v>1</v>
      </c>
      <c r="J2902">
        <v>0</v>
      </c>
      <c r="K2902">
        <v>0.44</v>
      </c>
      <c r="L2902">
        <v>3.16</v>
      </c>
      <c r="M2902">
        <v>3.22</v>
      </c>
      <c r="N2902">
        <v>3.14</v>
      </c>
      <c r="O2902">
        <v>3.15</v>
      </c>
      <c r="P2902">
        <v>30.83</v>
      </c>
      <c r="Q2902">
        <v>10405245</v>
      </c>
      <c r="R2902">
        <v>1.49</v>
      </c>
      <c r="S2902" t="s">
        <v>174</v>
      </c>
      <c r="T2902" t="s">
        <v>149</v>
      </c>
      <c r="U2902">
        <v>2.54</v>
      </c>
      <c r="V2902">
        <v>3.19</v>
      </c>
      <c r="W2902">
        <v>12847</v>
      </c>
      <c r="X2902">
        <v>19773</v>
      </c>
      <c r="Y2902">
        <v>0.65</v>
      </c>
      <c r="Z2902">
        <v>326</v>
      </c>
      <c r="AA2902">
        <v>1453</v>
      </c>
      <c r="AB2902" t="s">
        <v>32</v>
      </c>
      <c r="AC2902">
        <v>7.47</v>
      </c>
    </row>
    <row r="2903" spans="1:29">
      <c r="A2903" t="str">
        <f>"600983"</f>
        <v>600983</v>
      </c>
      <c r="B2903" t="s">
        <v>3073</v>
      </c>
      <c r="C2903">
        <v>1.77</v>
      </c>
      <c r="D2903">
        <v>6.9</v>
      </c>
      <c r="E2903">
        <v>0.12</v>
      </c>
      <c r="F2903">
        <v>6.9</v>
      </c>
      <c r="G2903">
        <v>6.91</v>
      </c>
      <c r="H2903">
        <v>58533</v>
      </c>
      <c r="I2903">
        <v>42</v>
      </c>
      <c r="J2903">
        <v>-0.13</v>
      </c>
      <c r="K2903">
        <v>1.1</v>
      </c>
      <c r="L2903">
        <v>6.81</v>
      </c>
      <c r="M2903">
        <v>6.96</v>
      </c>
      <c r="N2903">
        <v>6.66</v>
      </c>
      <c r="O2903">
        <v>6.78</v>
      </c>
      <c r="P2903">
        <v>22.95</v>
      </c>
      <c r="Q2903">
        <v>39903632</v>
      </c>
      <c r="R2903">
        <v>1.42</v>
      </c>
      <c r="S2903" t="s">
        <v>55</v>
      </c>
      <c r="T2903" t="s">
        <v>143</v>
      </c>
      <c r="U2903">
        <v>4.42</v>
      </c>
      <c r="V2903">
        <v>6.82</v>
      </c>
      <c r="W2903">
        <v>29095</v>
      </c>
      <c r="X2903">
        <v>29437</v>
      </c>
      <c r="Y2903">
        <v>0.99</v>
      </c>
      <c r="Z2903">
        <v>226</v>
      </c>
      <c r="AA2903">
        <v>520</v>
      </c>
      <c r="AB2903" t="s">
        <v>32</v>
      </c>
      <c r="AC2903">
        <v>5.33</v>
      </c>
    </row>
    <row r="2904" spans="1:29">
      <c r="A2904" t="str">
        <f>"600984"</f>
        <v>600984</v>
      </c>
      <c r="B2904" t="s">
        <v>3074</v>
      </c>
      <c r="C2904">
        <v>1.72</v>
      </c>
      <c r="D2904">
        <v>5.9</v>
      </c>
      <c r="E2904">
        <v>0.1</v>
      </c>
      <c r="F2904">
        <v>5.9</v>
      </c>
      <c r="G2904">
        <v>5.91</v>
      </c>
      <c r="H2904">
        <v>89378</v>
      </c>
      <c r="I2904">
        <v>920</v>
      </c>
      <c r="J2904">
        <v>0.17</v>
      </c>
      <c r="K2904">
        <v>1.28</v>
      </c>
      <c r="L2904">
        <v>5.78</v>
      </c>
      <c r="M2904">
        <v>6</v>
      </c>
      <c r="N2904">
        <v>5.78</v>
      </c>
      <c r="O2904">
        <v>5.8</v>
      </c>
      <c r="P2904" t="s">
        <v>32</v>
      </c>
      <c r="Q2904">
        <v>52524176</v>
      </c>
      <c r="R2904">
        <v>3.58</v>
      </c>
      <c r="S2904" t="s">
        <v>151</v>
      </c>
      <c r="T2904" t="s">
        <v>223</v>
      </c>
      <c r="U2904">
        <v>3.79</v>
      </c>
      <c r="V2904">
        <v>5.88</v>
      </c>
      <c r="W2904">
        <v>33885</v>
      </c>
      <c r="X2904">
        <v>55492</v>
      </c>
      <c r="Y2904">
        <v>0.61</v>
      </c>
      <c r="Z2904">
        <v>81</v>
      </c>
      <c r="AA2904">
        <v>1249</v>
      </c>
      <c r="AB2904" t="s">
        <v>32</v>
      </c>
      <c r="AC2904">
        <v>7</v>
      </c>
    </row>
    <row r="2905" spans="1:29">
      <c r="A2905" t="str">
        <f>"600985"</f>
        <v>600985</v>
      </c>
      <c r="B2905" t="s">
        <v>3075</v>
      </c>
      <c r="C2905">
        <v>5.44</v>
      </c>
      <c r="D2905">
        <v>10.85</v>
      </c>
      <c r="E2905">
        <v>0.56</v>
      </c>
      <c r="F2905">
        <v>10.84</v>
      </c>
      <c r="G2905">
        <v>10.85</v>
      </c>
      <c r="H2905">
        <v>141593</v>
      </c>
      <c r="I2905">
        <v>16</v>
      </c>
      <c r="J2905">
        <v>-0.08</v>
      </c>
      <c r="K2905">
        <v>5.39</v>
      </c>
      <c r="L2905">
        <v>10.33</v>
      </c>
      <c r="M2905">
        <v>11.16</v>
      </c>
      <c r="N2905">
        <v>10.23</v>
      </c>
      <c r="O2905">
        <v>10.29</v>
      </c>
      <c r="P2905">
        <v>61.59</v>
      </c>
      <c r="Q2905">
        <v>152049152</v>
      </c>
      <c r="R2905">
        <v>1.73</v>
      </c>
      <c r="S2905" t="s">
        <v>218</v>
      </c>
      <c r="T2905" t="s">
        <v>143</v>
      </c>
      <c r="U2905">
        <v>9.04</v>
      </c>
      <c r="V2905">
        <v>10.74</v>
      </c>
      <c r="W2905">
        <v>69616</v>
      </c>
      <c r="X2905">
        <v>71976</v>
      </c>
      <c r="Y2905">
        <v>0.97</v>
      </c>
      <c r="Z2905">
        <v>164</v>
      </c>
      <c r="AA2905">
        <v>176</v>
      </c>
      <c r="AB2905" t="s">
        <v>32</v>
      </c>
      <c r="AC2905">
        <v>2.63</v>
      </c>
    </row>
    <row r="2906" spans="1:29">
      <c r="A2906" t="str">
        <f>"600986"</f>
        <v>600986</v>
      </c>
      <c r="B2906" t="s">
        <v>3076</v>
      </c>
      <c r="C2906">
        <v>1.17</v>
      </c>
      <c r="D2906">
        <v>6.06</v>
      </c>
      <c r="E2906">
        <v>0.07</v>
      </c>
      <c r="F2906">
        <v>6.05</v>
      </c>
      <c r="G2906">
        <v>6.06</v>
      </c>
      <c r="H2906">
        <v>100085</v>
      </c>
      <c r="I2906">
        <v>68</v>
      </c>
      <c r="J2906">
        <v>0.17</v>
      </c>
      <c r="K2906">
        <v>1.32</v>
      </c>
      <c r="L2906">
        <v>5.95</v>
      </c>
      <c r="M2906">
        <v>6.11</v>
      </c>
      <c r="N2906">
        <v>5.95</v>
      </c>
      <c r="O2906">
        <v>5.99</v>
      </c>
      <c r="P2906">
        <v>22.94</v>
      </c>
      <c r="Q2906">
        <v>60482280</v>
      </c>
      <c r="R2906">
        <v>1.04</v>
      </c>
      <c r="S2906" t="s">
        <v>316</v>
      </c>
      <c r="T2906" t="s">
        <v>162</v>
      </c>
      <c r="U2906">
        <v>2.67</v>
      </c>
      <c r="V2906">
        <v>6.04</v>
      </c>
      <c r="W2906">
        <v>50400</v>
      </c>
      <c r="X2906">
        <v>49685</v>
      </c>
      <c r="Y2906">
        <v>1.01</v>
      </c>
      <c r="Z2906">
        <v>609</v>
      </c>
      <c r="AA2906">
        <v>984</v>
      </c>
      <c r="AB2906" t="s">
        <v>32</v>
      </c>
      <c r="AC2906">
        <v>7.57</v>
      </c>
    </row>
    <row r="2907" spans="1:29">
      <c r="A2907" t="str">
        <f>"600987"</f>
        <v>600987</v>
      </c>
      <c r="B2907" t="s">
        <v>3077</v>
      </c>
      <c r="C2907">
        <v>2.09</v>
      </c>
      <c r="D2907">
        <v>9.3</v>
      </c>
      <c r="E2907">
        <v>0.19</v>
      </c>
      <c r="F2907">
        <v>9.3</v>
      </c>
      <c r="G2907">
        <v>9.31</v>
      </c>
      <c r="H2907">
        <v>19837</v>
      </c>
      <c r="I2907">
        <v>14</v>
      </c>
      <c r="J2907">
        <v>0</v>
      </c>
      <c r="K2907">
        <v>0.31</v>
      </c>
      <c r="L2907">
        <v>9.07</v>
      </c>
      <c r="M2907">
        <v>9.41</v>
      </c>
      <c r="N2907">
        <v>9.05</v>
      </c>
      <c r="O2907">
        <v>9.11</v>
      </c>
      <c r="P2907">
        <v>14.28</v>
      </c>
      <c r="Q2907">
        <v>18350424</v>
      </c>
      <c r="R2907">
        <v>1.43</v>
      </c>
      <c r="S2907" t="s">
        <v>99</v>
      </c>
      <c r="T2907" t="s">
        <v>149</v>
      </c>
      <c r="U2907">
        <v>3.95</v>
      </c>
      <c r="V2907">
        <v>9.25</v>
      </c>
      <c r="W2907">
        <v>8792</v>
      </c>
      <c r="X2907">
        <v>11044</v>
      </c>
      <c r="Y2907">
        <v>0.8</v>
      </c>
      <c r="Z2907">
        <v>30</v>
      </c>
      <c r="AA2907">
        <v>16</v>
      </c>
      <c r="AB2907" t="s">
        <v>32</v>
      </c>
      <c r="AC2907">
        <v>6.35</v>
      </c>
    </row>
    <row r="2908" spans="1:29">
      <c r="A2908" t="str">
        <f>"600988"</f>
        <v>600988</v>
      </c>
      <c r="B2908" t="s">
        <v>3078</v>
      </c>
      <c r="C2908">
        <v>1.4</v>
      </c>
      <c r="D2908">
        <v>5.07</v>
      </c>
      <c r="E2908">
        <v>0.07</v>
      </c>
      <c r="F2908">
        <v>5.07</v>
      </c>
      <c r="G2908">
        <v>5.08</v>
      </c>
      <c r="H2908">
        <v>304955</v>
      </c>
      <c r="I2908">
        <v>20</v>
      </c>
      <c r="J2908">
        <v>0.2</v>
      </c>
      <c r="K2908">
        <v>2.14</v>
      </c>
      <c r="L2908">
        <v>4.91</v>
      </c>
      <c r="M2908">
        <v>5.08</v>
      </c>
      <c r="N2908">
        <v>4.91</v>
      </c>
      <c r="O2908">
        <v>5</v>
      </c>
      <c r="P2908">
        <v>58.11</v>
      </c>
      <c r="Q2908">
        <v>152815712</v>
      </c>
      <c r="R2908">
        <v>1.6</v>
      </c>
      <c r="S2908" t="s">
        <v>778</v>
      </c>
      <c r="T2908" t="s">
        <v>198</v>
      </c>
      <c r="U2908">
        <v>3.4</v>
      </c>
      <c r="V2908">
        <v>5.01</v>
      </c>
      <c r="W2908">
        <v>138549</v>
      </c>
      <c r="X2908">
        <v>166405</v>
      </c>
      <c r="Y2908">
        <v>0.83</v>
      </c>
      <c r="Z2908">
        <v>1796</v>
      </c>
      <c r="AA2908">
        <v>2878</v>
      </c>
      <c r="AB2908" t="s">
        <v>32</v>
      </c>
      <c r="AC2908">
        <v>14.26</v>
      </c>
    </row>
    <row r="2909" spans="1:29">
      <c r="A2909" t="str">
        <f>"600990"</f>
        <v>600990</v>
      </c>
      <c r="B2909" t="s">
        <v>3079</v>
      </c>
      <c r="C2909">
        <v>2.73</v>
      </c>
      <c r="D2909">
        <v>46.34</v>
      </c>
      <c r="E2909">
        <v>1.23</v>
      </c>
      <c r="F2909">
        <v>46.33</v>
      </c>
      <c r="G2909">
        <v>46.34</v>
      </c>
      <c r="H2909">
        <v>26157</v>
      </c>
      <c r="I2909">
        <v>9</v>
      </c>
      <c r="J2909">
        <v>-0.18</v>
      </c>
      <c r="K2909">
        <v>1.91</v>
      </c>
      <c r="L2909">
        <v>45.4</v>
      </c>
      <c r="M2909">
        <v>46.88</v>
      </c>
      <c r="N2909">
        <v>44.7</v>
      </c>
      <c r="O2909">
        <v>45.11</v>
      </c>
      <c r="P2909" t="s">
        <v>32</v>
      </c>
      <c r="Q2909">
        <v>120841392</v>
      </c>
      <c r="R2909">
        <v>1.73</v>
      </c>
      <c r="S2909" t="s">
        <v>119</v>
      </c>
      <c r="T2909" t="s">
        <v>143</v>
      </c>
      <c r="U2909">
        <v>4.83</v>
      </c>
      <c r="V2909">
        <v>46.2</v>
      </c>
      <c r="W2909">
        <v>11629</v>
      </c>
      <c r="X2909">
        <v>14527</v>
      </c>
      <c r="Y2909">
        <v>0.8</v>
      </c>
      <c r="Z2909">
        <v>4</v>
      </c>
      <c r="AA2909">
        <v>65</v>
      </c>
      <c r="AB2909" t="s">
        <v>32</v>
      </c>
      <c r="AC2909">
        <v>1.37</v>
      </c>
    </row>
    <row r="2910" spans="1:29">
      <c r="A2910" t="str">
        <f>"600992"</f>
        <v>600992</v>
      </c>
      <c r="B2910" t="s">
        <v>3080</v>
      </c>
      <c r="C2910">
        <v>2.56</v>
      </c>
      <c r="D2910">
        <v>8.01</v>
      </c>
      <c r="E2910">
        <v>0.2</v>
      </c>
      <c r="F2910">
        <v>8</v>
      </c>
      <c r="G2910">
        <v>8.01</v>
      </c>
      <c r="H2910">
        <v>52647</v>
      </c>
      <c r="I2910">
        <v>14</v>
      </c>
      <c r="J2910">
        <v>0.25</v>
      </c>
      <c r="K2910">
        <v>2.15</v>
      </c>
      <c r="L2910">
        <v>7.81</v>
      </c>
      <c r="M2910">
        <v>8.05</v>
      </c>
      <c r="N2910">
        <v>7.81</v>
      </c>
      <c r="O2910">
        <v>7.81</v>
      </c>
      <c r="P2910">
        <v>93.73</v>
      </c>
      <c r="Q2910">
        <v>41829224</v>
      </c>
      <c r="R2910">
        <v>1.45</v>
      </c>
      <c r="S2910" t="s">
        <v>449</v>
      </c>
      <c r="T2910" t="s">
        <v>253</v>
      </c>
      <c r="U2910">
        <v>3.07</v>
      </c>
      <c r="V2910">
        <v>7.95</v>
      </c>
      <c r="W2910">
        <v>26409</v>
      </c>
      <c r="X2910">
        <v>26237</v>
      </c>
      <c r="Y2910">
        <v>1.01</v>
      </c>
      <c r="Z2910">
        <v>135</v>
      </c>
      <c r="AA2910">
        <v>25</v>
      </c>
      <c r="AB2910" t="s">
        <v>32</v>
      </c>
      <c r="AC2910">
        <v>2.45</v>
      </c>
    </row>
    <row r="2911" spans="1:29">
      <c r="A2911" t="str">
        <f>"600993"</f>
        <v>600993</v>
      </c>
      <c r="B2911" t="s">
        <v>3081</v>
      </c>
      <c r="C2911">
        <v>1.31</v>
      </c>
      <c r="D2911">
        <v>17.05</v>
      </c>
      <c r="E2911">
        <v>0.22</v>
      </c>
      <c r="F2911">
        <v>17.05</v>
      </c>
      <c r="G2911">
        <v>17.06</v>
      </c>
      <c r="H2911">
        <v>52536</v>
      </c>
      <c r="I2911">
        <v>22</v>
      </c>
      <c r="J2911">
        <v>0.24</v>
      </c>
      <c r="K2911">
        <v>1.22</v>
      </c>
      <c r="L2911">
        <v>16.68</v>
      </c>
      <c r="M2911">
        <v>17.2</v>
      </c>
      <c r="N2911">
        <v>16.6</v>
      </c>
      <c r="O2911">
        <v>16.83</v>
      </c>
      <c r="P2911">
        <v>26.9</v>
      </c>
      <c r="Q2911">
        <v>89303616</v>
      </c>
      <c r="R2911">
        <v>1.81</v>
      </c>
      <c r="S2911" t="s">
        <v>195</v>
      </c>
      <c r="T2911" t="s">
        <v>193</v>
      </c>
      <c r="U2911">
        <v>3.57</v>
      </c>
      <c r="V2911">
        <v>17</v>
      </c>
      <c r="W2911">
        <v>24975</v>
      </c>
      <c r="X2911">
        <v>27560</v>
      </c>
      <c r="Y2911">
        <v>0.91</v>
      </c>
      <c r="Z2911">
        <v>69</v>
      </c>
      <c r="AA2911">
        <v>48</v>
      </c>
      <c r="AB2911" t="s">
        <v>32</v>
      </c>
      <c r="AC2911">
        <v>4.3</v>
      </c>
    </row>
    <row r="2912" spans="1:29">
      <c r="A2912" t="str">
        <f>"600995"</f>
        <v>600995</v>
      </c>
      <c r="B2912" t="s">
        <v>3082</v>
      </c>
      <c r="C2912">
        <v>2.24</v>
      </c>
      <c r="D2912">
        <v>7.77</v>
      </c>
      <c r="E2912">
        <v>0.17</v>
      </c>
      <c r="F2912">
        <v>7.76</v>
      </c>
      <c r="G2912">
        <v>7.77</v>
      </c>
      <c r="H2912">
        <v>78166</v>
      </c>
      <c r="I2912">
        <v>47</v>
      </c>
      <c r="J2912">
        <v>0.13</v>
      </c>
      <c r="K2912">
        <v>1.63</v>
      </c>
      <c r="L2912">
        <v>7.64</v>
      </c>
      <c r="M2912">
        <v>7.86</v>
      </c>
      <c r="N2912">
        <v>7.56</v>
      </c>
      <c r="O2912">
        <v>7.6</v>
      </c>
      <c r="P2912">
        <v>4.96</v>
      </c>
      <c r="Q2912">
        <v>60261200</v>
      </c>
      <c r="R2912">
        <v>2.05</v>
      </c>
      <c r="S2912" t="s">
        <v>312</v>
      </c>
      <c r="T2912" t="s">
        <v>250</v>
      </c>
      <c r="U2912">
        <v>3.95</v>
      </c>
      <c r="V2912">
        <v>7.71</v>
      </c>
      <c r="W2912">
        <v>32475</v>
      </c>
      <c r="X2912">
        <v>45690</v>
      </c>
      <c r="Y2912">
        <v>0.71</v>
      </c>
      <c r="Z2912">
        <v>534</v>
      </c>
      <c r="AA2912">
        <v>7</v>
      </c>
      <c r="AB2912" t="s">
        <v>32</v>
      </c>
      <c r="AC2912">
        <v>4.79</v>
      </c>
    </row>
    <row r="2913" spans="1:29">
      <c r="A2913" t="str">
        <f>"600996"</f>
        <v>600996</v>
      </c>
      <c r="B2913" t="s">
        <v>3083</v>
      </c>
      <c r="C2913">
        <v>1.48</v>
      </c>
      <c r="D2913">
        <v>7.53</v>
      </c>
      <c r="E2913">
        <v>0.11</v>
      </c>
      <c r="F2913">
        <v>7.53</v>
      </c>
      <c r="G2913">
        <v>7.54</v>
      </c>
      <c r="H2913">
        <v>32404</v>
      </c>
      <c r="I2913">
        <v>30</v>
      </c>
      <c r="J2913">
        <v>0.13</v>
      </c>
      <c r="K2913">
        <v>1.09</v>
      </c>
      <c r="L2913">
        <v>7.41</v>
      </c>
      <c r="M2913">
        <v>7.54</v>
      </c>
      <c r="N2913">
        <v>7.37</v>
      </c>
      <c r="O2913">
        <v>7.42</v>
      </c>
      <c r="P2913">
        <v>35.58</v>
      </c>
      <c r="Q2913">
        <v>24301742</v>
      </c>
      <c r="R2913">
        <v>1.36</v>
      </c>
      <c r="S2913" t="s">
        <v>148</v>
      </c>
      <c r="T2913" t="s">
        <v>253</v>
      </c>
      <c r="U2913">
        <v>2.29</v>
      </c>
      <c r="V2913">
        <v>7.5</v>
      </c>
      <c r="W2913">
        <v>12653</v>
      </c>
      <c r="X2913">
        <v>19751</v>
      </c>
      <c r="Y2913">
        <v>0.64</v>
      </c>
      <c r="Z2913">
        <v>177</v>
      </c>
      <c r="AA2913">
        <v>330</v>
      </c>
      <c r="AB2913" t="s">
        <v>32</v>
      </c>
      <c r="AC2913">
        <v>2.98</v>
      </c>
    </row>
    <row r="2914" spans="1:29">
      <c r="A2914" t="str">
        <f>"600997"</f>
        <v>600997</v>
      </c>
      <c r="B2914" t="s">
        <v>3084</v>
      </c>
      <c r="C2914">
        <v>3.67</v>
      </c>
      <c r="D2914">
        <v>5.37</v>
      </c>
      <c r="E2914">
        <v>0.19</v>
      </c>
      <c r="F2914">
        <v>5.36</v>
      </c>
      <c r="G2914">
        <v>5.37</v>
      </c>
      <c r="H2914">
        <v>136125</v>
      </c>
      <c r="I2914">
        <v>4</v>
      </c>
      <c r="J2914">
        <v>-0.18</v>
      </c>
      <c r="K2914">
        <v>1.1</v>
      </c>
      <c r="L2914">
        <v>5.13</v>
      </c>
      <c r="M2914">
        <v>5.43</v>
      </c>
      <c r="N2914">
        <v>5.13</v>
      </c>
      <c r="O2914">
        <v>5.18</v>
      </c>
      <c r="P2914">
        <v>8.37</v>
      </c>
      <c r="Q2914">
        <v>72510256</v>
      </c>
      <c r="R2914">
        <v>2.92</v>
      </c>
      <c r="S2914" t="s">
        <v>265</v>
      </c>
      <c r="T2914" t="s">
        <v>154</v>
      </c>
      <c r="U2914">
        <v>5.79</v>
      </c>
      <c r="V2914">
        <v>5.33</v>
      </c>
      <c r="W2914">
        <v>62954</v>
      </c>
      <c r="X2914">
        <v>73170</v>
      </c>
      <c r="Y2914">
        <v>0.86</v>
      </c>
      <c r="Z2914">
        <v>350</v>
      </c>
      <c r="AA2914">
        <v>32</v>
      </c>
      <c r="AB2914" t="s">
        <v>32</v>
      </c>
      <c r="AC2914">
        <v>12.35</v>
      </c>
    </row>
    <row r="2915" spans="1:29">
      <c r="A2915" t="str">
        <f>"600998"</f>
        <v>600998</v>
      </c>
      <c r="B2915" t="s">
        <v>3085</v>
      </c>
      <c r="C2915">
        <v>0.68</v>
      </c>
      <c r="D2915">
        <v>16.25</v>
      </c>
      <c r="E2915">
        <v>0.11</v>
      </c>
      <c r="F2915">
        <v>16.25</v>
      </c>
      <c r="G2915">
        <v>16.26</v>
      </c>
      <c r="H2915">
        <v>26449</v>
      </c>
      <c r="I2915">
        <v>6</v>
      </c>
      <c r="J2915">
        <v>0.12</v>
      </c>
      <c r="K2915">
        <v>0.16</v>
      </c>
      <c r="L2915">
        <v>15.75</v>
      </c>
      <c r="M2915">
        <v>16.37</v>
      </c>
      <c r="N2915">
        <v>15.75</v>
      </c>
      <c r="O2915">
        <v>16.14</v>
      </c>
      <c r="P2915">
        <v>34.44</v>
      </c>
      <c r="Q2915">
        <v>42787056</v>
      </c>
      <c r="R2915">
        <v>1.16</v>
      </c>
      <c r="S2915" t="s">
        <v>77</v>
      </c>
      <c r="T2915" t="s">
        <v>193</v>
      </c>
      <c r="U2915">
        <v>3.84</v>
      </c>
      <c r="V2915">
        <v>16.18</v>
      </c>
      <c r="W2915">
        <v>10704</v>
      </c>
      <c r="X2915">
        <v>15744</v>
      </c>
      <c r="Y2915">
        <v>0.68</v>
      </c>
      <c r="Z2915">
        <v>26</v>
      </c>
      <c r="AA2915">
        <v>159</v>
      </c>
      <c r="AB2915" t="s">
        <v>32</v>
      </c>
      <c r="AC2915">
        <v>16.6</v>
      </c>
    </row>
    <row r="2916" spans="1:29">
      <c r="A2916" t="str">
        <f>"600999"</f>
        <v>600999</v>
      </c>
      <c r="B2916" t="s">
        <v>3086</v>
      </c>
      <c r="C2916">
        <v>1.61</v>
      </c>
      <c r="D2916">
        <v>13.85</v>
      </c>
      <c r="E2916">
        <v>0.22</v>
      </c>
      <c r="F2916">
        <v>13.84</v>
      </c>
      <c r="G2916">
        <v>13.85</v>
      </c>
      <c r="H2916">
        <v>165996</v>
      </c>
      <c r="I2916">
        <v>21</v>
      </c>
      <c r="J2916">
        <v>0</v>
      </c>
      <c r="K2916">
        <v>0.34</v>
      </c>
      <c r="L2916">
        <v>13.59</v>
      </c>
      <c r="M2916">
        <v>14.15</v>
      </c>
      <c r="N2916">
        <v>13.55</v>
      </c>
      <c r="O2916">
        <v>13.63</v>
      </c>
      <c r="P2916">
        <v>21.25</v>
      </c>
      <c r="Q2916">
        <v>230560944</v>
      </c>
      <c r="R2916">
        <v>1.7</v>
      </c>
      <c r="S2916" t="s">
        <v>158</v>
      </c>
      <c r="T2916" t="s">
        <v>31</v>
      </c>
      <c r="U2916">
        <v>4.4</v>
      </c>
      <c r="V2916">
        <v>13.89</v>
      </c>
      <c r="W2916">
        <v>78252</v>
      </c>
      <c r="X2916">
        <v>87744</v>
      </c>
      <c r="Y2916">
        <v>0.89</v>
      </c>
      <c r="Z2916">
        <v>253</v>
      </c>
      <c r="AA2916">
        <v>30</v>
      </c>
      <c r="AB2916" t="s">
        <v>32</v>
      </c>
      <c r="AC2916">
        <v>49.04</v>
      </c>
    </row>
    <row r="2917" spans="1:29">
      <c r="A2917" t="str">
        <f>"601000"</f>
        <v>601000</v>
      </c>
      <c r="B2917" t="s">
        <v>3087</v>
      </c>
      <c r="C2917">
        <v>6.1</v>
      </c>
      <c r="D2917">
        <v>2.61</v>
      </c>
      <c r="E2917">
        <v>0.15</v>
      </c>
      <c r="F2917">
        <v>2.61</v>
      </c>
      <c r="G2917">
        <v>2.62</v>
      </c>
      <c r="H2917">
        <v>873321</v>
      </c>
      <c r="I2917">
        <v>31</v>
      </c>
      <c r="J2917">
        <v>0</v>
      </c>
      <c r="K2917">
        <v>1.57</v>
      </c>
      <c r="L2917">
        <v>2.46</v>
      </c>
      <c r="M2917">
        <v>2.62</v>
      </c>
      <c r="N2917">
        <v>2.44</v>
      </c>
      <c r="O2917">
        <v>2.46</v>
      </c>
      <c r="P2917">
        <v>10.36</v>
      </c>
      <c r="Q2917">
        <v>222922480</v>
      </c>
      <c r="R2917">
        <v>2.75</v>
      </c>
      <c r="S2917" t="s">
        <v>67</v>
      </c>
      <c r="T2917" t="s">
        <v>154</v>
      </c>
      <c r="U2917">
        <v>7.32</v>
      </c>
      <c r="V2917">
        <v>2.55</v>
      </c>
      <c r="W2917">
        <v>312754</v>
      </c>
      <c r="X2917">
        <v>560567</v>
      </c>
      <c r="Y2917">
        <v>0.56</v>
      </c>
      <c r="Z2917">
        <v>293</v>
      </c>
      <c r="AA2917">
        <v>12454</v>
      </c>
      <c r="AB2917" t="s">
        <v>32</v>
      </c>
      <c r="AC2917">
        <v>55.74</v>
      </c>
    </row>
    <row r="2918" spans="1:29">
      <c r="A2918" t="str">
        <f>"601001"</f>
        <v>601001</v>
      </c>
      <c r="B2918" t="s">
        <v>3088</v>
      </c>
      <c r="C2918">
        <v>0.98</v>
      </c>
      <c r="D2918">
        <v>5.15</v>
      </c>
      <c r="E2918">
        <v>0.05</v>
      </c>
      <c r="F2918">
        <v>5.14</v>
      </c>
      <c r="G2918">
        <v>5.15</v>
      </c>
      <c r="H2918">
        <v>164716</v>
      </c>
      <c r="I2918">
        <v>20</v>
      </c>
      <c r="J2918">
        <v>-0.18</v>
      </c>
      <c r="K2918">
        <v>0.98</v>
      </c>
      <c r="L2918">
        <v>5.07</v>
      </c>
      <c r="M2918">
        <v>5.3</v>
      </c>
      <c r="N2918">
        <v>5.06</v>
      </c>
      <c r="O2918">
        <v>5.1</v>
      </c>
      <c r="P2918">
        <v>17.26</v>
      </c>
      <c r="Q2918">
        <v>85082304</v>
      </c>
      <c r="R2918">
        <v>1.85</v>
      </c>
      <c r="S2918" t="s">
        <v>265</v>
      </c>
      <c r="T2918" t="s">
        <v>169</v>
      </c>
      <c r="U2918">
        <v>4.71</v>
      </c>
      <c r="V2918">
        <v>5.17</v>
      </c>
      <c r="W2918">
        <v>90876</v>
      </c>
      <c r="X2918">
        <v>73840</v>
      </c>
      <c r="Y2918">
        <v>1.23</v>
      </c>
      <c r="Z2918">
        <v>1096</v>
      </c>
      <c r="AA2918">
        <v>1134</v>
      </c>
      <c r="AB2918" t="s">
        <v>32</v>
      </c>
      <c r="AC2918">
        <v>16.74</v>
      </c>
    </row>
    <row r="2919" spans="1:29">
      <c r="A2919" t="str">
        <f>"601002"</f>
        <v>601002</v>
      </c>
      <c r="B2919" t="s">
        <v>3089</v>
      </c>
      <c r="C2919">
        <v>3.5</v>
      </c>
      <c r="D2919">
        <v>6.5</v>
      </c>
      <c r="E2919">
        <v>0.22</v>
      </c>
      <c r="F2919">
        <v>6.5</v>
      </c>
      <c r="G2919">
        <v>6.51</v>
      </c>
      <c r="H2919">
        <v>276088</v>
      </c>
      <c r="I2919">
        <v>95</v>
      </c>
      <c r="J2919">
        <v>0</v>
      </c>
      <c r="K2919">
        <v>3.48</v>
      </c>
      <c r="L2919">
        <v>6.28</v>
      </c>
      <c r="M2919">
        <v>6.7</v>
      </c>
      <c r="N2919">
        <v>6.23</v>
      </c>
      <c r="O2919">
        <v>6.28</v>
      </c>
      <c r="P2919">
        <v>61.44</v>
      </c>
      <c r="Q2919">
        <v>178066080</v>
      </c>
      <c r="R2919">
        <v>3.19</v>
      </c>
      <c r="S2919" t="s">
        <v>241</v>
      </c>
      <c r="T2919" t="s">
        <v>149</v>
      </c>
      <c r="U2919">
        <v>7.48</v>
      </c>
      <c r="V2919">
        <v>6.45</v>
      </c>
      <c r="W2919">
        <v>126276</v>
      </c>
      <c r="X2919">
        <v>149811</v>
      </c>
      <c r="Y2919">
        <v>0.84</v>
      </c>
      <c r="Z2919">
        <v>160</v>
      </c>
      <c r="AA2919">
        <v>1007</v>
      </c>
      <c r="AB2919" t="s">
        <v>32</v>
      </c>
      <c r="AC2919">
        <v>7.93</v>
      </c>
    </row>
    <row r="2920" spans="1:29">
      <c r="A2920" t="str">
        <f>"601003"</f>
        <v>601003</v>
      </c>
      <c r="B2920" t="s">
        <v>3090</v>
      </c>
      <c r="C2920">
        <v>2.97</v>
      </c>
      <c r="D2920">
        <v>9.71</v>
      </c>
      <c r="E2920">
        <v>0.28</v>
      </c>
      <c r="F2920">
        <v>9.68</v>
      </c>
      <c r="G2920">
        <v>9.72</v>
      </c>
      <c r="H2920">
        <v>839020</v>
      </c>
      <c r="I2920">
        <v>320</v>
      </c>
      <c r="J2920">
        <v>1.46</v>
      </c>
      <c r="K2920">
        <v>3.27</v>
      </c>
      <c r="L2920">
        <v>9.53</v>
      </c>
      <c r="M2920">
        <v>10.37</v>
      </c>
      <c r="N2920">
        <v>9.45</v>
      </c>
      <c r="O2920">
        <v>9.43</v>
      </c>
      <c r="P2920">
        <v>5.95</v>
      </c>
      <c r="Q2920">
        <v>829073984</v>
      </c>
      <c r="R2920">
        <v>1.89</v>
      </c>
      <c r="S2920" t="s">
        <v>353</v>
      </c>
      <c r="T2920" t="s">
        <v>238</v>
      </c>
      <c r="U2920">
        <v>9.76</v>
      </c>
      <c r="V2920">
        <v>9.88</v>
      </c>
      <c r="W2920">
        <v>439941</v>
      </c>
      <c r="X2920">
        <v>399078</v>
      </c>
      <c r="Y2920">
        <v>1.1</v>
      </c>
      <c r="Z2920">
        <v>200</v>
      </c>
      <c r="AA2920">
        <v>36</v>
      </c>
      <c r="AB2920" t="s">
        <v>32</v>
      </c>
      <c r="AC2920">
        <v>25.63</v>
      </c>
    </row>
    <row r="2921" spans="1:29">
      <c r="A2921" t="str">
        <f>"601005"</f>
        <v>601005</v>
      </c>
      <c r="B2921" t="s">
        <v>3091</v>
      </c>
      <c r="C2921">
        <v>5.37</v>
      </c>
      <c r="D2921">
        <v>2.16</v>
      </c>
      <c r="E2921">
        <v>0.11</v>
      </c>
      <c r="F2921">
        <v>2.15</v>
      </c>
      <c r="G2921">
        <v>2.16</v>
      </c>
      <c r="H2921">
        <v>638934</v>
      </c>
      <c r="I2921">
        <v>53</v>
      </c>
      <c r="J2921">
        <v>0</v>
      </c>
      <c r="K2921">
        <v>0.76</v>
      </c>
      <c r="L2921">
        <v>2.08</v>
      </c>
      <c r="M2921">
        <v>2.19</v>
      </c>
      <c r="N2921">
        <v>2.07</v>
      </c>
      <c r="O2921">
        <v>2.05</v>
      </c>
      <c r="P2921">
        <v>13.74</v>
      </c>
      <c r="Q2921">
        <v>137272096</v>
      </c>
      <c r="R2921">
        <v>4.75</v>
      </c>
      <c r="S2921" t="s">
        <v>353</v>
      </c>
      <c r="T2921" t="s">
        <v>221</v>
      </c>
      <c r="U2921">
        <v>5.85</v>
      </c>
      <c r="V2921">
        <v>2.15</v>
      </c>
      <c r="W2921">
        <v>246819</v>
      </c>
      <c r="X2921">
        <v>392114</v>
      </c>
      <c r="Y2921">
        <v>0.63</v>
      </c>
      <c r="Z2921">
        <v>1318</v>
      </c>
      <c r="AA2921">
        <v>10591</v>
      </c>
      <c r="AB2921" t="s">
        <v>32</v>
      </c>
      <c r="AC2921">
        <v>83.8</v>
      </c>
    </row>
    <row r="2922" spans="1:29">
      <c r="A2922" t="str">
        <f>"601006"</f>
        <v>601006</v>
      </c>
      <c r="B2922" t="s">
        <v>3092</v>
      </c>
      <c r="C2922">
        <v>-1</v>
      </c>
      <c r="D2922">
        <v>8.89</v>
      </c>
      <c r="E2922">
        <v>-0.09</v>
      </c>
      <c r="F2922">
        <v>8.88</v>
      </c>
      <c r="G2922">
        <v>8.9</v>
      </c>
      <c r="H2922">
        <v>457339</v>
      </c>
      <c r="I2922">
        <v>60</v>
      </c>
      <c r="J2922">
        <v>0</v>
      </c>
      <c r="K2922">
        <v>0.31</v>
      </c>
      <c r="L2922">
        <v>8.99</v>
      </c>
      <c r="M2922">
        <v>9.05</v>
      </c>
      <c r="N2922">
        <v>8.87</v>
      </c>
      <c r="O2922">
        <v>8.98</v>
      </c>
      <c r="P2922">
        <v>8.07</v>
      </c>
      <c r="Q2922">
        <v>410289408</v>
      </c>
      <c r="R2922">
        <v>1.53</v>
      </c>
      <c r="S2922" t="s">
        <v>2380</v>
      </c>
      <c r="T2922" t="s">
        <v>169</v>
      </c>
      <c r="U2922">
        <v>2</v>
      </c>
      <c r="V2922">
        <v>8.97</v>
      </c>
      <c r="W2922">
        <v>253565</v>
      </c>
      <c r="X2922">
        <v>203773</v>
      </c>
      <c r="Y2922">
        <v>1.24</v>
      </c>
      <c r="Z2922">
        <v>622</v>
      </c>
      <c r="AA2922">
        <v>109</v>
      </c>
      <c r="AB2922" t="s">
        <v>32</v>
      </c>
      <c r="AC2922">
        <v>148.67</v>
      </c>
    </row>
    <row r="2923" spans="1:29">
      <c r="A2923" t="str">
        <f>"601007"</f>
        <v>601007</v>
      </c>
      <c r="B2923" t="s">
        <v>3093</v>
      </c>
      <c r="C2923">
        <v>1.69</v>
      </c>
      <c r="D2923">
        <v>10.2</v>
      </c>
      <c r="E2923">
        <v>0.17</v>
      </c>
      <c r="F2923">
        <v>10.19</v>
      </c>
      <c r="G2923">
        <v>10.2</v>
      </c>
      <c r="H2923">
        <v>28539</v>
      </c>
      <c r="I2923">
        <v>3</v>
      </c>
      <c r="J2923">
        <v>-0.09</v>
      </c>
      <c r="K2923">
        <v>0.95</v>
      </c>
      <c r="L2923">
        <v>10.04</v>
      </c>
      <c r="M2923">
        <v>10.27</v>
      </c>
      <c r="N2923">
        <v>10.03</v>
      </c>
      <c r="O2923">
        <v>10.03</v>
      </c>
      <c r="P2923">
        <v>48.49</v>
      </c>
      <c r="Q2923">
        <v>29005572</v>
      </c>
      <c r="R2923">
        <v>1.52</v>
      </c>
      <c r="S2923" t="s">
        <v>42</v>
      </c>
      <c r="T2923" t="s">
        <v>87</v>
      </c>
      <c r="U2923">
        <v>2.39</v>
      </c>
      <c r="V2923">
        <v>10.16</v>
      </c>
      <c r="W2923">
        <v>14066</v>
      </c>
      <c r="X2923">
        <v>14472</v>
      </c>
      <c r="Y2923">
        <v>0.97</v>
      </c>
      <c r="Z2923">
        <v>218</v>
      </c>
      <c r="AA2923">
        <v>190</v>
      </c>
      <c r="AB2923" t="s">
        <v>32</v>
      </c>
      <c r="AC2923">
        <v>3</v>
      </c>
    </row>
    <row r="2924" spans="1:29">
      <c r="A2924" t="str">
        <f>"601008"</f>
        <v>601008</v>
      </c>
      <c r="B2924" t="s">
        <v>3094</v>
      </c>
      <c r="C2924">
        <v>1.44</v>
      </c>
      <c r="D2924">
        <v>3.53</v>
      </c>
      <c r="E2924">
        <v>0.05</v>
      </c>
      <c r="F2924">
        <v>3.52</v>
      </c>
      <c r="G2924">
        <v>3.53</v>
      </c>
      <c r="H2924">
        <v>130599</v>
      </c>
      <c r="I2924">
        <v>1</v>
      </c>
      <c r="J2924">
        <v>0</v>
      </c>
      <c r="K2924">
        <v>1.29</v>
      </c>
      <c r="L2924">
        <v>3.46</v>
      </c>
      <c r="M2924">
        <v>3.58</v>
      </c>
      <c r="N2924">
        <v>3.44</v>
      </c>
      <c r="O2924">
        <v>3.48</v>
      </c>
      <c r="P2924">
        <v>211</v>
      </c>
      <c r="Q2924">
        <v>45978012</v>
      </c>
      <c r="R2924">
        <v>2.53</v>
      </c>
      <c r="S2924" t="s">
        <v>67</v>
      </c>
      <c r="T2924" t="s">
        <v>87</v>
      </c>
      <c r="U2924">
        <v>4.02</v>
      </c>
      <c r="V2924">
        <v>3.52</v>
      </c>
      <c r="W2924">
        <v>73969</v>
      </c>
      <c r="X2924">
        <v>56630</v>
      </c>
      <c r="Y2924">
        <v>1.31</v>
      </c>
      <c r="Z2924">
        <v>1287</v>
      </c>
      <c r="AA2924">
        <v>1191</v>
      </c>
      <c r="AB2924" t="s">
        <v>32</v>
      </c>
      <c r="AC2924">
        <v>10.15</v>
      </c>
    </row>
    <row r="2925" spans="1:29">
      <c r="A2925" t="str">
        <f>"601009"</f>
        <v>601009</v>
      </c>
      <c r="B2925" t="s">
        <v>3095</v>
      </c>
      <c r="C2925">
        <v>-0.49</v>
      </c>
      <c r="D2925">
        <v>8.05</v>
      </c>
      <c r="E2925">
        <v>-0.04</v>
      </c>
      <c r="F2925">
        <v>8.05</v>
      </c>
      <c r="G2925">
        <v>8.06</v>
      </c>
      <c r="H2925">
        <v>521079</v>
      </c>
      <c r="I2925">
        <v>27</v>
      </c>
      <c r="J2925">
        <v>0</v>
      </c>
      <c r="K2925">
        <v>0.61</v>
      </c>
      <c r="L2925">
        <v>8.05</v>
      </c>
      <c r="M2925">
        <v>8.22</v>
      </c>
      <c r="N2925">
        <v>8.03</v>
      </c>
      <c r="O2925">
        <v>8.09</v>
      </c>
      <c r="P2925">
        <v>5.92</v>
      </c>
      <c r="Q2925">
        <v>423153376</v>
      </c>
      <c r="R2925">
        <v>1.5</v>
      </c>
      <c r="S2925" t="s">
        <v>30</v>
      </c>
      <c r="T2925" t="s">
        <v>87</v>
      </c>
      <c r="U2925">
        <v>2.35</v>
      </c>
      <c r="V2925">
        <v>8.12</v>
      </c>
      <c r="W2925">
        <v>273926</v>
      </c>
      <c r="X2925">
        <v>247152</v>
      </c>
      <c r="Y2925">
        <v>1.11</v>
      </c>
      <c r="Z2925">
        <v>47</v>
      </c>
      <c r="AA2925">
        <v>2074</v>
      </c>
      <c r="AB2925" t="s">
        <v>32</v>
      </c>
      <c r="AC2925">
        <v>84.82</v>
      </c>
    </row>
    <row r="2926" spans="1:29">
      <c r="A2926" t="str">
        <f>"601010"</f>
        <v>601010</v>
      </c>
      <c r="B2926" t="s">
        <v>3096</v>
      </c>
      <c r="C2926">
        <v>1.65</v>
      </c>
      <c r="D2926">
        <v>3.08</v>
      </c>
      <c r="E2926">
        <v>0.05</v>
      </c>
      <c r="F2926">
        <v>3.07</v>
      </c>
      <c r="G2926">
        <v>3.08</v>
      </c>
      <c r="H2926">
        <v>66523</v>
      </c>
      <c r="I2926">
        <v>5</v>
      </c>
      <c r="J2926">
        <v>0</v>
      </c>
      <c r="K2926">
        <v>0.36</v>
      </c>
      <c r="L2926">
        <v>3.03</v>
      </c>
      <c r="M2926">
        <v>3.09</v>
      </c>
      <c r="N2926">
        <v>3.02</v>
      </c>
      <c r="O2926">
        <v>3.03</v>
      </c>
      <c r="P2926">
        <v>16.81</v>
      </c>
      <c r="Q2926">
        <v>20392140</v>
      </c>
      <c r="R2926">
        <v>2.41</v>
      </c>
      <c r="S2926" t="s">
        <v>439</v>
      </c>
      <c r="T2926" t="s">
        <v>87</v>
      </c>
      <c r="U2926">
        <v>2.31</v>
      </c>
      <c r="V2926">
        <v>3.07</v>
      </c>
      <c r="W2926">
        <v>26543</v>
      </c>
      <c r="X2926">
        <v>39980</v>
      </c>
      <c r="Y2926">
        <v>0.66</v>
      </c>
      <c r="Z2926">
        <v>3466</v>
      </c>
      <c r="AA2926">
        <v>2951</v>
      </c>
      <c r="AB2926" t="s">
        <v>32</v>
      </c>
      <c r="AC2926">
        <v>18.48</v>
      </c>
    </row>
    <row r="2927" spans="1:29">
      <c r="A2927" t="str">
        <f>"601011"</f>
        <v>601011</v>
      </c>
      <c r="B2927" t="s">
        <v>3097</v>
      </c>
      <c r="C2927">
        <v>3.96</v>
      </c>
      <c r="D2927">
        <v>6.56</v>
      </c>
      <c r="E2927">
        <v>0.25</v>
      </c>
      <c r="F2927">
        <v>6.55</v>
      </c>
      <c r="G2927">
        <v>6.56</v>
      </c>
      <c r="H2927">
        <v>448409</v>
      </c>
      <c r="I2927">
        <v>429</v>
      </c>
      <c r="J2927">
        <v>0.15</v>
      </c>
      <c r="K2927">
        <v>3.28</v>
      </c>
      <c r="L2927">
        <v>6.26</v>
      </c>
      <c r="M2927">
        <v>6.64</v>
      </c>
      <c r="N2927">
        <v>6.22</v>
      </c>
      <c r="O2927">
        <v>6.31</v>
      </c>
      <c r="P2927">
        <v>43.73</v>
      </c>
      <c r="Q2927">
        <v>289195552</v>
      </c>
      <c r="R2927">
        <v>0.98</v>
      </c>
      <c r="S2927" t="s">
        <v>414</v>
      </c>
      <c r="T2927" t="s">
        <v>297</v>
      </c>
      <c r="U2927">
        <v>6.66</v>
      </c>
      <c r="V2927">
        <v>6.45</v>
      </c>
      <c r="W2927">
        <v>206477</v>
      </c>
      <c r="X2927">
        <v>241932</v>
      </c>
      <c r="Y2927">
        <v>0.85</v>
      </c>
      <c r="Z2927">
        <v>439</v>
      </c>
      <c r="AA2927">
        <v>1419</v>
      </c>
      <c r="AB2927" t="s">
        <v>32</v>
      </c>
      <c r="AC2927">
        <v>13.68</v>
      </c>
    </row>
    <row r="2928" spans="1:29">
      <c r="A2928" t="str">
        <f>"601012"</f>
        <v>601012</v>
      </c>
      <c r="B2928" t="s">
        <v>3098</v>
      </c>
      <c r="C2928">
        <v>6.37</v>
      </c>
      <c r="D2928">
        <v>16.04</v>
      </c>
      <c r="E2928">
        <v>0.96</v>
      </c>
      <c r="F2928">
        <v>16.04</v>
      </c>
      <c r="G2928">
        <v>16.05</v>
      </c>
      <c r="H2928">
        <v>568389</v>
      </c>
      <c r="I2928">
        <v>22</v>
      </c>
      <c r="J2928">
        <v>0.06</v>
      </c>
      <c r="K2928">
        <v>2.06</v>
      </c>
      <c r="L2928">
        <v>15.1</v>
      </c>
      <c r="M2928">
        <v>16.53</v>
      </c>
      <c r="N2928">
        <v>14.98</v>
      </c>
      <c r="O2928">
        <v>15.08</v>
      </c>
      <c r="P2928">
        <v>20.61</v>
      </c>
      <c r="Q2928">
        <v>902071104</v>
      </c>
      <c r="R2928">
        <v>2.04</v>
      </c>
      <c r="S2928" t="s">
        <v>699</v>
      </c>
      <c r="T2928" t="s">
        <v>223</v>
      </c>
      <c r="U2928">
        <v>10.28</v>
      </c>
      <c r="V2928">
        <v>15.87</v>
      </c>
      <c r="W2928">
        <v>252730</v>
      </c>
      <c r="X2928">
        <v>315659</v>
      </c>
      <c r="Y2928">
        <v>0.8</v>
      </c>
      <c r="Z2928">
        <v>26</v>
      </c>
      <c r="AA2928">
        <v>467</v>
      </c>
      <c r="AB2928" t="s">
        <v>32</v>
      </c>
      <c r="AC2928">
        <v>27.66</v>
      </c>
    </row>
    <row r="2929" spans="1:29">
      <c r="A2929" t="str">
        <f>"601015"</f>
        <v>601015</v>
      </c>
      <c r="B2929" t="s">
        <v>3099</v>
      </c>
      <c r="C2929">
        <v>1.04</v>
      </c>
      <c r="D2929">
        <v>6.78</v>
      </c>
      <c r="E2929">
        <v>0.07</v>
      </c>
      <c r="F2929">
        <v>6.77</v>
      </c>
      <c r="G2929">
        <v>6.78</v>
      </c>
      <c r="H2929">
        <v>106234</v>
      </c>
      <c r="I2929">
        <v>10</v>
      </c>
      <c r="J2929">
        <v>-0.14</v>
      </c>
      <c r="K2929">
        <v>1.14</v>
      </c>
      <c r="L2929">
        <v>6.66</v>
      </c>
      <c r="M2929">
        <v>6.94</v>
      </c>
      <c r="N2929">
        <v>6.62</v>
      </c>
      <c r="O2929">
        <v>6.71</v>
      </c>
      <c r="P2929">
        <v>27.88</v>
      </c>
      <c r="Q2929">
        <v>72375152</v>
      </c>
      <c r="R2929">
        <v>2.04</v>
      </c>
      <c r="S2929" t="s">
        <v>414</v>
      </c>
      <c r="T2929" t="s">
        <v>223</v>
      </c>
      <c r="U2929">
        <v>4.77</v>
      </c>
      <c r="V2929">
        <v>6.81</v>
      </c>
      <c r="W2929">
        <v>54081</v>
      </c>
      <c r="X2929">
        <v>52153</v>
      </c>
      <c r="Y2929">
        <v>1.04</v>
      </c>
      <c r="Z2929">
        <v>982</v>
      </c>
      <c r="AA2929">
        <v>120</v>
      </c>
      <c r="AB2929" t="s">
        <v>32</v>
      </c>
      <c r="AC2929">
        <v>9.3</v>
      </c>
    </row>
    <row r="2930" spans="1:29">
      <c r="A2930" t="str">
        <f>"601016"</f>
        <v>601016</v>
      </c>
      <c r="B2930" t="s">
        <v>3100</v>
      </c>
      <c r="C2930">
        <v>1.36</v>
      </c>
      <c r="D2930">
        <v>2.99</v>
      </c>
      <c r="E2930">
        <v>0.04</v>
      </c>
      <c r="F2930">
        <v>2.99</v>
      </c>
      <c r="G2930">
        <v>3</v>
      </c>
      <c r="H2930">
        <v>183278</v>
      </c>
      <c r="I2930">
        <v>120</v>
      </c>
      <c r="J2930">
        <v>0</v>
      </c>
      <c r="K2930">
        <v>0.44</v>
      </c>
      <c r="L2930">
        <v>2.98</v>
      </c>
      <c r="M2930">
        <v>3.01</v>
      </c>
      <c r="N2930">
        <v>2.96</v>
      </c>
      <c r="O2930">
        <v>2.95</v>
      </c>
      <c r="P2930">
        <v>15.82</v>
      </c>
      <c r="Q2930">
        <v>54809724</v>
      </c>
      <c r="R2930">
        <v>1.24</v>
      </c>
      <c r="S2930" t="s">
        <v>95</v>
      </c>
      <c r="T2930" t="s">
        <v>45</v>
      </c>
      <c r="U2930">
        <v>1.69</v>
      </c>
      <c r="V2930">
        <v>2.99</v>
      </c>
      <c r="W2930">
        <v>64971</v>
      </c>
      <c r="X2930">
        <v>118307</v>
      </c>
      <c r="Y2930">
        <v>0.55</v>
      </c>
      <c r="Z2930">
        <v>421</v>
      </c>
      <c r="AA2930">
        <v>10202</v>
      </c>
      <c r="AB2930" t="s">
        <v>32</v>
      </c>
      <c r="AC2930">
        <v>41.56</v>
      </c>
    </row>
    <row r="2931" spans="1:29">
      <c r="A2931" t="str">
        <f>"601018"</f>
        <v>601018</v>
      </c>
      <c r="B2931" t="s">
        <v>3101</v>
      </c>
      <c r="C2931">
        <v>1.64</v>
      </c>
      <c r="D2931">
        <v>4.34</v>
      </c>
      <c r="E2931">
        <v>0.07</v>
      </c>
      <c r="F2931">
        <v>4.34</v>
      </c>
      <c r="G2931">
        <v>4.35</v>
      </c>
      <c r="H2931">
        <v>128637</v>
      </c>
      <c r="I2931">
        <v>1</v>
      </c>
      <c r="J2931">
        <v>0</v>
      </c>
      <c r="K2931">
        <v>0.1</v>
      </c>
      <c r="L2931">
        <v>4.23</v>
      </c>
      <c r="M2931">
        <v>4.35</v>
      </c>
      <c r="N2931">
        <v>4.23</v>
      </c>
      <c r="O2931">
        <v>4.27</v>
      </c>
      <c r="P2931">
        <v>19.09</v>
      </c>
      <c r="Q2931">
        <v>55599864</v>
      </c>
      <c r="R2931">
        <v>1.55</v>
      </c>
      <c r="S2931" t="s">
        <v>67</v>
      </c>
      <c r="T2931" t="s">
        <v>149</v>
      </c>
      <c r="U2931">
        <v>2.81</v>
      </c>
      <c r="V2931">
        <v>4.32</v>
      </c>
      <c r="W2931">
        <v>44612</v>
      </c>
      <c r="X2931">
        <v>84025</v>
      </c>
      <c r="Y2931">
        <v>0.53</v>
      </c>
      <c r="Z2931">
        <v>631</v>
      </c>
      <c r="AA2931">
        <v>7348</v>
      </c>
      <c r="AB2931" t="s">
        <v>32</v>
      </c>
      <c r="AC2931">
        <v>128</v>
      </c>
    </row>
    <row r="2932" spans="1:29">
      <c r="A2932" t="str">
        <f>"601019"</f>
        <v>601019</v>
      </c>
      <c r="B2932" t="s">
        <v>3102</v>
      </c>
      <c r="C2932">
        <v>1.51</v>
      </c>
      <c r="D2932">
        <v>8.09</v>
      </c>
      <c r="E2932">
        <v>0.12</v>
      </c>
      <c r="F2932">
        <v>8.08</v>
      </c>
      <c r="G2932">
        <v>8.09</v>
      </c>
      <c r="H2932">
        <v>58953</v>
      </c>
      <c r="I2932">
        <v>50</v>
      </c>
      <c r="J2932">
        <v>0</v>
      </c>
      <c r="K2932">
        <v>2.21</v>
      </c>
      <c r="L2932">
        <v>7.99</v>
      </c>
      <c r="M2932">
        <v>8.1</v>
      </c>
      <c r="N2932">
        <v>7.95</v>
      </c>
      <c r="O2932">
        <v>7.97</v>
      </c>
      <c r="P2932">
        <v>20.41</v>
      </c>
      <c r="Q2932">
        <v>47553140</v>
      </c>
      <c r="R2932">
        <v>1.81</v>
      </c>
      <c r="S2932" t="s">
        <v>211</v>
      </c>
      <c r="T2932" t="s">
        <v>162</v>
      </c>
      <c r="U2932">
        <v>1.88</v>
      </c>
      <c r="V2932">
        <v>8.07</v>
      </c>
      <c r="W2932">
        <v>22998</v>
      </c>
      <c r="X2932">
        <v>35954</v>
      </c>
      <c r="Y2932">
        <v>0.64</v>
      </c>
      <c r="Z2932">
        <v>420</v>
      </c>
      <c r="AA2932">
        <v>593</v>
      </c>
      <c r="AB2932" t="s">
        <v>32</v>
      </c>
      <c r="AC2932">
        <v>2.67</v>
      </c>
    </row>
    <row r="2933" spans="1:29">
      <c r="A2933" t="str">
        <f>"601020"</f>
        <v>601020</v>
      </c>
      <c r="B2933" t="s">
        <v>3103</v>
      </c>
      <c r="C2933">
        <v>1.33</v>
      </c>
      <c r="D2933">
        <v>13.76</v>
      </c>
      <c r="E2933">
        <v>0.18</v>
      </c>
      <c r="F2933">
        <v>13.76</v>
      </c>
      <c r="G2933">
        <v>13.77</v>
      </c>
      <c r="H2933">
        <v>36032</v>
      </c>
      <c r="I2933">
        <v>5</v>
      </c>
      <c r="J2933">
        <v>-0.06</v>
      </c>
      <c r="K2933">
        <v>1.27</v>
      </c>
      <c r="L2933">
        <v>13.75</v>
      </c>
      <c r="M2933">
        <v>13.9</v>
      </c>
      <c r="N2933">
        <v>13.52</v>
      </c>
      <c r="O2933">
        <v>13.58</v>
      </c>
      <c r="P2933">
        <v>45.72</v>
      </c>
      <c r="Q2933">
        <v>49634368</v>
      </c>
      <c r="R2933">
        <v>1.98</v>
      </c>
      <c r="S2933" t="s">
        <v>113</v>
      </c>
      <c r="T2933" t="s">
        <v>432</v>
      </c>
      <c r="U2933">
        <v>2.8</v>
      </c>
      <c r="V2933">
        <v>13.77</v>
      </c>
      <c r="W2933">
        <v>17650</v>
      </c>
      <c r="X2933">
        <v>18382</v>
      </c>
      <c r="Y2933">
        <v>0.96</v>
      </c>
      <c r="Z2933">
        <v>129</v>
      </c>
      <c r="AA2933">
        <v>76</v>
      </c>
      <c r="AB2933" t="s">
        <v>32</v>
      </c>
      <c r="AC2933">
        <v>2.84</v>
      </c>
    </row>
    <row r="2934" spans="1:29">
      <c r="A2934" t="str">
        <f>"601021"</f>
        <v>601021</v>
      </c>
      <c r="B2934" t="s">
        <v>3104</v>
      </c>
      <c r="C2934">
        <v>-1.04</v>
      </c>
      <c r="D2934">
        <v>35.23</v>
      </c>
      <c r="E2934">
        <v>-0.37</v>
      </c>
      <c r="F2934">
        <v>35.23</v>
      </c>
      <c r="G2934">
        <v>35.25</v>
      </c>
      <c r="H2934">
        <v>19092</v>
      </c>
      <c r="I2934">
        <v>10</v>
      </c>
      <c r="J2934">
        <v>-0.19</v>
      </c>
      <c r="K2934">
        <v>0.24</v>
      </c>
      <c r="L2934">
        <v>35.45</v>
      </c>
      <c r="M2934">
        <v>35.78</v>
      </c>
      <c r="N2934">
        <v>34.8</v>
      </c>
      <c r="O2934">
        <v>35.6</v>
      </c>
      <c r="P2934">
        <v>20.95</v>
      </c>
      <c r="Q2934">
        <v>67478432</v>
      </c>
      <c r="R2934">
        <v>0.81</v>
      </c>
      <c r="S2934" t="s">
        <v>134</v>
      </c>
      <c r="T2934" t="s">
        <v>366</v>
      </c>
      <c r="U2934">
        <v>2.75</v>
      </c>
      <c r="V2934">
        <v>35.34</v>
      </c>
      <c r="W2934">
        <v>11545</v>
      </c>
      <c r="X2934">
        <v>7547</v>
      </c>
      <c r="Y2934">
        <v>1.53</v>
      </c>
      <c r="Z2934">
        <v>102</v>
      </c>
      <c r="AA2934">
        <v>7</v>
      </c>
      <c r="AB2934" t="s">
        <v>32</v>
      </c>
      <c r="AC2934">
        <v>8</v>
      </c>
    </row>
    <row r="2935" spans="1:29">
      <c r="A2935" t="str">
        <f>"601028"</f>
        <v>601028</v>
      </c>
      <c r="B2935" t="s">
        <v>3105</v>
      </c>
      <c r="C2935">
        <v>-1.22</v>
      </c>
      <c r="D2935">
        <v>6.47</v>
      </c>
      <c r="E2935">
        <v>-0.08</v>
      </c>
      <c r="F2935">
        <v>6.52</v>
      </c>
      <c r="G2935">
        <v>6.53</v>
      </c>
      <c r="H2935">
        <v>127670</v>
      </c>
      <c r="I2935">
        <v>39</v>
      </c>
      <c r="J2935">
        <v>-0.6</v>
      </c>
      <c r="K2935">
        <v>1.63</v>
      </c>
      <c r="L2935">
        <v>6.66</v>
      </c>
      <c r="M2935">
        <v>6.66</v>
      </c>
      <c r="N2935">
        <v>6.32</v>
      </c>
      <c r="O2935">
        <v>6.55</v>
      </c>
      <c r="P2935">
        <v>335.73</v>
      </c>
      <c r="Q2935">
        <v>82676632</v>
      </c>
      <c r="R2935">
        <v>0.58</v>
      </c>
      <c r="S2935" t="s">
        <v>449</v>
      </c>
      <c r="T2935" t="s">
        <v>87</v>
      </c>
      <c r="U2935">
        <v>5.19</v>
      </c>
      <c r="V2935">
        <v>6.48</v>
      </c>
      <c r="W2935">
        <v>73929</v>
      </c>
      <c r="X2935">
        <v>53741</v>
      </c>
      <c r="Y2935">
        <v>1.38</v>
      </c>
      <c r="Z2935">
        <v>161</v>
      </c>
      <c r="AA2935">
        <v>144</v>
      </c>
      <c r="AB2935" t="s">
        <v>32</v>
      </c>
      <c r="AC2935">
        <v>7.83</v>
      </c>
    </row>
    <row r="2936" spans="1:29">
      <c r="A2936" t="str">
        <f>"601038"</f>
        <v>601038</v>
      </c>
      <c r="B2936" t="s">
        <v>3106</v>
      </c>
      <c r="C2936">
        <v>4.16</v>
      </c>
      <c r="D2936">
        <v>6.01</v>
      </c>
      <c r="E2936">
        <v>0.24</v>
      </c>
      <c r="F2936">
        <v>6.01</v>
      </c>
      <c r="G2936">
        <v>6.02</v>
      </c>
      <c r="H2936">
        <v>110662</v>
      </c>
      <c r="I2936">
        <v>93</v>
      </c>
      <c r="J2936">
        <v>0.17</v>
      </c>
      <c r="K2936">
        <v>1.86</v>
      </c>
      <c r="L2936">
        <v>5.71</v>
      </c>
      <c r="M2936">
        <v>6.14</v>
      </c>
      <c r="N2936">
        <v>5.67</v>
      </c>
      <c r="O2936">
        <v>5.77</v>
      </c>
      <c r="P2936">
        <v>30.89</v>
      </c>
      <c r="Q2936">
        <v>65592036</v>
      </c>
      <c r="R2936">
        <v>1.52</v>
      </c>
      <c r="S2936" t="s">
        <v>481</v>
      </c>
      <c r="T2936" t="s">
        <v>164</v>
      </c>
      <c r="U2936">
        <v>8.15</v>
      </c>
      <c r="V2936">
        <v>5.93</v>
      </c>
      <c r="W2936">
        <v>53017</v>
      </c>
      <c r="X2936">
        <v>57645</v>
      </c>
      <c r="Y2936">
        <v>0.92</v>
      </c>
      <c r="Z2936">
        <v>53</v>
      </c>
      <c r="AA2936">
        <v>627</v>
      </c>
      <c r="AB2936" t="s">
        <v>32</v>
      </c>
      <c r="AC2936">
        <v>5.94</v>
      </c>
    </row>
    <row r="2937" spans="1:29">
      <c r="A2937" t="str">
        <f>"601058"</f>
        <v>601058</v>
      </c>
      <c r="B2937" t="s">
        <v>3107</v>
      </c>
      <c r="C2937">
        <v>0.76</v>
      </c>
      <c r="D2937">
        <v>2.65</v>
      </c>
      <c r="E2937">
        <v>0.02</v>
      </c>
      <c r="F2937">
        <v>2.64</v>
      </c>
      <c r="G2937">
        <v>2.65</v>
      </c>
      <c r="H2937">
        <v>88213</v>
      </c>
      <c r="I2937">
        <v>100</v>
      </c>
      <c r="J2937">
        <v>0</v>
      </c>
      <c r="K2937">
        <v>0.38</v>
      </c>
      <c r="L2937">
        <v>2.63</v>
      </c>
      <c r="M2937">
        <v>2.66</v>
      </c>
      <c r="N2937">
        <v>2.62</v>
      </c>
      <c r="O2937">
        <v>2.63</v>
      </c>
      <c r="P2937">
        <v>14.87</v>
      </c>
      <c r="Q2937">
        <v>23330228</v>
      </c>
      <c r="R2937">
        <v>0.85</v>
      </c>
      <c r="S2937" t="s">
        <v>80</v>
      </c>
      <c r="T2937" t="s">
        <v>162</v>
      </c>
      <c r="U2937">
        <v>1.52</v>
      </c>
      <c r="V2937">
        <v>2.64</v>
      </c>
      <c r="W2937">
        <v>46801</v>
      </c>
      <c r="X2937">
        <v>41412</v>
      </c>
      <c r="Y2937">
        <v>1.13</v>
      </c>
      <c r="Z2937">
        <v>4809</v>
      </c>
      <c r="AA2937">
        <v>8597</v>
      </c>
      <c r="AB2937" t="s">
        <v>32</v>
      </c>
      <c r="AC2937">
        <v>22.94</v>
      </c>
    </row>
    <row r="2938" spans="1:29">
      <c r="A2938" t="str">
        <f>"601066"</f>
        <v>601066</v>
      </c>
      <c r="B2938" t="s">
        <v>3108</v>
      </c>
      <c r="C2938">
        <v>6.52</v>
      </c>
      <c r="D2938">
        <v>10.29</v>
      </c>
      <c r="E2938">
        <v>0.63</v>
      </c>
      <c r="F2938">
        <v>10.29</v>
      </c>
      <c r="G2938">
        <v>10.3</v>
      </c>
      <c r="H2938">
        <v>1589318</v>
      </c>
      <c r="I2938">
        <v>246</v>
      </c>
      <c r="J2938">
        <v>-0.28</v>
      </c>
      <c r="K2938">
        <v>39.73</v>
      </c>
      <c r="L2938">
        <v>9.61</v>
      </c>
      <c r="M2938">
        <v>10.63</v>
      </c>
      <c r="N2938">
        <v>9.61</v>
      </c>
      <c r="O2938">
        <v>9.66</v>
      </c>
      <c r="P2938">
        <v>19.87</v>
      </c>
      <c r="Q2938">
        <v>1642208768</v>
      </c>
      <c r="R2938">
        <v>2.32</v>
      </c>
      <c r="S2938" t="s">
        <v>158</v>
      </c>
      <c r="T2938" t="s">
        <v>45</v>
      </c>
      <c r="U2938">
        <v>10.56</v>
      </c>
      <c r="V2938">
        <v>10.33</v>
      </c>
      <c r="W2938">
        <v>890832</v>
      </c>
      <c r="X2938">
        <v>698486</v>
      </c>
      <c r="Y2938">
        <v>1.28</v>
      </c>
      <c r="Z2938">
        <v>8</v>
      </c>
      <c r="AA2938">
        <v>1399</v>
      </c>
      <c r="AB2938" t="s">
        <v>32</v>
      </c>
      <c r="AC2938">
        <v>4</v>
      </c>
    </row>
    <row r="2939" spans="1:29">
      <c r="A2939" t="str">
        <f>"601069"</f>
        <v>601069</v>
      </c>
      <c r="B2939" t="s">
        <v>3109</v>
      </c>
      <c r="C2939">
        <v>0.28</v>
      </c>
      <c r="D2939">
        <v>18.03</v>
      </c>
      <c r="E2939">
        <v>0.05</v>
      </c>
      <c r="F2939">
        <v>18.03</v>
      </c>
      <c r="G2939">
        <v>18.04</v>
      </c>
      <c r="H2939">
        <v>209511</v>
      </c>
      <c r="I2939">
        <v>60</v>
      </c>
      <c r="J2939">
        <v>0.06</v>
      </c>
      <c r="K2939">
        <v>3.29</v>
      </c>
      <c r="L2939">
        <v>17.5</v>
      </c>
      <c r="M2939">
        <v>18.09</v>
      </c>
      <c r="N2939">
        <v>17.5</v>
      </c>
      <c r="O2939">
        <v>17.98</v>
      </c>
      <c r="P2939" t="s">
        <v>32</v>
      </c>
      <c r="Q2939">
        <v>374241632</v>
      </c>
      <c r="R2939">
        <v>1.08</v>
      </c>
      <c r="S2939" t="s">
        <v>778</v>
      </c>
      <c r="T2939" t="s">
        <v>156</v>
      </c>
      <c r="U2939">
        <v>3.28</v>
      </c>
      <c r="V2939">
        <v>17.86</v>
      </c>
      <c r="W2939">
        <v>102905</v>
      </c>
      <c r="X2939">
        <v>106606</v>
      </c>
      <c r="Y2939">
        <v>0.97</v>
      </c>
      <c r="Z2939">
        <v>539</v>
      </c>
      <c r="AA2939">
        <v>10</v>
      </c>
      <c r="AB2939" t="s">
        <v>32</v>
      </c>
      <c r="AC2939">
        <v>6.36</v>
      </c>
    </row>
    <row r="2940" spans="1:29">
      <c r="A2940" t="str">
        <f>"601086"</f>
        <v>601086</v>
      </c>
      <c r="B2940" t="s">
        <v>3110</v>
      </c>
      <c r="C2940">
        <v>1.53</v>
      </c>
      <c r="D2940">
        <v>7.95</v>
      </c>
      <c r="E2940">
        <v>0.12</v>
      </c>
      <c r="F2940">
        <v>7.95</v>
      </c>
      <c r="G2940">
        <v>7.96</v>
      </c>
      <c r="H2940">
        <v>99279</v>
      </c>
      <c r="I2940">
        <v>124</v>
      </c>
      <c r="J2940">
        <v>0.25</v>
      </c>
      <c r="K2940">
        <v>6.2</v>
      </c>
      <c r="L2940">
        <v>7.84</v>
      </c>
      <c r="M2940">
        <v>8</v>
      </c>
      <c r="N2940">
        <v>7.79</v>
      </c>
      <c r="O2940">
        <v>7.83</v>
      </c>
      <c r="P2940">
        <v>35.11</v>
      </c>
      <c r="Q2940">
        <v>78509632</v>
      </c>
      <c r="R2940">
        <v>1.09</v>
      </c>
      <c r="S2940" t="s">
        <v>186</v>
      </c>
      <c r="T2940" t="s">
        <v>266</v>
      </c>
      <c r="U2940">
        <v>2.68</v>
      </c>
      <c r="V2940">
        <v>7.91</v>
      </c>
      <c r="W2940">
        <v>47067</v>
      </c>
      <c r="X2940">
        <v>52212</v>
      </c>
      <c r="Y2940">
        <v>0.9</v>
      </c>
      <c r="Z2940">
        <v>65</v>
      </c>
      <c r="AA2940">
        <v>382</v>
      </c>
      <c r="AB2940" t="s">
        <v>32</v>
      </c>
      <c r="AC2940">
        <v>1.6</v>
      </c>
    </row>
    <row r="2941" spans="1:29">
      <c r="A2941" t="str">
        <f>"601088"</f>
        <v>601088</v>
      </c>
      <c r="B2941" t="s">
        <v>3111</v>
      </c>
      <c r="C2941">
        <v>3.96</v>
      </c>
      <c r="D2941">
        <v>18.64</v>
      </c>
      <c r="E2941">
        <v>0.71</v>
      </c>
      <c r="F2941">
        <v>18.64</v>
      </c>
      <c r="G2941">
        <v>18.65</v>
      </c>
      <c r="H2941">
        <v>405804</v>
      </c>
      <c r="I2941">
        <v>1</v>
      </c>
      <c r="J2941">
        <v>-0.04</v>
      </c>
      <c r="K2941">
        <v>0.25</v>
      </c>
      <c r="L2941">
        <v>17.94</v>
      </c>
      <c r="M2941">
        <v>18.77</v>
      </c>
      <c r="N2941">
        <v>17.92</v>
      </c>
      <c r="O2941">
        <v>17.93</v>
      </c>
      <c r="P2941">
        <v>7.97</v>
      </c>
      <c r="Q2941">
        <v>750719424</v>
      </c>
      <c r="R2941">
        <v>2.17</v>
      </c>
      <c r="S2941" t="s">
        <v>265</v>
      </c>
      <c r="T2941" t="s">
        <v>45</v>
      </c>
      <c r="U2941">
        <v>4.74</v>
      </c>
      <c r="V2941">
        <v>18.5</v>
      </c>
      <c r="W2941">
        <v>197326</v>
      </c>
      <c r="X2941">
        <v>208477</v>
      </c>
      <c r="Y2941">
        <v>0.95</v>
      </c>
      <c r="Z2941">
        <v>68</v>
      </c>
      <c r="AA2941">
        <v>157</v>
      </c>
      <c r="AB2941" t="s">
        <v>32</v>
      </c>
      <c r="AC2941">
        <v>164.91</v>
      </c>
    </row>
    <row r="2942" spans="1:29">
      <c r="A2942" t="str">
        <f>"601098"</f>
        <v>601098</v>
      </c>
      <c r="B2942" t="s">
        <v>3112</v>
      </c>
      <c r="C2942">
        <v>-0.77</v>
      </c>
      <c r="D2942">
        <v>12.9</v>
      </c>
      <c r="E2942">
        <v>-0.1</v>
      </c>
      <c r="F2942">
        <v>12.88</v>
      </c>
      <c r="G2942">
        <v>12.9</v>
      </c>
      <c r="H2942">
        <v>23605</v>
      </c>
      <c r="I2942">
        <v>1</v>
      </c>
      <c r="J2942">
        <v>0</v>
      </c>
      <c r="K2942">
        <v>0.13</v>
      </c>
      <c r="L2942">
        <v>12.96</v>
      </c>
      <c r="M2942">
        <v>13.08</v>
      </c>
      <c r="N2942">
        <v>12.84</v>
      </c>
      <c r="O2942">
        <v>13</v>
      </c>
      <c r="P2942">
        <v>22.01</v>
      </c>
      <c r="Q2942">
        <v>30536292</v>
      </c>
      <c r="R2942">
        <v>1.02</v>
      </c>
      <c r="S2942" t="s">
        <v>211</v>
      </c>
      <c r="T2942" t="s">
        <v>152</v>
      </c>
      <c r="U2942">
        <v>1.85</v>
      </c>
      <c r="V2942">
        <v>12.94</v>
      </c>
      <c r="W2942">
        <v>11792</v>
      </c>
      <c r="X2942">
        <v>11812</v>
      </c>
      <c r="Y2942">
        <v>1</v>
      </c>
      <c r="Z2942">
        <v>81</v>
      </c>
      <c r="AA2942">
        <v>11</v>
      </c>
      <c r="AB2942" t="s">
        <v>32</v>
      </c>
      <c r="AC2942">
        <v>17.96</v>
      </c>
    </row>
    <row r="2943" spans="1:29">
      <c r="A2943" t="str">
        <f>"601099"</f>
        <v>601099</v>
      </c>
      <c r="B2943" t="s">
        <v>3113</v>
      </c>
      <c r="C2943">
        <v>2.55</v>
      </c>
      <c r="D2943">
        <v>2.41</v>
      </c>
      <c r="E2943">
        <v>0.06</v>
      </c>
      <c r="F2943">
        <v>2.4</v>
      </c>
      <c r="G2943">
        <v>2.41</v>
      </c>
      <c r="H2943">
        <v>682000</v>
      </c>
      <c r="I2943">
        <v>11</v>
      </c>
      <c r="J2943">
        <v>0.42</v>
      </c>
      <c r="K2943">
        <v>1.05</v>
      </c>
      <c r="L2943">
        <v>2.35</v>
      </c>
      <c r="M2943">
        <v>2.46</v>
      </c>
      <c r="N2943">
        <v>2.34</v>
      </c>
      <c r="O2943">
        <v>2.35</v>
      </c>
      <c r="P2943">
        <v>781.88</v>
      </c>
      <c r="Q2943">
        <v>163768416</v>
      </c>
      <c r="R2943">
        <v>2.62</v>
      </c>
      <c r="S2943" t="s">
        <v>158</v>
      </c>
      <c r="T2943" t="s">
        <v>250</v>
      </c>
      <c r="U2943">
        <v>5.11</v>
      </c>
      <c r="V2943">
        <v>2.4</v>
      </c>
      <c r="W2943">
        <v>268485</v>
      </c>
      <c r="X2943">
        <v>413515</v>
      </c>
      <c r="Y2943">
        <v>0.65</v>
      </c>
      <c r="Z2943">
        <v>15389</v>
      </c>
      <c r="AA2943">
        <v>13914</v>
      </c>
      <c r="AB2943" t="s">
        <v>32</v>
      </c>
      <c r="AC2943">
        <v>64.79</v>
      </c>
    </row>
    <row r="2944" spans="1:29">
      <c r="A2944" t="str">
        <f>"601100"</f>
        <v>601100</v>
      </c>
      <c r="B2944" t="s">
        <v>3114</v>
      </c>
      <c r="C2944">
        <v>5.93</v>
      </c>
      <c r="D2944">
        <v>24.47</v>
      </c>
      <c r="E2944">
        <v>1.37</v>
      </c>
      <c r="F2944">
        <v>24.48</v>
      </c>
      <c r="G2944">
        <v>24.5</v>
      </c>
      <c r="H2944">
        <v>71938</v>
      </c>
      <c r="I2944">
        <v>15</v>
      </c>
      <c r="J2944">
        <v>0.33</v>
      </c>
      <c r="K2944">
        <v>0.82</v>
      </c>
      <c r="L2944">
        <v>23.4</v>
      </c>
      <c r="M2944">
        <v>24.94</v>
      </c>
      <c r="N2944">
        <v>23.23</v>
      </c>
      <c r="O2944">
        <v>23.1</v>
      </c>
      <c r="P2944">
        <v>34.42</v>
      </c>
      <c r="Q2944">
        <v>173962704</v>
      </c>
      <c r="R2944">
        <v>2.11</v>
      </c>
      <c r="S2944" t="s">
        <v>151</v>
      </c>
      <c r="T2944" t="s">
        <v>87</v>
      </c>
      <c r="U2944">
        <v>7.4</v>
      </c>
      <c r="V2944">
        <v>24.18</v>
      </c>
      <c r="W2944">
        <v>34226</v>
      </c>
      <c r="X2944">
        <v>37711</v>
      </c>
      <c r="Y2944">
        <v>0.91</v>
      </c>
      <c r="Z2944">
        <v>5</v>
      </c>
      <c r="AA2944">
        <v>212</v>
      </c>
      <c r="AB2944" t="s">
        <v>32</v>
      </c>
      <c r="AC2944">
        <v>8.82</v>
      </c>
    </row>
    <row r="2945" spans="1:29">
      <c r="A2945" t="str">
        <f>"601101"</f>
        <v>601101</v>
      </c>
      <c r="B2945" t="s">
        <v>3115</v>
      </c>
      <c r="C2945">
        <v>1.63</v>
      </c>
      <c r="D2945">
        <v>6.23</v>
      </c>
      <c r="E2945">
        <v>0.1</v>
      </c>
      <c r="F2945">
        <v>6.22</v>
      </c>
      <c r="G2945">
        <v>6.23</v>
      </c>
      <c r="H2945">
        <v>133041</v>
      </c>
      <c r="I2945">
        <v>10</v>
      </c>
      <c r="J2945">
        <v>-0.15</v>
      </c>
      <c r="K2945">
        <v>1.11</v>
      </c>
      <c r="L2945">
        <v>6.13</v>
      </c>
      <c r="M2945">
        <v>6.3</v>
      </c>
      <c r="N2945">
        <v>6.11</v>
      </c>
      <c r="O2945">
        <v>6.13</v>
      </c>
      <c r="P2945">
        <v>6.93</v>
      </c>
      <c r="Q2945">
        <v>82819320</v>
      </c>
      <c r="R2945">
        <v>1.93</v>
      </c>
      <c r="S2945" t="s">
        <v>265</v>
      </c>
      <c r="T2945" t="s">
        <v>45</v>
      </c>
      <c r="U2945">
        <v>3.1</v>
      </c>
      <c r="V2945">
        <v>6.23</v>
      </c>
      <c r="W2945">
        <v>68519</v>
      </c>
      <c r="X2945">
        <v>64521</v>
      </c>
      <c r="Y2945">
        <v>1.06</v>
      </c>
      <c r="Z2945">
        <v>766</v>
      </c>
      <c r="AA2945">
        <v>323</v>
      </c>
      <c r="AB2945" t="s">
        <v>32</v>
      </c>
      <c r="AC2945">
        <v>12</v>
      </c>
    </row>
    <row r="2946" spans="1:29">
      <c r="A2946" t="str">
        <f>"601106"</f>
        <v>601106</v>
      </c>
      <c r="B2946" t="s">
        <v>3116</v>
      </c>
      <c r="C2946">
        <v>2.62</v>
      </c>
      <c r="D2946">
        <v>3.13</v>
      </c>
      <c r="E2946">
        <v>0.08</v>
      </c>
      <c r="F2946">
        <v>3.12</v>
      </c>
      <c r="G2946">
        <v>3.13</v>
      </c>
      <c r="H2946">
        <v>270811</v>
      </c>
      <c r="I2946">
        <v>101</v>
      </c>
      <c r="J2946">
        <v>0.32</v>
      </c>
      <c r="K2946">
        <v>0.41</v>
      </c>
      <c r="L2946">
        <v>3.04</v>
      </c>
      <c r="M2946">
        <v>3.15</v>
      </c>
      <c r="N2946">
        <v>3.03</v>
      </c>
      <c r="O2946">
        <v>3.05</v>
      </c>
      <c r="P2946">
        <v>198.92</v>
      </c>
      <c r="Q2946">
        <v>84281608</v>
      </c>
      <c r="R2946">
        <v>3.44</v>
      </c>
      <c r="S2946" t="s">
        <v>151</v>
      </c>
      <c r="T2946" t="s">
        <v>297</v>
      </c>
      <c r="U2946">
        <v>3.93</v>
      </c>
      <c r="V2946">
        <v>3.11</v>
      </c>
      <c r="W2946">
        <v>119688</v>
      </c>
      <c r="X2946">
        <v>151122</v>
      </c>
      <c r="Y2946">
        <v>0.79</v>
      </c>
      <c r="Z2946">
        <v>1601</v>
      </c>
      <c r="AA2946">
        <v>2607</v>
      </c>
      <c r="AB2946" t="s">
        <v>32</v>
      </c>
      <c r="AC2946">
        <v>65.38</v>
      </c>
    </row>
    <row r="2947" spans="1:29">
      <c r="A2947" t="str">
        <f>"601107"</f>
        <v>601107</v>
      </c>
      <c r="B2947" t="s">
        <v>3117</v>
      </c>
      <c r="C2947">
        <v>5.97</v>
      </c>
      <c r="D2947">
        <v>3.73</v>
      </c>
      <c r="E2947">
        <v>0.21</v>
      </c>
      <c r="F2947">
        <v>3.72</v>
      </c>
      <c r="G2947">
        <v>3.73</v>
      </c>
      <c r="H2947">
        <v>203385</v>
      </c>
      <c r="I2947">
        <v>14</v>
      </c>
      <c r="J2947">
        <v>0</v>
      </c>
      <c r="K2947">
        <v>0.94</v>
      </c>
      <c r="L2947">
        <v>3.54</v>
      </c>
      <c r="M2947">
        <v>3.78</v>
      </c>
      <c r="N2947">
        <v>3.53</v>
      </c>
      <c r="O2947">
        <v>3.52</v>
      </c>
      <c r="P2947">
        <v>7.18</v>
      </c>
      <c r="Q2947">
        <v>74734880</v>
      </c>
      <c r="R2947">
        <v>5.23</v>
      </c>
      <c r="S2947" t="s">
        <v>201</v>
      </c>
      <c r="T2947" t="s">
        <v>146</v>
      </c>
      <c r="U2947">
        <v>7.1</v>
      </c>
      <c r="V2947">
        <v>3.67</v>
      </c>
      <c r="W2947">
        <v>77719</v>
      </c>
      <c r="X2947">
        <v>125666</v>
      </c>
      <c r="Y2947">
        <v>0.62</v>
      </c>
      <c r="Z2947">
        <v>904</v>
      </c>
      <c r="AA2947">
        <v>238</v>
      </c>
      <c r="AB2947" t="s">
        <v>32</v>
      </c>
      <c r="AC2947">
        <v>21.63</v>
      </c>
    </row>
    <row r="2948" spans="1:29">
      <c r="A2948" t="str">
        <f>"601108"</f>
        <v>601108</v>
      </c>
      <c r="B2948" t="s">
        <v>3118</v>
      </c>
      <c r="C2948">
        <v>0.44</v>
      </c>
      <c r="D2948">
        <v>11.36</v>
      </c>
      <c r="E2948">
        <v>0.05</v>
      </c>
      <c r="F2948">
        <v>11.35</v>
      </c>
      <c r="G2948">
        <v>11.36</v>
      </c>
      <c r="H2948">
        <v>322117</v>
      </c>
      <c r="I2948">
        <v>25</v>
      </c>
      <c r="J2948">
        <v>-0.08</v>
      </c>
      <c r="K2948">
        <v>8.97</v>
      </c>
      <c r="L2948">
        <v>11.19</v>
      </c>
      <c r="M2948">
        <v>11.69</v>
      </c>
      <c r="N2948">
        <v>11.16</v>
      </c>
      <c r="O2948">
        <v>11.31</v>
      </c>
      <c r="P2948">
        <v>28.37</v>
      </c>
      <c r="Q2948">
        <v>368026624</v>
      </c>
      <c r="R2948">
        <v>2.21</v>
      </c>
      <c r="S2948" t="s">
        <v>158</v>
      </c>
      <c r="T2948" t="s">
        <v>149</v>
      </c>
      <c r="U2948">
        <v>4.69</v>
      </c>
      <c r="V2948">
        <v>11.43</v>
      </c>
      <c r="W2948">
        <v>177793</v>
      </c>
      <c r="X2948">
        <v>144323</v>
      </c>
      <c r="Y2948">
        <v>1.23</v>
      </c>
      <c r="Z2948">
        <v>385</v>
      </c>
      <c r="AA2948">
        <v>1115</v>
      </c>
      <c r="AB2948" t="s">
        <v>32</v>
      </c>
      <c r="AC2948">
        <v>3.59</v>
      </c>
    </row>
    <row r="2949" spans="1:29">
      <c r="A2949" t="str">
        <f>"601111"</f>
        <v>601111</v>
      </c>
      <c r="B2949" t="s">
        <v>3119</v>
      </c>
      <c r="C2949">
        <v>1.66</v>
      </c>
      <c r="D2949">
        <v>7.97</v>
      </c>
      <c r="E2949">
        <v>0.13</v>
      </c>
      <c r="F2949">
        <v>7.97</v>
      </c>
      <c r="G2949">
        <v>7.98</v>
      </c>
      <c r="H2949">
        <v>769411</v>
      </c>
      <c r="I2949">
        <v>51</v>
      </c>
      <c r="J2949">
        <v>-0.36</v>
      </c>
      <c r="K2949">
        <v>0.81</v>
      </c>
      <c r="L2949">
        <v>7.78</v>
      </c>
      <c r="M2949">
        <v>8.13</v>
      </c>
      <c r="N2949">
        <v>7.73</v>
      </c>
      <c r="O2949">
        <v>7.84</v>
      </c>
      <c r="P2949">
        <v>11.01</v>
      </c>
      <c r="Q2949">
        <v>614195712</v>
      </c>
      <c r="R2949">
        <v>1.1</v>
      </c>
      <c r="S2949" t="s">
        <v>134</v>
      </c>
      <c r="T2949" t="s">
        <v>45</v>
      </c>
      <c r="U2949">
        <v>5.1</v>
      </c>
      <c r="V2949">
        <v>7.98</v>
      </c>
      <c r="W2949">
        <v>342141</v>
      </c>
      <c r="X2949">
        <v>427269</v>
      </c>
      <c r="Y2949">
        <v>0.8</v>
      </c>
      <c r="Z2949">
        <v>284</v>
      </c>
      <c r="AA2949">
        <v>15</v>
      </c>
      <c r="AB2949" t="s">
        <v>32</v>
      </c>
      <c r="AC2949">
        <v>94.49</v>
      </c>
    </row>
    <row r="2950" spans="1:29">
      <c r="A2950" t="str">
        <f>"601113"</f>
        <v>601113</v>
      </c>
      <c r="B2950" t="s">
        <v>3120</v>
      </c>
      <c r="C2950">
        <v>0.57</v>
      </c>
      <c r="D2950">
        <v>7.04</v>
      </c>
      <c r="E2950">
        <v>0.04</v>
      </c>
      <c r="F2950">
        <v>7.03</v>
      </c>
      <c r="G2950">
        <v>7.04</v>
      </c>
      <c r="H2950">
        <v>93241</v>
      </c>
      <c r="I2950">
        <v>5</v>
      </c>
      <c r="J2950">
        <v>0.28</v>
      </c>
      <c r="K2950">
        <v>1.46</v>
      </c>
      <c r="L2950">
        <v>6.99</v>
      </c>
      <c r="M2950">
        <v>7.08</v>
      </c>
      <c r="N2950">
        <v>6.96</v>
      </c>
      <c r="O2950">
        <v>7</v>
      </c>
      <c r="P2950">
        <v>70.07</v>
      </c>
      <c r="Q2950">
        <v>65578680</v>
      </c>
      <c r="R2950">
        <v>1.11</v>
      </c>
      <c r="S2950" t="s">
        <v>190</v>
      </c>
      <c r="T2950" t="s">
        <v>149</v>
      </c>
      <c r="U2950">
        <v>1.71</v>
      </c>
      <c r="V2950">
        <v>7.03</v>
      </c>
      <c r="W2950">
        <v>47400</v>
      </c>
      <c r="X2950">
        <v>45840</v>
      </c>
      <c r="Y2950">
        <v>1.03</v>
      </c>
      <c r="Z2950">
        <v>353</v>
      </c>
      <c r="AA2950">
        <v>398</v>
      </c>
      <c r="AB2950" t="s">
        <v>32</v>
      </c>
      <c r="AC2950">
        <v>6.4</v>
      </c>
    </row>
    <row r="2951" spans="1:29">
      <c r="A2951" t="str">
        <f>"601116"</f>
        <v>601116</v>
      </c>
      <c r="B2951" t="s">
        <v>3121</v>
      </c>
      <c r="C2951">
        <v>0.56</v>
      </c>
      <c r="D2951">
        <v>16.15</v>
      </c>
      <c r="E2951">
        <v>0.09</v>
      </c>
      <c r="F2951">
        <v>16.14</v>
      </c>
      <c r="G2951">
        <v>16.15</v>
      </c>
      <c r="H2951">
        <v>50947</v>
      </c>
      <c r="I2951">
        <v>6</v>
      </c>
      <c r="J2951">
        <v>0.06</v>
      </c>
      <c r="K2951">
        <v>1.27</v>
      </c>
      <c r="L2951">
        <v>15.98</v>
      </c>
      <c r="M2951">
        <v>16.36</v>
      </c>
      <c r="N2951">
        <v>15.83</v>
      </c>
      <c r="O2951">
        <v>16.06</v>
      </c>
      <c r="P2951">
        <v>43.18</v>
      </c>
      <c r="Q2951">
        <v>81957488</v>
      </c>
      <c r="R2951">
        <v>1.07</v>
      </c>
      <c r="S2951" t="s">
        <v>439</v>
      </c>
      <c r="T2951" t="s">
        <v>149</v>
      </c>
      <c r="U2951">
        <v>3.3</v>
      </c>
      <c r="V2951">
        <v>16.09</v>
      </c>
      <c r="W2951">
        <v>25035</v>
      </c>
      <c r="X2951">
        <v>25912</v>
      </c>
      <c r="Y2951">
        <v>0.97</v>
      </c>
      <c r="Z2951">
        <v>31</v>
      </c>
      <c r="AA2951">
        <v>31</v>
      </c>
      <c r="AB2951" t="s">
        <v>32</v>
      </c>
      <c r="AC2951">
        <v>4.02</v>
      </c>
    </row>
    <row r="2952" spans="1:29">
      <c r="A2952" t="str">
        <f>"601117"</f>
        <v>601117</v>
      </c>
      <c r="B2952" t="s">
        <v>3122</v>
      </c>
      <c r="C2952">
        <v>2.93</v>
      </c>
      <c r="D2952">
        <v>7.03</v>
      </c>
      <c r="E2952">
        <v>0.2</v>
      </c>
      <c r="F2952">
        <v>7.02</v>
      </c>
      <c r="G2952">
        <v>7.03</v>
      </c>
      <c r="H2952">
        <v>809448</v>
      </c>
      <c r="I2952">
        <v>20</v>
      </c>
      <c r="J2952">
        <v>0.14</v>
      </c>
      <c r="K2952">
        <v>1.64</v>
      </c>
      <c r="L2952">
        <v>7.05</v>
      </c>
      <c r="M2952">
        <v>7.36</v>
      </c>
      <c r="N2952">
        <v>6.98</v>
      </c>
      <c r="O2952">
        <v>6.83</v>
      </c>
      <c r="P2952">
        <v>21.67</v>
      </c>
      <c r="Q2952">
        <v>577273600</v>
      </c>
      <c r="R2952">
        <v>2.73</v>
      </c>
      <c r="S2952" t="s">
        <v>49</v>
      </c>
      <c r="T2952" t="s">
        <v>45</v>
      </c>
      <c r="U2952">
        <v>5.56</v>
      </c>
      <c r="V2952">
        <v>7.13</v>
      </c>
      <c r="W2952">
        <v>439772</v>
      </c>
      <c r="X2952">
        <v>369675</v>
      </c>
      <c r="Y2952">
        <v>1.19</v>
      </c>
      <c r="Z2952">
        <v>872</v>
      </c>
      <c r="AA2952">
        <v>767</v>
      </c>
      <c r="AB2952" t="s">
        <v>32</v>
      </c>
      <c r="AC2952">
        <v>49.33</v>
      </c>
    </row>
    <row r="2953" spans="1:29">
      <c r="A2953" t="str">
        <f>"601118"</f>
        <v>601118</v>
      </c>
      <c r="B2953" t="s">
        <v>3123</v>
      </c>
      <c r="C2953">
        <v>0</v>
      </c>
      <c r="D2953">
        <v>6.62</v>
      </c>
      <c r="E2953">
        <v>0</v>
      </c>
      <c r="F2953" t="s">
        <v>32</v>
      </c>
      <c r="G2953" t="s">
        <v>32</v>
      </c>
      <c r="H2953">
        <v>0</v>
      </c>
      <c r="I2953">
        <v>0</v>
      </c>
      <c r="J2953">
        <v>0</v>
      </c>
      <c r="K2953">
        <v>0</v>
      </c>
      <c r="L2953" t="s">
        <v>32</v>
      </c>
      <c r="M2953" t="s">
        <v>32</v>
      </c>
      <c r="N2953" t="s">
        <v>32</v>
      </c>
      <c r="O2953">
        <v>6.62</v>
      </c>
      <c r="P2953" t="s">
        <v>32</v>
      </c>
      <c r="Q2953">
        <v>0</v>
      </c>
      <c r="R2953">
        <v>0</v>
      </c>
      <c r="S2953" t="s">
        <v>526</v>
      </c>
      <c r="T2953" t="s">
        <v>209</v>
      </c>
      <c r="U2953">
        <v>0</v>
      </c>
      <c r="V2953">
        <v>6.62</v>
      </c>
      <c r="W2953">
        <v>0</v>
      </c>
      <c r="X2953">
        <v>0</v>
      </c>
      <c r="Y2953" t="s">
        <v>32</v>
      </c>
      <c r="Z2953">
        <v>0</v>
      </c>
      <c r="AA2953">
        <v>0</v>
      </c>
      <c r="AB2953" t="s">
        <v>32</v>
      </c>
      <c r="AC2953">
        <v>39.31</v>
      </c>
    </row>
    <row r="2954" spans="1:29">
      <c r="A2954" t="str">
        <f>"601126"</f>
        <v>601126</v>
      </c>
      <c r="B2954" t="s">
        <v>3124</v>
      </c>
      <c r="C2954">
        <v>1.77</v>
      </c>
      <c r="D2954">
        <v>5.18</v>
      </c>
      <c r="E2954">
        <v>0.09</v>
      </c>
      <c r="F2954">
        <v>5.17</v>
      </c>
      <c r="G2954">
        <v>5.18</v>
      </c>
      <c r="H2954">
        <v>30518</v>
      </c>
      <c r="I2954">
        <v>38</v>
      </c>
      <c r="J2954">
        <v>-0.18</v>
      </c>
      <c r="K2954">
        <v>0.38</v>
      </c>
      <c r="L2954">
        <v>5.08</v>
      </c>
      <c r="M2954">
        <v>5.21</v>
      </c>
      <c r="N2954">
        <v>5.07</v>
      </c>
      <c r="O2954">
        <v>5.09</v>
      </c>
      <c r="P2954" t="s">
        <v>32</v>
      </c>
      <c r="Q2954">
        <v>15765307</v>
      </c>
      <c r="R2954">
        <v>1.72</v>
      </c>
      <c r="S2954" t="s">
        <v>104</v>
      </c>
      <c r="T2954" t="s">
        <v>45</v>
      </c>
      <c r="U2954">
        <v>2.75</v>
      </c>
      <c r="V2954">
        <v>5.17</v>
      </c>
      <c r="W2954">
        <v>12235</v>
      </c>
      <c r="X2954">
        <v>18282</v>
      </c>
      <c r="Y2954">
        <v>0.67</v>
      </c>
      <c r="Z2954">
        <v>433</v>
      </c>
      <c r="AA2954">
        <v>150</v>
      </c>
      <c r="AB2954" t="s">
        <v>32</v>
      </c>
      <c r="AC2954">
        <v>8.13</v>
      </c>
    </row>
    <row r="2955" spans="1:29">
      <c r="A2955" t="str">
        <f>"601127"</f>
        <v>601127</v>
      </c>
      <c r="B2955" t="s">
        <v>3125</v>
      </c>
      <c r="C2955">
        <v>0.86</v>
      </c>
      <c r="D2955">
        <v>17.64</v>
      </c>
      <c r="E2955">
        <v>0.15</v>
      </c>
      <c r="F2955">
        <v>17.62</v>
      </c>
      <c r="G2955">
        <v>17.63</v>
      </c>
      <c r="H2955">
        <v>8630</v>
      </c>
      <c r="I2955">
        <v>15</v>
      </c>
      <c r="J2955">
        <v>-0.1</v>
      </c>
      <c r="K2955">
        <v>0.48</v>
      </c>
      <c r="L2955">
        <v>17.49</v>
      </c>
      <c r="M2955">
        <v>17.68</v>
      </c>
      <c r="N2955">
        <v>17.45</v>
      </c>
      <c r="O2955">
        <v>17.49</v>
      </c>
      <c r="P2955">
        <v>18.17</v>
      </c>
      <c r="Q2955">
        <v>15188932</v>
      </c>
      <c r="R2955">
        <v>0.58</v>
      </c>
      <c r="S2955" t="s">
        <v>80</v>
      </c>
      <c r="T2955" t="s">
        <v>221</v>
      </c>
      <c r="U2955">
        <v>1.32</v>
      </c>
      <c r="V2955">
        <v>17.6</v>
      </c>
      <c r="W2955">
        <v>4310</v>
      </c>
      <c r="X2955">
        <v>4320</v>
      </c>
      <c r="Y2955">
        <v>1</v>
      </c>
      <c r="Z2955">
        <v>66</v>
      </c>
      <c r="AA2955">
        <v>18</v>
      </c>
      <c r="AB2955" t="s">
        <v>32</v>
      </c>
      <c r="AC2955">
        <v>1.8</v>
      </c>
    </row>
    <row r="2956" spans="1:29">
      <c r="A2956" t="str">
        <f>"601128"</f>
        <v>601128</v>
      </c>
      <c r="B2956" t="s">
        <v>3126</v>
      </c>
      <c r="C2956">
        <v>0.17</v>
      </c>
      <c r="D2956">
        <v>5.94</v>
      </c>
      <c r="E2956">
        <v>0.01</v>
      </c>
      <c r="F2956">
        <v>5.93</v>
      </c>
      <c r="G2956">
        <v>5.94</v>
      </c>
      <c r="H2956">
        <v>261433</v>
      </c>
      <c r="I2956">
        <v>425</v>
      </c>
      <c r="J2956">
        <v>0.51</v>
      </c>
      <c r="K2956">
        <v>2.62</v>
      </c>
      <c r="L2956">
        <v>5.86</v>
      </c>
      <c r="M2956">
        <v>6</v>
      </c>
      <c r="N2956">
        <v>5.85</v>
      </c>
      <c r="O2956">
        <v>5.93</v>
      </c>
      <c r="P2956">
        <v>8.94</v>
      </c>
      <c r="Q2956">
        <v>155317168</v>
      </c>
      <c r="R2956">
        <v>1.37</v>
      </c>
      <c r="S2956" t="s">
        <v>30</v>
      </c>
      <c r="T2956" t="s">
        <v>87</v>
      </c>
      <c r="U2956">
        <v>2.53</v>
      </c>
      <c r="V2956">
        <v>5.94</v>
      </c>
      <c r="W2956">
        <v>129704</v>
      </c>
      <c r="X2956">
        <v>131729</v>
      </c>
      <c r="Y2956">
        <v>0.98</v>
      </c>
      <c r="Z2956">
        <v>64</v>
      </c>
      <c r="AA2956">
        <v>117</v>
      </c>
      <c r="AB2956" t="s">
        <v>32</v>
      </c>
      <c r="AC2956">
        <v>9.97</v>
      </c>
    </row>
    <row r="2957" spans="1:29">
      <c r="A2957" t="str">
        <f>"601137"</f>
        <v>601137</v>
      </c>
      <c r="B2957" t="s">
        <v>3127</v>
      </c>
      <c r="C2957">
        <v>2.7</v>
      </c>
      <c r="D2957">
        <v>7.98</v>
      </c>
      <c r="E2957">
        <v>0.21</v>
      </c>
      <c r="F2957">
        <v>7.96</v>
      </c>
      <c r="G2957">
        <v>7.99</v>
      </c>
      <c r="H2957">
        <v>23731</v>
      </c>
      <c r="I2957">
        <v>2</v>
      </c>
      <c r="J2957">
        <v>0.25</v>
      </c>
      <c r="K2957">
        <v>0.42</v>
      </c>
      <c r="L2957">
        <v>7.78</v>
      </c>
      <c r="M2957">
        <v>7.99</v>
      </c>
      <c r="N2957">
        <v>7.75</v>
      </c>
      <c r="O2957">
        <v>7.77</v>
      </c>
      <c r="P2957">
        <v>18.68</v>
      </c>
      <c r="Q2957">
        <v>18821468</v>
      </c>
      <c r="R2957">
        <v>1.83</v>
      </c>
      <c r="S2957" t="s">
        <v>340</v>
      </c>
      <c r="T2957" t="s">
        <v>149</v>
      </c>
      <c r="U2957">
        <v>3.09</v>
      </c>
      <c r="V2957">
        <v>7.93</v>
      </c>
      <c r="W2957">
        <v>7782</v>
      </c>
      <c r="X2957">
        <v>15948</v>
      </c>
      <c r="Y2957">
        <v>0.49</v>
      </c>
      <c r="Z2957">
        <v>146</v>
      </c>
      <c r="AA2957">
        <v>52</v>
      </c>
      <c r="AB2957" t="s">
        <v>32</v>
      </c>
      <c r="AC2957">
        <v>5.64</v>
      </c>
    </row>
    <row r="2958" spans="1:29">
      <c r="A2958" t="str">
        <f>"601138"</f>
        <v>601138</v>
      </c>
      <c r="B2958" t="s">
        <v>3128</v>
      </c>
      <c r="C2958">
        <v>4.7</v>
      </c>
      <c r="D2958">
        <v>18.06</v>
      </c>
      <c r="E2958">
        <v>0.81</v>
      </c>
      <c r="F2958">
        <v>18.06</v>
      </c>
      <c r="G2958">
        <v>18.07</v>
      </c>
      <c r="H2958">
        <v>1250545</v>
      </c>
      <c r="I2958">
        <v>979</v>
      </c>
      <c r="J2958">
        <v>0.67</v>
      </c>
      <c r="K2958">
        <v>11.19</v>
      </c>
      <c r="L2958">
        <v>17.23</v>
      </c>
      <c r="M2958">
        <v>18.1</v>
      </c>
      <c r="N2958">
        <v>17.2</v>
      </c>
      <c r="O2958">
        <v>17.25</v>
      </c>
      <c r="P2958">
        <v>33.52</v>
      </c>
      <c r="Q2958">
        <v>2216366336</v>
      </c>
      <c r="R2958">
        <v>2.12</v>
      </c>
      <c r="S2958" t="s">
        <v>119</v>
      </c>
      <c r="T2958" t="s">
        <v>31</v>
      </c>
      <c r="U2958">
        <v>5.22</v>
      </c>
      <c r="V2958">
        <v>17.72</v>
      </c>
      <c r="W2958">
        <v>539190</v>
      </c>
      <c r="X2958">
        <v>711354</v>
      </c>
      <c r="Y2958">
        <v>0.76</v>
      </c>
      <c r="Z2958">
        <v>180</v>
      </c>
      <c r="AA2958">
        <v>8</v>
      </c>
      <c r="AB2958" t="s">
        <v>32</v>
      </c>
      <c r="AC2958">
        <v>11.18</v>
      </c>
    </row>
    <row r="2959" spans="1:29">
      <c r="A2959" t="str">
        <f>"601139"</f>
        <v>601139</v>
      </c>
      <c r="B2959" t="s">
        <v>3129</v>
      </c>
      <c r="C2959">
        <v>-1.15</v>
      </c>
      <c r="D2959">
        <v>6.01</v>
      </c>
      <c r="E2959">
        <v>-0.07</v>
      </c>
      <c r="F2959">
        <v>6</v>
      </c>
      <c r="G2959">
        <v>6.01</v>
      </c>
      <c r="H2959">
        <v>173297</v>
      </c>
      <c r="I2959">
        <v>9</v>
      </c>
      <c r="J2959">
        <v>-0.16</v>
      </c>
      <c r="K2959">
        <v>0.61</v>
      </c>
      <c r="L2959">
        <v>6.1</v>
      </c>
      <c r="M2959">
        <v>6.11</v>
      </c>
      <c r="N2959">
        <v>5.98</v>
      </c>
      <c r="O2959">
        <v>6.08</v>
      </c>
      <c r="P2959">
        <v>17.53</v>
      </c>
      <c r="Q2959">
        <v>104142688</v>
      </c>
      <c r="R2959">
        <v>1.7</v>
      </c>
      <c r="S2959" t="s">
        <v>174</v>
      </c>
      <c r="T2959" t="s">
        <v>31</v>
      </c>
      <c r="U2959">
        <v>2.14</v>
      </c>
      <c r="V2959">
        <v>6.01</v>
      </c>
      <c r="W2959">
        <v>83843</v>
      </c>
      <c r="X2959">
        <v>89453</v>
      </c>
      <c r="Y2959">
        <v>0.94</v>
      </c>
      <c r="Z2959">
        <v>2858</v>
      </c>
      <c r="AA2959">
        <v>1287</v>
      </c>
      <c r="AB2959" t="s">
        <v>32</v>
      </c>
      <c r="AC2959">
        <v>28.39</v>
      </c>
    </row>
    <row r="2960" spans="1:29">
      <c r="A2960" t="str">
        <f>"601155"</f>
        <v>601155</v>
      </c>
      <c r="B2960" t="s">
        <v>3130</v>
      </c>
      <c r="C2960">
        <v>3.02</v>
      </c>
      <c r="D2960">
        <v>29.03</v>
      </c>
      <c r="E2960">
        <v>0.85</v>
      </c>
      <c r="F2960">
        <v>29.08</v>
      </c>
      <c r="G2960">
        <v>29.09</v>
      </c>
      <c r="H2960">
        <v>325188</v>
      </c>
      <c r="I2960">
        <v>18</v>
      </c>
      <c r="J2960">
        <v>0.1</v>
      </c>
      <c r="K2960">
        <v>4.52</v>
      </c>
      <c r="L2960">
        <v>28.8</v>
      </c>
      <c r="M2960">
        <v>29.86</v>
      </c>
      <c r="N2960">
        <v>28.8</v>
      </c>
      <c r="O2960">
        <v>28.18</v>
      </c>
      <c r="P2960">
        <v>45.46</v>
      </c>
      <c r="Q2960">
        <v>953711680</v>
      </c>
      <c r="R2960">
        <v>1.42</v>
      </c>
      <c r="S2960" t="s">
        <v>40</v>
      </c>
      <c r="T2960" t="s">
        <v>87</v>
      </c>
      <c r="U2960">
        <v>3.76</v>
      </c>
      <c r="V2960">
        <v>29.33</v>
      </c>
      <c r="W2960">
        <v>163636</v>
      </c>
      <c r="X2960">
        <v>161551</v>
      </c>
      <c r="Y2960">
        <v>1.01</v>
      </c>
      <c r="Z2960">
        <v>178</v>
      </c>
      <c r="AA2960">
        <v>31</v>
      </c>
      <c r="AB2960" t="s">
        <v>32</v>
      </c>
      <c r="AC2960">
        <v>7.19</v>
      </c>
    </row>
    <row r="2961" spans="1:29">
      <c r="A2961" t="str">
        <f>"601158"</f>
        <v>601158</v>
      </c>
      <c r="B2961" t="s">
        <v>3131</v>
      </c>
      <c r="C2961">
        <v>0.18</v>
      </c>
      <c r="D2961">
        <v>5.62</v>
      </c>
      <c r="E2961">
        <v>0.01</v>
      </c>
      <c r="F2961">
        <v>5.61</v>
      </c>
      <c r="G2961">
        <v>5.62</v>
      </c>
      <c r="H2961">
        <v>27132</v>
      </c>
      <c r="I2961">
        <v>20</v>
      </c>
      <c r="J2961">
        <v>0</v>
      </c>
      <c r="K2961">
        <v>0.06</v>
      </c>
      <c r="L2961">
        <v>5.64</v>
      </c>
      <c r="M2961">
        <v>5.66</v>
      </c>
      <c r="N2961">
        <v>5.59</v>
      </c>
      <c r="O2961">
        <v>5.61</v>
      </c>
      <c r="P2961">
        <v>21.16</v>
      </c>
      <c r="Q2961">
        <v>15268617</v>
      </c>
      <c r="R2961">
        <v>1.4</v>
      </c>
      <c r="S2961" t="s">
        <v>308</v>
      </c>
      <c r="T2961" t="s">
        <v>221</v>
      </c>
      <c r="U2961">
        <v>1.25</v>
      </c>
      <c r="V2961">
        <v>5.63</v>
      </c>
      <c r="W2961">
        <v>11265</v>
      </c>
      <c r="X2961">
        <v>15866</v>
      </c>
      <c r="Y2961">
        <v>0.71</v>
      </c>
      <c r="Z2961">
        <v>257</v>
      </c>
      <c r="AA2961">
        <v>146</v>
      </c>
      <c r="AB2961" t="s">
        <v>32</v>
      </c>
      <c r="AC2961">
        <v>48</v>
      </c>
    </row>
    <row r="2962" spans="1:29">
      <c r="A2962" t="str">
        <f>"601163"</f>
        <v>601163</v>
      </c>
      <c r="B2962" t="s">
        <v>3132</v>
      </c>
      <c r="C2962">
        <v>2.02</v>
      </c>
      <c r="D2962">
        <v>13.65</v>
      </c>
      <c r="E2962">
        <v>0.27</v>
      </c>
      <c r="F2962">
        <v>13.64</v>
      </c>
      <c r="G2962">
        <v>13.65</v>
      </c>
      <c r="H2962">
        <v>29528</v>
      </c>
      <c r="I2962">
        <v>2</v>
      </c>
      <c r="J2962">
        <v>0.07</v>
      </c>
      <c r="K2962">
        <v>1.05</v>
      </c>
      <c r="L2962">
        <v>13.33</v>
      </c>
      <c r="M2962">
        <v>13.7</v>
      </c>
      <c r="N2962">
        <v>13.33</v>
      </c>
      <c r="O2962">
        <v>13.38</v>
      </c>
      <c r="P2962">
        <v>27.59</v>
      </c>
      <c r="Q2962">
        <v>40105772</v>
      </c>
      <c r="R2962">
        <v>1.23</v>
      </c>
      <c r="S2962" t="s">
        <v>80</v>
      </c>
      <c r="T2962" t="s">
        <v>162</v>
      </c>
      <c r="U2962">
        <v>2.77</v>
      </c>
      <c r="V2962">
        <v>13.58</v>
      </c>
      <c r="W2962">
        <v>12069</v>
      </c>
      <c r="X2962">
        <v>17458</v>
      </c>
      <c r="Y2962">
        <v>0.69</v>
      </c>
      <c r="Z2962">
        <v>484</v>
      </c>
      <c r="AA2962">
        <v>432</v>
      </c>
      <c r="AB2962" t="s">
        <v>32</v>
      </c>
      <c r="AC2962">
        <v>2.8</v>
      </c>
    </row>
    <row r="2963" spans="1:29">
      <c r="A2963" t="str">
        <f>"601166"</f>
        <v>601166</v>
      </c>
      <c r="B2963" t="s">
        <v>3133</v>
      </c>
      <c r="C2963">
        <v>1.06</v>
      </c>
      <c r="D2963">
        <v>15.3</v>
      </c>
      <c r="E2963">
        <v>0.16</v>
      </c>
      <c r="F2963">
        <v>15.3</v>
      </c>
      <c r="G2963">
        <v>15.31</v>
      </c>
      <c r="H2963">
        <v>1016319</v>
      </c>
      <c r="I2963">
        <v>23</v>
      </c>
      <c r="J2963">
        <v>0.07</v>
      </c>
      <c r="K2963">
        <v>0.53</v>
      </c>
      <c r="L2963">
        <v>15.25</v>
      </c>
      <c r="M2963">
        <v>15.65</v>
      </c>
      <c r="N2963">
        <v>15.24</v>
      </c>
      <c r="O2963">
        <v>15.14</v>
      </c>
      <c r="P2963">
        <v>4.5</v>
      </c>
      <c r="Q2963">
        <v>1566715264</v>
      </c>
      <c r="R2963">
        <v>1.9</v>
      </c>
      <c r="S2963" t="s">
        <v>30</v>
      </c>
      <c r="T2963" t="s">
        <v>236</v>
      </c>
      <c r="U2963">
        <v>2.71</v>
      </c>
      <c r="V2963">
        <v>15.42</v>
      </c>
      <c r="W2963">
        <v>511111</v>
      </c>
      <c r="X2963">
        <v>505207</v>
      </c>
      <c r="Y2963">
        <v>1.01</v>
      </c>
      <c r="Z2963">
        <v>139</v>
      </c>
      <c r="AA2963">
        <v>968</v>
      </c>
      <c r="AB2963" t="s">
        <v>32</v>
      </c>
      <c r="AC2963">
        <v>190.52</v>
      </c>
    </row>
    <row r="2964" spans="1:29">
      <c r="A2964" t="str">
        <f>"601168"</f>
        <v>601168</v>
      </c>
      <c r="B2964" t="s">
        <v>3134</v>
      </c>
      <c r="C2964">
        <v>1.84</v>
      </c>
      <c r="D2964">
        <v>6.63</v>
      </c>
      <c r="E2964">
        <v>0.12</v>
      </c>
      <c r="F2964">
        <v>6.62</v>
      </c>
      <c r="G2964">
        <v>6.63</v>
      </c>
      <c r="H2964">
        <v>421557</v>
      </c>
      <c r="I2964">
        <v>28</v>
      </c>
      <c r="J2964">
        <v>0.15</v>
      </c>
      <c r="K2964">
        <v>1.77</v>
      </c>
      <c r="L2964">
        <v>6.51</v>
      </c>
      <c r="M2964">
        <v>6.66</v>
      </c>
      <c r="N2964">
        <v>6.48</v>
      </c>
      <c r="O2964">
        <v>6.51</v>
      </c>
      <c r="P2964">
        <v>11.68</v>
      </c>
      <c r="Q2964">
        <v>277811744</v>
      </c>
      <c r="R2964">
        <v>2.69</v>
      </c>
      <c r="S2964" t="s">
        <v>340</v>
      </c>
      <c r="T2964" t="s">
        <v>176</v>
      </c>
      <c r="U2964">
        <v>2.76</v>
      </c>
      <c r="V2964">
        <v>6.59</v>
      </c>
      <c r="W2964">
        <v>210464</v>
      </c>
      <c r="X2964">
        <v>211092</v>
      </c>
      <c r="Y2964">
        <v>1</v>
      </c>
      <c r="Z2964">
        <v>440</v>
      </c>
      <c r="AA2964">
        <v>116</v>
      </c>
      <c r="AB2964" t="s">
        <v>32</v>
      </c>
      <c r="AC2964">
        <v>23.83</v>
      </c>
    </row>
    <row r="2965" spans="1:29">
      <c r="A2965" t="str">
        <f>"601169"</f>
        <v>601169</v>
      </c>
      <c r="B2965" t="s">
        <v>3135</v>
      </c>
      <c r="C2965">
        <v>1.19</v>
      </c>
      <c r="D2965">
        <v>5.96</v>
      </c>
      <c r="E2965">
        <v>0.07</v>
      </c>
      <c r="F2965">
        <v>5.95</v>
      </c>
      <c r="G2965">
        <v>5.96</v>
      </c>
      <c r="H2965">
        <v>616273</v>
      </c>
      <c r="I2965">
        <v>138</v>
      </c>
      <c r="J2965">
        <v>1.02</v>
      </c>
      <c r="K2965">
        <v>0.34</v>
      </c>
      <c r="L2965">
        <v>5.87</v>
      </c>
      <c r="M2965">
        <v>5.97</v>
      </c>
      <c r="N2965">
        <v>5.86</v>
      </c>
      <c r="O2965">
        <v>5.89</v>
      </c>
      <c r="P2965">
        <v>5.45</v>
      </c>
      <c r="Q2965">
        <v>364476992</v>
      </c>
      <c r="R2965">
        <v>1.56</v>
      </c>
      <c r="S2965" t="s">
        <v>30</v>
      </c>
      <c r="T2965" t="s">
        <v>45</v>
      </c>
      <c r="U2965">
        <v>1.87</v>
      </c>
      <c r="V2965">
        <v>5.91</v>
      </c>
      <c r="W2965">
        <v>278824</v>
      </c>
      <c r="X2965">
        <v>337448</v>
      </c>
      <c r="Y2965">
        <v>0.83</v>
      </c>
      <c r="Z2965">
        <v>94</v>
      </c>
      <c r="AA2965">
        <v>431</v>
      </c>
      <c r="AB2965" t="s">
        <v>32</v>
      </c>
      <c r="AC2965">
        <v>182.48</v>
      </c>
    </row>
    <row r="2966" spans="1:29">
      <c r="A2966" t="str">
        <f>"601177"</f>
        <v>601177</v>
      </c>
      <c r="B2966" t="s">
        <v>3136</v>
      </c>
      <c r="C2966">
        <v>0.47</v>
      </c>
      <c r="D2966">
        <v>6.43</v>
      </c>
      <c r="E2966">
        <v>0.03</v>
      </c>
      <c r="F2966">
        <v>6.42</v>
      </c>
      <c r="G2966">
        <v>6.43</v>
      </c>
      <c r="H2966">
        <v>12359</v>
      </c>
      <c r="I2966">
        <v>20</v>
      </c>
      <c r="J2966">
        <v>0.16</v>
      </c>
      <c r="K2966">
        <v>0.31</v>
      </c>
      <c r="L2966">
        <v>6.33</v>
      </c>
      <c r="M2966">
        <v>6.47</v>
      </c>
      <c r="N2966">
        <v>6.33</v>
      </c>
      <c r="O2966">
        <v>6.4</v>
      </c>
      <c r="P2966">
        <v>197.81</v>
      </c>
      <c r="Q2966">
        <v>7919491</v>
      </c>
      <c r="R2966">
        <v>0.89</v>
      </c>
      <c r="S2966" t="s">
        <v>241</v>
      </c>
      <c r="T2966" t="s">
        <v>149</v>
      </c>
      <c r="U2966">
        <v>2.19</v>
      </c>
      <c r="V2966">
        <v>6.41</v>
      </c>
      <c r="W2966">
        <v>6791</v>
      </c>
      <c r="X2966">
        <v>5568</v>
      </c>
      <c r="Y2966">
        <v>1.22</v>
      </c>
      <c r="Z2966">
        <v>215</v>
      </c>
      <c r="AA2966">
        <v>393</v>
      </c>
      <c r="AB2966" t="s">
        <v>32</v>
      </c>
      <c r="AC2966">
        <v>4</v>
      </c>
    </row>
    <row r="2967" spans="1:29">
      <c r="A2967" t="str">
        <f>"601179"</f>
        <v>601179</v>
      </c>
      <c r="B2967" t="s">
        <v>3137</v>
      </c>
      <c r="C2967">
        <v>0.55</v>
      </c>
      <c r="D2967">
        <v>3.63</v>
      </c>
      <c r="E2967">
        <v>0.02</v>
      </c>
      <c r="F2967">
        <v>3.62</v>
      </c>
      <c r="G2967">
        <v>3.63</v>
      </c>
      <c r="H2967">
        <v>153512</v>
      </c>
      <c r="I2967">
        <v>1000</v>
      </c>
      <c r="J2967">
        <v>0.28</v>
      </c>
      <c r="K2967">
        <v>0.3</v>
      </c>
      <c r="L2967">
        <v>3.59</v>
      </c>
      <c r="M2967">
        <v>3.68</v>
      </c>
      <c r="N2967">
        <v>3.59</v>
      </c>
      <c r="O2967">
        <v>3.61</v>
      </c>
      <c r="P2967">
        <v>26.51</v>
      </c>
      <c r="Q2967">
        <v>55743968</v>
      </c>
      <c r="R2967">
        <v>2.18</v>
      </c>
      <c r="S2967" t="s">
        <v>104</v>
      </c>
      <c r="T2967" t="s">
        <v>223</v>
      </c>
      <c r="U2967">
        <v>2.49</v>
      </c>
      <c r="V2967">
        <v>3.63</v>
      </c>
      <c r="W2967">
        <v>70886</v>
      </c>
      <c r="X2967">
        <v>82626</v>
      </c>
      <c r="Y2967">
        <v>0.86</v>
      </c>
      <c r="Z2967">
        <v>91</v>
      </c>
      <c r="AA2967">
        <v>245</v>
      </c>
      <c r="AB2967" t="s">
        <v>32</v>
      </c>
      <c r="AC2967">
        <v>51.26</v>
      </c>
    </row>
    <row r="2968" spans="1:29">
      <c r="A2968" t="str">
        <f>"601186"</f>
        <v>601186</v>
      </c>
      <c r="B2968" t="s">
        <v>3138</v>
      </c>
      <c r="C2968">
        <v>10.05</v>
      </c>
      <c r="D2968">
        <v>10.18</v>
      </c>
      <c r="E2968">
        <v>0.93</v>
      </c>
      <c r="F2968">
        <v>10.18</v>
      </c>
      <c r="G2968" t="s">
        <v>32</v>
      </c>
      <c r="H2968">
        <v>1502848</v>
      </c>
      <c r="I2968">
        <v>155</v>
      </c>
      <c r="J2968">
        <v>0</v>
      </c>
      <c r="K2968">
        <v>1.31</v>
      </c>
      <c r="L2968">
        <v>9.54</v>
      </c>
      <c r="M2968">
        <v>10.18</v>
      </c>
      <c r="N2968">
        <v>9.54</v>
      </c>
      <c r="O2968">
        <v>9.25</v>
      </c>
      <c r="P2968">
        <v>10.1</v>
      </c>
      <c r="Q2968">
        <v>1506289664</v>
      </c>
      <c r="R2968">
        <v>5.33</v>
      </c>
      <c r="S2968" t="s">
        <v>49</v>
      </c>
      <c r="T2968" t="s">
        <v>45</v>
      </c>
      <c r="U2968">
        <v>6.92</v>
      </c>
      <c r="V2968">
        <v>10.02</v>
      </c>
      <c r="W2968">
        <v>788097</v>
      </c>
      <c r="X2968">
        <v>714750</v>
      </c>
      <c r="Y2968">
        <v>1.1</v>
      </c>
      <c r="Z2968">
        <v>5451</v>
      </c>
      <c r="AA2968">
        <v>0</v>
      </c>
      <c r="AB2968" t="s">
        <v>32</v>
      </c>
      <c r="AC2968">
        <v>115.03</v>
      </c>
    </row>
    <row r="2969" spans="1:29">
      <c r="A2969" t="str">
        <f>"601188"</f>
        <v>601188</v>
      </c>
      <c r="B2969" t="s">
        <v>3139</v>
      </c>
      <c r="C2969">
        <v>3.57</v>
      </c>
      <c r="D2969">
        <v>3.48</v>
      </c>
      <c r="E2969">
        <v>0.12</v>
      </c>
      <c r="F2969">
        <v>3.47</v>
      </c>
      <c r="G2969">
        <v>3.48</v>
      </c>
      <c r="H2969">
        <v>47891</v>
      </c>
      <c r="I2969">
        <v>6</v>
      </c>
      <c r="J2969">
        <v>0.58</v>
      </c>
      <c r="K2969">
        <v>0.36</v>
      </c>
      <c r="L2969">
        <v>3.36</v>
      </c>
      <c r="M2969">
        <v>3.6</v>
      </c>
      <c r="N2969">
        <v>3.36</v>
      </c>
      <c r="O2969">
        <v>3.36</v>
      </c>
      <c r="P2969">
        <v>13.76</v>
      </c>
      <c r="Q2969">
        <v>16649402</v>
      </c>
      <c r="R2969">
        <v>4.16</v>
      </c>
      <c r="S2969" t="s">
        <v>201</v>
      </c>
      <c r="T2969" t="s">
        <v>297</v>
      </c>
      <c r="U2969">
        <v>7.14</v>
      </c>
      <c r="V2969">
        <v>3.48</v>
      </c>
      <c r="W2969">
        <v>21160</v>
      </c>
      <c r="X2969">
        <v>26731</v>
      </c>
      <c r="Y2969">
        <v>0.79</v>
      </c>
      <c r="Z2969">
        <v>115</v>
      </c>
      <c r="AA2969">
        <v>94</v>
      </c>
      <c r="AB2969" t="s">
        <v>32</v>
      </c>
      <c r="AC2969">
        <v>13.16</v>
      </c>
    </row>
    <row r="2970" spans="1:29">
      <c r="A2970" t="str">
        <f>"601198"</f>
        <v>601198</v>
      </c>
      <c r="B2970" t="s">
        <v>3140</v>
      </c>
      <c r="C2970">
        <v>1.26</v>
      </c>
      <c r="D2970">
        <v>12.87</v>
      </c>
      <c r="E2970">
        <v>0.16</v>
      </c>
      <c r="F2970">
        <v>12.86</v>
      </c>
      <c r="G2970">
        <v>12.87</v>
      </c>
      <c r="H2970">
        <v>151293</v>
      </c>
      <c r="I2970">
        <v>22</v>
      </c>
      <c r="J2970">
        <v>-0.22</v>
      </c>
      <c r="K2970">
        <v>0.55</v>
      </c>
      <c r="L2970">
        <v>12.67</v>
      </c>
      <c r="M2970">
        <v>13.08</v>
      </c>
      <c r="N2970">
        <v>12.65</v>
      </c>
      <c r="O2970">
        <v>12.71</v>
      </c>
      <c r="P2970">
        <v>32</v>
      </c>
      <c r="Q2970">
        <v>195123056</v>
      </c>
      <c r="R2970">
        <v>1.94</v>
      </c>
      <c r="S2970" t="s">
        <v>158</v>
      </c>
      <c r="T2970" t="s">
        <v>45</v>
      </c>
      <c r="U2970">
        <v>3.38</v>
      </c>
      <c r="V2970">
        <v>12.9</v>
      </c>
      <c r="W2970">
        <v>79938</v>
      </c>
      <c r="X2970">
        <v>71355</v>
      </c>
      <c r="Y2970">
        <v>1.12</v>
      </c>
      <c r="Z2970">
        <v>385</v>
      </c>
      <c r="AA2970">
        <v>129</v>
      </c>
      <c r="AB2970" t="s">
        <v>32</v>
      </c>
      <c r="AC2970">
        <v>27.58</v>
      </c>
    </row>
    <row r="2971" spans="1:29">
      <c r="A2971" t="str">
        <f>"601199"</f>
        <v>601199</v>
      </c>
      <c r="B2971" t="s">
        <v>3141</v>
      </c>
      <c r="C2971">
        <v>1.65</v>
      </c>
      <c r="D2971">
        <v>4.31</v>
      </c>
      <c r="E2971">
        <v>0.07</v>
      </c>
      <c r="F2971">
        <v>4.31</v>
      </c>
      <c r="G2971">
        <v>4.32</v>
      </c>
      <c r="H2971">
        <v>46448</v>
      </c>
      <c r="I2971">
        <v>10</v>
      </c>
      <c r="J2971">
        <v>0</v>
      </c>
      <c r="K2971">
        <v>0.5</v>
      </c>
      <c r="L2971">
        <v>4.24</v>
      </c>
      <c r="M2971">
        <v>4.38</v>
      </c>
      <c r="N2971">
        <v>4.22</v>
      </c>
      <c r="O2971">
        <v>4.24</v>
      </c>
      <c r="P2971">
        <v>27.3</v>
      </c>
      <c r="Q2971">
        <v>19978284</v>
      </c>
      <c r="R2971">
        <v>2.51</v>
      </c>
      <c r="S2971" t="s">
        <v>308</v>
      </c>
      <c r="T2971" t="s">
        <v>87</v>
      </c>
      <c r="U2971">
        <v>3.77</v>
      </c>
      <c r="V2971">
        <v>4.3</v>
      </c>
      <c r="W2971">
        <v>17383</v>
      </c>
      <c r="X2971">
        <v>29065</v>
      </c>
      <c r="Y2971">
        <v>0.6</v>
      </c>
      <c r="Z2971">
        <v>62</v>
      </c>
      <c r="AA2971">
        <v>922</v>
      </c>
      <c r="AB2971" t="s">
        <v>32</v>
      </c>
      <c r="AC2971">
        <v>9.35</v>
      </c>
    </row>
    <row r="2972" spans="1:29">
      <c r="A2972" t="str">
        <f>"601200"</f>
        <v>601200</v>
      </c>
      <c r="B2972" t="s">
        <v>3142</v>
      </c>
      <c r="C2972">
        <v>2.6</v>
      </c>
      <c r="D2972">
        <v>16.2</v>
      </c>
      <c r="E2972">
        <v>0.41</v>
      </c>
      <c r="F2972">
        <v>16.25</v>
      </c>
      <c r="G2972">
        <v>16.26</v>
      </c>
      <c r="H2972">
        <v>61766</v>
      </c>
      <c r="I2972">
        <v>82</v>
      </c>
      <c r="J2972">
        <v>0.37</v>
      </c>
      <c r="K2972">
        <v>0.92</v>
      </c>
      <c r="L2972">
        <v>15.74</v>
      </c>
      <c r="M2972">
        <v>16.25</v>
      </c>
      <c r="N2972">
        <v>15.7</v>
      </c>
      <c r="O2972">
        <v>15.79</v>
      </c>
      <c r="P2972">
        <v>19.36</v>
      </c>
      <c r="Q2972">
        <v>99090744</v>
      </c>
      <c r="R2972">
        <v>1.69</v>
      </c>
      <c r="S2972" t="s">
        <v>86</v>
      </c>
      <c r="T2972" t="s">
        <v>366</v>
      </c>
      <c r="U2972">
        <v>3.48</v>
      </c>
      <c r="V2972">
        <v>16.04</v>
      </c>
      <c r="W2972">
        <v>26952</v>
      </c>
      <c r="X2972">
        <v>34813</v>
      </c>
      <c r="Y2972">
        <v>0.77</v>
      </c>
      <c r="Z2972">
        <v>18</v>
      </c>
      <c r="AA2972">
        <v>55</v>
      </c>
      <c r="AB2972" t="s">
        <v>32</v>
      </c>
      <c r="AC2972">
        <v>6.72</v>
      </c>
    </row>
    <row r="2973" spans="1:29">
      <c r="A2973" t="str">
        <f>"601208"</f>
        <v>601208</v>
      </c>
      <c r="B2973" t="s">
        <v>3143</v>
      </c>
      <c r="C2973">
        <v>1.47</v>
      </c>
      <c r="D2973">
        <v>4.14</v>
      </c>
      <c r="E2973">
        <v>0.06</v>
      </c>
      <c r="F2973">
        <v>4.14</v>
      </c>
      <c r="G2973">
        <v>4.15</v>
      </c>
      <c r="H2973">
        <v>25446</v>
      </c>
      <c r="I2973">
        <v>10</v>
      </c>
      <c r="J2973">
        <v>0</v>
      </c>
      <c r="K2973">
        <v>0.41</v>
      </c>
      <c r="L2973">
        <v>4.06</v>
      </c>
      <c r="M2973">
        <v>4.15</v>
      </c>
      <c r="N2973">
        <v>4.06</v>
      </c>
      <c r="O2973">
        <v>4.08</v>
      </c>
      <c r="P2973">
        <v>94.97</v>
      </c>
      <c r="Q2973">
        <v>10496022</v>
      </c>
      <c r="R2973">
        <v>1.4</v>
      </c>
      <c r="S2973" t="s">
        <v>218</v>
      </c>
      <c r="T2973" t="s">
        <v>146</v>
      </c>
      <c r="U2973">
        <v>2.21</v>
      </c>
      <c r="V2973">
        <v>4.12</v>
      </c>
      <c r="W2973">
        <v>12779</v>
      </c>
      <c r="X2973">
        <v>12666</v>
      </c>
      <c r="Y2973">
        <v>1.01</v>
      </c>
      <c r="Z2973">
        <v>28</v>
      </c>
      <c r="AA2973">
        <v>1052</v>
      </c>
      <c r="AB2973" t="s">
        <v>32</v>
      </c>
      <c r="AC2973">
        <v>6.27</v>
      </c>
    </row>
    <row r="2974" spans="1:29">
      <c r="A2974" t="str">
        <f>"601211"</f>
        <v>601211</v>
      </c>
      <c r="B2974" t="s">
        <v>3144</v>
      </c>
      <c r="C2974">
        <v>2.3</v>
      </c>
      <c r="D2974">
        <v>15.15</v>
      </c>
      <c r="E2974">
        <v>0.34</v>
      </c>
      <c r="F2974">
        <v>15.15</v>
      </c>
      <c r="G2974">
        <v>15.16</v>
      </c>
      <c r="H2974">
        <v>311506</v>
      </c>
      <c r="I2974">
        <v>103</v>
      </c>
      <c r="J2974">
        <v>0</v>
      </c>
      <c r="K2974">
        <v>0.41</v>
      </c>
      <c r="L2974">
        <v>14.85</v>
      </c>
      <c r="M2974">
        <v>15.25</v>
      </c>
      <c r="N2974">
        <v>14.8</v>
      </c>
      <c r="O2974">
        <v>14.81</v>
      </c>
      <c r="P2974">
        <v>14.61</v>
      </c>
      <c r="Q2974">
        <v>470424736</v>
      </c>
      <c r="R2974">
        <v>1.64</v>
      </c>
      <c r="S2974" t="s">
        <v>158</v>
      </c>
      <c r="T2974" t="s">
        <v>366</v>
      </c>
      <c r="U2974">
        <v>3.04</v>
      </c>
      <c r="V2974">
        <v>15.1</v>
      </c>
      <c r="W2974">
        <v>142255</v>
      </c>
      <c r="X2974">
        <v>169250</v>
      </c>
      <c r="Y2974">
        <v>0.84</v>
      </c>
      <c r="Z2974">
        <v>209</v>
      </c>
      <c r="AA2974">
        <v>177</v>
      </c>
      <c r="AB2974" t="s">
        <v>32</v>
      </c>
      <c r="AC2974">
        <v>75.16</v>
      </c>
    </row>
    <row r="2975" spans="1:29">
      <c r="A2975" t="str">
        <f>"601212"</f>
        <v>601212</v>
      </c>
      <c r="B2975" t="s">
        <v>3145</v>
      </c>
      <c r="C2975">
        <v>2.73</v>
      </c>
      <c r="D2975">
        <v>4.14</v>
      </c>
      <c r="E2975">
        <v>0.11</v>
      </c>
      <c r="F2975">
        <v>4.14</v>
      </c>
      <c r="G2975">
        <v>4.15</v>
      </c>
      <c r="H2975">
        <v>278560</v>
      </c>
      <c r="I2975">
        <v>150</v>
      </c>
      <c r="J2975">
        <v>-0.23</v>
      </c>
      <c r="K2975">
        <v>1.42</v>
      </c>
      <c r="L2975">
        <v>4.01</v>
      </c>
      <c r="M2975">
        <v>4.35</v>
      </c>
      <c r="N2975">
        <v>4.01</v>
      </c>
      <c r="O2975">
        <v>4.03</v>
      </c>
      <c r="P2975">
        <v>210.34</v>
      </c>
      <c r="Q2975">
        <v>115910224</v>
      </c>
      <c r="R2975">
        <v>3.01</v>
      </c>
      <c r="S2975" t="s">
        <v>340</v>
      </c>
      <c r="T2975" t="s">
        <v>266</v>
      </c>
      <c r="U2975">
        <v>8.44</v>
      </c>
      <c r="V2975">
        <v>4.16</v>
      </c>
      <c r="W2975">
        <v>131592</v>
      </c>
      <c r="X2975">
        <v>146967</v>
      </c>
      <c r="Y2975">
        <v>0.9</v>
      </c>
      <c r="Z2975">
        <v>665</v>
      </c>
      <c r="AA2975">
        <v>2823</v>
      </c>
      <c r="AB2975" t="s">
        <v>32</v>
      </c>
      <c r="AC2975">
        <v>19.65</v>
      </c>
    </row>
    <row r="2976" spans="1:29">
      <c r="A2976" t="str">
        <f>"601216"</f>
        <v>601216</v>
      </c>
      <c r="B2976" t="s">
        <v>3146</v>
      </c>
      <c r="C2976">
        <v>4.55</v>
      </c>
      <c r="D2976">
        <v>3.45</v>
      </c>
      <c r="E2976">
        <v>0.15</v>
      </c>
      <c r="F2976">
        <v>3.45</v>
      </c>
      <c r="G2976">
        <v>3.46</v>
      </c>
      <c r="H2976">
        <v>703982</v>
      </c>
      <c r="I2976">
        <v>804</v>
      </c>
      <c r="J2976">
        <v>-0.28</v>
      </c>
      <c r="K2976">
        <v>0.83</v>
      </c>
      <c r="L2976">
        <v>3.3</v>
      </c>
      <c r="M2976">
        <v>3.58</v>
      </c>
      <c r="N2976">
        <v>3.29</v>
      </c>
      <c r="O2976">
        <v>3.3</v>
      </c>
      <c r="P2976">
        <v>9.33</v>
      </c>
      <c r="Q2976">
        <v>241770736</v>
      </c>
      <c r="R2976">
        <v>2.94</v>
      </c>
      <c r="S2976" t="s">
        <v>218</v>
      </c>
      <c r="T2976" t="s">
        <v>198</v>
      </c>
      <c r="U2976">
        <v>8.79</v>
      </c>
      <c r="V2976">
        <v>3.43</v>
      </c>
      <c r="W2976">
        <v>347505</v>
      </c>
      <c r="X2976">
        <v>356476</v>
      </c>
      <c r="Y2976">
        <v>0.97</v>
      </c>
      <c r="Z2976">
        <v>807</v>
      </c>
      <c r="AA2976">
        <v>3590</v>
      </c>
      <c r="AB2976" t="s">
        <v>32</v>
      </c>
      <c r="AC2976">
        <v>84.38</v>
      </c>
    </row>
    <row r="2977" spans="1:29">
      <c r="A2977" t="str">
        <f>"601218"</f>
        <v>601218</v>
      </c>
      <c r="B2977" t="s">
        <v>3147</v>
      </c>
      <c r="C2977">
        <v>1.52</v>
      </c>
      <c r="D2977">
        <v>2.68</v>
      </c>
      <c r="E2977">
        <v>0.04</v>
      </c>
      <c r="F2977">
        <v>2.68</v>
      </c>
      <c r="G2977">
        <v>2.69</v>
      </c>
      <c r="H2977">
        <v>40698</v>
      </c>
      <c r="I2977">
        <v>1</v>
      </c>
      <c r="J2977">
        <v>0</v>
      </c>
      <c r="K2977">
        <v>0.41</v>
      </c>
      <c r="L2977">
        <v>2.63</v>
      </c>
      <c r="M2977">
        <v>2.69</v>
      </c>
      <c r="N2977">
        <v>2.62</v>
      </c>
      <c r="O2977">
        <v>2.64</v>
      </c>
      <c r="P2977" t="s">
        <v>32</v>
      </c>
      <c r="Q2977">
        <v>10848854</v>
      </c>
      <c r="R2977">
        <v>1.82</v>
      </c>
      <c r="S2977" t="s">
        <v>241</v>
      </c>
      <c r="T2977" t="s">
        <v>87</v>
      </c>
      <c r="U2977">
        <v>2.65</v>
      </c>
      <c r="V2977">
        <v>2.67</v>
      </c>
      <c r="W2977">
        <v>15387</v>
      </c>
      <c r="X2977">
        <v>25311</v>
      </c>
      <c r="Y2977">
        <v>0.61</v>
      </c>
      <c r="Z2977">
        <v>378</v>
      </c>
      <c r="AA2977">
        <v>1683</v>
      </c>
      <c r="AB2977" t="s">
        <v>32</v>
      </c>
      <c r="AC2977">
        <v>9.92</v>
      </c>
    </row>
    <row r="2978" spans="1:29">
      <c r="A2978" t="str">
        <f>"601222"</f>
        <v>601222</v>
      </c>
      <c r="B2978" t="s">
        <v>3148</v>
      </c>
      <c r="C2978">
        <v>4.82</v>
      </c>
      <c r="D2978">
        <v>5</v>
      </c>
      <c r="E2978">
        <v>0.23</v>
      </c>
      <c r="F2978">
        <v>4.98</v>
      </c>
      <c r="G2978">
        <v>4.99</v>
      </c>
      <c r="H2978">
        <v>218001</v>
      </c>
      <c r="I2978">
        <v>2</v>
      </c>
      <c r="J2978">
        <v>0.4</v>
      </c>
      <c r="K2978">
        <v>1.25</v>
      </c>
      <c r="L2978">
        <v>4.77</v>
      </c>
      <c r="M2978">
        <v>5.02</v>
      </c>
      <c r="N2978">
        <v>4.75</v>
      </c>
      <c r="O2978">
        <v>4.77</v>
      </c>
      <c r="P2978">
        <v>15.04</v>
      </c>
      <c r="Q2978">
        <v>107232176</v>
      </c>
      <c r="R2978">
        <v>1.46</v>
      </c>
      <c r="S2978" t="s">
        <v>606</v>
      </c>
      <c r="T2978" t="s">
        <v>87</v>
      </c>
      <c r="U2978">
        <v>5.66</v>
      </c>
      <c r="V2978">
        <v>4.92</v>
      </c>
      <c r="W2978">
        <v>82122</v>
      </c>
      <c r="X2978">
        <v>135878</v>
      </c>
      <c r="Y2978">
        <v>0.6</v>
      </c>
      <c r="Z2978">
        <v>1231</v>
      </c>
      <c r="AA2978">
        <v>83</v>
      </c>
      <c r="AB2978" t="s">
        <v>32</v>
      </c>
      <c r="AC2978">
        <v>17.49</v>
      </c>
    </row>
    <row r="2979" spans="1:29">
      <c r="A2979" t="str">
        <f>"601225"</f>
        <v>601225</v>
      </c>
      <c r="B2979" t="s">
        <v>3149</v>
      </c>
      <c r="C2979">
        <v>1.97</v>
      </c>
      <c r="D2979">
        <v>7.78</v>
      </c>
      <c r="E2979">
        <v>0.15</v>
      </c>
      <c r="F2979">
        <v>7.77</v>
      </c>
      <c r="G2979">
        <v>7.78</v>
      </c>
      <c r="H2979">
        <v>1366711</v>
      </c>
      <c r="I2979">
        <v>65</v>
      </c>
      <c r="J2979">
        <v>-0.12</v>
      </c>
      <c r="K2979">
        <v>1.37</v>
      </c>
      <c r="L2979">
        <v>7.71</v>
      </c>
      <c r="M2979">
        <v>7.94</v>
      </c>
      <c r="N2979">
        <v>7.71</v>
      </c>
      <c r="O2979">
        <v>7.63</v>
      </c>
      <c r="P2979">
        <v>6.85</v>
      </c>
      <c r="Q2979">
        <v>1069592256</v>
      </c>
      <c r="R2979">
        <v>2.66</v>
      </c>
      <c r="S2979" t="s">
        <v>265</v>
      </c>
      <c r="T2979" t="s">
        <v>223</v>
      </c>
      <c r="U2979">
        <v>3.01</v>
      </c>
      <c r="V2979">
        <v>7.83</v>
      </c>
      <c r="W2979">
        <v>621850</v>
      </c>
      <c r="X2979">
        <v>744860</v>
      </c>
      <c r="Y2979">
        <v>0.83</v>
      </c>
      <c r="Z2979">
        <v>1509</v>
      </c>
      <c r="AA2979">
        <v>158</v>
      </c>
      <c r="AB2979" t="s">
        <v>32</v>
      </c>
      <c r="AC2979">
        <v>100</v>
      </c>
    </row>
    <row r="2980" spans="1:29">
      <c r="A2980" t="str">
        <f>"601226"</f>
        <v>601226</v>
      </c>
      <c r="B2980" t="s">
        <v>3150</v>
      </c>
      <c r="C2980">
        <v>3.92</v>
      </c>
      <c r="D2980">
        <v>3.98</v>
      </c>
      <c r="E2980">
        <v>0.15</v>
      </c>
      <c r="F2980">
        <v>3.97</v>
      </c>
      <c r="G2980">
        <v>3.98</v>
      </c>
      <c r="H2980">
        <v>39308</v>
      </c>
      <c r="I2980">
        <v>63</v>
      </c>
      <c r="J2980">
        <v>0</v>
      </c>
      <c r="K2980">
        <v>0.34</v>
      </c>
      <c r="L2980">
        <v>3.84</v>
      </c>
      <c r="M2980">
        <v>3.98</v>
      </c>
      <c r="N2980">
        <v>3.82</v>
      </c>
      <c r="O2980">
        <v>3.83</v>
      </c>
      <c r="P2980" t="s">
        <v>32</v>
      </c>
      <c r="Q2980">
        <v>15483976</v>
      </c>
      <c r="R2980">
        <v>2.31</v>
      </c>
      <c r="S2980" t="s">
        <v>171</v>
      </c>
      <c r="T2980" t="s">
        <v>45</v>
      </c>
      <c r="U2980">
        <v>4.18</v>
      </c>
      <c r="V2980">
        <v>3.94</v>
      </c>
      <c r="W2980">
        <v>14918</v>
      </c>
      <c r="X2980">
        <v>24390</v>
      </c>
      <c r="Y2980">
        <v>0.61</v>
      </c>
      <c r="Z2980">
        <v>465</v>
      </c>
      <c r="AA2980">
        <v>230</v>
      </c>
      <c r="AB2980" t="s">
        <v>32</v>
      </c>
      <c r="AC2980">
        <v>11.55</v>
      </c>
    </row>
    <row r="2981" spans="1:29">
      <c r="A2981" t="str">
        <f>"601228"</f>
        <v>601228</v>
      </c>
      <c r="B2981" t="s">
        <v>3151</v>
      </c>
      <c r="C2981">
        <v>1.92</v>
      </c>
      <c r="D2981">
        <v>5.31</v>
      </c>
      <c r="E2981">
        <v>0.1</v>
      </c>
      <c r="F2981">
        <v>5.3</v>
      </c>
      <c r="G2981">
        <v>5.31</v>
      </c>
      <c r="H2981">
        <v>185275</v>
      </c>
      <c r="I2981">
        <v>47</v>
      </c>
      <c r="J2981">
        <v>0</v>
      </c>
      <c r="K2981">
        <v>1.28</v>
      </c>
      <c r="L2981">
        <v>5.18</v>
      </c>
      <c r="M2981">
        <v>5.33</v>
      </c>
      <c r="N2981">
        <v>5.17</v>
      </c>
      <c r="O2981">
        <v>5.21</v>
      </c>
      <c r="P2981">
        <v>31.65</v>
      </c>
      <c r="Q2981">
        <v>97695552</v>
      </c>
      <c r="R2981">
        <v>2.14</v>
      </c>
      <c r="S2981" t="s">
        <v>67</v>
      </c>
      <c r="T2981" t="s">
        <v>136</v>
      </c>
      <c r="U2981">
        <v>3.07</v>
      </c>
      <c r="V2981">
        <v>5.27</v>
      </c>
      <c r="W2981">
        <v>78035</v>
      </c>
      <c r="X2981">
        <v>107239</v>
      </c>
      <c r="Y2981">
        <v>0.73</v>
      </c>
      <c r="Z2981">
        <v>1222</v>
      </c>
      <c r="AA2981">
        <v>588</v>
      </c>
      <c r="AB2981" t="s">
        <v>32</v>
      </c>
      <c r="AC2981">
        <v>14.43</v>
      </c>
    </row>
    <row r="2982" spans="1:29">
      <c r="A2982" t="str">
        <f>"601229"</f>
        <v>601229</v>
      </c>
      <c r="B2982" t="s">
        <v>3152</v>
      </c>
      <c r="C2982">
        <v>3.1</v>
      </c>
      <c r="D2982">
        <v>11.31</v>
      </c>
      <c r="E2982">
        <v>0.34</v>
      </c>
      <c r="F2982">
        <v>11.3</v>
      </c>
      <c r="G2982">
        <v>11.36</v>
      </c>
      <c r="H2982">
        <v>841951</v>
      </c>
      <c r="I2982">
        <v>4</v>
      </c>
      <c r="J2982">
        <v>0.18</v>
      </c>
      <c r="K2982">
        <v>1.62</v>
      </c>
      <c r="L2982">
        <v>10.92</v>
      </c>
      <c r="M2982">
        <v>11.49</v>
      </c>
      <c r="N2982">
        <v>10.92</v>
      </c>
      <c r="O2982">
        <v>10.97</v>
      </c>
      <c r="P2982">
        <v>7.03</v>
      </c>
      <c r="Q2982">
        <v>948286336</v>
      </c>
      <c r="R2982">
        <v>3.47</v>
      </c>
      <c r="S2982" t="s">
        <v>30</v>
      </c>
      <c r="T2982" t="s">
        <v>366</v>
      </c>
      <c r="U2982">
        <v>5.2</v>
      </c>
      <c r="V2982">
        <v>11.26</v>
      </c>
      <c r="W2982">
        <v>395095</v>
      </c>
      <c r="X2982">
        <v>446855</v>
      </c>
      <c r="Y2982">
        <v>0.88</v>
      </c>
      <c r="Z2982">
        <v>37</v>
      </c>
      <c r="AA2982">
        <v>529</v>
      </c>
      <c r="AB2982" t="s">
        <v>32</v>
      </c>
      <c r="AC2982">
        <v>51.96</v>
      </c>
    </row>
    <row r="2983" spans="1:29">
      <c r="A2983" t="str">
        <f>"601231"</f>
        <v>601231</v>
      </c>
      <c r="B2983" t="s">
        <v>3153</v>
      </c>
      <c r="C2983">
        <v>3.16</v>
      </c>
      <c r="D2983">
        <v>9.47</v>
      </c>
      <c r="E2983">
        <v>0.29</v>
      </c>
      <c r="F2983">
        <v>9.46</v>
      </c>
      <c r="G2983">
        <v>9.47</v>
      </c>
      <c r="H2983">
        <v>138485</v>
      </c>
      <c r="I2983">
        <v>100</v>
      </c>
      <c r="J2983">
        <v>0.42</v>
      </c>
      <c r="K2983">
        <v>0.64</v>
      </c>
      <c r="L2983">
        <v>9.18</v>
      </c>
      <c r="M2983">
        <v>9.5</v>
      </c>
      <c r="N2983">
        <v>9.06</v>
      </c>
      <c r="O2983">
        <v>9.18</v>
      </c>
      <c r="P2983">
        <v>27.53</v>
      </c>
      <c r="Q2983">
        <v>128935872</v>
      </c>
      <c r="R2983">
        <v>1.94</v>
      </c>
      <c r="S2983" t="s">
        <v>63</v>
      </c>
      <c r="T2983" t="s">
        <v>366</v>
      </c>
      <c r="U2983">
        <v>4.79</v>
      </c>
      <c r="V2983">
        <v>9.31</v>
      </c>
      <c r="W2983">
        <v>66448</v>
      </c>
      <c r="X2983">
        <v>72036</v>
      </c>
      <c r="Y2983">
        <v>0.92</v>
      </c>
      <c r="Z2983">
        <v>30</v>
      </c>
      <c r="AA2983">
        <v>3</v>
      </c>
      <c r="AB2983" t="s">
        <v>32</v>
      </c>
      <c r="AC2983">
        <v>21.76</v>
      </c>
    </row>
    <row r="2984" spans="1:29">
      <c r="A2984" t="str">
        <f>"601233"</f>
        <v>601233</v>
      </c>
      <c r="B2984" t="s">
        <v>3154</v>
      </c>
      <c r="C2984">
        <v>4.24</v>
      </c>
      <c r="D2984">
        <v>18.7</v>
      </c>
      <c r="E2984">
        <v>0.76</v>
      </c>
      <c r="F2984">
        <v>18.64</v>
      </c>
      <c r="G2984">
        <v>18.65</v>
      </c>
      <c r="H2984">
        <v>491216</v>
      </c>
      <c r="I2984">
        <v>581</v>
      </c>
      <c r="J2984">
        <v>-0.36</v>
      </c>
      <c r="K2984">
        <v>2.91</v>
      </c>
      <c r="L2984">
        <v>18.5</v>
      </c>
      <c r="M2984">
        <v>19.3</v>
      </c>
      <c r="N2984">
        <v>18.21</v>
      </c>
      <c r="O2984">
        <v>17.94</v>
      </c>
      <c r="P2984">
        <v>17</v>
      </c>
      <c r="Q2984">
        <v>925985024</v>
      </c>
      <c r="R2984">
        <v>3.36</v>
      </c>
      <c r="S2984" t="s">
        <v>190</v>
      </c>
      <c r="T2984" t="s">
        <v>149</v>
      </c>
      <c r="U2984">
        <v>6.08</v>
      </c>
      <c r="V2984">
        <v>18.85</v>
      </c>
      <c r="W2984">
        <v>237822</v>
      </c>
      <c r="X2984">
        <v>253394</v>
      </c>
      <c r="Y2984">
        <v>0.94</v>
      </c>
      <c r="Z2984">
        <v>127</v>
      </c>
      <c r="AA2984">
        <v>107</v>
      </c>
      <c r="AB2984" t="s">
        <v>32</v>
      </c>
      <c r="AC2984">
        <v>16.87</v>
      </c>
    </row>
    <row r="2985" spans="1:29">
      <c r="A2985" t="str">
        <f>"601238"</f>
        <v>601238</v>
      </c>
      <c r="B2985" t="s">
        <v>3155</v>
      </c>
      <c r="C2985">
        <v>5.11</v>
      </c>
      <c r="D2985">
        <v>10.9</v>
      </c>
      <c r="E2985">
        <v>0.53</v>
      </c>
      <c r="F2985">
        <v>10.9</v>
      </c>
      <c r="G2985">
        <v>10.91</v>
      </c>
      <c r="H2985">
        <v>158857</v>
      </c>
      <c r="I2985">
        <v>80</v>
      </c>
      <c r="J2985">
        <v>0.28</v>
      </c>
      <c r="K2985">
        <v>0.26</v>
      </c>
      <c r="L2985">
        <v>10.3</v>
      </c>
      <c r="M2985">
        <v>10.97</v>
      </c>
      <c r="N2985">
        <v>10.26</v>
      </c>
      <c r="O2985">
        <v>10.37</v>
      </c>
      <c r="P2985">
        <v>7.17</v>
      </c>
      <c r="Q2985">
        <v>169692144</v>
      </c>
      <c r="R2985">
        <v>2.08</v>
      </c>
      <c r="S2985" t="s">
        <v>262</v>
      </c>
      <c r="T2985" t="s">
        <v>136</v>
      </c>
      <c r="U2985">
        <v>6.85</v>
      </c>
      <c r="V2985">
        <v>10.68</v>
      </c>
      <c r="W2985">
        <v>64098</v>
      </c>
      <c r="X2985">
        <v>94759</v>
      </c>
      <c r="Y2985">
        <v>0.68</v>
      </c>
      <c r="Z2985">
        <v>374</v>
      </c>
      <c r="AA2985">
        <v>211</v>
      </c>
      <c r="AB2985" t="s">
        <v>32</v>
      </c>
      <c r="AC2985">
        <v>60.6</v>
      </c>
    </row>
    <row r="2986" spans="1:29">
      <c r="A2986" t="str">
        <f>"601258"</f>
        <v>601258</v>
      </c>
      <c r="B2986" t="s">
        <v>3156</v>
      </c>
      <c r="C2986">
        <v>1.65</v>
      </c>
      <c r="D2986">
        <v>1.85</v>
      </c>
      <c r="E2986">
        <v>0.03</v>
      </c>
      <c r="F2986">
        <v>1.85</v>
      </c>
      <c r="G2986">
        <v>1.86</v>
      </c>
      <c r="H2986">
        <v>500605</v>
      </c>
      <c r="I2986">
        <v>83</v>
      </c>
      <c r="J2986">
        <v>0</v>
      </c>
      <c r="K2986">
        <v>0.77</v>
      </c>
      <c r="L2986">
        <v>1.81</v>
      </c>
      <c r="M2986">
        <v>1.86</v>
      </c>
      <c r="N2986">
        <v>1.81</v>
      </c>
      <c r="O2986">
        <v>1.82</v>
      </c>
      <c r="P2986">
        <v>67.41</v>
      </c>
      <c r="Q2986">
        <v>92230176</v>
      </c>
      <c r="R2986">
        <v>2.17</v>
      </c>
      <c r="S2986" t="s">
        <v>71</v>
      </c>
      <c r="T2986" t="s">
        <v>154</v>
      </c>
      <c r="U2986">
        <v>2.75</v>
      </c>
      <c r="V2986">
        <v>1.84</v>
      </c>
      <c r="W2986">
        <v>172998</v>
      </c>
      <c r="X2986">
        <v>327606</v>
      </c>
      <c r="Y2986">
        <v>0.53</v>
      </c>
      <c r="Z2986">
        <v>22187</v>
      </c>
      <c r="AA2986">
        <v>20225</v>
      </c>
      <c r="AB2986" t="s">
        <v>32</v>
      </c>
      <c r="AC2986">
        <v>65.38</v>
      </c>
    </row>
    <row r="2987" spans="1:29">
      <c r="A2987" t="str">
        <f>"601288"</f>
        <v>601288</v>
      </c>
      <c r="B2987" t="s">
        <v>3157</v>
      </c>
      <c r="C2987">
        <v>0.56</v>
      </c>
      <c r="D2987">
        <v>3.62</v>
      </c>
      <c r="E2987">
        <v>0.02</v>
      </c>
      <c r="F2987">
        <v>3.62</v>
      </c>
      <c r="G2987">
        <v>3.63</v>
      </c>
      <c r="H2987">
        <v>3647714</v>
      </c>
      <c r="I2987">
        <v>26</v>
      </c>
      <c r="J2987">
        <v>0</v>
      </c>
      <c r="K2987">
        <v>0.12</v>
      </c>
      <c r="L2987">
        <v>3.6</v>
      </c>
      <c r="M2987">
        <v>3.65</v>
      </c>
      <c r="N2987">
        <v>3.58</v>
      </c>
      <c r="O2987">
        <v>3.6</v>
      </c>
      <c r="P2987">
        <v>5.39</v>
      </c>
      <c r="Q2987">
        <v>1322356352</v>
      </c>
      <c r="R2987">
        <v>1.25</v>
      </c>
      <c r="S2987" t="s">
        <v>30</v>
      </c>
      <c r="T2987" t="s">
        <v>45</v>
      </c>
      <c r="U2987">
        <v>1.94</v>
      </c>
      <c r="V2987">
        <v>3.63</v>
      </c>
      <c r="W2987">
        <v>1963872</v>
      </c>
      <c r="X2987">
        <v>1683841</v>
      </c>
      <c r="Y2987">
        <v>1.17</v>
      </c>
      <c r="Z2987">
        <v>9702</v>
      </c>
      <c r="AA2987">
        <v>42688</v>
      </c>
      <c r="AB2987" t="s">
        <v>32</v>
      </c>
      <c r="AC2987">
        <v>2940.55</v>
      </c>
    </row>
    <row r="2988" spans="1:29">
      <c r="A2988" t="str">
        <f>"601311"</f>
        <v>601311</v>
      </c>
      <c r="B2988" t="s">
        <v>3158</v>
      </c>
      <c r="C2988">
        <v>2</v>
      </c>
      <c r="D2988">
        <v>11.72</v>
      </c>
      <c r="E2988">
        <v>0.23</v>
      </c>
      <c r="F2988">
        <v>11.72</v>
      </c>
      <c r="G2988">
        <v>11.73</v>
      </c>
      <c r="H2988">
        <v>40827</v>
      </c>
      <c r="I2988">
        <v>15</v>
      </c>
      <c r="J2988">
        <v>-0.08</v>
      </c>
      <c r="K2988">
        <v>0.48</v>
      </c>
      <c r="L2988">
        <v>11.4</v>
      </c>
      <c r="M2988">
        <v>11.87</v>
      </c>
      <c r="N2988">
        <v>11.4</v>
      </c>
      <c r="O2988">
        <v>11.49</v>
      </c>
      <c r="P2988">
        <v>19.31</v>
      </c>
      <c r="Q2988">
        <v>47457800</v>
      </c>
      <c r="R2988">
        <v>2.18</v>
      </c>
      <c r="S2988" t="s">
        <v>104</v>
      </c>
      <c r="T2988" t="s">
        <v>193</v>
      </c>
      <c r="U2988">
        <v>4.09</v>
      </c>
      <c r="V2988">
        <v>11.62</v>
      </c>
      <c r="W2988">
        <v>18790</v>
      </c>
      <c r="X2988">
        <v>22036</v>
      </c>
      <c r="Y2988">
        <v>0.85</v>
      </c>
      <c r="Z2988">
        <v>4</v>
      </c>
      <c r="AA2988">
        <v>371</v>
      </c>
      <c r="AB2988" t="s">
        <v>32</v>
      </c>
      <c r="AC2988">
        <v>8.48</v>
      </c>
    </row>
    <row r="2989" spans="1:29">
      <c r="A2989" t="str">
        <f>"601318"</f>
        <v>601318</v>
      </c>
      <c r="B2989" t="s">
        <v>3159</v>
      </c>
      <c r="C2989">
        <v>1.08</v>
      </c>
      <c r="D2989">
        <v>61.74</v>
      </c>
      <c r="E2989">
        <v>0.66</v>
      </c>
      <c r="F2989">
        <v>61.73</v>
      </c>
      <c r="G2989">
        <v>61.75</v>
      </c>
      <c r="H2989">
        <v>836847</v>
      </c>
      <c r="I2989">
        <v>5</v>
      </c>
      <c r="J2989">
        <v>-0.05</v>
      </c>
      <c r="K2989">
        <v>0.77</v>
      </c>
      <c r="L2989">
        <v>61.06</v>
      </c>
      <c r="M2989">
        <v>63</v>
      </c>
      <c r="N2989">
        <v>61.03</v>
      </c>
      <c r="O2989">
        <v>61.08</v>
      </c>
      <c r="P2989">
        <v>10.98</v>
      </c>
      <c r="Q2989">
        <v>5207884800</v>
      </c>
      <c r="R2989">
        <v>1.22</v>
      </c>
      <c r="S2989" t="s">
        <v>336</v>
      </c>
      <c r="T2989" t="s">
        <v>31</v>
      </c>
      <c r="U2989">
        <v>3.23</v>
      </c>
      <c r="V2989">
        <v>62.23</v>
      </c>
      <c r="W2989">
        <v>402086</v>
      </c>
      <c r="X2989">
        <v>434761</v>
      </c>
      <c r="Y2989">
        <v>0.92</v>
      </c>
      <c r="Z2989">
        <v>127</v>
      </c>
      <c r="AA2989">
        <v>10</v>
      </c>
      <c r="AB2989" t="s">
        <v>32</v>
      </c>
      <c r="AC2989">
        <v>108.33</v>
      </c>
    </row>
    <row r="2990" spans="1:29">
      <c r="A2990" t="str">
        <f>"601326"</f>
        <v>601326</v>
      </c>
      <c r="B2990" t="s">
        <v>3160</v>
      </c>
      <c r="C2990">
        <v>2.53</v>
      </c>
      <c r="D2990">
        <v>4.06</v>
      </c>
      <c r="E2990">
        <v>0.1</v>
      </c>
      <c r="F2990">
        <v>4.05</v>
      </c>
      <c r="G2990">
        <v>4.06</v>
      </c>
      <c r="H2990">
        <v>198439</v>
      </c>
      <c r="I2990">
        <v>200</v>
      </c>
      <c r="J2990">
        <v>0.25</v>
      </c>
      <c r="K2990">
        <v>3.56</v>
      </c>
      <c r="L2990">
        <v>3.92</v>
      </c>
      <c r="M2990">
        <v>4.08</v>
      </c>
      <c r="N2990">
        <v>3.92</v>
      </c>
      <c r="O2990">
        <v>3.96</v>
      </c>
      <c r="P2990">
        <v>16.29</v>
      </c>
      <c r="Q2990">
        <v>79809272</v>
      </c>
      <c r="R2990">
        <v>2.13</v>
      </c>
      <c r="S2990" t="s">
        <v>67</v>
      </c>
      <c r="T2990" t="s">
        <v>154</v>
      </c>
      <c r="U2990">
        <v>4.04</v>
      </c>
      <c r="V2990">
        <v>4.02</v>
      </c>
      <c r="W2990">
        <v>84097</v>
      </c>
      <c r="X2990">
        <v>114342</v>
      </c>
      <c r="Y2990">
        <v>0.74</v>
      </c>
      <c r="Z2990">
        <v>2980</v>
      </c>
      <c r="AA2990">
        <v>1009</v>
      </c>
      <c r="AB2990" t="s">
        <v>32</v>
      </c>
      <c r="AC2990">
        <v>5.58</v>
      </c>
    </row>
    <row r="2991" spans="1:29">
      <c r="A2991" t="str">
        <f>"601328"</f>
        <v>601328</v>
      </c>
      <c r="B2991" t="s">
        <v>3161</v>
      </c>
      <c r="C2991">
        <v>0.88</v>
      </c>
      <c r="D2991">
        <v>5.72</v>
      </c>
      <c r="E2991">
        <v>0.05</v>
      </c>
      <c r="F2991">
        <v>5.71</v>
      </c>
      <c r="G2991">
        <v>5.72</v>
      </c>
      <c r="H2991">
        <v>907604</v>
      </c>
      <c r="I2991">
        <v>583</v>
      </c>
      <c r="J2991">
        <v>0.18</v>
      </c>
      <c r="K2991">
        <v>0.23</v>
      </c>
      <c r="L2991">
        <v>5.67</v>
      </c>
      <c r="M2991">
        <v>5.77</v>
      </c>
      <c r="N2991">
        <v>5.66</v>
      </c>
      <c r="O2991">
        <v>5.67</v>
      </c>
      <c r="P2991">
        <v>5.29</v>
      </c>
      <c r="Q2991">
        <v>518548480</v>
      </c>
      <c r="R2991">
        <v>1.39</v>
      </c>
      <c r="S2991" t="s">
        <v>30</v>
      </c>
      <c r="T2991" t="s">
        <v>366</v>
      </c>
      <c r="U2991">
        <v>1.94</v>
      </c>
      <c r="V2991">
        <v>5.71</v>
      </c>
      <c r="W2991">
        <v>480649</v>
      </c>
      <c r="X2991">
        <v>426954</v>
      </c>
      <c r="Y2991">
        <v>1.13</v>
      </c>
      <c r="Z2991">
        <v>2756</v>
      </c>
      <c r="AA2991">
        <v>19097</v>
      </c>
      <c r="AB2991" t="s">
        <v>32</v>
      </c>
      <c r="AC2991">
        <v>392.51</v>
      </c>
    </row>
    <row r="2992" spans="1:29">
      <c r="A2992" t="str">
        <f>"601330"</f>
        <v>601330</v>
      </c>
      <c r="B2992" t="s">
        <v>3162</v>
      </c>
      <c r="C2992">
        <v>3.3</v>
      </c>
      <c r="D2992">
        <v>22.54</v>
      </c>
      <c r="E2992">
        <v>0.72</v>
      </c>
      <c r="F2992">
        <v>22.54</v>
      </c>
      <c r="G2992">
        <v>22.55</v>
      </c>
      <c r="H2992">
        <v>422706</v>
      </c>
      <c r="I2992">
        <v>151</v>
      </c>
      <c r="J2992">
        <v>0.13</v>
      </c>
      <c r="K2992">
        <v>36.38</v>
      </c>
      <c r="L2992">
        <v>21.86</v>
      </c>
      <c r="M2992">
        <v>23.16</v>
      </c>
      <c r="N2992">
        <v>21.86</v>
      </c>
      <c r="O2992">
        <v>21.82</v>
      </c>
      <c r="P2992">
        <v>114.48</v>
      </c>
      <c r="Q2992">
        <v>951596032</v>
      </c>
      <c r="R2992">
        <v>1.06</v>
      </c>
      <c r="S2992" t="s">
        <v>75</v>
      </c>
      <c r="T2992" t="s">
        <v>31</v>
      </c>
      <c r="U2992">
        <v>5.96</v>
      </c>
      <c r="V2992">
        <v>22.51</v>
      </c>
      <c r="W2992">
        <v>209765</v>
      </c>
      <c r="X2992">
        <v>212941</v>
      </c>
      <c r="Y2992">
        <v>0.99</v>
      </c>
      <c r="Z2992">
        <v>104</v>
      </c>
      <c r="AA2992">
        <v>77</v>
      </c>
      <c r="AB2992" t="s">
        <v>32</v>
      </c>
      <c r="AC2992">
        <v>1.16</v>
      </c>
    </row>
    <row r="2993" spans="1:29">
      <c r="A2993" t="str">
        <f>"601333"</f>
        <v>601333</v>
      </c>
      <c r="B2993" t="s">
        <v>3163</v>
      </c>
      <c r="C2993">
        <v>1.62</v>
      </c>
      <c r="D2993">
        <v>4.38</v>
      </c>
      <c r="E2993">
        <v>0.07</v>
      </c>
      <c r="F2993">
        <v>4.37</v>
      </c>
      <c r="G2993">
        <v>4.38</v>
      </c>
      <c r="H2993">
        <v>260406</v>
      </c>
      <c r="I2993">
        <v>8</v>
      </c>
      <c r="J2993">
        <v>0.23</v>
      </c>
      <c r="K2993">
        <v>0.46</v>
      </c>
      <c r="L2993">
        <v>4.3</v>
      </c>
      <c r="M2993">
        <v>4.39</v>
      </c>
      <c r="N2993">
        <v>4.29</v>
      </c>
      <c r="O2993">
        <v>4.31</v>
      </c>
      <c r="P2993">
        <v>17.39</v>
      </c>
      <c r="Q2993">
        <v>113324232</v>
      </c>
      <c r="R2993">
        <v>1.81</v>
      </c>
      <c r="S2993" t="s">
        <v>2380</v>
      </c>
      <c r="T2993" t="s">
        <v>31</v>
      </c>
      <c r="U2993">
        <v>2.32</v>
      </c>
      <c r="V2993">
        <v>4.35</v>
      </c>
      <c r="W2993">
        <v>133426</v>
      </c>
      <c r="X2993">
        <v>126979</v>
      </c>
      <c r="Y2993">
        <v>1.05</v>
      </c>
      <c r="Z2993">
        <v>2479</v>
      </c>
      <c r="AA2993">
        <v>2905</v>
      </c>
      <c r="AB2993" t="s">
        <v>32</v>
      </c>
      <c r="AC2993">
        <v>56.52</v>
      </c>
    </row>
    <row r="2994" spans="1:29">
      <c r="A2994" t="str">
        <f>"601336"</f>
        <v>601336</v>
      </c>
      <c r="B2994" t="s">
        <v>3164</v>
      </c>
      <c r="C2994">
        <v>-1.4</v>
      </c>
      <c r="D2994">
        <v>49.44</v>
      </c>
      <c r="E2994">
        <v>-0.7</v>
      </c>
      <c r="F2994">
        <v>49.39</v>
      </c>
      <c r="G2994">
        <v>49.4</v>
      </c>
      <c r="H2994">
        <v>304830</v>
      </c>
      <c r="I2994">
        <v>11</v>
      </c>
      <c r="J2994">
        <v>0</v>
      </c>
      <c r="K2994">
        <v>1.46</v>
      </c>
      <c r="L2994">
        <v>49.5</v>
      </c>
      <c r="M2994">
        <v>52.1</v>
      </c>
      <c r="N2994">
        <v>49.32</v>
      </c>
      <c r="O2994">
        <v>50.14</v>
      </c>
      <c r="P2994">
        <v>14.78</v>
      </c>
      <c r="Q2994">
        <v>1536035328</v>
      </c>
      <c r="R2994">
        <v>1.25</v>
      </c>
      <c r="S2994" t="s">
        <v>336</v>
      </c>
      <c r="T2994" t="s">
        <v>45</v>
      </c>
      <c r="U2994">
        <v>5.54</v>
      </c>
      <c r="V2994">
        <v>50.39</v>
      </c>
      <c r="W2994">
        <v>156145</v>
      </c>
      <c r="X2994">
        <v>148685</v>
      </c>
      <c r="Y2994">
        <v>1.05</v>
      </c>
      <c r="Z2994">
        <v>404</v>
      </c>
      <c r="AA2994">
        <v>413</v>
      </c>
      <c r="AB2994" t="s">
        <v>32</v>
      </c>
      <c r="AC2994">
        <v>20.85</v>
      </c>
    </row>
    <row r="2995" spans="1:29">
      <c r="A2995" t="str">
        <f>"601339"</f>
        <v>601339</v>
      </c>
      <c r="B2995" t="s">
        <v>3165</v>
      </c>
      <c r="C2995">
        <v>2.68</v>
      </c>
      <c r="D2995">
        <v>5.75</v>
      </c>
      <c r="E2995">
        <v>0.15</v>
      </c>
      <c r="F2995">
        <v>5.74</v>
      </c>
      <c r="G2995">
        <v>5.75</v>
      </c>
      <c r="H2995">
        <v>33926</v>
      </c>
      <c r="I2995">
        <v>4</v>
      </c>
      <c r="J2995">
        <v>0.35</v>
      </c>
      <c r="K2995">
        <v>0.23</v>
      </c>
      <c r="L2995">
        <v>5.59</v>
      </c>
      <c r="M2995">
        <v>5.79</v>
      </c>
      <c r="N2995">
        <v>5.58</v>
      </c>
      <c r="O2995">
        <v>5.6</v>
      </c>
      <c r="P2995">
        <v>24.56</v>
      </c>
      <c r="Q2995">
        <v>19420632</v>
      </c>
      <c r="R2995">
        <v>2.32</v>
      </c>
      <c r="S2995" t="s">
        <v>99</v>
      </c>
      <c r="T2995" t="s">
        <v>149</v>
      </c>
      <c r="U2995">
        <v>3.75</v>
      </c>
      <c r="V2995">
        <v>5.72</v>
      </c>
      <c r="W2995">
        <v>12895</v>
      </c>
      <c r="X2995">
        <v>21030</v>
      </c>
      <c r="Y2995">
        <v>0.61</v>
      </c>
      <c r="Z2995">
        <v>35</v>
      </c>
      <c r="AA2995">
        <v>1461</v>
      </c>
      <c r="AB2995" t="s">
        <v>32</v>
      </c>
      <c r="AC2995">
        <v>15</v>
      </c>
    </row>
    <row r="2996" spans="1:29">
      <c r="A2996" t="str">
        <f>"601360"</f>
        <v>601360</v>
      </c>
      <c r="B2996" t="s">
        <v>3166</v>
      </c>
      <c r="C2996">
        <v>2.77</v>
      </c>
      <c r="D2996">
        <v>27.78</v>
      </c>
      <c r="E2996">
        <v>0.75</v>
      </c>
      <c r="F2996">
        <v>27.76</v>
      </c>
      <c r="G2996">
        <v>27.77</v>
      </c>
      <c r="H2996">
        <v>96509</v>
      </c>
      <c r="I2996">
        <v>6</v>
      </c>
      <c r="J2996">
        <v>0.04</v>
      </c>
      <c r="K2996">
        <v>2.43</v>
      </c>
      <c r="L2996">
        <v>26.99</v>
      </c>
      <c r="M2996">
        <v>28.09</v>
      </c>
      <c r="N2996">
        <v>26.85</v>
      </c>
      <c r="O2996">
        <v>27.03</v>
      </c>
      <c r="P2996">
        <v>98.29</v>
      </c>
      <c r="Q2996">
        <v>265834352</v>
      </c>
      <c r="R2996">
        <v>1.82</v>
      </c>
      <c r="S2996" t="s">
        <v>316</v>
      </c>
      <c r="T2996" t="s">
        <v>87</v>
      </c>
      <c r="U2996">
        <v>4.59</v>
      </c>
      <c r="V2996">
        <v>27.55</v>
      </c>
      <c r="W2996">
        <v>45273</v>
      </c>
      <c r="X2996">
        <v>51235</v>
      </c>
      <c r="Y2996">
        <v>0.88</v>
      </c>
      <c r="Z2996">
        <v>36</v>
      </c>
      <c r="AA2996">
        <v>26</v>
      </c>
      <c r="AB2996" t="s">
        <v>32</v>
      </c>
      <c r="AC2996">
        <v>3.97</v>
      </c>
    </row>
    <row r="2997" spans="1:29">
      <c r="A2997" t="str">
        <f>"601366"</f>
        <v>601366</v>
      </c>
      <c r="B2997" t="s">
        <v>3167</v>
      </c>
      <c r="C2997">
        <v>1.65</v>
      </c>
      <c r="D2997">
        <v>9.25</v>
      </c>
      <c r="E2997">
        <v>0.15</v>
      </c>
      <c r="F2997">
        <v>9.24</v>
      </c>
      <c r="G2997">
        <v>9.25</v>
      </c>
      <c r="H2997">
        <v>42349</v>
      </c>
      <c r="I2997">
        <v>27</v>
      </c>
      <c r="J2997">
        <v>0.11</v>
      </c>
      <c r="K2997">
        <v>0.89</v>
      </c>
      <c r="L2997">
        <v>9.11</v>
      </c>
      <c r="M2997">
        <v>9.27</v>
      </c>
      <c r="N2997">
        <v>9.07</v>
      </c>
      <c r="O2997">
        <v>9.1</v>
      </c>
      <c r="P2997">
        <v>12.64</v>
      </c>
      <c r="Q2997">
        <v>38969040</v>
      </c>
      <c r="R2997">
        <v>1.9</v>
      </c>
      <c r="S2997" t="s">
        <v>186</v>
      </c>
      <c r="T2997" t="s">
        <v>162</v>
      </c>
      <c r="U2997">
        <v>2.2</v>
      </c>
      <c r="V2997">
        <v>9.2</v>
      </c>
      <c r="W2997">
        <v>19172</v>
      </c>
      <c r="X2997">
        <v>23176</v>
      </c>
      <c r="Y2997">
        <v>0.83</v>
      </c>
      <c r="Z2997">
        <v>363</v>
      </c>
      <c r="AA2997">
        <v>4470</v>
      </c>
      <c r="AB2997" t="s">
        <v>32</v>
      </c>
      <c r="AC2997">
        <v>4.75</v>
      </c>
    </row>
    <row r="2998" spans="1:29">
      <c r="A2998" t="str">
        <f>"601368"</f>
        <v>601368</v>
      </c>
      <c r="B2998" t="s">
        <v>3168</v>
      </c>
      <c r="C2998">
        <v>1.3</v>
      </c>
      <c r="D2998">
        <v>7.03</v>
      </c>
      <c r="E2998">
        <v>0.09</v>
      </c>
      <c r="F2998">
        <v>7.03</v>
      </c>
      <c r="G2998">
        <v>7.04</v>
      </c>
      <c r="H2998">
        <v>15142</v>
      </c>
      <c r="I2998">
        <v>9</v>
      </c>
      <c r="J2998">
        <v>0</v>
      </c>
      <c r="K2998">
        <v>0.21</v>
      </c>
      <c r="L2998">
        <v>6.97</v>
      </c>
      <c r="M2998">
        <v>7.03</v>
      </c>
      <c r="N2998">
        <v>6.95</v>
      </c>
      <c r="O2998">
        <v>6.94</v>
      </c>
      <c r="P2998">
        <v>18.25</v>
      </c>
      <c r="Q2998">
        <v>10599304</v>
      </c>
      <c r="R2998">
        <v>1.8</v>
      </c>
      <c r="S2998" t="s">
        <v>308</v>
      </c>
      <c r="T2998" t="s">
        <v>238</v>
      </c>
      <c r="U2998">
        <v>1.15</v>
      </c>
      <c r="V2998">
        <v>7</v>
      </c>
      <c r="W2998">
        <v>7093</v>
      </c>
      <c r="X2998">
        <v>8049</v>
      </c>
      <c r="Y2998">
        <v>0.88</v>
      </c>
      <c r="Z2998">
        <v>11</v>
      </c>
      <c r="AA2998">
        <v>213</v>
      </c>
      <c r="AB2998" t="s">
        <v>32</v>
      </c>
      <c r="AC2998">
        <v>7.36</v>
      </c>
    </row>
    <row r="2999" spans="1:29">
      <c r="A2999" t="str">
        <f>"601369"</f>
        <v>601369</v>
      </c>
      <c r="B2999" t="s">
        <v>3169</v>
      </c>
      <c r="C2999">
        <v>2.05</v>
      </c>
      <c r="D2999">
        <v>6.47</v>
      </c>
      <c r="E2999">
        <v>0.13</v>
      </c>
      <c r="F2999">
        <v>6.45</v>
      </c>
      <c r="G2999">
        <v>6.47</v>
      </c>
      <c r="H2999">
        <v>53123</v>
      </c>
      <c r="I2999">
        <v>2</v>
      </c>
      <c r="J2999">
        <v>0</v>
      </c>
      <c r="K2999">
        <v>0.32</v>
      </c>
      <c r="L2999">
        <v>6.34</v>
      </c>
      <c r="M2999">
        <v>6.52</v>
      </c>
      <c r="N2999">
        <v>6.34</v>
      </c>
      <c r="O2999">
        <v>6.34</v>
      </c>
      <c r="P2999">
        <v>33.26</v>
      </c>
      <c r="Q2999">
        <v>34361712</v>
      </c>
      <c r="R2999">
        <v>1.79</v>
      </c>
      <c r="S2999" t="s">
        <v>241</v>
      </c>
      <c r="T2999" t="s">
        <v>223</v>
      </c>
      <c r="U2999">
        <v>2.84</v>
      </c>
      <c r="V2999">
        <v>6.47</v>
      </c>
      <c r="W2999">
        <v>17928</v>
      </c>
      <c r="X2999">
        <v>35194</v>
      </c>
      <c r="Y2999">
        <v>0.51</v>
      </c>
      <c r="Z2999">
        <v>126</v>
      </c>
      <c r="AA2999">
        <v>46</v>
      </c>
      <c r="AB2999" t="s">
        <v>32</v>
      </c>
      <c r="AC2999">
        <v>16.39</v>
      </c>
    </row>
    <row r="3000" spans="1:29">
      <c r="A3000" t="str">
        <f>"601375"</f>
        <v>601375</v>
      </c>
      <c r="B3000" t="s">
        <v>3170</v>
      </c>
      <c r="C3000">
        <v>1.94</v>
      </c>
      <c r="D3000">
        <v>4.74</v>
      </c>
      <c r="E3000">
        <v>0.09</v>
      </c>
      <c r="F3000">
        <v>4.73</v>
      </c>
      <c r="G3000">
        <v>4.74</v>
      </c>
      <c r="H3000">
        <v>235514</v>
      </c>
      <c r="I3000">
        <v>101</v>
      </c>
      <c r="J3000">
        <v>0.21</v>
      </c>
      <c r="K3000">
        <v>1.97</v>
      </c>
      <c r="L3000">
        <v>4.61</v>
      </c>
      <c r="M3000">
        <v>4.86</v>
      </c>
      <c r="N3000">
        <v>4.61</v>
      </c>
      <c r="O3000">
        <v>4.65</v>
      </c>
      <c r="P3000">
        <v>45.04</v>
      </c>
      <c r="Q3000">
        <v>111499592</v>
      </c>
      <c r="R3000">
        <v>2.05</v>
      </c>
      <c r="S3000" t="s">
        <v>158</v>
      </c>
      <c r="T3000" t="s">
        <v>164</v>
      </c>
      <c r="U3000">
        <v>5.38</v>
      </c>
      <c r="V3000">
        <v>4.73</v>
      </c>
      <c r="W3000">
        <v>105988</v>
      </c>
      <c r="X3000">
        <v>129526</v>
      </c>
      <c r="Y3000">
        <v>0.82</v>
      </c>
      <c r="Z3000">
        <v>311</v>
      </c>
      <c r="AA3000">
        <v>1570</v>
      </c>
      <c r="AB3000" t="s">
        <v>32</v>
      </c>
      <c r="AC3000">
        <v>11.95</v>
      </c>
    </row>
    <row r="3001" spans="1:29">
      <c r="A3001" t="str">
        <f>"601377"</f>
        <v>601377</v>
      </c>
      <c r="B3001" t="s">
        <v>3171</v>
      </c>
      <c r="C3001">
        <v>-0.94</v>
      </c>
      <c r="D3001">
        <v>5.28</v>
      </c>
      <c r="E3001">
        <v>-0.05</v>
      </c>
      <c r="F3001">
        <v>5.28</v>
      </c>
      <c r="G3001">
        <v>5.29</v>
      </c>
      <c r="H3001">
        <v>1599269</v>
      </c>
      <c r="I3001">
        <v>47</v>
      </c>
      <c r="J3001">
        <v>0</v>
      </c>
      <c r="K3001">
        <v>2.39</v>
      </c>
      <c r="L3001">
        <v>5.06</v>
      </c>
      <c r="M3001">
        <v>5.42</v>
      </c>
      <c r="N3001">
        <v>5.05</v>
      </c>
      <c r="O3001">
        <v>5.33</v>
      </c>
      <c r="P3001">
        <v>24.16</v>
      </c>
      <c r="Q3001">
        <v>833673856</v>
      </c>
      <c r="R3001">
        <v>7.34</v>
      </c>
      <c r="S3001" t="s">
        <v>158</v>
      </c>
      <c r="T3001" t="s">
        <v>236</v>
      </c>
      <c r="U3001">
        <v>6.94</v>
      </c>
      <c r="V3001">
        <v>5.21</v>
      </c>
      <c r="W3001">
        <v>757810</v>
      </c>
      <c r="X3001">
        <v>841458</v>
      </c>
      <c r="Y3001">
        <v>0.9</v>
      </c>
      <c r="Z3001">
        <v>6161</v>
      </c>
      <c r="AA3001">
        <v>9860</v>
      </c>
      <c r="AB3001" t="s">
        <v>32</v>
      </c>
      <c r="AC3001">
        <v>66.97</v>
      </c>
    </row>
    <row r="3002" spans="1:29">
      <c r="A3002" t="str">
        <f>"601388"</f>
        <v>601388</v>
      </c>
      <c r="B3002" t="s">
        <v>3172</v>
      </c>
      <c r="C3002">
        <v>2.76</v>
      </c>
      <c r="D3002">
        <v>2.61</v>
      </c>
      <c r="E3002">
        <v>0.07</v>
      </c>
      <c r="F3002">
        <v>2.6</v>
      </c>
      <c r="G3002">
        <v>2.61</v>
      </c>
      <c r="H3002">
        <v>462659</v>
      </c>
      <c r="I3002">
        <v>8</v>
      </c>
      <c r="J3002">
        <v>0</v>
      </c>
      <c r="K3002">
        <v>2.28</v>
      </c>
      <c r="L3002">
        <v>2.52</v>
      </c>
      <c r="M3002">
        <v>2.68</v>
      </c>
      <c r="N3002">
        <v>2.52</v>
      </c>
      <c r="O3002">
        <v>2.54</v>
      </c>
      <c r="P3002">
        <v>17.19</v>
      </c>
      <c r="Q3002">
        <v>120762832</v>
      </c>
      <c r="R3002">
        <v>2.71</v>
      </c>
      <c r="S3002" t="s">
        <v>324</v>
      </c>
      <c r="T3002" t="s">
        <v>87</v>
      </c>
      <c r="U3002">
        <v>6.3</v>
      </c>
      <c r="V3002">
        <v>2.61</v>
      </c>
      <c r="W3002">
        <v>227453</v>
      </c>
      <c r="X3002">
        <v>235205</v>
      </c>
      <c r="Y3002">
        <v>0.97</v>
      </c>
      <c r="Z3002">
        <v>4814</v>
      </c>
      <c r="AA3002">
        <v>3236</v>
      </c>
      <c r="AB3002" t="s">
        <v>32</v>
      </c>
      <c r="AC3002">
        <v>20.25</v>
      </c>
    </row>
    <row r="3003" spans="1:29">
      <c r="A3003" t="str">
        <f>"601390"</f>
        <v>601390</v>
      </c>
      <c r="B3003" t="s">
        <v>3173</v>
      </c>
      <c r="C3003">
        <v>0</v>
      </c>
      <c r="D3003">
        <v>7.36</v>
      </c>
      <c r="E3003">
        <v>0</v>
      </c>
      <c r="F3003" t="s">
        <v>32</v>
      </c>
      <c r="G3003" t="s">
        <v>32</v>
      </c>
      <c r="H3003">
        <v>0</v>
      </c>
      <c r="I3003">
        <v>0</v>
      </c>
      <c r="J3003">
        <v>0</v>
      </c>
      <c r="K3003">
        <v>0</v>
      </c>
      <c r="L3003" t="s">
        <v>32</v>
      </c>
      <c r="M3003" t="s">
        <v>32</v>
      </c>
      <c r="N3003" t="s">
        <v>32</v>
      </c>
      <c r="O3003">
        <v>7.36</v>
      </c>
      <c r="P3003">
        <v>13.15</v>
      </c>
      <c r="Q3003">
        <v>0</v>
      </c>
      <c r="R3003">
        <v>0</v>
      </c>
      <c r="S3003" t="s">
        <v>49</v>
      </c>
      <c r="T3003" t="s">
        <v>45</v>
      </c>
      <c r="U3003">
        <v>0</v>
      </c>
      <c r="V3003">
        <v>7.36</v>
      </c>
      <c r="W3003">
        <v>0</v>
      </c>
      <c r="X3003">
        <v>0</v>
      </c>
      <c r="Y3003" t="s">
        <v>32</v>
      </c>
      <c r="Z3003">
        <v>0</v>
      </c>
      <c r="AA3003">
        <v>0</v>
      </c>
      <c r="AB3003" t="s">
        <v>32</v>
      </c>
      <c r="AC3003">
        <v>186.36</v>
      </c>
    </row>
    <row r="3004" spans="1:29">
      <c r="A3004" t="str">
        <f>"601398"</f>
        <v>601398</v>
      </c>
      <c r="B3004" t="s">
        <v>3174</v>
      </c>
      <c r="C3004">
        <v>0.18</v>
      </c>
      <c r="D3004">
        <v>5.61</v>
      </c>
      <c r="E3004">
        <v>0.01</v>
      </c>
      <c r="F3004">
        <v>5.61</v>
      </c>
      <c r="G3004">
        <v>5.62</v>
      </c>
      <c r="H3004">
        <v>2633343</v>
      </c>
      <c r="I3004">
        <v>25</v>
      </c>
      <c r="J3004">
        <v>0.36</v>
      </c>
      <c r="K3004">
        <v>0.1</v>
      </c>
      <c r="L3004">
        <v>5.62</v>
      </c>
      <c r="M3004">
        <v>5.73</v>
      </c>
      <c r="N3004">
        <v>5.58</v>
      </c>
      <c r="O3004">
        <v>5.6</v>
      </c>
      <c r="P3004">
        <v>6.34</v>
      </c>
      <c r="Q3004">
        <v>1486706176</v>
      </c>
      <c r="R3004">
        <v>1.24</v>
      </c>
      <c r="S3004" t="s">
        <v>30</v>
      </c>
      <c r="T3004" t="s">
        <v>45</v>
      </c>
      <c r="U3004">
        <v>2.68</v>
      </c>
      <c r="V3004">
        <v>5.65</v>
      </c>
      <c r="W3004">
        <v>1376398</v>
      </c>
      <c r="X3004">
        <v>1256944</v>
      </c>
      <c r="Y3004">
        <v>1.1</v>
      </c>
      <c r="Z3004">
        <v>228</v>
      </c>
      <c r="AA3004">
        <v>10994</v>
      </c>
      <c r="AB3004" t="s">
        <v>32</v>
      </c>
      <c r="AC3004">
        <v>2696.12</v>
      </c>
    </row>
    <row r="3005" spans="1:29">
      <c r="A3005" t="str">
        <f>"601500"</f>
        <v>601500</v>
      </c>
      <c r="B3005" t="s">
        <v>3175</v>
      </c>
      <c r="C3005">
        <v>0.55</v>
      </c>
      <c r="D3005">
        <v>9.09</v>
      </c>
      <c r="E3005">
        <v>0.05</v>
      </c>
      <c r="F3005">
        <v>9.09</v>
      </c>
      <c r="G3005">
        <v>9.1</v>
      </c>
      <c r="H3005">
        <v>47954</v>
      </c>
      <c r="I3005">
        <v>29</v>
      </c>
      <c r="J3005">
        <v>-0.1</v>
      </c>
      <c r="K3005">
        <v>2.74</v>
      </c>
      <c r="L3005">
        <v>9.06</v>
      </c>
      <c r="M3005">
        <v>9.13</v>
      </c>
      <c r="N3005">
        <v>9.01</v>
      </c>
      <c r="O3005">
        <v>9.04</v>
      </c>
      <c r="P3005">
        <v>51.05</v>
      </c>
      <c r="Q3005">
        <v>43541704</v>
      </c>
      <c r="R3005">
        <v>1.22</v>
      </c>
      <c r="S3005" t="s">
        <v>80</v>
      </c>
      <c r="T3005" t="s">
        <v>87</v>
      </c>
      <c r="U3005">
        <v>1.33</v>
      </c>
      <c r="V3005">
        <v>9.08</v>
      </c>
      <c r="W3005">
        <v>25251</v>
      </c>
      <c r="X3005">
        <v>22703</v>
      </c>
      <c r="Y3005">
        <v>1.11</v>
      </c>
      <c r="Z3005">
        <v>535</v>
      </c>
      <c r="AA3005">
        <v>559</v>
      </c>
      <c r="AB3005" t="s">
        <v>32</v>
      </c>
      <c r="AC3005">
        <v>1.75</v>
      </c>
    </row>
    <row r="3006" spans="1:29">
      <c r="A3006" t="str">
        <f>"601515"</f>
        <v>601515</v>
      </c>
      <c r="B3006" t="s">
        <v>3176</v>
      </c>
      <c r="C3006">
        <v>0.74</v>
      </c>
      <c r="D3006">
        <v>8.19</v>
      </c>
      <c r="E3006">
        <v>0.06</v>
      </c>
      <c r="F3006">
        <v>8.18</v>
      </c>
      <c r="G3006">
        <v>8.19</v>
      </c>
      <c r="H3006">
        <v>9126</v>
      </c>
      <c r="I3006">
        <v>15</v>
      </c>
      <c r="J3006">
        <v>0.24</v>
      </c>
      <c r="K3006">
        <v>0.08</v>
      </c>
      <c r="L3006">
        <v>8.13</v>
      </c>
      <c r="M3006">
        <v>8.23</v>
      </c>
      <c r="N3006">
        <v>8.08</v>
      </c>
      <c r="O3006">
        <v>8.13</v>
      </c>
      <c r="P3006">
        <v>10.94</v>
      </c>
      <c r="Q3006">
        <v>7472672</v>
      </c>
      <c r="R3006">
        <v>1.19</v>
      </c>
      <c r="S3006" t="s">
        <v>91</v>
      </c>
      <c r="T3006" t="s">
        <v>136</v>
      </c>
      <c r="U3006">
        <v>1.85</v>
      </c>
      <c r="V3006">
        <v>8.19</v>
      </c>
      <c r="W3006">
        <v>3763</v>
      </c>
      <c r="X3006">
        <v>5362</v>
      </c>
      <c r="Y3006">
        <v>0.7</v>
      </c>
      <c r="Z3006">
        <v>103</v>
      </c>
      <c r="AA3006">
        <v>21</v>
      </c>
      <c r="AB3006" t="s">
        <v>32</v>
      </c>
      <c r="AC3006">
        <v>11.12</v>
      </c>
    </row>
    <row r="3007" spans="1:29">
      <c r="A3007" t="str">
        <f>"601518"</f>
        <v>601518</v>
      </c>
      <c r="B3007" t="s">
        <v>3177</v>
      </c>
      <c r="C3007">
        <v>2.74</v>
      </c>
      <c r="D3007">
        <v>3</v>
      </c>
      <c r="E3007">
        <v>0.08</v>
      </c>
      <c r="F3007">
        <v>2.99</v>
      </c>
      <c r="G3007">
        <v>3</v>
      </c>
      <c r="H3007">
        <v>98451</v>
      </c>
      <c r="I3007">
        <v>10</v>
      </c>
      <c r="J3007">
        <v>0.33</v>
      </c>
      <c r="K3007">
        <v>0.81</v>
      </c>
      <c r="L3007">
        <v>2.91</v>
      </c>
      <c r="M3007">
        <v>3.03</v>
      </c>
      <c r="N3007">
        <v>2.9</v>
      </c>
      <c r="O3007">
        <v>2.92</v>
      </c>
      <c r="P3007">
        <v>18.97</v>
      </c>
      <c r="Q3007">
        <v>29306398</v>
      </c>
      <c r="R3007">
        <v>2.58</v>
      </c>
      <c r="S3007" t="s">
        <v>201</v>
      </c>
      <c r="T3007" t="s">
        <v>81</v>
      </c>
      <c r="U3007">
        <v>4.45</v>
      </c>
      <c r="V3007">
        <v>2.98</v>
      </c>
      <c r="W3007">
        <v>41527</v>
      </c>
      <c r="X3007">
        <v>56924</v>
      </c>
      <c r="Y3007">
        <v>0.73</v>
      </c>
      <c r="Z3007">
        <v>1299</v>
      </c>
      <c r="AA3007">
        <v>1682</v>
      </c>
      <c r="AB3007" t="s">
        <v>32</v>
      </c>
      <c r="AC3007">
        <v>12.13</v>
      </c>
    </row>
    <row r="3008" spans="1:29">
      <c r="A3008" t="str">
        <f>"601519"</f>
        <v>601519</v>
      </c>
      <c r="B3008" t="s">
        <v>3178</v>
      </c>
      <c r="C3008">
        <v>4.29</v>
      </c>
      <c r="D3008">
        <v>3.89</v>
      </c>
      <c r="E3008">
        <v>0.16</v>
      </c>
      <c r="F3008">
        <v>3.88</v>
      </c>
      <c r="G3008">
        <v>3.9</v>
      </c>
      <c r="H3008">
        <v>188998</v>
      </c>
      <c r="I3008">
        <v>3</v>
      </c>
      <c r="J3008">
        <v>0.52</v>
      </c>
      <c r="K3008">
        <v>0.95</v>
      </c>
      <c r="L3008">
        <v>3.72</v>
      </c>
      <c r="M3008">
        <v>4.09</v>
      </c>
      <c r="N3008">
        <v>3.71</v>
      </c>
      <c r="O3008">
        <v>3.73</v>
      </c>
      <c r="P3008">
        <v>1445.91</v>
      </c>
      <c r="Q3008">
        <v>74123752</v>
      </c>
      <c r="R3008">
        <v>3.48</v>
      </c>
      <c r="S3008" t="s">
        <v>270</v>
      </c>
      <c r="T3008" t="s">
        <v>366</v>
      </c>
      <c r="U3008">
        <v>10.19</v>
      </c>
      <c r="V3008">
        <v>3.92</v>
      </c>
      <c r="W3008">
        <v>84368</v>
      </c>
      <c r="X3008">
        <v>104630</v>
      </c>
      <c r="Y3008">
        <v>0.81</v>
      </c>
      <c r="Z3008">
        <v>806</v>
      </c>
      <c r="AA3008">
        <v>1447</v>
      </c>
      <c r="AB3008" t="s">
        <v>32</v>
      </c>
      <c r="AC3008">
        <v>19.88</v>
      </c>
    </row>
    <row r="3009" spans="1:29">
      <c r="A3009" t="str">
        <f>"601555"</f>
        <v>601555</v>
      </c>
      <c r="B3009" t="s">
        <v>3179</v>
      </c>
      <c r="C3009">
        <v>2.12</v>
      </c>
      <c r="D3009">
        <v>6.74</v>
      </c>
      <c r="E3009">
        <v>0.14</v>
      </c>
      <c r="F3009">
        <v>6.74</v>
      </c>
      <c r="G3009">
        <v>6.75</v>
      </c>
      <c r="H3009">
        <v>184503</v>
      </c>
      <c r="I3009">
        <v>5</v>
      </c>
      <c r="J3009">
        <v>0</v>
      </c>
      <c r="K3009">
        <v>0.64</v>
      </c>
      <c r="L3009">
        <v>6.6</v>
      </c>
      <c r="M3009">
        <v>6.83</v>
      </c>
      <c r="N3009">
        <v>6.58</v>
      </c>
      <c r="O3009">
        <v>6.6</v>
      </c>
      <c r="P3009">
        <v>86.02</v>
      </c>
      <c r="Q3009">
        <v>124087776</v>
      </c>
      <c r="R3009">
        <v>2.12</v>
      </c>
      <c r="S3009" t="s">
        <v>158</v>
      </c>
      <c r="T3009" t="s">
        <v>87</v>
      </c>
      <c r="U3009">
        <v>3.79</v>
      </c>
      <c r="V3009">
        <v>6.73</v>
      </c>
      <c r="W3009">
        <v>80780</v>
      </c>
      <c r="X3009">
        <v>103723</v>
      </c>
      <c r="Y3009">
        <v>0.78</v>
      </c>
      <c r="Z3009">
        <v>205</v>
      </c>
      <c r="AA3009">
        <v>884</v>
      </c>
      <c r="AB3009" t="s">
        <v>32</v>
      </c>
      <c r="AC3009">
        <v>28.91</v>
      </c>
    </row>
    <row r="3010" spans="1:29">
      <c r="A3010" t="str">
        <f>"601558"</f>
        <v>601558</v>
      </c>
      <c r="B3010" t="s">
        <v>3180</v>
      </c>
      <c r="C3010">
        <v>0.9</v>
      </c>
      <c r="D3010">
        <v>1.12</v>
      </c>
      <c r="E3010">
        <v>0.01</v>
      </c>
      <c r="F3010">
        <v>1.12</v>
      </c>
      <c r="G3010">
        <v>1.13</v>
      </c>
      <c r="H3010">
        <v>179793</v>
      </c>
      <c r="I3010">
        <v>184</v>
      </c>
      <c r="J3010">
        <v>-0.87</v>
      </c>
      <c r="K3010">
        <v>0.32</v>
      </c>
      <c r="L3010">
        <v>1.11</v>
      </c>
      <c r="M3010">
        <v>1.13</v>
      </c>
      <c r="N3010">
        <v>1.11</v>
      </c>
      <c r="O3010">
        <v>1.11</v>
      </c>
      <c r="P3010" t="s">
        <v>32</v>
      </c>
      <c r="Q3010">
        <v>20158512</v>
      </c>
      <c r="R3010">
        <v>1.27</v>
      </c>
      <c r="S3010" t="s">
        <v>104</v>
      </c>
      <c r="T3010" t="s">
        <v>45</v>
      </c>
      <c r="U3010">
        <v>1.8</v>
      </c>
      <c r="V3010">
        <v>1.12</v>
      </c>
      <c r="W3010">
        <v>90742</v>
      </c>
      <c r="X3010">
        <v>89050</v>
      </c>
      <c r="Y3010">
        <v>1.02</v>
      </c>
      <c r="Z3010">
        <v>17666</v>
      </c>
      <c r="AA3010">
        <v>83372</v>
      </c>
      <c r="AB3010" t="s">
        <v>32</v>
      </c>
      <c r="AC3010">
        <v>57.07</v>
      </c>
    </row>
    <row r="3011" spans="1:29">
      <c r="A3011" t="str">
        <f>"601566"</f>
        <v>601566</v>
      </c>
      <c r="B3011" t="s">
        <v>3181</v>
      </c>
      <c r="C3011">
        <v>0</v>
      </c>
      <c r="D3011">
        <v>14.62</v>
      </c>
      <c r="E3011">
        <v>0</v>
      </c>
      <c r="F3011">
        <v>14.62</v>
      </c>
      <c r="G3011">
        <v>14.63</v>
      </c>
      <c r="H3011">
        <v>29040</v>
      </c>
      <c r="I3011">
        <v>10</v>
      </c>
      <c r="J3011">
        <v>0.21</v>
      </c>
      <c r="K3011">
        <v>0.51</v>
      </c>
      <c r="L3011">
        <v>14.54</v>
      </c>
      <c r="M3011">
        <v>14.71</v>
      </c>
      <c r="N3011">
        <v>14.47</v>
      </c>
      <c r="O3011">
        <v>14.62</v>
      </c>
      <c r="P3011">
        <v>10.87</v>
      </c>
      <c r="Q3011">
        <v>42374744</v>
      </c>
      <c r="R3011">
        <v>1.08</v>
      </c>
      <c r="S3011" t="s">
        <v>622</v>
      </c>
      <c r="T3011" t="s">
        <v>236</v>
      </c>
      <c r="U3011">
        <v>1.64</v>
      </c>
      <c r="V3011">
        <v>14.59</v>
      </c>
      <c r="W3011">
        <v>16555</v>
      </c>
      <c r="X3011">
        <v>12485</v>
      </c>
      <c r="Y3011">
        <v>1.33</v>
      </c>
      <c r="Z3011">
        <v>279</v>
      </c>
      <c r="AA3011">
        <v>24</v>
      </c>
      <c r="AB3011" t="s">
        <v>32</v>
      </c>
      <c r="AC3011">
        <v>5.75</v>
      </c>
    </row>
    <row r="3012" spans="1:29">
      <c r="A3012" t="str">
        <f>"601567"</f>
        <v>601567</v>
      </c>
      <c r="B3012" t="s">
        <v>3182</v>
      </c>
      <c r="C3012">
        <v>1.37</v>
      </c>
      <c r="D3012">
        <v>7.39</v>
      </c>
      <c r="E3012">
        <v>0.1</v>
      </c>
      <c r="F3012">
        <v>7.39</v>
      </c>
      <c r="G3012">
        <v>7.4</v>
      </c>
      <c r="H3012">
        <v>21041</v>
      </c>
      <c r="I3012">
        <v>1</v>
      </c>
      <c r="J3012">
        <v>0.27</v>
      </c>
      <c r="K3012">
        <v>0.15</v>
      </c>
      <c r="L3012">
        <v>7.22</v>
      </c>
      <c r="M3012">
        <v>7.4</v>
      </c>
      <c r="N3012">
        <v>7.22</v>
      </c>
      <c r="O3012">
        <v>7.29</v>
      </c>
      <c r="P3012">
        <v>26.42</v>
      </c>
      <c r="Q3012">
        <v>15456845</v>
      </c>
      <c r="R3012">
        <v>0.66</v>
      </c>
      <c r="S3012" t="s">
        <v>606</v>
      </c>
      <c r="T3012" t="s">
        <v>149</v>
      </c>
      <c r="U3012">
        <v>2.47</v>
      </c>
      <c r="V3012">
        <v>7.35</v>
      </c>
      <c r="W3012">
        <v>11826</v>
      </c>
      <c r="X3012">
        <v>9215</v>
      </c>
      <c r="Y3012">
        <v>1.28</v>
      </c>
      <c r="Z3012">
        <v>4</v>
      </c>
      <c r="AA3012">
        <v>118</v>
      </c>
      <c r="AB3012" t="s">
        <v>32</v>
      </c>
      <c r="AC3012">
        <v>14.18</v>
      </c>
    </row>
    <row r="3013" spans="1:29">
      <c r="A3013" t="str">
        <f>"601579"</f>
        <v>601579</v>
      </c>
      <c r="B3013" t="s">
        <v>3183</v>
      </c>
      <c r="C3013">
        <v>1</v>
      </c>
      <c r="D3013">
        <v>10.13</v>
      </c>
      <c r="E3013">
        <v>0.1</v>
      </c>
      <c r="F3013">
        <v>10.12</v>
      </c>
      <c r="G3013">
        <v>10.13</v>
      </c>
      <c r="H3013">
        <v>12793</v>
      </c>
      <c r="I3013">
        <v>20</v>
      </c>
      <c r="J3013">
        <v>-0.09</v>
      </c>
      <c r="K3013">
        <v>0.32</v>
      </c>
      <c r="L3013">
        <v>10</v>
      </c>
      <c r="M3013">
        <v>10.18</v>
      </c>
      <c r="N3013">
        <v>9.99</v>
      </c>
      <c r="O3013">
        <v>10.03</v>
      </c>
      <c r="P3013">
        <v>14.61</v>
      </c>
      <c r="Q3013">
        <v>12881585</v>
      </c>
      <c r="R3013">
        <v>1.48</v>
      </c>
      <c r="S3013" t="s">
        <v>272</v>
      </c>
      <c r="T3013" t="s">
        <v>149</v>
      </c>
      <c r="U3013">
        <v>1.89</v>
      </c>
      <c r="V3013">
        <v>10.07</v>
      </c>
      <c r="W3013">
        <v>5655</v>
      </c>
      <c r="X3013">
        <v>7138</v>
      </c>
      <c r="Y3013">
        <v>0.79</v>
      </c>
      <c r="Z3013">
        <v>13</v>
      </c>
      <c r="AA3013">
        <v>53</v>
      </c>
      <c r="AB3013" t="s">
        <v>32</v>
      </c>
      <c r="AC3013">
        <v>4</v>
      </c>
    </row>
    <row r="3014" spans="1:29">
      <c r="A3014" t="str">
        <f>"601588"</f>
        <v>601588</v>
      </c>
      <c r="B3014" t="s">
        <v>3184</v>
      </c>
      <c r="C3014">
        <v>2.62</v>
      </c>
      <c r="D3014">
        <v>3.52</v>
      </c>
      <c r="E3014">
        <v>0.09</v>
      </c>
      <c r="F3014">
        <v>3.51</v>
      </c>
      <c r="G3014">
        <v>3.52</v>
      </c>
      <c r="H3014">
        <v>64250</v>
      </c>
      <c r="I3014">
        <v>10</v>
      </c>
      <c r="J3014">
        <v>0.28</v>
      </c>
      <c r="K3014">
        <v>0.24</v>
      </c>
      <c r="L3014">
        <v>3.43</v>
      </c>
      <c r="M3014">
        <v>3.53</v>
      </c>
      <c r="N3014">
        <v>3.42</v>
      </c>
      <c r="O3014">
        <v>3.43</v>
      </c>
      <c r="P3014">
        <v>16.45</v>
      </c>
      <c r="Q3014">
        <v>22450422</v>
      </c>
      <c r="R3014">
        <v>1.42</v>
      </c>
      <c r="S3014" t="s">
        <v>40</v>
      </c>
      <c r="T3014" t="s">
        <v>45</v>
      </c>
      <c r="U3014">
        <v>3.21</v>
      </c>
      <c r="V3014">
        <v>3.49</v>
      </c>
      <c r="W3014">
        <v>23341</v>
      </c>
      <c r="X3014">
        <v>40909</v>
      </c>
      <c r="Y3014">
        <v>0.57</v>
      </c>
      <c r="Z3014">
        <v>1098</v>
      </c>
      <c r="AA3014">
        <v>338</v>
      </c>
      <c r="AB3014" t="s">
        <v>32</v>
      </c>
      <c r="AC3014">
        <v>26.6</v>
      </c>
    </row>
    <row r="3015" spans="1:29">
      <c r="A3015" t="str">
        <f>"601595"</f>
        <v>601595</v>
      </c>
      <c r="B3015" t="s">
        <v>3185</v>
      </c>
      <c r="C3015">
        <v>1.88</v>
      </c>
      <c r="D3015">
        <v>16.29</v>
      </c>
      <c r="E3015">
        <v>0.3</v>
      </c>
      <c r="F3015">
        <v>16.29</v>
      </c>
      <c r="G3015">
        <v>16.3</v>
      </c>
      <c r="H3015">
        <v>10266</v>
      </c>
      <c r="I3015">
        <v>36</v>
      </c>
      <c r="J3015">
        <v>0.06</v>
      </c>
      <c r="K3015">
        <v>0.97</v>
      </c>
      <c r="L3015">
        <v>16.05</v>
      </c>
      <c r="M3015">
        <v>16.3</v>
      </c>
      <c r="N3015">
        <v>15.95</v>
      </c>
      <c r="O3015">
        <v>15.99</v>
      </c>
      <c r="P3015">
        <v>35.67</v>
      </c>
      <c r="Q3015">
        <v>16612787</v>
      </c>
      <c r="R3015">
        <v>1.78</v>
      </c>
      <c r="S3015" t="s">
        <v>148</v>
      </c>
      <c r="T3015" t="s">
        <v>366</v>
      </c>
      <c r="U3015">
        <v>2.19</v>
      </c>
      <c r="V3015">
        <v>16.18</v>
      </c>
      <c r="W3015">
        <v>4228</v>
      </c>
      <c r="X3015">
        <v>6038</v>
      </c>
      <c r="Y3015">
        <v>0.7</v>
      </c>
      <c r="Z3015">
        <v>70</v>
      </c>
      <c r="AA3015">
        <v>47</v>
      </c>
      <c r="AB3015" t="s">
        <v>32</v>
      </c>
      <c r="AC3015">
        <v>1.06</v>
      </c>
    </row>
    <row r="3016" spans="1:29">
      <c r="A3016" t="str">
        <f>"601599"</f>
        <v>601599</v>
      </c>
      <c r="B3016" t="s">
        <v>3186</v>
      </c>
      <c r="C3016">
        <v>1.84</v>
      </c>
      <c r="D3016">
        <v>3.87</v>
      </c>
      <c r="E3016">
        <v>0.07</v>
      </c>
      <c r="F3016">
        <v>3.86</v>
      </c>
      <c r="G3016">
        <v>3.87</v>
      </c>
      <c r="H3016">
        <v>102781</v>
      </c>
      <c r="I3016">
        <v>179</v>
      </c>
      <c r="J3016">
        <v>0.26</v>
      </c>
      <c r="K3016">
        <v>1.18</v>
      </c>
      <c r="L3016">
        <v>3.79</v>
      </c>
      <c r="M3016">
        <v>3.88</v>
      </c>
      <c r="N3016">
        <v>3.74</v>
      </c>
      <c r="O3016">
        <v>3.8</v>
      </c>
      <c r="P3016">
        <v>41.61</v>
      </c>
      <c r="Q3016">
        <v>39332756</v>
      </c>
      <c r="R3016">
        <v>1.42</v>
      </c>
      <c r="S3016" t="s">
        <v>148</v>
      </c>
      <c r="T3016" t="s">
        <v>87</v>
      </c>
      <c r="U3016">
        <v>3.68</v>
      </c>
      <c r="V3016">
        <v>3.83</v>
      </c>
      <c r="W3016">
        <v>35231</v>
      </c>
      <c r="X3016">
        <v>67550</v>
      </c>
      <c r="Y3016">
        <v>0.52</v>
      </c>
      <c r="Z3016">
        <v>750</v>
      </c>
      <c r="AA3016">
        <v>48</v>
      </c>
      <c r="AB3016" t="s">
        <v>32</v>
      </c>
      <c r="AC3016">
        <v>8.73</v>
      </c>
    </row>
    <row r="3017" spans="1:29">
      <c r="A3017" t="str">
        <f>"601600"</f>
        <v>601600</v>
      </c>
      <c r="B3017" t="s">
        <v>3187</v>
      </c>
      <c r="C3017">
        <v>7.05</v>
      </c>
      <c r="D3017">
        <v>3.95</v>
      </c>
      <c r="E3017">
        <v>0.26</v>
      </c>
      <c r="F3017">
        <v>3.94</v>
      </c>
      <c r="G3017">
        <v>3.95</v>
      </c>
      <c r="H3017">
        <v>3149119</v>
      </c>
      <c r="I3017">
        <v>198</v>
      </c>
      <c r="J3017">
        <v>0</v>
      </c>
      <c r="K3017">
        <v>2.87</v>
      </c>
      <c r="L3017">
        <v>3.66</v>
      </c>
      <c r="M3017">
        <v>4.02</v>
      </c>
      <c r="N3017">
        <v>3.66</v>
      </c>
      <c r="O3017">
        <v>3.69</v>
      </c>
      <c r="P3017">
        <v>47.68</v>
      </c>
      <c r="Q3017">
        <v>1225102592</v>
      </c>
      <c r="R3017">
        <v>3.47</v>
      </c>
      <c r="S3017" t="s">
        <v>324</v>
      </c>
      <c r="T3017" t="s">
        <v>45</v>
      </c>
      <c r="U3017">
        <v>9.76</v>
      </c>
      <c r="V3017">
        <v>3.89</v>
      </c>
      <c r="W3017">
        <v>1495796</v>
      </c>
      <c r="X3017">
        <v>1653322</v>
      </c>
      <c r="Y3017">
        <v>0.9</v>
      </c>
      <c r="Z3017">
        <v>25504</v>
      </c>
      <c r="AA3017">
        <v>439</v>
      </c>
      <c r="AB3017" t="s">
        <v>32</v>
      </c>
      <c r="AC3017">
        <v>109.6</v>
      </c>
    </row>
    <row r="3018" spans="1:29">
      <c r="A3018" t="str">
        <f>"601601"</f>
        <v>601601</v>
      </c>
      <c r="B3018" t="s">
        <v>3188</v>
      </c>
      <c r="C3018">
        <v>-1.83</v>
      </c>
      <c r="D3018">
        <v>34.42</v>
      </c>
      <c r="E3018">
        <v>-0.64</v>
      </c>
      <c r="F3018">
        <v>34.44</v>
      </c>
      <c r="G3018">
        <v>34.45</v>
      </c>
      <c r="H3018">
        <v>413219</v>
      </c>
      <c r="I3018">
        <v>63</v>
      </c>
      <c r="J3018">
        <v>0.06</v>
      </c>
      <c r="K3018">
        <v>0.66</v>
      </c>
      <c r="L3018">
        <v>34.98</v>
      </c>
      <c r="M3018">
        <v>36.28</v>
      </c>
      <c r="N3018">
        <v>33.97</v>
      </c>
      <c r="O3018">
        <v>35.06</v>
      </c>
      <c r="P3018">
        <v>20.79</v>
      </c>
      <c r="Q3018">
        <v>1445674624</v>
      </c>
      <c r="R3018">
        <v>1.9</v>
      </c>
      <c r="S3018" t="s">
        <v>336</v>
      </c>
      <c r="T3018" t="s">
        <v>366</v>
      </c>
      <c r="U3018">
        <v>6.59</v>
      </c>
      <c r="V3018">
        <v>34.99</v>
      </c>
      <c r="W3018">
        <v>212253</v>
      </c>
      <c r="X3018">
        <v>200966</v>
      </c>
      <c r="Y3018">
        <v>1.06</v>
      </c>
      <c r="Z3018">
        <v>47</v>
      </c>
      <c r="AA3018">
        <v>161</v>
      </c>
      <c r="AB3018" t="s">
        <v>32</v>
      </c>
      <c r="AC3018">
        <v>62.87</v>
      </c>
    </row>
    <row r="3019" spans="1:29">
      <c r="A3019" t="str">
        <f>"601607"</f>
        <v>601607</v>
      </c>
      <c r="B3019" t="s">
        <v>3189</v>
      </c>
      <c r="C3019">
        <v>4.48</v>
      </c>
      <c r="D3019">
        <v>24.93</v>
      </c>
      <c r="E3019">
        <v>1.07</v>
      </c>
      <c r="F3019">
        <v>24.94</v>
      </c>
      <c r="G3019">
        <v>24.95</v>
      </c>
      <c r="H3019">
        <v>179666</v>
      </c>
      <c r="I3019">
        <v>10</v>
      </c>
      <c r="J3019">
        <v>0.12</v>
      </c>
      <c r="K3019">
        <v>0.93</v>
      </c>
      <c r="L3019">
        <v>23.7</v>
      </c>
      <c r="M3019">
        <v>24.98</v>
      </c>
      <c r="N3019">
        <v>23.59</v>
      </c>
      <c r="O3019">
        <v>23.86</v>
      </c>
      <c r="P3019">
        <v>17.37</v>
      </c>
      <c r="Q3019">
        <v>437249952</v>
      </c>
      <c r="R3019">
        <v>2.3</v>
      </c>
      <c r="S3019" t="s">
        <v>77</v>
      </c>
      <c r="T3019" t="s">
        <v>366</v>
      </c>
      <c r="U3019">
        <v>5.83</v>
      </c>
      <c r="V3019">
        <v>24.34</v>
      </c>
      <c r="W3019">
        <v>87148</v>
      </c>
      <c r="X3019">
        <v>92517</v>
      </c>
      <c r="Y3019">
        <v>0.94</v>
      </c>
      <c r="Z3019">
        <v>63</v>
      </c>
      <c r="AA3019">
        <v>235</v>
      </c>
      <c r="AB3019" t="s">
        <v>32</v>
      </c>
      <c r="AC3019">
        <v>19.23</v>
      </c>
    </row>
    <row r="3020" spans="1:29">
      <c r="A3020" t="str">
        <f>"601608"</f>
        <v>601608</v>
      </c>
      <c r="B3020" t="s">
        <v>3190</v>
      </c>
      <c r="C3020">
        <v>3.69</v>
      </c>
      <c r="D3020">
        <v>2.81</v>
      </c>
      <c r="E3020">
        <v>0.1</v>
      </c>
      <c r="F3020">
        <v>2.8</v>
      </c>
      <c r="G3020">
        <v>2.81</v>
      </c>
      <c r="H3020">
        <v>282528</v>
      </c>
      <c r="I3020">
        <v>142</v>
      </c>
      <c r="J3020">
        <v>0</v>
      </c>
      <c r="K3020">
        <v>0.66</v>
      </c>
      <c r="L3020">
        <v>2.7</v>
      </c>
      <c r="M3020">
        <v>2.83</v>
      </c>
      <c r="N3020">
        <v>2.7</v>
      </c>
      <c r="O3020">
        <v>2.71</v>
      </c>
      <c r="P3020">
        <v>2820.54</v>
      </c>
      <c r="Q3020">
        <v>78629176</v>
      </c>
      <c r="R3020">
        <v>1.81</v>
      </c>
      <c r="S3020" t="s">
        <v>171</v>
      </c>
      <c r="T3020" t="s">
        <v>164</v>
      </c>
      <c r="U3020">
        <v>4.8</v>
      </c>
      <c r="V3020">
        <v>2.78</v>
      </c>
      <c r="W3020">
        <v>106846</v>
      </c>
      <c r="X3020">
        <v>175681</v>
      </c>
      <c r="Y3020">
        <v>0.61</v>
      </c>
      <c r="Z3020">
        <v>2110</v>
      </c>
      <c r="AA3020">
        <v>1078</v>
      </c>
      <c r="AB3020" t="s">
        <v>32</v>
      </c>
      <c r="AC3020">
        <v>43</v>
      </c>
    </row>
    <row r="3021" spans="1:29">
      <c r="A3021" t="str">
        <f>"601611"</f>
        <v>601611</v>
      </c>
      <c r="B3021" t="s">
        <v>3191</v>
      </c>
      <c r="C3021">
        <v>4.04</v>
      </c>
      <c r="D3021">
        <v>8.24</v>
      </c>
      <c r="E3021">
        <v>0.32</v>
      </c>
      <c r="F3021">
        <v>8.23</v>
      </c>
      <c r="G3021">
        <v>8.24</v>
      </c>
      <c r="H3021">
        <v>131727</v>
      </c>
      <c r="I3021">
        <v>10</v>
      </c>
      <c r="J3021">
        <v>0.24</v>
      </c>
      <c r="K3021">
        <v>1.37</v>
      </c>
      <c r="L3021">
        <v>7.92</v>
      </c>
      <c r="M3021">
        <v>8.28</v>
      </c>
      <c r="N3021">
        <v>7.9</v>
      </c>
      <c r="O3021">
        <v>7.92</v>
      </c>
      <c r="P3021">
        <v>41.76</v>
      </c>
      <c r="Q3021">
        <v>107967904</v>
      </c>
      <c r="R3021">
        <v>3.84</v>
      </c>
      <c r="S3021" t="s">
        <v>49</v>
      </c>
      <c r="T3021" t="s">
        <v>366</v>
      </c>
      <c r="U3021">
        <v>4.8</v>
      </c>
      <c r="V3021">
        <v>8.2</v>
      </c>
      <c r="W3021">
        <v>57175</v>
      </c>
      <c r="X3021">
        <v>74551</v>
      </c>
      <c r="Y3021">
        <v>0.77</v>
      </c>
      <c r="Z3021">
        <v>166</v>
      </c>
      <c r="AA3021">
        <v>149</v>
      </c>
      <c r="AB3021" t="s">
        <v>32</v>
      </c>
      <c r="AC3021">
        <v>9.62</v>
      </c>
    </row>
    <row r="3022" spans="1:29">
      <c r="A3022" t="str">
        <f>"601616"</f>
        <v>601616</v>
      </c>
      <c r="B3022" t="s">
        <v>3192</v>
      </c>
      <c r="C3022">
        <v>1.99</v>
      </c>
      <c r="D3022">
        <v>3.08</v>
      </c>
      <c r="E3022">
        <v>0.06</v>
      </c>
      <c r="F3022">
        <v>3.07</v>
      </c>
      <c r="G3022">
        <v>3.08</v>
      </c>
      <c r="H3022">
        <v>41992</v>
      </c>
      <c r="I3022">
        <v>37</v>
      </c>
      <c r="J3022">
        <v>0</v>
      </c>
      <c r="K3022">
        <v>0.45</v>
      </c>
      <c r="L3022">
        <v>3.02</v>
      </c>
      <c r="M3022">
        <v>3.11</v>
      </c>
      <c r="N3022">
        <v>3</v>
      </c>
      <c r="O3022">
        <v>3.02</v>
      </c>
      <c r="P3022">
        <v>321.39</v>
      </c>
      <c r="Q3022">
        <v>12896041</v>
      </c>
      <c r="R3022">
        <v>1.17</v>
      </c>
      <c r="S3022" t="s">
        <v>104</v>
      </c>
      <c r="T3022" t="s">
        <v>366</v>
      </c>
      <c r="U3022">
        <v>3.64</v>
      </c>
      <c r="V3022">
        <v>3.07</v>
      </c>
      <c r="W3022">
        <v>12098</v>
      </c>
      <c r="X3022">
        <v>29894</v>
      </c>
      <c r="Y3022">
        <v>0.4</v>
      </c>
      <c r="Z3022">
        <v>1206</v>
      </c>
      <c r="AA3022">
        <v>977</v>
      </c>
      <c r="AB3022" t="s">
        <v>32</v>
      </c>
      <c r="AC3022">
        <v>9.36</v>
      </c>
    </row>
    <row r="3023" spans="1:29">
      <c r="A3023" t="str">
        <f>"601618"</f>
        <v>601618</v>
      </c>
      <c r="B3023" t="s">
        <v>3193</v>
      </c>
      <c r="C3023">
        <v>4.41</v>
      </c>
      <c r="D3023">
        <v>3.55</v>
      </c>
      <c r="E3023">
        <v>0.15</v>
      </c>
      <c r="F3023">
        <v>3.54</v>
      </c>
      <c r="G3023">
        <v>3.55</v>
      </c>
      <c r="H3023">
        <v>678263</v>
      </c>
      <c r="I3023">
        <v>1473</v>
      </c>
      <c r="J3023">
        <v>0.28</v>
      </c>
      <c r="K3023">
        <v>0.38</v>
      </c>
      <c r="L3023">
        <v>3.4</v>
      </c>
      <c r="M3023">
        <v>3.6</v>
      </c>
      <c r="N3023">
        <v>3.4</v>
      </c>
      <c r="O3023">
        <v>3.4</v>
      </c>
      <c r="P3023">
        <v>11.07</v>
      </c>
      <c r="Q3023">
        <v>239364080</v>
      </c>
      <c r="R3023">
        <v>3.48</v>
      </c>
      <c r="S3023" t="s">
        <v>49</v>
      </c>
      <c r="T3023" t="s">
        <v>45</v>
      </c>
      <c r="U3023">
        <v>5.88</v>
      </c>
      <c r="V3023">
        <v>3.53</v>
      </c>
      <c r="W3023">
        <v>329572</v>
      </c>
      <c r="X3023">
        <v>348691</v>
      </c>
      <c r="Y3023">
        <v>0.95</v>
      </c>
      <c r="Z3023">
        <v>1030</v>
      </c>
      <c r="AA3023">
        <v>15225</v>
      </c>
      <c r="AB3023" t="s">
        <v>32</v>
      </c>
      <c r="AC3023">
        <v>178.53</v>
      </c>
    </row>
    <row r="3024" spans="1:29">
      <c r="A3024" t="str">
        <f>"601619"</f>
        <v>601619</v>
      </c>
      <c r="B3024" t="s">
        <v>3194</v>
      </c>
      <c r="C3024">
        <v>0.88</v>
      </c>
      <c r="D3024">
        <v>6.88</v>
      </c>
      <c r="E3024">
        <v>0.06</v>
      </c>
      <c r="F3024">
        <v>6.88</v>
      </c>
      <c r="G3024">
        <v>6.89</v>
      </c>
      <c r="H3024">
        <v>83671</v>
      </c>
      <c r="I3024">
        <v>71</v>
      </c>
      <c r="J3024">
        <v>0</v>
      </c>
      <c r="K3024">
        <v>4.32</v>
      </c>
      <c r="L3024">
        <v>6.9</v>
      </c>
      <c r="M3024">
        <v>6.92</v>
      </c>
      <c r="N3024">
        <v>6.82</v>
      </c>
      <c r="O3024">
        <v>6.82</v>
      </c>
      <c r="P3024">
        <v>67.27</v>
      </c>
      <c r="Q3024">
        <v>57434592</v>
      </c>
      <c r="R3024">
        <v>0.62</v>
      </c>
      <c r="S3024" t="s">
        <v>95</v>
      </c>
      <c r="T3024" t="s">
        <v>273</v>
      </c>
      <c r="U3024">
        <v>1.47</v>
      </c>
      <c r="V3024">
        <v>6.86</v>
      </c>
      <c r="W3024">
        <v>45074</v>
      </c>
      <c r="X3024">
        <v>38597</v>
      </c>
      <c r="Y3024">
        <v>1.17</v>
      </c>
      <c r="Z3024">
        <v>452</v>
      </c>
      <c r="AA3024">
        <v>1274</v>
      </c>
      <c r="AB3024" t="s">
        <v>32</v>
      </c>
      <c r="AC3024">
        <v>1.94</v>
      </c>
    </row>
    <row r="3025" spans="1:29">
      <c r="A3025" t="str">
        <f>"601628"</f>
        <v>601628</v>
      </c>
      <c r="B3025" t="s">
        <v>3195</v>
      </c>
      <c r="C3025">
        <v>0.76</v>
      </c>
      <c r="D3025">
        <v>23.84</v>
      </c>
      <c r="E3025">
        <v>0.18</v>
      </c>
      <c r="F3025">
        <v>23.84</v>
      </c>
      <c r="G3025">
        <v>23.86</v>
      </c>
      <c r="H3025">
        <v>112657</v>
      </c>
      <c r="I3025">
        <v>4</v>
      </c>
      <c r="J3025">
        <v>0</v>
      </c>
      <c r="K3025">
        <v>0.05</v>
      </c>
      <c r="L3025">
        <v>23.66</v>
      </c>
      <c r="M3025">
        <v>24.33</v>
      </c>
      <c r="N3025">
        <v>23.53</v>
      </c>
      <c r="O3025">
        <v>23.66</v>
      </c>
      <c r="P3025">
        <v>12.46</v>
      </c>
      <c r="Q3025">
        <v>270484224</v>
      </c>
      <c r="R3025">
        <v>1.6</v>
      </c>
      <c r="S3025" t="s">
        <v>336</v>
      </c>
      <c r="T3025" t="s">
        <v>45</v>
      </c>
      <c r="U3025">
        <v>3.38</v>
      </c>
      <c r="V3025">
        <v>24.01</v>
      </c>
      <c r="W3025">
        <v>59112</v>
      </c>
      <c r="X3025">
        <v>53544</v>
      </c>
      <c r="Y3025">
        <v>1.1</v>
      </c>
      <c r="Z3025">
        <v>9</v>
      </c>
      <c r="AA3025">
        <v>47</v>
      </c>
      <c r="AB3025" t="s">
        <v>32</v>
      </c>
      <c r="AC3025">
        <v>208.24</v>
      </c>
    </row>
    <row r="3026" spans="1:29">
      <c r="A3026" t="str">
        <f>"601633"</f>
        <v>601633</v>
      </c>
      <c r="B3026" t="s">
        <v>3196</v>
      </c>
      <c r="C3026">
        <v>1.09</v>
      </c>
      <c r="D3026">
        <v>9.28</v>
      </c>
      <c r="E3026">
        <v>0.1</v>
      </c>
      <c r="F3026">
        <v>9.28</v>
      </c>
      <c r="G3026">
        <v>9.29</v>
      </c>
      <c r="H3026">
        <v>144526</v>
      </c>
      <c r="I3026">
        <v>22</v>
      </c>
      <c r="J3026">
        <v>0.22</v>
      </c>
      <c r="K3026">
        <v>0.24</v>
      </c>
      <c r="L3026">
        <v>9.22</v>
      </c>
      <c r="M3026">
        <v>9.29</v>
      </c>
      <c r="N3026">
        <v>9.11</v>
      </c>
      <c r="O3026">
        <v>9.18</v>
      </c>
      <c r="P3026">
        <v>10.18</v>
      </c>
      <c r="Q3026">
        <v>133537768</v>
      </c>
      <c r="R3026">
        <v>1.74</v>
      </c>
      <c r="S3026" t="s">
        <v>262</v>
      </c>
      <c r="T3026" t="s">
        <v>154</v>
      </c>
      <c r="U3026">
        <v>1.96</v>
      </c>
      <c r="V3026">
        <v>9.24</v>
      </c>
      <c r="W3026">
        <v>64069</v>
      </c>
      <c r="X3026">
        <v>80456</v>
      </c>
      <c r="Y3026">
        <v>0.8</v>
      </c>
      <c r="Z3026">
        <v>111</v>
      </c>
      <c r="AA3026">
        <v>1983</v>
      </c>
      <c r="AB3026" t="s">
        <v>32</v>
      </c>
      <c r="AC3026">
        <v>60.28</v>
      </c>
    </row>
    <row r="3027" spans="1:29">
      <c r="A3027" t="str">
        <f>"601636"</f>
        <v>601636</v>
      </c>
      <c r="B3027" t="s">
        <v>3197</v>
      </c>
      <c r="C3027">
        <v>4.22</v>
      </c>
      <c r="D3027">
        <v>4.69</v>
      </c>
      <c r="E3027">
        <v>0.19</v>
      </c>
      <c r="F3027">
        <v>4.68</v>
      </c>
      <c r="G3027">
        <v>4.69</v>
      </c>
      <c r="H3027">
        <v>790592</v>
      </c>
      <c r="I3027">
        <v>322</v>
      </c>
      <c r="J3027">
        <v>0.21</v>
      </c>
      <c r="K3027">
        <v>3.07</v>
      </c>
      <c r="L3027">
        <v>4.53</v>
      </c>
      <c r="M3027">
        <v>4.85</v>
      </c>
      <c r="N3027">
        <v>4.53</v>
      </c>
      <c r="O3027">
        <v>4.5</v>
      </c>
      <c r="P3027">
        <v>9.79</v>
      </c>
      <c r="Q3027">
        <v>372676992</v>
      </c>
      <c r="R3027">
        <v>2.95</v>
      </c>
      <c r="S3027" t="s">
        <v>52</v>
      </c>
      <c r="T3027" t="s">
        <v>152</v>
      </c>
      <c r="U3027">
        <v>7.11</v>
      </c>
      <c r="V3027">
        <v>4.71</v>
      </c>
      <c r="W3027">
        <v>397342</v>
      </c>
      <c r="X3027">
        <v>393249</v>
      </c>
      <c r="Y3027">
        <v>1.01</v>
      </c>
      <c r="Z3027">
        <v>2403</v>
      </c>
      <c r="AA3027">
        <v>1968</v>
      </c>
      <c r="AB3027" t="s">
        <v>32</v>
      </c>
      <c r="AC3027">
        <v>25.77</v>
      </c>
    </row>
    <row r="3028" spans="1:29">
      <c r="A3028" t="str">
        <f>"601666"</f>
        <v>601666</v>
      </c>
      <c r="B3028" t="s">
        <v>3198</v>
      </c>
      <c r="C3028">
        <v>2.46</v>
      </c>
      <c r="D3028">
        <v>4.17</v>
      </c>
      <c r="E3028">
        <v>0.1</v>
      </c>
      <c r="F3028">
        <v>4.17</v>
      </c>
      <c r="G3028">
        <v>4.18</v>
      </c>
      <c r="H3028">
        <v>217303</v>
      </c>
      <c r="I3028">
        <v>30</v>
      </c>
      <c r="J3028">
        <v>0</v>
      </c>
      <c r="K3028">
        <v>0.92</v>
      </c>
      <c r="L3028">
        <v>4.06</v>
      </c>
      <c r="M3028">
        <v>4.19</v>
      </c>
      <c r="N3028">
        <v>4.06</v>
      </c>
      <c r="O3028">
        <v>4.07</v>
      </c>
      <c r="P3028">
        <v>38.24</v>
      </c>
      <c r="Q3028">
        <v>90165088</v>
      </c>
      <c r="R3028">
        <v>2.43</v>
      </c>
      <c r="S3028" t="s">
        <v>265</v>
      </c>
      <c r="T3028" t="s">
        <v>164</v>
      </c>
      <c r="U3028">
        <v>3.19</v>
      </c>
      <c r="V3028">
        <v>4.15</v>
      </c>
      <c r="W3028">
        <v>107600</v>
      </c>
      <c r="X3028">
        <v>109702</v>
      </c>
      <c r="Y3028">
        <v>0.98</v>
      </c>
      <c r="Z3028">
        <v>853</v>
      </c>
      <c r="AA3028">
        <v>4999</v>
      </c>
      <c r="AB3028" t="s">
        <v>32</v>
      </c>
      <c r="AC3028">
        <v>23.61</v>
      </c>
    </row>
    <row r="3029" spans="1:29">
      <c r="A3029" t="str">
        <f>"601668"</f>
        <v>601668</v>
      </c>
      <c r="B3029" t="s">
        <v>3199</v>
      </c>
      <c r="C3029">
        <v>6.83</v>
      </c>
      <c r="D3029">
        <v>5.94</v>
      </c>
      <c r="E3029">
        <v>0.38</v>
      </c>
      <c r="F3029">
        <v>5.94</v>
      </c>
      <c r="G3029">
        <v>5.95</v>
      </c>
      <c r="H3029">
        <v>4537827</v>
      </c>
      <c r="I3029">
        <v>2057</v>
      </c>
      <c r="J3029">
        <v>0</v>
      </c>
      <c r="K3029">
        <v>1.09</v>
      </c>
      <c r="L3029">
        <v>5.72</v>
      </c>
      <c r="M3029">
        <v>5.97</v>
      </c>
      <c r="N3029">
        <v>5.72</v>
      </c>
      <c r="O3029">
        <v>5.56</v>
      </c>
      <c r="P3029">
        <v>7.66</v>
      </c>
      <c r="Q3029">
        <v>2671895296</v>
      </c>
      <c r="R3029">
        <v>3.96</v>
      </c>
      <c r="S3029" t="s">
        <v>49</v>
      </c>
      <c r="T3029" t="s">
        <v>45</v>
      </c>
      <c r="U3029">
        <v>4.5</v>
      </c>
      <c r="V3029">
        <v>5.89</v>
      </c>
      <c r="W3029">
        <v>2015967</v>
      </c>
      <c r="X3029">
        <v>2521859</v>
      </c>
      <c r="Y3029">
        <v>0.8</v>
      </c>
      <c r="Z3029">
        <v>130</v>
      </c>
      <c r="AA3029">
        <v>53525</v>
      </c>
      <c r="AB3029" t="s">
        <v>32</v>
      </c>
      <c r="AC3029">
        <v>416.24</v>
      </c>
    </row>
    <row r="3030" spans="1:29">
      <c r="A3030" t="str">
        <f>"601669"</f>
        <v>601669</v>
      </c>
      <c r="B3030" t="s">
        <v>3200</v>
      </c>
      <c r="C3030">
        <v>5.44</v>
      </c>
      <c r="D3030">
        <v>5.81</v>
      </c>
      <c r="E3030">
        <v>0.3</v>
      </c>
      <c r="F3030">
        <v>5.8</v>
      </c>
      <c r="G3030">
        <v>5.81</v>
      </c>
      <c r="H3030">
        <v>820083</v>
      </c>
      <c r="I3030">
        <v>20</v>
      </c>
      <c r="J3030">
        <v>0</v>
      </c>
      <c r="K3030">
        <v>0.74</v>
      </c>
      <c r="L3030">
        <v>5.53</v>
      </c>
      <c r="M3030">
        <v>5.92</v>
      </c>
      <c r="N3030">
        <v>5.53</v>
      </c>
      <c r="O3030">
        <v>5.51</v>
      </c>
      <c r="P3030">
        <v>11.59</v>
      </c>
      <c r="Q3030">
        <v>472705728</v>
      </c>
      <c r="R3030">
        <v>4.45</v>
      </c>
      <c r="S3030" t="s">
        <v>49</v>
      </c>
      <c r="T3030" t="s">
        <v>45</v>
      </c>
      <c r="U3030">
        <v>7.08</v>
      </c>
      <c r="V3030">
        <v>5.76</v>
      </c>
      <c r="W3030">
        <v>360033</v>
      </c>
      <c r="X3030">
        <v>460049</v>
      </c>
      <c r="Y3030">
        <v>0.78</v>
      </c>
      <c r="Z3030">
        <v>820</v>
      </c>
      <c r="AA3030">
        <v>1439</v>
      </c>
      <c r="AB3030" t="s">
        <v>32</v>
      </c>
      <c r="AC3030">
        <v>111.44</v>
      </c>
    </row>
    <row r="3031" spans="1:29">
      <c r="A3031" t="str">
        <f>"601677"</f>
        <v>601677</v>
      </c>
      <c r="B3031" t="s">
        <v>3201</v>
      </c>
      <c r="C3031">
        <v>0.5</v>
      </c>
      <c r="D3031">
        <v>10.13</v>
      </c>
      <c r="E3031">
        <v>0.05</v>
      </c>
      <c r="F3031">
        <v>10.12</v>
      </c>
      <c r="G3031">
        <v>10.13</v>
      </c>
      <c r="H3031">
        <v>35768</v>
      </c>
      <c r="I3031">
        <v>5</v>
      </c>
      <c r="J3031">
        <v>-0.09</v>
      </c>
      <c r="K3031">
        <v>0.72</v>
      </c>
      <c r="L3031">
        <v>10.16</v>
      </c>
      <c r="M3031">
        <v>10.3</v>
      </c>
      <c r="N3031">
        <v>10.03</v>
      </c>
      <c r="O3031">
        <v>10.08</v>
      </c>
      <c r="P3031">
        <v>11.44</v>
      </c>
      <c r="Q3031">
        <v>36387744</v>
      </c>
      <c r="R3031">
        <v>2.33</v>
      </c>
      <c r="S3031" t="s">
        <v>324</v>
      </c>
      <c r="T3031" t="s">
        <v>164</v>
      </c>
      <c r="U3031">
        <v>2.68</v>
      </c>
      <c r="V3031">
        <v>10.17</v>
      </c>
      <c r="W3031">
        <v>19396</v>
      </c>
      <c r="X3031">
        <v>16372</v>
      </c>
      <c r="Y3031">
        <v>1.18</v>
      </c>
      <c r="Z3031">
        <v>147</v>
      </c>
      <c r="AA3031">
        <v>494</v>
      </c>
      <c r="AB3031" t="s">
        <v>32</v>
      </c>
      <c r="AC3031">
        <v>4.98</v>
      </c>
    </row>
    <row r="3032" spans="1:29">
      <c r="A3032" t="str">
        <f>"601678"</f>
        <v>601678</v>
      </c>
      <c r="B3032" t="s">
        <v>3202</v>
      </c>
      <c r="C3032">
        <v>3.25</v>
      </c>
      <c r="D3032">
        <v>6.03</v>
      </c>
      <c r="E3032">
        <v>0.19</v>
      </c>
      <c r="F3032">
        <v>6.03</v>
      </c>
      <c r="G3032">
        <v>6.04</v>
      </c>
      <c r="H3032">
        <v>194718</v>
      </c>
      <c r="I3032">
        <v>3</v>
      </c>
      <c r="J3032">
        <v>0.17</v>
      </c>
      <c r="K3032">
        <v>1.26</v>
      </c>
      <c r="L3032">
        <v>5.84</v>
      </c>
      <c r="M3032">
        <v>6.07</v>
      </c>
      <c r="N3032">
        <v>5.81</v>
      </c>
      <c r="O3032">
        <v>5.84</v>
      </c>
      <c r="P3032">
        <v>8.77</v>
      </c>
      <c r="Q3032">
        <v>116634864</v>
      </c>
      <c r="R3032">
        <v>1.7</v>
      </c>
      <c r="S3032" t="s">
        <v>218</v>
      </c>
      <c r="T3032" t="s">
        <v>162</v>
      </c>
      <c r="U3032">
        <v>4.45</v>
      </c>
      <c r="V3032">
        <v>5.99</v>
      </c>
      <c r="W3032">
        <v>81967</v>
      </c>
      <c r="X3032">
        <v>112751</v>
      </c>
      <c r="Y3032">
        <v>0.73</v>
      </c>
      <c r="Z3032">
        <v>13</v>
      </c>
      <c r="AA3032">
        <v>3215</v>
      </c>
      <c r="AB3032" t="s">
        <v>32</v>
      </c>
      <c r="AC3032">
        <v>15.44</v>
      </c>
    </row>
    <row r="3033" spans="1:29">
      <c r="A3033" t="str">
        <f>"601688"</f>
        <v>601688</v>
      </c>
      <c r="B3033" t="s">
        <v>3203</v>
      </c>
      <c r="C3033">
        <v>-0.13</v>
      </c>
      <c r="D3033">
        <v>15.82</v>
      </c>
      <c r="E3033">
        <v>-0.02</v>
      </c>
      <c r="F3033">
        <v>15.82</v>
      </c>
      <c r="G3033">
        <v>15.83</v>
      </c>
      <c r="H3033">
        <v>753023</v>
      </c>
      <c r="I3033">
        <v>79</v>
      </c>
      <c r="J3033">
        <v>0</v>
      </c>
      <c r="K3033">
        <v>1.38</v>
      </c>
      <c r="L3033">
        <v>16</v>
      </c>
      <c r="M3033">
        <v>16.35</v>
      </c>
      <c r="N3033">
        <v>15.71</v>
      </c>
      <c r="O3033">
        <v>15.84</v>
      </c>
      <c r="P3033">
        <v>14.89</v>
      </c>
      <c r="Q3033">
        <v>1206758528</v>
      </c>
      <c r="R3033">
        <v>1.69</v>
      </c>
      <c r="S3033" t="s">
        <v>158</v>
      </c>
      <c r="T3033" t="s">
        <v>87</v>
      </c>
      <c r="U3033">
        <v>4.04</v>
      </c>
      <c r="V3033">
        <v>16.03</v>
      </c>
      <c r="W3033">
        <v>391056</v>
      </c>
      <c r="X3033">
        <v>361966</v>
      </c>
      <c r="Y3033">
        <v>1.08</v>
      </c>
      <c r="Z3033">
        <v>13</v>
      </c>
      <c r="AA3033">
        <v>323</v>
      </c>
      <c r="AB3033" t="s">
        <v>32</v>
      </c>
      <c r="AC3033">
        <v>54.44</v>
      </c>
    </row>
    <row r="3034" spans="1:29">
      <c r="A3034" t="str">
        <f>"601689"</f>
        <v>601689</v>
      </c>
      <c r="B3034" t="s">
        <v>3204</v>
      </c>
      <c r="C3034">
        <v>2.03</v>
      </c>
      <c r="D3034">
        <v>20.58</v>
      </c>
      <c r="E3034">
        <v>0.41</v>
      </c>
      <c r="F3034">
        <v>20.59</v>
      </c>
      <c r="G3034">
        <v>20.6</v>
      </c>
      <c r="H3034">
        <v>33349</v>
      </c>
      <c r="I3034">
        <v>1</v>
      </c>
      <c r="J3034">
        <v>0.1</v>
      </c>
      <c r="K3034">
        <v>1.36</v>
      </c>
      <c r="L3034">
        <v>20.18</v>
      </c>
      <c r="M3034">
        <v>20.79</v>
      </c>
      <c r="N3034">
        <v>20.07</v>
      </c>
      <c r="O3034">
        <v>20.17</v>
      </c>
      <c r="P3034">
        <v>18.77</v>
      </c>
      <c r="Q3034">
        <v>68428688</v>
      </c>
      <c r="R3034">
        <v>1.76</v>
      </c>
      <c r="S3034" t="s">
        <v>80</v>
      </c>
      <c r="T3034" t="s">
        <v>149</v>
      </c>
      <c r="U3034">
        <v>3.57</v>
      </c>
      <c r="V3034">
        <v>20.52</v>
      </c>
      <c r="W3034">
        <v>15838</v>
      </c>
      <c r="X3034">
        <v>17510</v>
      </c>
      <c r="Y3034">
        <v>0.9</v>
      </c>
      <c r="Z3034">
        <v>4</v>
      </c>
      <c r="AA3034">
        <v>68</v>
      </c>
      <c r="AB3034" t="s">
        <v>32</v>
      </c>
      <c r="AC3034">
        <v>2.45</v>
      </c>
    </row>
    <row r="3035" spans="1:29">
      <c r="A3035" t="str">
        <f>"601699"</f>
        <v>601699</v>
      </c>
      <c r="B3035" t="s">
        <v>3205</v>
      </c>
      <c r="C3035">
        <v>3.98</v>
      </c>
      <c r="D3035">
        <v>8.89</v>
      </c>
      <c r="E3035">
        <v>0.34</v>
      </c>
      <c r="F3035">
        <v>8.88</v>
      </c>
      <c r="G3035">
        <v>8.89</v>
      </c>
      <c r="H3035">
        <v>637654</v>
      </c>
      <c r="I3035">
        <v>8</v>
      </c>
      <c r="J3035">
        <v>0.11</v>
      </c>
      <c r="K3035">
        <v>2.13</v>
      </c>
      <c r="L3035">
        <v>8.5</v>
      </c>
      <c r="M3035">
        <v>8.92</v>
      </c>
      <c r="N3035">
        <v>8.5</v>
      </c>
      <c r="O3035">
        <v>8.55</v>
      </c>
      <c r="P3035">
        <v>9.32</v>
      </c>
      <c r="Q3035">
        <v>559833536</v>
      </c>
      <c r="R3035">
        <v>2.4</v>
      </c>
      <c r="S3035" t="s">
        <v>265</v>
      </c>
      <c r="T3035" t="s">
        <v>169</v>
      </c>
      <c r="U3035">
        <v>4.91</v>
      </c>
      <c r="V3035">
        <v>8.78</v>
      </c>
      <c r="W3035">
        <v>291900</v>
      </c>
      <c r="X3035">
        <v>345753</v>
      </c>
      <c r="Y3035">
        <v>0.84</v>
      </c>
      <c r="Z3035">
        <v>356</v>
      </c>
      <c r="AA3035">
        <v>186</v>
      </c>
      <c r="AB3035" t="s">
        <v>32</v>
      </c>
      <c r="AC3035">
        <v>29.91</v>
      </c>
    </row>
    <row r="3036" spans="1:29">
      <c r="A3036" t="str">
        <f>"601700"</f>
        <v>601700</v>
      </c>
      <c r="B3036" t="s">
        <v>3206</v>
      </c>
      <c r="C3036">
        <v>2.72</v>
      </c>
      <c r="D3036">
        <v>3.4</v>
      </c>
      <c r="E3036">
        <v>0.09</v>
      </c>
      <c r="F3036">
        <v>3.39</v>
      </c>
      <c r="G3036">
        <v>3.4</v>
      </c>
      <c r="H3036">
        <v>87031</v>
      </c>
      <c r="I3036">
        <v>323</v>
      </c>
      <c r="J3036">
        <v>0.3</v>
      </c>
      <c r="K3036">
        <v>0.77</v>
      </c>
      <c r="L3036">
        <v>3.29</v>
      </c>
      <c r="M3036">
        <v>3.43</v>
      </c>
      <c r="N3036">
        <v>3.29</v>
      </c>
      <c r="O3036">
        <v>3.31</v>
      </c>
      <c r="P3036">
        <v>29.3</v>
      </c>
      <c r="Q3036">
        <v>29320164</v>
      </c>
      <c r="R3036">
        <v>3.33</v>
      </c>
      <c r="S3036" t="s">
        <v>104</v>
      </c>
      <c r="T3036" t="s">
        <v>87</v>
      </c>
      <c r="U3036">
        <v>4.23</v>
      </c>
      <c r="V3036">
        <v>3.37</v>
      </c>
      <c r="W3036">
        <v>45528</v>
      </c>
      <c r="X3036">
        <v>41503</v>
      </c>
      <c r="Y3036">
        <v>1.1</v>
      </c>
      <c r="Z3036">
        <v>1718</v>
      </c>
      <c r="AA3036">
        <v>1352</v>
      </c>
      <c r="AB3036" t="s">
        <v>32</v>
      </c>
      <c r="AC3036">
        <v>11.33</v>
      </c>
    </row>
    <row r="3037" spans="1:29">
      <c r="A3037" t="str">
        <f>"601717"</f>
        <v>601717</v>
      </c>
      <c r="B3037" t="s">
        <v>3207</v>
      </c>
      <c r="C3037">
        <v>6.04</v>
      </c>
      <c r="D3037">
        <v>5.97</v>
      </c>
      <c r="E3037">
        <v>0.34</v>
      </c>
      <c r="F3037">
        <v>5.97</v>
      </c>
      <c r="G3037">
        <v>5.98</v>
      </c>
      <c r="H3037">
        <v>186598</v>
      </c>
      <c r="I3037">
        <v>19</v>
      </c>
      <c r="J3037">
        <v>-0.16</v>
      </c>
      <c r="K3037">
        <v>1.26</v>
      </c>
      <c r="L3037">
        <v>5.71</v>
      </c>
      <c r="M3037">
        <v>5.99</v>
      </c>
      <c r="N3037">
        <v>5.71</v>
      </c>
      <c r="O3037">
        <v>5.63</v>
      </c>
      <c r="P3037">
        <v>16.88</v>
      </c>
      <c r="Q3037">
        <v>110395568</v>
      </c>
      <c r="R3037">
        <v>2.7</v>
      </c>
      <c r="S3037" t="s">
        <v>151</v>
      </c>
      <c r="T3037" t="s">
        <v>164</v>
      </c>
      <c r="U3037">
        <v>4.97</v>
      </c>
      <c r="V3037">
        <v>5.92</v>
      </c>
      <c r="W3037">
        <v>87930</v>
      </c>
      <c r="X3037">
        <v>98668</v>
      </c>
      <c r="Y3037">
        <v>0.89</v>
      </c>
      <c r="Z3037">
        <v>414</v>
      </c>
      <c r="AA3037">
        <v>1000</v>
      </c>
      <c r="AB3037" t="s">
        <v>32</v>
      </c>
      <c r="AC3037">
        <v>14.83</v>
      </c>
    </row>
    <row r="3038" spans="1:29">
      <c r="A3038" t="str">
        <f>"601718"</f>
        <v>601718</v>
      </c>
      <c r="B3038" t="s">
        <v>3208</v>
      </c>
      <c r="C3038">
        <v>1.94</v>
      </c>
      <c r="D3038">
        <v>4.21</v>
      </c>
      <c r="E3038">
        <v>0.08</v>
      </c>
      <c r="F3038">
        <v>4.21</v>
      </c>
      <c r="G3038">
        <v>4.22</v>
      </c>
      <c r="H3038">
        <v>226358</v>
      </c>
      <c r="I3038">
        <v>120</v>
      </c>
      <c r="J3038">
        <v>0</v>
      </c>
      <c r="K3038">
        <v>0.52</v>
      </c>
      <c r="L3038">
        <v>4.12</v>
      </c>
      <c r="M3038">
        <v>4.24</v>
      </c>
      <c r="N3038">
        <v>4.11</v>
      </c>
      <c r="O3038">
        <v>4.13</v>
      </c>
      <c r="P3038">
        <v>29.91</v>
      </c>
      <c r="Q3038">
        <v>94748696</v>
      </c>
      <c r="R3038">
        <v>2.41</v>
      </c>
      <c r="S3038" t="s">
        <v>622</v>
      </c>
      <c r="T3038" t="s">
        <v>45</v>
      </c>
      <c r="U3038">
        <v>3.15</v>
      </c>
      <c r="V3038">
        <v>4.19</v>
      </c>
      <c r="W3038">
        <v>100126</v>
      </c>
      <c r="X3038">
        <v>126232</v>
      </c>
      <c r="Y3038">
        <v>0.79</v>
      </c>
      <c r="Z3038">
        <v>1313</v>
      </c>
      <c r="AA3038">
        <v>6271</v>
      </c>
      <c r="AB3038" t="s">
        <v>32</v>
      </c>
      <c r="AC3038">
        <v>43.92</v>
      </c>
    </row>
    <row r="3039" spans="1:29">
      <c r="A3039" t="str">
        <f>"601727"</f>
        <v>601727</v>
      </c>
      <c r="B3039" t="s">
        <v>3209</v>
      </c>
      <c r="C3039">
        <v>0</v>
      </c>
      <c r="D3039">
        <v>6.34</v>
      </c>
      <c r="E3039">
        <v>0</v>
      </c>
      <c r="F3039" t="s">
        <v>32</v>
      </c>
      <c r="G3039" t="s">
        <v>32</v>
      </c>
      <c r="H3039">
        <v>0</v>
      </c>
      <c r="I3039">
        <v>0</v>
      </c>
      <c r="J3039">
        <v>0</v>
      </c>
      <c r="K3039">
        <v>0</v>
      </c>
      <c r="L3039" t="s">
        <v>32</v>
      </c>
      <c r="M3039" t="s">
        <v>32</v>
      </c>
      <c r="N3039" t="s">
        <v>32</v>
      </c>
      <c r="O3039">
        <v>6.34</v>
      </c>
      <c r="P3039">
        <v>35.5</v>
      </c>
      <c r="Q3039">
        <v>0</v>
      </c>
      <c r="R3039">
        <v>0</v>
      </c>
      <c r="S3039" t="s">
        <v>104</v>
      </c>
      <c r="T3039" t="s">
        <v>366</v>
      </c>
      <c r="U3039">
        <v>0</v>
      </c>
      <c r="V3039">
        <v>6.34</v>
      </c>
      <c r="W3039">
        <v>0</v>
      </c>
      <c r="X3039">
        <v>0</v>
      </c>
      <c r="Y3039" t="s">
        <v>32</v>
      </c>
      <c r="Z3039">
        <v>0</v>
      </c>
      <c r="AA3039">
        <v>0</v>
      </c>
      <c r="AB3039" t="s">
        <v>32</v>
      </c>
      <c r="AC3039">
        <v>98.51</v>
      </c>
    </row>
    <row r="3040" spans="1:29">
      <c r="A3040" t="str">
        <f>"601766"</f>
        <v>601766</v>
      </c>
      <c r="B3040" t="s">
        <v>3210</v>
      </c>
      <c r="C3040">
        <v>6.46</v>
      </c>
      <c r="D3040">
        <v>8.24</v>
      </c>
      <c r="E3040">
        <v>0.5</v>
      </c>
      <c r="F3040">
        <v>8.25</v>
      </c>
      <c r="G3040">
        <v>8.26</v>
      </c>
      <c r="H3040">
        <v>1240473</v>
      </c>
      <c r="I3040">
        <v>53</v>
      </c>
      <c r="J3040">
        <v>0.24</v>
      </c>
      <c r="K3040">
        <v>0.54</v>
      </c>
      <c r="L3040">
        <v>7.8</v>
      </c>
      <c r="M3040">
        <v>8.31</v>
      </c>
      <c r="N3040">
        <v>7.8</v>
      </c>
      <c r="O3040">
        <v>7.74</v>
      </c>
      <c r="P3040">
        <v>46.53</v>
      </c>
      <c r="Q3040">
        <v>1007699712</v>
      </c>
      <c r="R3040">
        <v>4.2</v>
      </c>
      <c r="S3040" t="s">
        <v>44</v>
      </c>
      <c r="T3040" t="s">
        <v>45</v>
      </c>
      <c r="U3040">
        <v>6.59</v>
      </c>
      <c r="V3040">
        <v>8.12</v>
      </c>
      <c r="W3040">
        <v>556026</v>
      </c>
      <c r="X3040">
        <v>684446</v>
      </c>
      <c r="Y3040">
        <v>0.81</v>
      </c>
      <c r="Z3040">
        <v>651</v>
      </c>
      <c r="AA3040">
        <v>3078</v>
      </c>
      <c r="AB3040" t="s">
        <v>32</v>
      </c>
      <c r="AC3040">
        <v>229.18</v>
      </c>
    </row>
    <row r="3041" spans="1:29">
      <c r="A3041" t="str">
        <f>"601777"</f>
        <v>601777</v>
      </c>
      <c r="B3041" t="s">
        <v>3211</v>
      </c>
      <c r="C3041">
        <v>1.76</v>
      </c>
      <c r="D3041">
        <v>5.2</v>
      </c>
      <c r="E3041">
        <v>0.09</v>
      </c>
      <c r="F3041">
        <v>5.19</v>
      </c>
      <c r="G3041">
        <v>5.2</v>
      </c>
      <c r="H3041">
        <v>88375</v>
      </c>
      <c r="I3041">
        <v>960</v>
      </c>
      <c r="J3041">
        <v>0.19</v>
      </c>
      <c r="K3041">
        <v>0.71</v>
      </c>
      <c r="L3041">
        <v>5.1</v>
      </c>
      <c r="M3041">
        <v>5.2</v>
      </c>
      <c r="N3041">
        <v>5.08</v>
      </c>
      <c r="O3041">
        <v>5.11</v>
      </c>
      <c r="P3041">
        <v>27.54</v>
      </c>
      <c r="Q3041">
        <v>45612920</v>
      </c>
      <c r="R3041">
        <v>2.41</v>
      </c>
      <c r="S3041" t="s">
        <v>549</v>
      </c>
      <c r="T3041" t="s">
        <v>221</v>
      </c>
      <c r="U3041">
        <v>2.35</v>
      </c>
      <c r="V3041">
        <v>5.16</v>
      </c>
      <c r="W3041">
        <v>38607</v>
      </c>
      <c r="X3041">
        <v>49768</v>
      </c>
      <c r="Y3041">
        <v>0.78</v>
      </c>
      <c r="Z3041">
        <v>832</v>
      </c>
      <c r="AA3041">
        <v>608</v>
      </c>
      <c r="AB3041" t="s">
        <v>32</v>
      </c>
      <c r="AC3041">
        <v>12.37</v>
      </c>
    </row>
    <row r="3042" spans="1:29">
      <c r="A3042" t="str">
        <f>"601788"</f>
        <v>601788</v>
      </c>
      <c r="B3042" t="s">
        <v>3212</v>
      </c>
      <c r="C3042">
        <v>1.18</v>
      </c>
      <c r="D3042">
        <v>11.16</v>
      </c>
      <c r="E3042">
        <v>0.13</v>
      </c>
      <c r="F3042">
        <v>11.16</v>
      </c>
      <c r="G3042">
        <v>11.17</v>
      </c>
      <c r="H3042">
        <v>181524</v>
      </c>
      <c r="I3042">
        <v>29</v>
      </c>
      <c r="J3042">
        <v>-0.26</v>
      </c>
      <c r="K3042">
        <v>0.46</v>
      </c>
      <c r="L3042">
        <v>11.05</v>
      </c>
      <c r="M3042">
        <v>11.39</v>
      </c>
      <c r="N3042">
        <v>11</v>
      </c>
      <c r="O3042">
        <v>11.03</v>
      </c>
      <c r="P3042">
        <v>17.59</v>
      </c>
      <c r="Q3042">
        <v>203977584</v>
      </c>
      <c r="R3042">
        <v>2.19</v>
      </c>
      <c r="S3042" t="s">
        <v>158</v>
      </c>
      <c r="T3042" t="s">
        <v>366</v>
      </c>
      <c r="U3042">
        <v>3.54</v>
      </c>
      <c r="V3042">
        <v>11.24</v>
      </c>
      <c r="W3042">
        <v>90850</v>
      </c>
      <c r="X3042">
        <v>90673</v>
      </c>
      <c r="Y3042">
        <v>1</v>
      </c>
      <c r="Z3042">
        <v>30</v>
      </c>
      <c r="AA3042">
        <v>225</v>
      </c>
      <c r="AB3042" t="s">
        <v>32</v>
      </c>
      <c r="AC3042">
        <v>39.07</v>
      </c>
    </row>
    <row r="3043" spans="1:29">
      <c r="A3043" t="str">
        <f>"601789"</f>
        <v>601789</v>
      </c>
      <c r="B3043" t="s">
        <v>3213</v>
      </c>
      <c r="C3043">
        <v>4.71</v>
      </c>
      <c r="D3043">
        <v>3.78</v>
      </c>
      <c r="E3043">
        <v>0.17</v>
      </c>
      <c r="F3043">
        <v>3.77</v>
      </c>
      <c r="G3043">
        <v>3.78</v>
      </c>
      <c r="H3043">
        <v>122493</v>
      </c>
      <c r="I3043">
        <v>120</v>
      </c>
      <c r="J3043">
        <v>0.27</v>
      </c>
      <c r="K3043">
        <v>1.25</v>
      </c>
      <c r="L3043">
        <v>3.62</v>
      </c>
      <c r="M3043">
        <v>3.85</v>
      </c>
      <c r="N3043">
        <v>3.61</v>
      </c>
      <c r="O3043">
        <v>3.61</v>
      </c>
      <c r="P3043">
        <v>14.22</v>
      </c>
      <c r="Q3043">
        <v>46040264</v>
      </c>
      <c r="R3043">
        <v>4.29</v>
      </c>
      <c r="S3043" t="s">
        <v>49</v>
      </c>
      <c r="T3043" t="s">
        <v>149</v>
      </c>
      <c r="U3043">
        <v>6.65</v>
      </c>
      <c r="V3043">
        <v>3.76</v>
      </c>
      <c r="W3043">
        <v>49961</v>
      </c>
      <c r="X3043">
        <v>72532</v>
      </c>
      <c r="Y3043">
        <v>0.69</v>
      </c>
      <c r="Z3043">
        <v>737</v>
      </c>
      <c r="AA3043">
        <v>179</v>
      </c>
      <c r="AB3043" t="s">
        <v>32</v>
      </c>
      <c r="AC3043">
        <v>9.76</v>
      </c>
    </row>
    <row r="3044" spans="1:29">
      <c r="A3044" t="str">
        <f>"601798"</f>
        <v>601798</v>
      </c>
      <c r="B3044" t="s">
        <v>3214</v>
      </c>
      <c r="C3044">
        <v>3.58</v>
      </c>
      <c r="D3044">
        <v>4.92</v>
      </c>
      <c r="E3044">
        <v>0.17</v>
      </c>
      <c r="F3044">
        <v>4.91</v>
      </c>
      <c r="G3044">
        <v>4.93</v>
      </c>
      <c r="H3044">
        <v>19290</v>
      </c>
      <c r="I3044">
        <v>1</v>
      </c>
      <c r="J3044">
        <v>0.2</v>
      </c>
      <c r="K3044">
        <v>0.54</v>
      </c>
      <c r="L3044">
        <v>4.97</v>
      </c>
      <c r="M3044">
        <v>4.97</v>
      </c>
      <c r="N3044">
        <v>4.81</v>
      </c>
      <c r="O3044">
        <v>4.75</v>
      </c>
      <c r="P3044" t="s">
        <v>32</v>
      </c>
      <c r="Q3044">
        <v>9450159</v>
      </c>
      <c r="R3044">
        <v>2.68</v>
      </c>
      <c r="S3044" t="s">
        <v>504</v>
      </c>
      <c r="T3044" t="s">
        <v>266</v>
      </c>
      <c r="U3044">
        <v>3.37</v>
      </c>
      <c r="V3044">
        <v>4.9</v>
      </c>
      <c r="W3044">
        <v>9351</v>
      </c>
      <c r="X3044">
        <v>9939</v>
      </c>
      <c r="Y3044">
        <v>0.94</v>
      </c>
      <c r="Z3044">
        <v>843</v>
      </c>
      <c r="AA3044">
        <v>252</v>
      </c>
      <c r="AB3044" t="s">
        <v>32</v>
      </c>
      <c r="AC3044">
        <v>3.55</v>
      </c>
    </row>
    <row r="3045" spans="1:29">
      <c r="A3045" t="str">
        <f>"601799"</f>
        <v>601799</v>
      </c>
      <c r="B3045" t="s">
        <v>3215</v>
      </c>
      <c r="C3045">
        <v>-2.45</v>
      </c>
      <c r="D3045">
        <v>54.97</v>
      </c>
      <c r="E3045">
        <v>-1.38</v>
      </c>
      <c r="F3045">
        <v>54.96</v>
      </c>
      <c r="G3045">
        <v>54.99</v>
      </c>
      <c r="H3045">
        <v>9805</v>
      </c>
      <c r="I3045">
        <v>17</v>
      </c>
      <c r="J3045">
        <v>-0.04</v>
      </c>
      <c r="K3045">
        <v>0.36</v>
      </c>
      <c r="L3045">
        <v>56.68</v>
      </c>
      <c r="M3045">
        <v>56.68</v>
      </c>
      <c r="N3045">
        <v>54.87</v>
      </c>
      <c r="O3045">
        <v>56.35</v>
      </c>
      <c r="P3045">
        <v>28.99</v>
      </c>
      <c r="Q3045">
        <v>54496776</v>
      </c>
      <c r="R3045">
        <v>1.63</v>
      </c>
      <c r="S3045" t="s">
        <v>80</v>
      </c>
      <c r="T3045" t="s">
        <v>87</v>
      </c>
      <c r="U3045">
        <v>3.21</v>
      </c>
      <c r="V3045">
        <v>55.58</v>
      </c>
      <c r="W3045">
        <v>5847</v>
      </c>
      <c r="X3045">
        <v>3957</v>
      </c>
      <c r="Y3045">
        <v>1.48</v>
      </c>
      <c r="Z3045">
        <v>5</v>
      </c>
      <c r="AA3045">
        <v>4</v>
      </c>
      <c r="AB3045" t="s">
        <v>32</v>
      </c>
      <c r="AC3045">
        <v>2.76</v>
      </c>
    </row>
    <row r="3046" spans="1:29">
      <c r="A3046" t="str">
        <f>"601800"</f>
        <v>601800</v>
      </c>
      <c r="B3046" t="s">
        <v>3216</v>
      </c>
      <c r="C3046">
        <v>10.01</v>
      </c>
      <c r="D3046">
        <v>13.41</v>
      </c>
      <c r="E3046">
        <v>1.22</v>
      </c>
      <c r="F3046">
        <v>13.41</v>
      </c>
      <c r="G3046" t="s">
        <v>32</v>
      </c>
      <c r="H3046">
        <v>539658</v>
      </c>
      <c r="I3046">
        <v>6</v>
      </c>
      <c r="J3046">
        <v>0</v>
      </c>
      <c r="K3046">
        <v>0.46</v>
      </c>
      <c r="L3046">
        <v>12.91</v>
      </c>
      <c r="M3046">
        <v>13.41</v>
      </c>
      <c r="N3046">
        <v>12.91</v>
      </c>
      <c r="O3046">
        <v>12.19</v>
      </c>
      <c r="P3046">
        <v>15.79</v>
      </c>
      <c r="Q3046">
        <v>720529664</v>
      </c>
      <c r="R3046">
        <v>6.25</v>
      </c>
      <c r="S3046" t="s">
        <v>49</v>
      </c>
      <c r="T3046" t="s">
        <v>45</v>
      </c>
      <c r="U3046">
        <v>4.1</v>
      </c>
      <c r="V3046">
        <v>13.35</v>
      </c>
      <c r="W3046">
        <v>362126</v>
      </c>
      <c r="X3046">
        <v>177531</v>
      </c>
      <c r="Y3046">
        <v>2.04</v>
      </c>
      <c r="Z3046">
        <v>30699</v>
      </c>
      <c r="AA3046">
        <v>0</v>
      </c>
      <c r="AB3046" t="s">
        <v>32</v>
      </c>
      <c r="AC3046">
        <v>117.47</v>
      </c>
    </row>
    <row r="3047" spans="1:29">
      <c r="A3047" t="str">
        <f>"601801"</f>
        <v>601801</v>
      </c>
      <c r="B3047" t="s">
        <v>3217</v>
      </c>
      <c r="C3047">
        <v>1.62</v>
      </c>
      <c r="D3047">
        <v>8.17</v>
      </c>
      <c r="E3047">
        <v>0.13</v>
      </c>
      <c r="F3047">
        <v>8.16</v>
      </c>
      <c r="G3047">
        <v>8.17</v>
      </c>
      <c r="H3047">
        <v>49874</v>
      </c>
      <c r="I3047">
        <v>22</v>
      </c>
      <c r="J3047">
        <v>-0.11</v>
      </c>
      <c r="K3047">
        <v>0.25</v>
      </c>
      <c r="L3047">
        <v>8.05</v>
      </c>
      <c r="M3047">
        <v>8.25</v>
      </c>
      <c r="N3047">
        <v>8.01</v>
      </c>
      <c r="O3047">
        <v>8.04</v>
      </c>
      <c r="P3047">
        <v>6.17</v>
      </c>
      <c r="Q3047">
        <v>40712736</v>
      </c>
      <c r="R3047">
        <v>1.04</v>
      </c>
      <c r="S3047" t="s">
        <v>211</v>
      </c>
      <c r="T3047" t="s">
        <v>143</v>
      </c>
      <c r="U3047">
        <v>2.99</v>
      </c>
      <c r="V3047">
        <v>8.16</v>
      </c>
      <c r="W3047">
        <v>21897</v>
      </c>
      <c r="X3047">
        <v>27976</v>
      </c>
      <c r="Y3047">
        <v>0.78</v>
      </c>
      <c r="Z3047">
        <v>196</v>
      </c>
      <c r="AA3047">
        <v>4</v>
      </c>
      <c r="AB3047" t="s">
        <v>32</v>
      </c>
      <c r="AC3047">
        <v>19.89</v>
      </c>
    </row>
    <row r="3048" spans="1:29">
      <c r="A3048" t="str">
        <f>"601808"</f>
        <v>601808</v>
      </c>
      <c r="B3048" t="s">
        <v>3218</v>
      </c>
      <c r="C3048">
        <v>1.74</v>
      </c>
      <c r="D3048">
        <v>9.38</v>
      </c>
      <c r="E3048">
        <v>0.16</v>
      </c>
      <c r="F3048">
        <v>9.38</v>
      </c>
      <c r="G3048">
        <v>9.39</v>
      </c>
      <c r="H3048">
        <v>71644</v>
      </c>
      <c r="I3048">
        <v>11</v>
      </c>
      <c r="J3048">
        <v>0</v>
      </c>
      <c r="K3048">
        <v>0.24</v>
      </c>
      <c r="L3048">
        <v>9.18</v>
      </c>
      <c r="M3048">
        <v>9.45</v>
      </c>
      <c r="N3048">
        <v>9.17</v>
      </c>
      <c r="O3048">
        <v>9.22</v>
      </c>
      <c r="P3048" t="s">
        <v>32</v>
      </c>
      <c r="Q3048">
        <v>67021512</v>
      </c>
      <c r="R3048">
        <v>2.1</v>
      </c>
      <c r="S3048" t="s">
        <v>831</v>
      </c>
      <c r="T3048" t="s">
        <v>248</v>
      </c>
      <c r="U3048">
        <v>3.04</v>
      </c>
      <c r="V3048">
        <v>9.35</v>
      </c>
      <c r="W3048">
        <v>31886</v>
      </c>
      <c r="X3048">
        <v>39758</v>
      </c>
      <c r="Y3048">
        <v>0.8</v>
      </c>
      <c r="Z3048">
        <v>54</v>
      </c>
      <c r="AA3048">
        <v>197</v>
      </c>
      <c r="AB3048" t="s">
        <v>32</v>
      </c>
      <c r="AC3048">
        <v>29.6</v>
      </c>
    </row>
    <row r="3049" spans="1:29">
      <c r="A3049" t="str">
        <f>"601811"</f>
        <v>601811</v>
      </c>
      <c r="B3049" t="s">
        <v>3219</v>
      </c>
      <c r="C3049">
        <v>2.16</v>
      </c>
      <c r="D3049">
        <v>9.47</v>
      </c>
      <c r="E3049">
        <v>0.2</v>
      </c>
      <c r="F3049">
        <v>9.47</v>
      </c>
      <c r="G3049">
        <v>9.48</v>
      </c>
      <c r="H3049">
        <v>15374</v>
      </c>
      <c r="I3049">
        <v>11</v>
      </c>
      <c r="J3049">
        <v>-0.1</v>
      </c>
      <c r="K3049">
        <v>0.77</v>
      </c>
      <c r="L3049">
        <v>9.27</v>
      </c>
      <c r="M3049">
        <v>9.49</v>
      </c>
      <c r="N3049">
        <v>9.25</v>
      </c>
      <c r="O3049">
        <v>9.27</v>
      </c>
      <c r="P3049">
        <v>16.37</v>
      </c>
      <c r="Q3049">
        <v>14478484</v>
      </c>
      <c r="R3049">
        <v>1.69</v>
      </c>
      <c r="S3049" t="s">
        <v>211</v>
      </c>
      <c r="T3049" t="s">
        <v>146</v>
      </c>
      <c r="U3049">
        <v>2.59</v>
      </c>
      <c r="V3049">
        <v>9.42</v>
      </c>
      <c r="W3049">
        <v>6097</v>
      </c>
      <c r="X3049">
        <v>9276</v>
      </c>
      <c r="Y3049">
        <v>0.66</v>
      </c>
      <c r="Z3049">
        <v>38</v>
      </c>
      <c r="AA3049">
        <v>267</v>
      </c>
      <c r="AB3049" t="s">
        <v>32</v>
      </c>
      <c r="AC3049">
        <v>1.99</v>
      </c>
    </row>
    <row r="3050" spans="1:29">
      <c r="A3050" t="str">
        <f>"601818"</f>
        <v>601818</v>
      </c>
      <c r="B3050" t="s">
        <v>3220</v>
      </c>
      <c r="C3050">
        <v>1.06</v>
      </c>
      <c r="D3050">
        <v>3.83</v>
      </c>
      <c r="E3050">
        <v>0.04</v>
      </c>
      <c r="F3050">
        <v>3.82</v>
      </c>
      <c r="G3050">
        <v>3.83</v>
      </c>
      <c r="H3050">
        <v>1226102</v>
      </c>
      <c r="I3050">
        <v>160</v>
      </c>
      <c r="J3050">
        <v>-0.25</v>
      </c>
      <c r="K3050">
        <v>0.31</v>
      </c>
      <c r="L3050">
        <v>3.78</v>
      </c>
      <c r="M3050">
        <v>3.86</v>
      </c>
      <c r="N3050">
        <v>3.77</v>
      </c>
      <c r="O3050">
        <v>3.79</v>
      </c>
      <c r="P3050">
        <v>5.55</v>
      </c>
      <c r="Q3050">
        <v>469097632</v>
      </c>
      <c r="R3050">
        <v>1.73</v>
      </c>
      <c r="S3050" t="s">
        <v>30</v>
      </c>
      <c r="T3050" t="s">
        <v>45</v>
      </c>
      <c r="U3050">
        <v>2.37</v>
      </c>
      <c r="V3050">
        <v>3.83</v>
      </c>
      <c r="W3050">
        <v>551000</v>
      </c>
      <c r="X3050">
        <v>675102</v>
      </c>
      <c r="Y3050">
        <v>0.82</v>
      </c>
      <c r="Z3050">
        <v>15543</v>
      </c>
      <c r="AA3050">
        <v>421</v>
      </c>
      <c r="AB3050" t="s">
        <v>32</v>
      </c>
      <c r="AC3050">
        <v>398.11</v>
      </c>
    </row>
    <row r="3051" spans="1:29">
      <c r="A3051" t="str">
        <f>"601828"</f>
        <v>601828</v>
      </c>
      <c r="B3051" t="s">
        <v>3221</v>
      </c>
      <c r="C3051">
        <v>2.41</v>
      </c>
      <c r="D3051">
        <v>14.85</v>
      </c>
      <c r="E3051">
        <v>0.35</v>
      </c>
      <c r="F3051">
        <v>14.84</v>
      </c>
      <c r="G3051">
        <v>14.85</v>
      </c>
      <c r="H3051">
        <v>144370</v>
      </c>
      <c r="I3051">
        <v>13</v>
      </c>
      <c r="J3051">
        <v>0.07</v>
      </c>
      <c r="K3051">
        <v>4.58</v>
      </c>
      <c r="L3051">
        <v>14.49</v>
      </c>
      <c r="M3051">
        <v>14.95</v>
      </c>
      <c r="N3051">
        <v>14.47</v>
      </c>
      <c r="O3051">
        <v>14.5</v>
      </c>
      <c r="P3051">
        <v>12.37</v>
      </c>
      <c r="Q3051">
        <v>214234800</v>
      </c>
      <c r="R3051">
        <v>2.16</v>
      </c>
      <c r="S3051" t="s">
        <v>73</v>
      </c>
      <c r="T3051" t="s">
        <v>366</v>
      </c>
      <c r="U3051">
        <v>3.31</v>
      </c>
      <c r="V3051">
        <v>14.84</v>
      </c>
      <c r="W3051">
        <v>70331</v>
      </c>
      <c r="X3051">
        <v>74039</v>
      </c>
      <c r="Y3051">
        <v>0.95</v>
      </c>
      <c r="Z3051">
        <v>229</v>
      </c>
      <c r="AA3051">
        <v>146</v>
      </c>
      <c r="AB3051" t="s">
        <v>32</v>
      </c>
      <c r="AC3051">
        <v>3.15</v>
      </c>
    </row>
    <row r="3052" spans="1:29">
      <c r="A3052" t="str">
        <f>"601838"</f>
        <v>601838</v>
      </c>
      <c r="B3052" t="s">
        <v>3222</v>
      </c>
      <c r="C3052">
        <v>1.03</v>
      </c>
      <c r="D3052">
        <v>9.85</v>
      </c>
      <c r="E3052">
        <v>0.1</v>
      </c>
      <c r="F3052">
        <v>9.84</v>
      </c>
      <c r="G3052">
        <v>9.85</v>
      </c>
      <c r="H3052">
        <v>1206942</v>
      </c>
      <c r="I3052">
        <v>250</v>
      </c>
      <c r="J3052">
        <v>0.41</v>
      </c>
      <c r="K3052">
        <v>33.41</v>
      </c>
      <c r="L3052">
        <v>9.75</v>
      </c>
      <c r="M3052">
        <v>10.5</v>
      </c>
      <c r="N3052">
        <v>9.62</v>
      </c>
      <c r="O3052">
        <v>9.75</v>
      </c>
      <c r="P3052">
        <v>8.62</v>
      </c>
      <c r="Q3052">
        <v>1201090048</v>
      </c>
      <c r="R3052">
        <v>3.31</v>
      </c>
      <c r="S3052" t="s">
        <v>30</v>
      </c>
      <c r="T3052" t="s">
        <v>146</v>
      </c>
      <c r="U3052">
        <v>9.03</v>
      </c>
      <c r="V3052">
        <v>9.95</v>
      </c>
      <c r="W3052">
        <v>580427</v>
      </c>
      <c r="X3052">
        <v>626514</v>
      </c>
      <c r="Y3052">
        <v>0.93</v>
      </c>
      <c r="Z3052">
        <v>325</v>
      </c>
      <c r="AA3052">
        <v>1339</v>
      </c>
      <c r="AB3052" t="s">
        <v>32</v>
      </c>
      <c r="AC3052">
        <v>3.61</v>
      </c>
    </row>
    <row r="3053" spans="1:29">
      <c r="A3053" t="str">
        <f>"601857"</f>
        <v>601857</v>
      </c>
      <c r="B3053" t="s">
        <v>3223</v>
      </c>
      <c r="C3053">
        <v>1.47</v>
      </c>
      <c r="D3053">
        <v>7.57</v>
      </c>
      <c r="E3053">
        <v>0.11</v>
      </c>
      <c r="F3053">
        <v>7.57</v>
      </c>
      <c r="G3053">
        <v>7.58</v>
      </c>
      <c r="H3053">
        <v>439631</v>
      </c>
      <c r="I3053">
        <v>234</v>
      </c>
      <c r="J3053">
        <v>0.13</v>
      </c>
      <c r="K3053">
        <v>0.03</v>
      </c>
      <c r="L3053">
        <v>7.43</v>
      </c>
      <c r="M3053">
        <v>7.67</v>
      </c>
      <c r="N3053">
        <v>7.41</v>
      </c>
      <c r="O3053">
        <v>7.46</v>
      </c>
      <c r="P3053">
        <v>34.12</v>
      </c>
      <c r="Q3053">
        <v>331664608</v>
      </c>
      <c r="R3053">
        <v>1.26</v>
      </c>
      <c r="S3053" t="s">
        <v>831</v>
      </c>
      <c r="T3053" t="s">
        <v>45</v>
      </c>
      <c r="U3053">
        <v>3.49</v>
      </c>
      <c r="V3053">
        <v>7.54</v>
      </c>
      <c r="W3053">
        <v>196808</v>
      </c>
      <c r="X3053">
        <v>242822</v>
      </c>
      <c r="Y3053">
        <v>0.81</v>
      </c>
      <c r="Z3053">
        <v>1078</v>
      </c>
      <c r="AA3053">
        <v>3285</v>
      </c>
      <c r="AB3053" t="s">
        <v>32</v>
      </c>
      <c r="AC3053">
        <v>1619.22</v>
      </c>
    </row>
    <row r="3054" spans="1:29">
      <c r="A3054" t="str">
        <f>"601858"</f>
        <v>601858</v>
      </c>
      <c r="B3054" t="s">
        <v>3224</v>
      </c>
      <c r="C3054">
        <v>2.02</v>
      </c>
      <c r="D3054">
        <v>9.1</v>
      </c>
      <c r="E3054">
        <v>0.18</v>
      </c>
      <c r="F3054">
        <v>9.09</v>
      </c>
      <c r="G3054">
        <v>9.1</v>
      </c>
      <c r="H3054">
        <v>49284</v>
      </c>
      <c r="I3054">
        <v>4</v>
      </c>
      <c r="J3054">
        <v>0.33</v>
      </c>
      <c r="K3054">
        <v>2.59</v>
      </c>
      <c r="L3054">
        <v>8.9</v>
      </c>
      <c r="M3054">
        <v>9.15</v>
      </c>
      <c r="N3054">
        <v>8.85</v>
      </c>
      <c r="O3054">
        <v>8.92</v>
      </c>
      <c r="P3054" t="s">
        <v>32</v>
      </c>
      <c r="Q3054">
        <v>44688028</v>
      </c>
      <c r="R3054">
        <v>1.11</v>
      </c>
      <c r="S3054" t="s">
        <v>211</v>
      </c>
      <c r="T3054" t="s">
        <v>45</v>
      </c>
      <c r="U3054">
        <v>3.36</v>
      </c>
      <c r="V3054">
        <v>9.07</v>
      </c>
      <c r="W3054">
        <v>21265</v>
      </c>
      <c r="X3054">
        <v>28019</v>
      </c>
      <c r="Y3054">
        <v>0.76</v>
      </c>
      <c r="Z3054">
        <v>548</v>
      </c>
      <c r="AA3054">
        <v>16</v>
      </c>
      <c r="AB3054" t="s">
        <v>32</v>
      </c>
      <c r="AC3054">
        <v>1.91</v>
      </c>
    </row>
    <row r="3055" spans="1:29">
      <c r="A3055" t="str">
        <f>"601866"</f>
        <v>601866</v>
      </c>
      <c r="B3055" t="s">
        <v>3225</v>
      </c>
      <c r="C3055">
        <v>3.33</v>
      </c>
      <c r="D3055">
        <v>2.48</v>
      </c>
      <c r="E3055">
        <v>0.08</v>
      </c>
      <c r="F3055">
        <v>2.48</v>
      </c>
      <c r="G3055">
        <v>2.49</v>
      </c>
      <c r="H3055">
        <v>279181</v>
      </c>
      <c r="I3055">
        <v>1</v>
      </c>
      <c r="J3055">
        <v>-0.39</v>
      </c>
      <c r="K3055">
        <v>0.35</v>
      </c>
      <c r="L3055">
        <v>2.39</v>
      </c>
      <c r="M3055">
        <v>2.51</v>
      </c>
      <c r="N3055">
        <v>2.38</v>
      </c>
      <c r="O3055">
        <v>2.4</v>
      </c>
      <c r="P3055">
        <v>25.81</v>
      </c>
      <c r="Q3055">
        <v>68662160</v>
      </c>
      <c r="R3055">
        <v>3</v>
      </c>
      <c r="S3055" t="s">
        <v>229</v>
      </c>
      <c r="T3055" t="s">
        <v>366</v>
      </c>
      <c r="U3055">
        <v>5.42</v>
      </c>
      <c r="V3055">
        <v>2.46</v>
      </c>
      <c r="W3055">
        <v>104155</v>
      </c>
      <c r="X3055">
        <v>175026</v>
      </c>
      <c r="Y3055">
        <v>0.6</v>
      </c>
      <c r="Z3055">
        <v>573</v>
      </c>
      <c r="AA3055">
        <v>2699</v>
      </c>
      <c r="AB3055" t="s">
        <v>32</v>
      </c>
      <c r="AC3055">
        <v>79.32</v>
      </c>
    </row>
    <row r="3056" spans="1:29">
      <c r="A3056" t="str">
        <f>"601869"</f>
        <v>601869</v>
      </c>
      <c r="B3056" t="s">
        <v>3226</v>
      </c>
      <c r="C3056">
        <v>10</v>
      </c>
      <c r="D3056">
        <v>46.54</v>
      </c>
      <c r="E3056">
        <v>4.23</v>
      </c>
      <c r="F3056">
        <v>46.54</v>
      </c>
      <c r="G3056" t="s">
        <v>32</v>
      </c>
      <c r="H3056">
        <v>495</v>
      </c>
      <c r="I3056">
        <v>5</v>
      </c>
      <c r="J3056">
        <v>0</v>
      </c>
      <c r="K3056">
        <v>0.07</v>
      </c>
      <c r="L3056">
        <v>46.54</v>
      </c>
      <c r="M3056">
        <v>46.54</v>
      </c>
      <c r="N3056">
        <v>46.54</v>
      </c>
      <c r="O3056">
        <v>42.31</v>
      </c>
      <c r="P3056">
        <v>23.7</v>
      </c>
      <c r="Q3056">
        <v>2305778</v>
      </c>
      <c r="R3056">
        <v>2.06</v>
      </c>
      <c r="S3056" t="s">
        <v>119</v>
      </c>
      <c r="T3056" t="s">
        <v>193</v>
      </c>
      <c r="U3056">
        <v>0</v>
      </c>
      <c r="V3056">
        <v>46.54</v>
      </c>
      <c r="W3056">
        <v>471</v>
      </c>
      <c r="X3056">
        <v>24</v>
      </c>
      <c r="Y3056">
        <v>19.63</v>
      </c>
      <c r="Z3056">
        <v>37742</v>
      </c>
      <c r="AA3056">
        <v>0</v>
      </c>
      <c r="AB3056" t="s">
        <v>32</v>
      </c>
      <c r="AC3056">
        <v>0.76</v>
      </c>
    </row>
    <row r="3057" spans="1:29">
      <c r="A3057" t="str">
        <f>"601872"</f>
        <v>601872</v>
      </c>
      <c r="B3057" t="s">
        <v>3227</v>
      </c>
      <c r="C3057">
        <v>2.33</v>
      </c>
      <c r="D3057">
        <v>3.52</v>
      </c>
      <c r="E3057">
        <v>0.08</v>
      </c>
      <c r="F3057">
        <v>3.51</v>
      </c>
      <c r="G3057">
        <v>3.52</v>
      </c>
      <c r="H3057">
        <v>90315</v>
      </c>
      <c r="I3057">
        <v>9</v>
      </c>
      <c r="J3057">
        <v>0.28</v>
      </c>
      <c r="K3057">
        <v>0.19</v>
      </c>
      <c r="L3057">
        <v>3.45</v>
      </c>
      <c r="M3057">
        <v>3.56</v>
      </c>
      <c r="N3057">
        <v>3.45</v>
      </c>
      <c r="O3057">
        <v>3.44</v>
      </c>
      <c r="P3057">
        <v>113.15</v>
      </c>
      <c r="Q3057">
        <v>31682024</v>
      </c>
      <c r="R3057">
        <v>2.27</v>
      </c>
      <c r="S3057" t="s">
        <v>229</v>
      </c>
      <c r="T3057" t="s">
        <v>366</v>
      </c>
      <c r="U3057">
        <v>3.2</v>
      </c>
      <c r="V3057">
        <v>3.51</v>
      </c>
      <c r="W3057">
        <v>35750</v>
      </c>
      <c r="X3057">
        <v>54564</v>
      </c>
      <c r="Y3057">
        <v>0.66</v>
      </c>
      <c r="Z3057">
        <v>1574</v>
      </c>
      <c r="AA3057">
        <v>108</v>
      </c>
      <c r="AB3057" t="s">
        <v>32</v>
      </c>
      <c r="AC3057">
        <v>47.21</v>
      </c>
    </row>
    <row r="3058" spans="1:29">
      <c r="A3058" t="str">
        <f>"601877"</f>
        <v>601877</v>
      </c>
      <c r="B3058" t="s">
        <v>3228</v>
      </c>
      <c r="C3058">
        <v>1.58</v>
      </c>
      <c r="D3058">
        <v>23.75</v>
      </c>
      <c r="E3058">
        <v>0.37</v>
      </c>
      <c r="F3058">
        <v>23.74</v>
      </c>
      <c r="G3058">
        <v>23.75</v>
      </c>
      <c r="H3058">
        <v>75117</v>
      </c>
      <c r="I3058">
        <v>1</v>
      </c>
      <c r="J3058">
        <v>-0.07</v>
      </c>
      <c r="K3058">
        <v>0.43</v>
      </c>
      <c r="L3058">
        <v>23.4</v>
      </c>
      <c r="M3058">
        <v>24.05</v>
      </c>
      <c r="N3058">
        <v>23.4</v>
      </c>
      <c r="O3058">
        <v>23.38</v>
      </c>
      <c r="P3058">
        <v>20.84</v>
      </c>
      <c r="Q3058">
        <v>178963136</v>
      </c>
      <c r="R3058">
        <v>1.15</v>
      </c>
      <c r="S3058" t="s">
        <v>104</v>
      </c>
      <c r="T3058" t="s">
        <v>149</v>
      </c>
      <c r="U3058">
        <v>2.78</v>
      </c>
      <c r="V3058">
        <v>23.82</v>
      </c>
      <c r="W3058">
        <v>41166</v>
      </c>
      <c r="X3058">
        <v>33951</v>
      </c>
      <c r="Y3058">
        <v>1.21</v>
      </c>
      <c r="Z3058">
        <v>5</v>
      </c>
      <c r="AA3058">
        <v>4</v>
      </c>
      <c r="AB3058" t="s">
        <v>32</v>
      </c>
      <c r="AC3058">
        <v>17.37</v>
      </c>
    </row>
    <row r="3059" spans="1:29">
      <c r="A3059" t="str">
        <f>"601878"</f>
        <v>601878</v>
      </c>
      <c r="B3059" t="s">
        <v>3229</v>
      </c>
      <c r="C3059">
        <v>0.62</v>
      </c>
      <c r="D3059">
        <v>8.11</v>
      </c>
      <c r="E3059">
        <v>0.05</v>
      </c>
      <c r="F3059">
        <v>8.11</v>
      </c>
      <c r="G3059">
        <v>8.12</v>
      </c>
      <c r="H3059">
        <v>481419</v>
      </c>
      <c r="I3059">
        <v>89</v>
      </c>
      <c r="J3059">
        <v>0.25</v>
      </c>
      <c r="K3059">
        <v>3.98</v>
      </c>
      <c r="L3059">
        <v>8.02</v>
      </c>
      <c r="M3059">
        <v>8.36</v>
      </c>
      <c r="N3059">
        <v>8</v>
      </c>
      <c r="O3059">
        <v>8.06</v>
      </c>
      <c r="P3059">
        <v>33.79</v>
      </c>
      <c r="Q3059">
        <v>392484928</v>
      </c>
      <c r="R3059">
        <v>2.42</v>
      </c>
      <c r="S3059" t="s">
        <v>158</v>
      </c>
      <c r="T3059" t="s">
        <v>149</v>
      </c>
      <c r="U3059">
        <v>4.47</v>
      </c>
      <c r="V3059">
        <v>8.15</v>
      </c>
      <c r="W3059">
        <v>274150</v>
      </c>
      <c r="X3059">
        <v>207268</v>
      </c>
      <c r="Y3059">
        <v>1.32</v>
      </c>
      <c r="Z3059">
        <v>875</v>
      </c>
      <c r="AA3059">
        <v>736</v>
      </c>
      <c r="AB3059" t="s">
        <v>32</v>
      </c>
      <c r="AC3059">
        <v>12.09</v>
      </c>
    </row>
    <row r="3060" spans="1:29">
      <c r="A3060" t="str">
        <f>"601880"</f>
        <v>601880</v>
      </c>
      <c r="B3060" t="s">
        <v>3230</v>
      </c>
      <c r="C3060">
        <v>2.03</v>
      </c>
      <c r="D3060">
        <v>2.01</v>
      </c>
      <c r="E3060">
        <v>0.04</v>
      </c>
      <c r="F3060">
        <v>2</v>
      </c>
      <c r="G3060">
        <v>2.01</v>
      </c>
      <c r="H3060">
        <v>216236</v>
      </c>
      <c r="I3060">
        <v>230</v>
      </c>
      <c r="J3060">
        <v>0.5</v>
      </c>
      <c r="K3060">
        <v>0.28</v>
      </c>
      <c r="L3060">
        <v>1.96</v>
      </c>
      <c r="M3060">
        <v>2.01</v>
      </c>
      <c r="N3060">
        <v>1.95</v>
      </c>
      <c r="O3060">
        <v>1.97</v>
      </c>
      <c r="P3060" t="s">
        <v>32</v>
      </c>
      <c r="Q3060">
        <v>43010060</v>
      </c>
      <c r="R3060">
        <v>2.58</v>
      </c>
      <c r="S3060" t="s">
        <v>67</v>
      </c>
      <c r="T3060" t="s">
        <v>111</v>
      </c>
      <c r="U3060">
        <v>3.05</v>
      </c>
      <c r="V3060">
        <v>1.99</v>
      </c>
      <c r="W3060">
        <v>63836</v>
      </c>
      <c r="X3060">
        <v>152400</v>
      </c>
      <c r="Y3060">
        <v>0.42</v>
      </c>
      <c r="Z3060">
        <v>12561</v>
      </c>
      <c r="AA3060">
        <v>8296</v>
      </c>
      <c r="AB3060" t="s">
        <v>32</v>
      </c>
      <c r="AC3060">
        <v>77.36</v>
      </c>
    </row>
    <row r="3061" spans="1:29">
      <c r="A3061" t="str">
        <f>"601881"</f>
        <v>601881</v>
      </c>
      <c r="B3061" t="s">
        <v>3231</v>
      </c>
      <c r="C3061">
        <v>4.9</v>
      </c>
      <c r="D3061">
        <v>8.13</v>
      </c>
      <c r="E3061">
        <v>0.38</v>
      </c>
      <c r="F3061">
        <v>8.13</v>
      </c>
      <c r="G3061">
        <v>8.14</v>
      </c>
      <c r="H3061">
        <v>438800</v>
      </c>
      <c r="I3061">
        <v>109</v>
      </c>
      <c r="J3061">
        <v>0.25</v>
      </c>
      <c r="K3061">
        <v>3.57</v>
      </c>
      <c r="L3061">
        <v>7.78</v>
      </c>
      <c r="M3061">
        <v>8.27</v>
      </c>
      <c r="N3061">
        <v>7.72</v>
      </c>
      <c r="O3061">
        <v>7.75</v>
      </c>
      <c r="P3061">
        <v>20.31</v>
      </c>
      <c r="Q3061">
        <v>353551808</v>
      </c>
      <c r="R3061">
        <v>2.91</v>
      </c>
      <c r="S3061" t="s">
        <v>158</v>
      </c>
      <c r="T3061" t="s">
        <v>45</v>
      </c>
      <c r="U3061">
        <v>7.1</v>
      </c>
      <c r="V3061">
        <v>8.06</v>
      </c>
      <c r="W3061">
        <v>207497</v>
      </c>
      <c r="X3061">
        <v>231303</v>
      </c>
      <c r="Y3061">
        <v>0.9</v>
      </c>
      <c r="Z3061">
        <v>272</v>
      </c>
      <c r="AA3061">
        <v>1722</v>
      </c>
      <c r="AB3061" t="s">
        <v>32</v>
      </c>
      <c r="AC3061">
        <v>12.29</v>
      </c>
    </row>
    <row r="3062" spans="1:29">
      <c r="A3062" t="str">
        <f>"601882"</f>
        <v>601882</v>
      </c>
      <c r="B3062" t="s">
        <v>3232</v>
      </c>
      <c r="C3062">
        <v>0.93</v>
      </c>
      <c r="D3062">
        <v>10.86</v>
      </c>
      <c r="E3062">
        <v>0.1</v>
      </c>
      <c r="F3062">
        <v>10.86</v>
      </c>
      <c r="G3062">
        <v>10.87</v>
      </c>
      <c r="H3062">
        <v>30242</v>
      </c>
      <c r="I3062">
        <v>100</v>
      </c>
      <c r="J3062">
        <v>0.09</v>
      </c>
      <c r="K3062">
        <v>2.4</v>
      </c>
      <c r="L3062">
        <v>10.77</v>
      </c>
      <c r="M3062">
        <v>10.9</v>
      </c>
      <c r="N3062">
        <v>10.66</v>
      </c>
      <c r="O3062">
        <v>10.76</v>
      </c>
      <c r="P3062">
        <v>102.39</v>
      </c>
      <c r="Q3062">
        <v>32742224</v>
      </c>
      <c r="R3062">
        <v>1.42</v>
      </c>
      <c r="S3062" t="s">
        <v>179</v>
      </c>
      <c r="T3062" t="s">
        <v>149</v>
      </c>
      <c r="U3062">
        <v>2.23</v>
      </c>
      <c r="V3062">
        <v>10.83</v>
      </c>
      <c r="W3062">
        <v>16001</v>
      </c>
      <c r="X3062">
        <v>14241</v>
      </c>
      <c r="Y3062">
        <v>1.12</v>
      </c>
      <c r="Z3062">
        <v>63</v>
      </c>
      <c r="AA3062">
        <v>63</v>
      </c>
      <c r="AB3062" t="s">
        <v>32</v>
      </c>
      <c r="AC3062">
        <v>1.26</v>
      </c>
    </row>
    <row r="3063" spans="1:29">
      <c r="A3063" t="str">
        <f>"601886"</f>
        <v>601886</v>
      </c>
      <c r="B3063" t="s">
        <v>3233</v>
      </c>
      <c r="C3063">
        <v>2.28</v>
      </c>
      <c r="D3063">
        <v>8.06</v>
      </c>
      <c r="E3063">
        <v>0.18</v>
      </c>
      <c r="F3063">
        <v>8.06</v>
      </c>
      <c r="G3063">
        <v>8.07</v>
      </c>
      <c r="H3063">
        <v>110004</v>
      </c>
      <c r="I3063">
        <v>47</v>
      </c>
      <c r="J3063">
        <v>0.37</v>
      </c>
      <c r="K3063">
        <v>1.17</v>
      </c>
      <c r="L3063">
        <v>7.89</v>
      </c>
      <c r="M3063">
        <v>8.24</v>
      </c>
      <c r="N3063">
        <v>7.85</v>
      </c>
      <c r="O3063">
        <v>7.88</v>
      </c>
      <c r="P3063">
        <v>24.37</v>
      </c>
      <c r="Q3063">
        <v>88493832</v>
      </c>
      <c r="R3063">
        <v>2.46</v>
      </c>
      <c r="S3063" t="s">
        <v>59</v>
      </c>
      <c r="T3063" t="s">
        <v>45</v>
      </c>
      <c r="U3063">
        <v>4.95</v>
      </c>
      <c r="V3063">
        <v>8.04</v>
      </c>
      <c r="W3063">
        <v>49149</v>
      </c>
      <c r="X3063">
        <v>60855</v>
      </c>
      <c r="Y3063">
        <v>0.81</v>
      </c>
      <c r="Z3063">
        <v>266</v>
      </c>
      <c r="AA3063">
        <v>650</v>
      </c>
      <c r="AB3063" t="s">
        <v>32</v>
      </c>
      <c r="AC3063">
        <v>9.41</v>
      </c>
    </row>
    <row r="3064" spans="1:29">
      <c r="A3064" t="str">
        <f>"601888"</f>
        <v>601888</v>
      </c>
      <c r="B3064" t="s">
        <v>3234</v>
      </c>
      <c r="C3064">
        <v>0.24</v>
      </c>
      <c r="D3064">
        <v>70.31</v>
      </c>
      <c r="E3064">
        <v>0.17</v>
      </c>
      <c r="F3064">
        <v>70.36</v>
      </c>
      <c r="G3064">
        <v>70.39</v>
      </c>
      <c r="H3064">
        <v>131713</v>
      </c>
      <c r="I3064">
        <v>82</v>
      </c>
      <c r="J3064">
        <v>0.03</v>
      </c>
      <c r="K3064">
        <v>0.67</v>
      </c>
      <c r="L3064">
        <v>70.46</v>
      </c>
      <c r="M3064">
        <v>71.8</v>
      </c>
      <c r="N3064">
        <v>69.7</v>
      </c>
      <c r="O3064">
        <v>70.14</v>
      </c>
      <c r="P3064">
        <v>29.59</v>
      </c>
      <c r="Q3064">
        <v>930342912</v>
      </c>
      <c r="R3064">
        <v>1.04</v>
      </c>
      <c r="S3064" t="s">
        <v>321</v>
      </c>
      <c r="T3064" t="s">
        <v>45</v>
      </c>
      <c r="U3064">
        <v>2.99</v>
      </c>
      <c r="V3064">
        <v>70.63</v>
      </c>
      <c r="W3064">
        <v>66687</v>
      </c>
      <c r="X3064">
        <v>65026</v>
      </c>
      <c r="Y3064">
        <v>1.03</v>
      </c>
      <c r="Z3064">
        <v>2</v>
      </c>
      <c r="AA3064">
        <v>32</v>
      </c>
      <c r="AB3064" t="s">
        <v>32</v>
      </c>
      <c r="AC3064">
        <v>19.52</v>
      </c>
    </row>
    <row r="3065" spans="1:29">
      <c r="A3065" t="str">
        <f>"601890"</f>
        <v>601890</v>
      </c>
      <c r="B3065" t="s">
        <v>3235</v>
      </c>
      <c r="C3065">
        <v>0.67</v>
      </c>
      <c r="D3065">
        <v>4.5</v>
      </c>
      <c r="E3065">
        <v>0.03</v>
      </c>
      <c r="F3065">
        <v>4.5</v>
      </c>
      <c r="G3065">
        <v>4.51</v>
      </c>
      <c r="H3065">
        <v>105666</v>
      </c>
      <c r="I3065">
        <v>30</v>
      </c>
      <c r="J3065">
        <v>0</v>
      </c>
      <c r="K3065">
        <v>1.1</v>
      </c>
      <c r="L3065">
        <v>4.47</v>
      </c>
      <c r="M3065">
        <v>4.62</v>
      </c>
      <c r="N3065">
        <v>4.46</v>
      </c>
      <c r="O3065">
        <v>4.47</v>
      </c>
      <c r="P3065" t="s">
        <v>32</v>
      </c>
      <c r="Q3065">
        <v>47683484</v>
      </c>
      <c r="R3065">
        <v>2</v>
      </c>
      <c r="S3065" t="s">
        <v>1549</v>
      </c>
      <c r="T3065" t="s">
        <v>87</v>
      </c>
      <c r="U3065">
        <v>3.58</v>
      </c>
      <c r="V3065">
        <v>4.51</v>
      </c>
      <c r="W3065">
        <v>56755</v>
      </c>
      <c r="X3065">
        <v>48911</v>
      </c>
      <c r="Y3065">
        <v>1.16</v>
      </c>
      <c r="Z3065">
        <v>319</v>
      </c>
      <c r="AA3065">
        <v>1106</v>
      </c>
      <c r="AB3065" t="s">
        <v>32</v>
      </c>
      <c r="AC3065">
        <v>9.59</v>
      </c>
    </row>
    <row r="3066" spans="1:29">
      <c r="A3066" t="str">
        <f>"601898"</f>
        <v>601898</v>
      </c>
      <c r="B3066" t="s">
        <v>3236</v>
      </c>
      <c r="C3066">
        <v>2.5</v>
      </c>
      <c r="D3066">
        <v>4.92</v>
      </c>
      <c r="E3066">
        <v>0.12</v>
      </c>
      <c r="F3066">
        <v>4.91</v>
      </c>
      <c r="G3066">
        <v>4.92</v>
      </c>
      <c r="H3066">
        <v>159761</v>
      </c>
      <c r="I3066">
        <v>27</v>
      </c>
      <c r="J3066">
        <v>-0.19</v>
      </c>
      <c r="K3066">
        <v>0.17</v>
      </c>
      <c r="L3066">
        <v>4.81</v>
      </c>
      <c r="M3066">
        <v>4.96</v>
      </c>
      <c r="N3066">
        <v>4.81</v>
      </c>
      <c r="O3066">
        <v>4.8</v>
      </c>
      <c r="P3066">
        <v>11.56</v>
      </c>
      <c r="Q3066">
        <v>78438192</v>
      </c>
      <c r="R3066">
        <v>2.22</v>
      </c>
      <c r="S3066" t="s">
        <v>265</v>
      </c>
      <c r="T3066" t="s">
        <v>45</v>
      </c>
      <c r="U3066">
        <v>3.13</v>
      </c>
      <c r="V3066">
        <v>4.91</v>
      </c>
      <c r="W3066">
        <v>78294</v>
      </c>
      <c r="X3066">
        <v>81466</v>
      </c>
      <c r="Y3066">
        <v>0.96</v>
      </c>
      <c r="Z3066">
        <v>1060</v>
      </c>
      <c r="AA3066">
        <v>488</v>
      </c>
      <c r="AB3066" t="s">
        <v>32</v>
      </c>
      <c r="AC3066">
        <v>91.52</v>
      </c>
    </row>
    <row r="3067" spans="1:29">
      <c r="A3067" t="str">
        <f>"601899"</f>
        <v>601899</v>
      </c>
      <c r="B3067" t="s">
        <v>3237</v>
      </c>
      <c r="C3067">
        <v>4.69</v>
      </c>
      <c r="D3067">
        <v>3.57</v>
      </c>
      <c r="E3067">
        <v>0.16</v>
      </c>
      <c r="F3067">
        <v>3.57</v>
      </c>
      <c r="G3067">
        <v>3.58</v>
      </c>
      <c r="H3067">
        <v>2963226</v>
      </c>
      <c r="I3067">
        <v>142</v>
      </c>
      <c r="J3067">
        <v>-0.27</v>
      </c>
      <c r="K3067">
        <v>1.76</v>
      </c>
      <c r="L3067">
        <v>3.39</v>
      </c>
      <c r="M3067">
        <v>3.6</v>
      </c>
      <c r="N3067">
        <v>3.38</v>
      </c>
      <c r="O3067">
        <v>3.41</v>
      </c>
      <c r="P3067">
        <v>18.94</v>
      </c>
      <c r="Q3067">
        <v>1046711680</v>
      </c>
      <c r="R3067">
        <v>2.57</v>
      </c>
      <c r="S3067" t="s">
        <v>778</v>
      </c>
      <c r="T3067" t="s">
        <v>236</v>
      </c>
      <c r="U3067">
        <v>6.45</v>
      </c>
      <c r="V3067">
        <v>3.53</v>
      </c>
      <c r="W3067">
        <v>1261803</v>
      </c>
      <c r="X3067">
        <v>1701422</v>
      </c>
      <c r="Y3067">
        <v>0.74</v>
      </c>
      <c r="Z3067">
        <v>11365</v>
      </c>
      <c r="AA3067">
        <v>11695</v>
      </c>
      <c r="AB3067" t="s">
        <v>32</v>
      </c>
      <c r="AC3067">
        <v>168.76</v>
      </c>
    </row>
    <row r="3068" spans="1:29">
      <c r="A3068" t="str">
        <f>"601900"</f>
        <v>601900</v>
      </c>
      <c r="B3068" t="s">
        <v>3238</v>
      </c>
      <c r="C3068">
        <v>1.55</v>
      </c>
      <c r="D3068">
        <v>9.8</v>
      </c>
      <c r="E3068">
        <v>0.15</v>
      </c>
      <c r="F3068">
        <v>9.79</v>
      </c>
      <c r="G3068">
        <v>9.8</v>
      </c>
      <c r="H3068">
        <v>14108</v>
      </c>
      <c r="I3068">
        <v>3</v>
      </c>
      <c r="J3068">
        <v>0.1</v>
      </c>
      <c r="K3068">
        <v>0.8</v>
      </c>
      <c r="L3068">
        <v>9.66</v>
      </c>
      <c r="M3068">
        <v>9.84</v>
      </c>
      <c r="N3068">
        <v>9.61</v>
      </c>
      <c r="O3068">
        <v>9.65</v>
      </c>
      <c r="P3068">
        <v>13.1</v>
      </c>
      <c r="Q3068">
        <v>13776721</v>
      </c>
      <c r="R3068">
        <v>1.4</v>
      </c>
      <c r="S3068" t="s">
        <v>211</v>
      </c>
      <c r="T3068" t="s">
        <v>136</v>
      </c>
      <c r="U3068">
        <v>2.38</v>
      </c>
      <c r="V3068">
        <v>9.77</v>
      </c>
      <c r="W3068">
        <v>6013</v>
      </c>
      <c r="X3068">
        <v>8094</v>
      </c>
      <c r="Y3068">
        <v>0.74</v>
      </c>
      <c r="Z3068">
        <v>118</v>
      </c>
      <c r="AA3068">
        <v>61</v>
      </c>
      <c r="AB3068" t="s">
        <v>32</v>
      </c>
      <c r="AC3068">
        <v>1.76</v>
      </c>
    </row>
    <row r="3069" spans="1:29">
      <c r="A3069" t="str">
        <f>"601901"</f>
        <v>601901</v>
      </c>
      <c r="B3069" t="s">
        <v>3239</v>
      </c>
      <c r="C3069">
        <v>0</v>
      </c>
      <c r="D3069">
        <v>6.88</v>
      </c>
      <c r="E3069">
        <v>0</v>
      </c>
      <c r="F3069">
        <v>6.87</v>
      </c>
      <c r="G3069">
        <v>6.88</v>
      </c>
      <c r="H3069">
        <v>411268</v>
      </c>
      <c r="I3069">
        <v>25</v>
      </c>
      <c r="J3069">
        <v>0.15</v>
      </c>
      <c r="K3069">
        <v>0.5</v>
      </c>
      <c r="L3069">
        <v>6.88</v>
      </c>
      <c r="M3069">
        <v>7.03</v>
      </c>
      <c r="N3069">
        <v>6.82</v>
      </c>
      <c r="O3069">
        <v>6.88</v>
      </c>
      <c r="P3069">
        <v>44.73</v>
      </c>
      <c r="Q3069">
        <v>284028096</v>
      </c>
      <c r="R3069">
        <v>1.57</v>
      </c>
      <c r="S3069" t="s">
        <v>158</v>
      </c>
      <c r="T3069" t="s">
        <v>152</v>
      </c>
      <c r="U3069">
        <v>3.05</v>
      </c>
      <c r="V3069">
        <v>6.91</v>
      </c>
      <c r="W3069">
        <v>230487</v>
      </c>
      <c r="X3069">
        <v>180780</v>
      </c>
      <c r="Y3069">
        <v>1.27</v>
      </c>
      <c r="Z3069">
        <v>1317</v>
      </c>
      <c r="AA3069">
        <v>84</v>
      </c>
      <c r="AB3069" t="s">
        <v>32</v>
      </c>
      <c r="AC3069">
        <v>82.32</v>
      </c>
    </row>
    <row r="3070" spans="1:29">
      <c r="A3070" t="str">
        <f>"601908"</f>
        <v>601908</v>
      </c>
      <c r="B3070" t="s">
        <v>3240</v>
      </c>
      <c r="C3070">
        <v>1.33</v>
      </c>
      <c r="D3070">
        <v>4.57</v>
      </c>
      <c r="E3070">
        <v>0.06</v>
      </c>
      <c r="F3070">
        <v>4.56</v>
      </c>
      <c r="G3070">
        <v>4.57</v>
      </c>
      <c r="H3070">
        <v>81466</v>
      </c>
      <c r="I3070">
        <v>20</v>
      </c>
      <c r="J3070">
        <v>0</v>
      </c>
      <c r="K3070">
        <v>0.41</v>
      </c>
      <c r="L3070">
        <v>4.51</v>
      </c>
      <c r="M3070">
        <v>4.58</v>
      </c>
      <c r="N3070">
        <v>4.46</v>
      </c>
      <c r="O3070">
        <v>4.51</v>
      </c>
      <c r="P3070">
        <v>14.58</v>
      </c>
      <c r="Q3070">
        <v>37091976</v>
      </c>
      <c r="R3070">
        <v>2.26</v>
      </c>
      <c r="S3070" t="s">
        <v>104</v>
      </c>
      <c r="T3070" t="s">
        <v>45</v>
      </c>
      <c r="U3070">
        <v>2.66</v>
      </c>
      <c r="V3070">
        <v>4.55</v>
      </c>
      <c r="W3070">
        <v>31599</v>
      </c>
      <c r="X3070">
        <v>49867</v>
      </c>
      <c r="Y3070">
        <v>0.63</v>
      </c>
      <c r="Z3070">
        <v>542</v>
      </c>
      <c r="AA3070">
        <v>25</v>
      </c>
      <c r="AB3070" t="s">
        <v>32</v>
      </c>
      <c r="AC3070">
        <v>19.93</v>
      </c>
    </row>
    <row r="3071" spans="1:29">
      <c r="A3071" t="str">
        <f>"601918"</f>
        <v>601918</v>
      </c>
      <c r="B3071" t="s">
        <v>3241</v>
      </c>
      <c r="C3071">
        <v>1.3</v>
      </c>
      <c r="D3071">
        <v>3.89</v>
      </c>
      <c r="E3071">
        <v>0.05</v>
      </c>
      <c r="F3071">
        <v>3.89</v>
      </c>
      <c r="G3071">
        <v>3.9</v>
      </c>
      <c r="H3071">
        <v>488607</v>
      </c>
      <c r="I3071">
        <v>93</v>
      </c>
      <c r="J3071">
        <v>0</v>
      </c>
      <c r="K3071">
        <v>1.89</v>
      </c>
      <c r="L3071">
        <v>3.81</v>
      </c>
      <c r="M3071">
        <v>3.98</v>
      </c>
      <c r="N3071">
        <v>3.81</v>
      </c>
      <c r="O3071">
        <v>3.84</v>
      </c>
      <c r="P3071">
        <v>7.09</v>
      </c>
      <c r="Q3071">
        <v>190695936</v>
      </c>
      <c r="R3071">
        <v>1.87</v>
      </c>
      <c r="S3071" t="s">
        <v>265</v>
      </c>
      <c r="T3071" t="s">
        <v>143</v>
      </c>
      <c r="U3071">
        <v>4.43</v>
      </c>
      <c r="V3071">
        <v>3.9</v>
      </c>
      <c r="W3071">
        <v>266573</v>
      </c>
      <c r="X3071">
        <v>222034</v>
      </c>
      <c r="Y3071">
        <v>1.2</v>
      </c>
      <c r="Z3071">
        <v>1</v>
      </c>
      <c r="AA3071">
        <v>3627</v>
      </c>
      <c r="AB3071" t="s">
        <v>32</v>
      </c>
      <c r="AC3071">
        <v>25.91</v>
      </c>
    </row>
    <row r="3072" spans="1:29">
      <c r="A3072" t="str">
        <f>"601919"</f>
        <v>601919</v>
      </c>
      <c r="B3072" t="s">
        <v>3242</v>
      </c>
      <c r="C3072">
        <v>4.66</v>
      </c>
      <c r="D3072">
        <v>4.72</v>
      </c>
      <c r="E3072">
        <v>0.21</v>
      </c>
      <c r="F3072">
        <v>4.71</v>
      </c>
      <c r="G3072">
        <v>4.72</v>
      </c>
      <c r="H3072">
        <v>367208</v>
      </c>
      <c r="I3072">
        <v>690</v>
      </c>
      <c r="J3072">
        <v>0.21</v>
      </c>
      <c r="K3072">
        <v>0.48</v>
      </c>
      <c r="L3072">
        <v>4.5</v>
      </c>
      <c r="M3072">
        <v>4.79</v>
      </c>
      <c r="N3072">
        <v>4.48</v>
      </c>
      <c r="O3072">
        <v>4.51</v>
      </c>
      <c r="P3072">
        <v>66.65</v>
      </c>
      <c r="Q3072">
        <v>171007056</v>
      </c>
      <c r="R3072">
        <v>1.83</v>
      </c>
      <c r="S3072" t="s">
        <v>229</v>
      </c>
      <c r="T3072" t="s">
        <v>248</v>
      </c>
      <c r="U3072">
        <v>6.87</v>
      </c>
      <c r="V3072">
        <v>4.66</v>
      </c>
      <c r="W3072">
        <v>153417</v>
      </c>
      <c r="X3072">
        <v>213791</v>
      </c>
      <c r="Y3072">
        <v>0.72</v>
      </c>
      <c r="Z3072">
        <v>521</v>
      </c>
      <c r="AA3072">
        <v>139</v>
      </c>
      <c r="AB3072" t="s">
        <v>32</v>
      </c>
      <c r="AC3072">
        <v>76.36</v>
      </c>
    </row>
    <row r="3073" spans="1:29">
      <c r="A3073" t="str">
        <f>"601928"</f>
        <v>601928</v>
      </c>
      <c r="B3073" t="s">
        <v>3243</v>
      </c>
      <c r="C3073">
        <v>1.14</v>
      </c>
      <c r="D3073">
        <v>6.23</v>
      </c>
      <c r="E3073">
        <v>0.07</v>
      </c>
      <c r="F3073">
        <v>6.22</v>
      </c>
      <c r="G3073">
        <v>6.23</v>
      </c>
      <c r="H3073">
        <v>55228</v>
      </c>
      <c r="I3073">
        <v>10</v>
      </c>
      <c r="J3073">
        <v>0.16</v>
      </c>
      <c r="K3073">
        <v>0.22</v>
      </c>
      <c r="L3073">
        <v>6.15</v>
      </c>
      <c r="M3073">
        <v>6.25</v>
      </c>
      <c r="N3073">
        <v>6.14</v>
      </c>
      <c r="O3073">
        <v>6.16</v>
      </c>
      <c r="P3073">
        <v>14.87</v>
      </c>
      <c r="Q3073">
        <v>34265824</v>
      </c>
      <c r="R3073">
        <v>1.58</v>
      </c>
      <c r="S3073" t="s">
        <v>211</v>
      </c>
      <c r="T3073" t="s">
        <v>87</v>
      </c>
      <c r="U3073">
        <v>1.79</v>
      </c>
      <c r="V3073">
        <v>6.2</v>
      </c>
      <c r="W3073">
        <v>29710</v>
      </c>
      <c r="X3073">
        <v>25517</v>
      </c>
      <c r="Y3073">
        <v>1.16</v>
      </c>
      <c r="Z3073">
        <v>250</v>
      </c>
      <c r="AA3073">
        <v>847</v>
      </c>
      <c r="AB3073" t="s">
        <v>32</v>
      </c>
      <c r="AC3073">
        <v>25.45</v>
      </c>
    </row>
    <row r="3074" spans="1:29">
      <c r="A3074" t="str">
        <f>"601929"</f>
        <v>601929</v>
      </c>
      <c r="B3074" t="s">
        <v>3244</v>
      </c>
      <c r="C3074">
        <v>1.32</v>
      </c>
      <c r="D3074">
        <v>2.31</v>
      </c>
      <c r="E3074">
        <v>0.03</v>
      </c>
      <c r="F3074">
        <v>2.3</v>
      </c>
      <c r="G3074">
        <v>2.31</v>
      </c>
      <c r="H3074">
        <v>109965</v>
      </c>
      <c r="I3074">
        <v>85</v>
      </c>
      <c r="J3074">
        <v>0</v>
      </c>
      <c r="K3074">
        <v>0.35</v>
      </c>
      <c r="L3074">
        <v>2.28</v>
      </c>
      <c r="M3074">
        <v>2.33</v>
      </c>
      <c r="N3074">
        <v>2.27</v>
      </c>
      <c r="O3074">
        <v>2.28</v>
      </c>
      <c r="P3074">
        <v>47.17</v>
      </c>
      <c r="Q3074">
        <v>25361872</v>
      </c>
      <c r="R3074">
        <v>1.79</v>
      </c>
      <c r="S3074" t="s">
        <v>148</v>
      </c>
      <c r="T3074" t="s">
        <v>81</v>
      </c>
      <c r="U3074">
        <v>2.63</v>
      </c>
      <c r="V3074">
        <v>2.31</v>
      </c>
      <c r="W3074">
        <v>49224</v>
      </c>
      <c r="X3074">
        <v>60740</v>
      </c>
      <c r="Y3074">
        <v>0.81</v>
      </c>
      <c r="Z3074">
        <v>10575</v>
      </c>
      <c r="AA3074">
        <v>3930</v>
      </c>
      <c r="AB3074" t="s">
        <v>32</v>
      </c>
      <c r="AC3074">
        <v>31.11</v>
      </c>
    </row>
    <row r="3075" spans="1:29">
      <c r="A3075" t="str">
        <f>"601933"</f>
        <v>601933</v>
      </c>
      <c r="B3075" t="s">
        <v>3245</v>
      </c>
      <c r="C3075">
        <v>2.49</v>
      </c>
      <c r="D3075">
        <v>7.83</v>
      </c>
      <c r="E3075">
        <v>0.19</v>
      </c>
      <c r="F3075">
        <v>7.82</v>
      </c>
      <c r="G3075">
        <v>7.83</v>
      </c>
      <c r="H3075">
        <v>621855</v>
      </c>
      <c r="I3075">
        <v>233</v>
      </c>
      <c r="J3075">
        <v>-0.37</v>
      </c>
      <c r="K3075">
        <v>0.76</v>
      </c>
      <c r="L3075">
        <v>7.66</v>
      </c>
      <c r="M3075">
        <v>7.97</v>
      </c>
      <c r="N3075">
        <v>7.6</v>
      </c>
      <c r="O3075">
        <v>7.64</v>
      </c>
      <c r="P3075">
        <v>25.05</v>
      </c>
      <c r="Q3075">
        <v>488656960</v>
      </c>
      <c r="R3075">
        <v>1.73</v>
      </c>
      <c r="S3075" t="s">
        <v>439</v>
      </c>
      <c r="T3075" t="s">
        <v>236</v>
      </c>
      <c r="U3075">
        <v>4.84</v>
      </c>
      <c r="V3075">
        <v>7.86</v>
      </c>
      <c r="W3075">
        <v>267896</v>
      </c>
      <c r="X3075">
        <v>353958</v>
      </c>
      <c r="Y3075">
        <v>0.76</v>
      </c>
      <c r="Z3075">
        <v>2885</v>
      </c>
      <c r="AA3075">
        <v>3050</v>
      </c>
      <c r="AB3075" t="s">
        <v>32</v>
      </c>
      <c r="AC3075">
        <v>81.35</v>
      </c>
    </row>
    <row r="3076" spans="1:29">
      <c r="A3076" t="str">
        <f>"601939"</f>
        <v>601939</v>
      </c>
      <c r="B3076" t="s">
        <v>3246</v>
      </c>
      <c r="C3076">
        <v>0</v>
      </c>
      <c r="D3076">
        <v>6.93</v>
      </c>
      <c r="E3076">
        <v>0</v>
      </c>
      <c r="F3076">
        <v>6.93</v>
      </c>
      <c r="G3076">
        <v>6.94</v>
      </c>
      <c r="H3076">
        <v>1962392</v>
      </c>
      <c r="I3076">
        <v>21</v>
      </c>
      <c r="J3076">
        <v>0</v>
      </c>
      <c r="K3076">
        <v>2.05</v>
      </c>
      <c r="L3076">
        <v>6.92</v>
      </c>
      <c r="M3076">
        <v>7.08</v>
      </c>
      <c r="N3076">
        <v>6.87</v>
      </c>
      <c r="O3076">
        <v>6.93</v>
      </c>
      <c r="P3076">
        <v>5.87</v>
      </c>
      <c r="Q3076">
        <v>1365588096</v>
      </c>
      <c r="R3076">
        <v>1.24</v>
      </c>
      <c r="S3076" t="s">
        <v>30</v>
      </c>
      <c r="T3076" t="s">
        <v>45</v>
      </c>
      <c r="U3076">
        <v>3.03</v>
      </c>
      <c r="V3076">
        <v>6.96</v>
      </c>
      <c r="W3076">
        <v>1073764</v>
      </c>
      <c r="X3076">
        <v>888628</v>
      </c>
      <c r="Y3076">
        <v>1.21</v>
      </c>
      <c r="Z3076">
        <v>3420</v>
      </c>
      <c r="AA3076">
        <v>2457</v>
      </c>
      <c r="AB3076" t="s">
        <v>32</v>
      </c>
      <c r="AC3076">
        <v>95.94</v>
      </c>
    </row>
    <row r="3077" spans="1:29">
      <c r="A3077" t="str">
        <f>"601949"</f>
        <v>601949</v>
      </c>
      <c r="B3077" t="s">
        <v>3247</v>
      </c>
      <c r="C3077">
        <v>2.49</v>
      </c>
      <c r="D3077">
        <v>4.93</v>
      </c>
      <c r="E3077">
        <v>0.12</v>
      </c>
      <c r="F3077">
        <v>4.93</v>
      </c>
      <c r="G3077">
        <v>4.94</v>
      </c>
      <c r="H3077">
        <v>75783</v>
      </c>
      <c r="I3077">
        <v>53</v>
      </c>
      <c r="J3077">
        <v>0</v>
      </c>
      <c r="K3077">
        <v>2.08</v>
      </c>
      <c r="L3077">
        <v>4.8</v>
      </c>
      <c r="M3077">
        <v>4.97</v>
      </c>
      <c r="N3077">
        <v>4.78</v>
      </c>
      <c r="O3077">
        <v>4.81</v>
      </c>
      <c r="P3077" t="s">
        <v>32</v>
      </c>
      <c r="Q3077">
        <v>37139256</v>
      </c>
      <c r="R3077">
        <v>1.41</v>
      </c>
      <c r="S3077" t="s">
        <v>211</v>
      </c>
      <c r="T3077" t="s">
        <v>45</v>
      </c>
      <c r="U3077">
        <v>3.95</v>
      </c>
      <c r="V3077">
        <v>4.9</v>
      </c>
      <c r="W3077">
        <v>33975</v>
      </c>
      <c r="X3077">
        <v>41808</v>
      </c>
      <c r="Y3077">
        <v>0.81</v>
      </c>
      <c r="Z3077">
        <v>93</v>
      </c>
      <c r="AA3077">
        <v>1064</v>
      </c>
      <c r="AB3077" t="s">
        <v>32</v>
      </c>
      <c r="AC3077">
        <v>3.65</v>
      </c>
    </row>
    <row r="3078" spans="1:29">
      <c r="A3078" t="str">
        <f>"601952"</f>
        <v>601952</v>
      </c>
      <c r="B3078" t="s">
        <v>3248</v>
      </c>
      <c r="C3078">
        <v>1.65</v>
      </c>
      <c r="D3078">
        <v>7.39</v>
      </c>
      <c r="E3078">
        <v>0.12</v>
      </c>
      <c r="F3078">
        <v>7.38</v>
      </c>
      <c r="G3078">
        <v>7.39</v>
      </c>
      <c r="H3078">
        <v>128996</v>
      </c>
      <c r="I3078">
        <v>218</v>
      </c>
      <c r="J3078">
        <v>0.14</v>
      </c>
      <c r="K3078">
        <v>3.15</v>
      </c>
      <c r="L3078">
        <v>7.28</v>
      </c>
      <c r="M3078">
        <v>7.43</v>
      </c>
      <c r="N3078">
        <v>7.27</v>
      </c>
      <c r="O3078">
        <v>7.27</v>
      </c>
      <c r="P3078">
        <v>17.75</v>
      </c>
      <c r="Q3078">
        <v>95060008</v>
      </c>
      <c r="R3078">
        <v>1.24</v>
      </c>
      <c r="S3078" t="s">
        <v>404</v>
      </c>
      <c r="T3078" t="s">
        <v>87</v>
      </c>
      <c r="U3078">
        <v>2.2</v>
      </c>
      <c r="V3078">
        <v>7.37</v>
      </c>
      <c r="W3078">
        <v>59955</v>
      </c>
      <c r="X3078">
        <v>69040</v>
      </c>
      <c r="Y3078">
        <v>0.87</v>
      </c>
      <c r="Z3078">
        <v>402</v>
      </c>
      <c r="AA3078">
        <v>267</v>
      </c>
      <c r="AB3078" t="s">
        <v>32</v>
      </c>
      <c r="AC3078">
        <v>4.09</v>
      </c>
    </row>
    <row r="3079" spans="1:29">
      <c r="A3079" t="str">
        <f>"601958"</f>
        <v>601958</v>
      </c>
      <c r="B3079" t="s">
        <v>3249</v>
      </c>
      <c r="C3079">
        <v>3.35</v>
      </c>
      <c r="D3079">
        <v>6.47</v>
      </c>
      <c r="E3079">
        <v>0.21</v>
      </c>
      <c r="F3079">
        <v>6.47</v>
      </c>
      <c r="G3079">
        <v>6.48</v>
      </c>
      <c r="H3079">
        <v>188977</v>
      </c>
      <c r="I3079">
        <v>59</v>
      </c>
      <c r="J3079">
        <v>0.15</v>
      </c>
      <c r="K3079">
        <v>0.59</v>
      </c>
      <c r="L3079">
        <v>6.26</v>
      </c>
      <c r="M3079">
        <v>6.53</v>
      </c>
      <c r="N3079">
        <v>6.23</v>
      </c>
      <c r="O3079">
        <v>6.26</v>
      </c>
      <c r="P3079">
        <v>81.21</v>
      </c>
      <c r="Q3079">
        <v>121326840</v>
      </c>
      <c r="R3079">
        <v>4.4</v>
      </c>
      <c r="S3079" t="s">
        <v>356</v>
      </c>
      <c r="T3079" t="s">
        <v>223</v>
      </c>
      <c r="U3079">
        <v>4.79</v>
      </c>
      <c r="V3079">
        <v>6.42</v>
      </c>
      <c r="W3079">
        <v>79858</v>
      </c>
      <c r="X3079">
        <v>109118</v>
      </c>
      <c r="Y3079">
        <v>0.73</v>
      </c>
      <c r="Z3079">
        <v>858</v>
      </c>
      <c r="AA3079">
        <v>1926</v>
      </c>
      <c r="AB3079" t="s">
        <v>32</v>
      </c>
      <c r="AC3079">
        <v>32.27</v>
      </c>
    </row>
    <row r="3080" spans="1:29">
      <c r="A3080" t="str">
        <f>"601965"</f>
        <v>601965</v>
      </c>
      <c r="B3080" t="s">
        <v>3250</v>
      </c>
      <c r="C3080">
        <v>0.64</v>
      </c>
      <c r="D3080">
        <v>7.81</v>
      </c>
      <c r="E3080">
        <v>0.05</v>
      </c>
      <c r="F3080">
        <v>7.82</v>
      </c>
      <c r="G3080">
        <v>7.83</v>
      </c>
      <c r="H3080">
        <v>27366</v>
      </c>
      <c r="I3080">
        <v>13</v>
      </c>
      <c r="J3080">
        <v>-0.12</v>
      </c>
      <c r="K3080">
        <v>0.28</v>
      </c>
      <c r="L3080">
        <v>7.77</v>
      </c>
      <c r="M3080">
        <v>7.97</v>
      </c>
      <c r="N3080">
        <v>7.7</v>
      </c>
      <c r="O3080">
        <v>7.76</v>
      </c>
      <c r="P3080">
        <v>21.75</v>
      </c>
      <c r="Q3080">
        <v>21466920</v>
      </c>
      <c r="R3080">
        <v>1.16</v>
      </c>
      <c r="S3080" t="s">
        <v>71</v>
      </c>
      <c r="T3080" t="s">
        <v>221</v>
      </c>
      <c r="U3080">
        <v>3.48</v>
      </c>
      <c r="V3080">
        <v>7.84</v>
      </c>
      <c r="W3080">
        <v>11385</v>
      </c>
      <c r="X3080">
        <v>15981</v>
      </c>
      <c r="Y3080">
        <v>0.71</v>
      </c>
      <c r="Z3080">
        <v>55</v>
      </c>
      <c r="AA3080">
        <v>24</v>
      </c>
      <c r="AB3080" t="s">
        <v>32</v>
      </c>
      <c r="AC3080">
        <v>9.61</v>
      </c>
    </row>
    <row r="3081" spans="1:29">
      <c r="A3081" t="str">
        <f>"601966"</f>
        <v>601966</v>
      </c>
      <c r="B3081" t="s">
        <v>3251</v>
      </c>
      <c r="C3081">
        <v>1.12</v>
      </c>
      <c r="D3081">
        <v>16.29</v>
      </c>
      <c r="E3081">
        <v>0.18</v>
      </c>
      <c r="F3081">
        <v>16.27</v>
      </c>
      <c r="G3081">
        <v>16.31</v>
      </c>
      <c r="H3081">
        <v>26034</v>
      </c>
      <c r="I3081">
        <v>546</v>
      </c>
      <c r="J3081">
        <v>0.06</v>
      </c>
      <c r="K3081">
        <v>0.66</v>
      </c>
      <c r="L3081">
        <v>16.04</v>
      </c>
      <c r="M3081">
        <v>16.37</v>
      </c>
      <c r="N3081">
        <v>16.04</v>
      </c>
      <c r="O3081">
        <v>16.11</v>
      </c>
      <c r="P3081">
        <v>21.77</v>
      </c>
      <c r="Q3081">
        <v>42360532</v>
      </c>
      <c r="R3081">
        <v>1.62</v>
      </c>
      <c r="S3081" t="s">
        <v>80</v>
      </c>
      <c r="T3081" t="s">
        <v>162</v>
      </c>
      <c r="U3081">
        <v>2.05</v>
      </c>
      <c r="V3081">
        <v>16.27</v>
      </c>
      <c r="W3081">
        <v>10907</v>
      </c>
      <c r="X3081">
        <v>15127</v>
      </c>
      <c r="Y3081">
        <v>0.72</v>
      </c>
      <c r="Z3081">
        <v>55</v>
      </c>
      <c r="AA3081">
        <v>78</v>
      </c>
      <c r="AB3081" t="s">
        <v>32</v>
      </c>
      <c r="AC3081">
        <v>3.94</v>
      </c>
    </row>
    <row r="3082" spans="1:29">
      <c r="A3082" t="str">
        <f>"601968"</f>
        <v>601968</v>
      </c>
      <c r="B3082" t="s">
        <v>3252</v>
      </c>
      <c r="C3082">
        <v>1.31</v>
      </c>
      <c r="D3082">
        <v>3.86</v>
      </c>
      <c r="E3082">
        <v>0.05</v>
      </c>
      <c r="F3082">
        <v>3.86</v>
      </c>
      <c r="G3082">
        <v>3.87</v>
      </c>
      <c r="H3082">
        <v>29401</v>
      </c>
      <c r="I3082">
        <v>393</v>
      </c>
      <c r="J3082">
        <v>0</v>
      </c>
      <c r="K3082">
        <v>0.35</v>
      </c>
      <c r="L3082">
        <v>3.81</v>
      </c>
      <c r="M3082">
        <v>3.88</v>
      </c>
      <c r="N3082">
        <v>3.77</v>
      </c>
      <c r="O3082">
        <v>3.81</v>
      </c>
      <c r="P3082" t="s">
        <v>32</v>
      </c>
      <c r="Q3082">
        <v>11308526</v>
      </c>
      <c r="R3082">
        <v>1.14</v>
      </c>
      <c r="S3082" t="s">
        <v>91</v>
      </c>
      <c r="T3082" t="s">
        <v>366</v>
      </c>
      <c r="U3082">
        <v>2.89</v>
      </c>
      <c r="V3082">
        <v>3.85</v>
      </c>
      <c r="W3082">
        <v>15375</v>
      </c>
      <c r="X3082">
        <v>14026</v>
      </c>
      <c r="Y3082">
        <v>1.1</v>
      </c>
      <c r="Z3082">
        <v>107</v>
      </c>
      <c r="AA3082">
        <v>1465</v>
      </c>
      <c r="AB3082" t="s">
        <v>32</v>
      </c>
      <c r="AC3082">
        <v>8.33</v>
      </c>
    </row>
    <row r="3083" spans="1:29">
      <c r="A3083" t="str">
        <f>"601969"</f>
        <v>601969</v>
      </c>
      <c r="B3083" t="s">
        <v>3253</v>
      </c>
      <c r="C3083">
        <v>2.57</v>
      </c>
      <c r="D3083">
        <v>5.59</v>
      </c>
      <c r="E3083">
        <v>0.14</v>
      </c>
      <c r="F3083">
        <v>5.58</v>
      </c>
      <c r="G3083">
        <v>5.59</v>
      </c>
      <c r="H3083">
        <v>39631</v>
      </c>
      <c r="I3083">
        <v>23</v>
      </c>
      <c r="J3083">
        <v>-0.17</v>
      </c>
      <c r="K3083">
        <v>0.2</v>
      </c>
      <c r="L3083">
        <v>5.46</v>
      </c>
      <c r="M3083">
        <v>5.62</v>
      </c>
      <c r="N3083">
        <v>5.45</v>
      </c>
      <c r="O3083">
        <v>5.45</v>
      </c>
      <c r="P3083" t="s">
        <v>32</v>
      </c>
      <c r="Q3083">
        <v>22051296</v>
      </c>
      <c r="R3083">
        <v>1.94</v>
      </c>
      <c r="S3083" t="s">
        <v>353</v>
      </c>
      <c r="T3083" t="s">
        <v>209</v>
      </c>
      <c r="U3083">
        <v>3.12</v>
      </c>
      <c r="V3083">
        <v>5.56</v>
      </c>
      <c r="W3083">
        <v>16265</v>
      </c>
      <c r="X3083">
        <v>23365</v>
      </c>
      <c r="Y3083">
        <v>0.7</v>
      </c>
      <c r="Z3083">
        <v>147</v>
      </c>
      <c r="AA3083">
        <v>136</v>
      </c>
      <c r="AB3083" t="s">
        <v>32</v>
      </c>
      <c r="AC3083">
        <v>19.55</v>
      </c>
    </row>
    <row r="3084" spans="1:29">
      <c r="A3084" t="str">
        <f>"601985"</f>
        <v>601985</v>
      </c>
      <c r="B3084" t="s">
        <v>3254</v>
      </c>
      <c r="C3084">
        <v>0.87</v>
      </c>
      <c r="D3084">
        <v>5.79</v>
      </c>
      <c r="E3084">
        <v>0.05</v>
      </c>
      <c r="F3084">
        <v>5.78</v>
      </c>
      <c r="G3084">
        <v>5.79</v>
      </c>
      <c r="H3084">
        <v>399829</v>
      </c>
      <c r="I3084">
        <v>100</v>
      </c>
      <c r="J3084">
        <v>0.17</v>
      </c>
      <c r="K3084">
        <v>0.26</v>
      </c>
      <c r="L3084">
        <v>5.73</v>
      </c>
      <c r="M3084">
        <v>5.87</v>
      </c>
      <c r="N3084">
        <v>5.72</v>
      </c>
      <c r="O3084">
        <v>5.74</v>
      </c>
      <c r="P3084">
        <v>18.49</v>
      </c>
      <c r="Q3084">
        <v>231850432</v>
      </c>
      <c r="R3084">
        <v>1.88</v>
      </c>
      <c r="S3084" t="s">
        <v>95</v>
      </c>
      <c r="T3084" t="s">
        <v>45</v>
      </c>
      <c r="U3084">
        <v>2.61</v>
      </c>
      <c r="V3084">
        <v>5.8</v>
      </c>
      <c r="W3084">
        <v>220453</v>
      </c>
      <c r="X3084">
        <v>179375</v>
      </c>
      <c r="Y3084">
        <v>1.23</v>
      </c>
      <c r="Z3084">
        <v>3317</v>
      </c>
      <c r="AA3084">
        <v>393</v>
      </c>
      <c r="AB3084" t="s">
        <v>32</v>
      </c>
      <c r="AC3084">
        <v>155.65</v>
      </c>
    </row>
    <row r="3085" spans="1:29">
      <c r="A3085" t="str">
        <f>"601988"</f>
        <v>601988</v>
      </c>
      <c r="B3085" t="s">
        <v>3255</v>
      </c>
      <c r="C3085">
        <v>0.28</v>
      </c>
      <c r="D3085">
        <v>3.6</v>
      </c>
      <c r="E3085">
        <v>0.01</v>
      </c>
      <c r="F3085">
        <v>3.59</v>
      </c>
      <c r="G3085">
        <v>3.61</v>
      </c>
      <c r="H3085">
        <v>1792714</v>
      </c>
      <c r="I3085">
        <v>802</v>
      </c>
      <c r="J3085">
        <v>-0.27</v>
      </c>
      <c r="K3085">
        <v>0.09</v>
      </c>
      <c r="L3085">
        <v>3.58</v>
      </c>
      <c r="M3085">
        <v>3.64</v>
      </c>
      <c r="N3085">
        <v>3.57</v>
      </c>
      <c r="O3085">
        <v>3.59</v>
      </c>
      <c r="P3085">
        <v>5.41</v>
      </c>
      <c r="Q3085">
        <v>646501760</v>
      </c>
      <c r="R3085">
        <v>1.39</v>
      </c>
      <c r="S3085" t="s">
        <v>30</v>
      </c>
      <c r="T3085" t="s">
        <v>45</v>
      </c>
      <c r="U3085">
        <v>1.95</v>
      </c>
      <c r="V3085">
        <v>3.61</v>
      </c>
      <c r="W3085">
        <v>852488</v>
      </c>
      <c r="X3085">
        <v>940225</v>
      </c>
      <c r="Y3085">
        <v>0.91</v>
      </c>
      <c r="Z3085">
        <v>34066</v>
      </c>
      <c r="AA3085">
        <v>51722</v>
      </c>
      <c r="AB3085" t="s">
        <v>32</v>
      </c>
      <c r="AC3085">
        <v>2107.66</v>
      </c>
    </row>
    <row r="3086" spans="1:29">
      <c r="A3086" t="str">
        <f>"601989"</f>
        <v>601989</v>
      </c>
      <c r="B3086" t="s">
        <v>3256</v>
      </c>
      <c r="C3086">
        <v>3.16</v>
      </c>
      <c r="D3086">
        <v>4.24</v>
      </c>
      <c r="E3086">
        <v>0.13</v>
      </c>
      <c r="F3086">
        <v>4.24</v>
      </c>
      <c r="G3086">
        <v>4.25</v>
      </c>
      <c r="H3086">
        <v>1191469</v>
      </c>
      <c r="I3086">
        <v>207</v>
      </c>
      <c r="J3086">
        <v>0</v>
      </c>
      <c r="K3086">
        <v>0.65</v>
      </c>
      <c r="L3086">
        <v>4.11</v>
      </c>
      <c r="M3086">
        <v>4.27</v>
      </c>
      <c r="N3086">
        <v>4.11</v>
      </c>
      <c r="O3086">
        <v>4.11</v>
      </c>
      <c r="P3086">
        <v>88.41</v>
      </c>
      <c r="Q3086">
        <v>501699488</v>
      </c>
      <c r="R3086">
        <v>2.11</v>
      </c>
      <c r="S3086" t="s">
        <v>1549</v>
      </c>
      <c r="T3086" t="s">
        <v>45</v>
      </c>
      <c r="U3086">
        <v>3.89</v>
      </c>
      <c r="V3086">
        <v>4.21</v>
      </c>
      <c r="W3086">
        <v>554994</v>
      </c>
      <c r="X3086">
        <v>636474</v>
      </c>
      <c r="Y3086">
        <v>0.87</v>
      </c>
      <c r="Z3086">
        <v>20</v>
      </c>
      <c r="AA3086">
        <v>37361</v>
      </c>
      <c r="AB3086" t="s">
        <v>32</v>
      </c>
      <c r="AC3086">
        <v>183.62</v>
      </c>
    </row>
    <row r="3087" spans="1:29">
      <c r="A3087" t="str">
        <f>"601990"</f>
        <v>601990</v>
      </c>
      <c r="B3087" t="s">
        <v>3257</v>
      </c>
      <c r="C3087">
        <v>3.01</v>
      </c>
      <c r="D3087">
        <v>11.31</v>
      </c>
      <c r="E3087">
        <v>0.33</v>
      </c>
      <c r="F3087">
        <v>11.3</v>
      </c>
      <c r="G3087">
        <v>11.31</v>
      </c>
      <c r="H3087">
        <v>1100149</v>
      </c>
      <c r="I3087">
        <v>53</v>
      </c>
      <c r="J3087">
        <v>0.18</v>
      </c>
      <c r="K3087">
        <v>40</v>
      </c>
      <c r="L3087">
        <v>10.88</v>
      </c>
      <c r="M3087">
        <v>11.88</v>
      </c>
      <c r="N3087">
        <v>10.82</v>
      </c>
      <c r="O3087">
        <v>10.98</v>
      </c>
      <c r="P3087">
        <v>70.4</v>
      </c>
      <c r="Q3087">
        <v>1249766016</v>
      </c>
      <c r="R3087">
        <v>1.21</v>
      </c>
      <c r="S3087" t="s">
        <v>158</v>
      </c>
      <c r="T3087" t="s">
        <v>87</v>
      </c>
      <c r="U3087">
        <v>9.65</v>
      </c>
      <c r="V3087">
        <v>11.36</v>
      </c>
      <c r="W3087">
        <v>527206</v>
      </c>
      <c r="X3087">
        <v>572942</v>
      </c>
      <c r="Y3087">
        <v>0.92</v>
      </c>
      <c r="Z3087">
        <v>834</v>
      </c>
      <c r="AA3087">
        <v>54</v>
      </c>
      <c r="AB3087" t="s">
        <v>32</v>
      </c>
      <c r="AC3087">
        <v>2.75</v>
      </c>
    </row>
    <row r="3088" spans="1:29">
      <c r="A3088" t="str">
        <f>"601991"</f>
        <v>601991</v>
      </c>
      <c r="B3088" t="s">
        <v>3258</v>
      </c>
      <c r="C3088">
        <v>0.61</v>
      </c>
      <c r="D3088">
        <v>3.28</v>
      </c>
      <c r="E3088">
        <v>0.02</v>
      </c>
      <c r="F3088">
        <v>3.28</v>
      </c>
      <c r="G3088">
        <v>3.29</v>
      </c>
      <c r="H3088">
        <v>146640</v>
      </c>
      <c r="I3088">
        <v>643</v>
      </c>
      <c r="J3088">
        <v>0.31</v>
      </c>
      <c r="K3088">
        <v>0.15</v>
      </c>
      <c r="L3088">
        <v>3.27</v>
      </c>
      <c r="M3088">
        <v>3.29</v>
      </c>
      <c r="N3088">
        <v>3.24</v>
      </c>
      <c r="O3088">
        <v>3.26</v>
      </c>
      <c r="P3088">
        <v>28.03</v>
      </c>
      <c r="Q3088">
        <v>47894848</v>
      </c>
      <c r="R3088">
        <v>0.64</v>
      </c>
      <c r="S3088" t="s">
        <v>75</v>
      </c>
      <c r="T3088" t="s">
        <v>45</v>
      </c>
      <c r="U3088">
        <v>1.53</v>
      </c>
      <c r="V3088">
        <v>3.27</v>
      </c>
      <c r="W3088">
        <v>72026</v>
      </c>
      <c r="X3088">
        <v>74613</v>
      </c>
      <c r="Y3088">
        <v>0.97</v>
      </c>
      <c r="Z3088">
        <v>524</v>
      </c>
      <c r="AA3088">
        <v>4336</v>
      </c>
      <c r="AB3088" t="s">
        <v>32</v>
      </c>
      <c r="AC3088">
        <v>99.94</v>
      </c>
    </row>
    <row r="3089" spans="1:29">
      <c r="A3089" t="str">
        <f>"601992"</f>
        <v>601992</v>
      </c>
      <c r="B3089" t="s">
        <v>3259</v>
      </c>
      <c r="C3089">
        <v>7.63</v>
      </c>
      <c r="D3089">
        <v>3.81</v>
      </c>
      <c r="E3089">
        <v>0.27</v>
      </c>
      <c r="F3089">
        <v>3.8</v>
      </c>
      <c r="G3089">
        <v>3.81</v>
      </c>
      <c r="H3089">
        <v>1194509</v>
      </c>
      <c r="I3089">
        <v>37</v>
      </c>
      <c r="J3089">
        <v>0</v>
      </c>
      <c r="K3089">
        <v>1.47</v>
      </c>
      <c r="L3089">
        <v>3.58</v>
      </c>
      <c r="M3089">
        <v>3.83</v>
      </c>
      <c r="N3089">
        <v>3.55</v>
      </c>
      <c r="O3089">
        <v>3.54</v>
      </c>
      <c r="P3089" t="s">
        <v>32</v>
      </c>
      <c r="Q3089">
        <v>444377984</v>
      </c>
      <c r="R3089">
        <v>2.5</v>
      </c>
      <c r="S3089" t="s">
        <v>166</v>
      </c>
      <c r="T3089" t="s">
        <v>45</v>
      </c>
      <c r="U3089">
        <v>7.91</v>
      </c>
      <c r="V3089">
        <v>3.72</v>
      </c>
      <c r="W3089">
        <v>518249</v>
      </c>
      <c r="X3089">
        <v>676259</v>
      </c>
      <c r="Y3089">
        <v>0.77</v>
      </c>
      <c r="Z3089">
        <v>940</v>
      </c>
      <c r="AA3089">
        <v>8669</v>
      </c>
      <c r="AB3089" t="s">
        <v>32</v>
      </c>
      <c r="AC3089">
        <v>81.45</v>
      </c>
    </row>
    <row r="3090" spans="1:29">
      <c r="A3090" t="str">
        <f>"601996"</f>
        <v>601996</v>
      </c>
      <c r="B3090" t="s">
        <v>3260</v>
      </c>
      <c r="C3090">
        <v>2.64</v>
      </c>
      <c r="D3090">
        <v>3.89</v>
      </c>
      <c r="E3090">
        <v>0.1</v>
      </c>
      <c r="F3090">
        <v>3.88</v>
      </c>
      <c r="G3090">
        <v>3.89</v>
      </c>
      <c r="H3090">
        <v>87043</v>
      </c>
      <c r="I3090">
        <v>1000</v>
      </c>
      <c r="J3090">
        <v>-0.25</v>
      </c>
      <c r="K3090">
        <v>0.92</v>
      </c>
      <c r="L3090">
        <v>3.79</v>
      </c>
      <c r="M3090">
        <v>3.91</v>
      </c>
      <c r="N3090">
        <v>3.77</v>
      </c>
      <c r="O3090">
        <v>3.79</v>
      </c>
      <c r="P3090">
        <v>32.36</v>
      </c>
      <c r="Q3090">
        <v>33493960</v>
      </c>
      <c r="R3090">
        <v>2.42</v>
      </c>
      <c r="S3090" t="s">
        <v>302</v>
      </c>
      <c r="T3090" t="s">
        <v>238</v>
      </c>
      <c r="U3090">
        <v>3.69</v>
      </c>
      <c r="V3090">
        <v>3.85</v>
      </c>
      <c r="W3090">
        <v>28240</v>
      </c>
      <c r="X3090">
        <v>58803</v>
      </c>
      <c r="Y3090">
        <v>0.48</v>
      </c>
      <c r="Z3090">
        <v>1100</v>
      </c>
      <c r="AA3090">
        <v>537</v>
      </c>
      <c r="AB3090" t="s">
        <v>32</v>
      </c>
      <c r="AC3090">
        <v>9.45</v>
      </c>
    </row>
    <row r="3091" spans="1:29">
      <c r="A3091" t="str">
        <f>"601997"</f>
        <v>601997</v>
      </c>
      <c r="B3091" t="s">
        <v>3261</v>
      </c>
      <c r="C3091">
        <v>-0.32</v>
      </c>
      <c r="D3091">
        <v>12.45</v>
      </c>
      <c r="E3091">
        <v>-0.04</v>
      </c>
      <c r="F3091">
        <v>12.44</v>
      </c>
      <c r="G3091">
        <v>12.45</v>
      </c>
      <c r="H3091">
        <v>212893</v>
      </c>
      <c r="I3091">
        <v>16</v>
      </c>
      <c r="J3091">
        <v>-0.07</v>
      </c>
      <c r="K3091">
        <v>1.72</v>
      </c>
      <c r="L3091">
        <v>12.47</v>
      </c>
      <c r="M3091">
        <v>12.66</v>
      </c>
      <c r="N3091">
        <v>12.21</v>
      </c>
      <c r="O3091">
        <v>12.49</v>
      </c>
      <c r="P3091">
        <v>6.17</v>
      </c>
      <c r="Q3091">
        <v>266663056</v>
      </c>
      <c r="R3091">
        <v>2.06</v>
      </c>
      <c r="S3091" t="s">
        <v>30</v>
      </c>
      <c r="T3091" t="s">
        <v>253</v>
      </c>
      <c r="U3091">
        <v>3.6</v>
      </c>
      <c r="V3091">
        <v>12.53</v>
      </c>
      <c r="W3091">
        <v>117359</v>
      </c>
      <c r="X3091">
        <v>95534</v>
      </c>
      <c r="Y3091">
        <v>1.23</v>
      </c>
      <c r="Z3091">
        <v>69</v>
      </c>
      <c r="AA3091">
        <v>62</v>
      </c>
      <c r="AB3091" t="s">
        <v>32</v>
      </c>
      <c r="AC3091">
        <v>12.39</v>
      </c>
    </row>
    <row r="3092" spans="1:29">
      <c r="A3092" t="str">
        <f>"601998"</f>
        <v>601998</v>
      </c>
      <c r="B3092" t="s">
        <v>3262</v>
      </c>
      <c r="C3092">
        <v>0.33</v>
      </c>
      <c r="D3092">
        <v>6.15</v>
      </c>
      <c r="E3092">
        <v>0.02</v>
      </c>
      <c r="F3092">
        <v>6.15</v>
      </c>
      <c r="G3092">
        <v>6.16</v>
      </c>
      <c r="H3092">
        <v>300714</v>
      </c>
      <c r="I3092">
        <v>1272</v>
      </c>
      <c r="J3092">
        <v>0.16</v>
      </c>
      <c r="K3092">
        <v>0.09</v>
      </c>
      <c r="L3092">
        <v>6.12</v>
      </c>
      <c r="M3092">
        <v>6.21</v>
      </c>
      <c r="N3092">
        <v>6.1</v>
      </c>
      <c r="O3092">
        <v>6.13</v>
      </c>
      <c r="P3092">
        <v>6.18</v>
      </c>
      <c r="Q3092">
        <v>185047408</v>
      </c>
      <c r="R3092">
        <v>1.82</v>
      </c>
      <c r="S3092" t="s">
        <v>30</v>
      </c>
      <c r="T3092" t="s">
        <v>45</v>
      </c>
      <c r="U3092">
        <v>1.79</v>
      </c>
      <c r="V3092">
        <v>6.15</v>
      </c>
      <c r="W3092">
        <v>157673</v>
      </c>
      <c r="X3092">
        <v>143041</v>
      </c>
      <c r="Y3092">
        <v>1.1</v>
      </c>
      <c r="Z3092">
        <v>1734</v>
      </c>
      <c r="AA3092">
        <v>2275</v>
      </c>
      <c r="AB3092" t="s">
        <v>32</v>
      </c>
      <c r="AC3092">
        <v>319.05</v>
      </c>
    </row>
    <row r="3093" spans="1:29">
      <c r="A3093" t="str">
        <f>"601999"</f>
        <v>601999</v>
      </c>
      <c r="B3093" t="s">
        <v>3263</v>
      </c>
      <c r="C3093">
        <v>2.18</v>
      </c>
      <c r="D3093">
        <v>5.62</v>
      </c>
      <c r="E3093">
        <v>0.12</v>
      </c>
      <c r="F3093">
        <v>5.61</v>
      </c>
      <c r="G3093">
        <v>5.62</v>
      </c>
      <c r="H3093">
        <v>32392</v>
      </c>
      <c r="I3093">
        <v>21</v>
      </c>
      <c r="J3093">
        <v>0.36</v>
      </c>
      <c r="K3093">
        <v>0.59</v>
      </c>
      <c r="L3093">
        <v>5.5</v>
      </c>
      <c r="M3093">
        <v>5.63</v>
      </c>
      <c r="N3093">
        <v>5.49</v>
      </c>
      <c r="O3093">
        <v>5.5</v>
      </c>
      <c r="P3093">
        <v>41.92</v>
      </c>
      <c r="Q3093">
        <v>18091414</v>
      </c>
      <c r="R3093">
        <v>1.5</v>
      </c>
      <c r="S3093" t="s">
        <v>211</v>
      </c>
      <c r="T3093" t="s">
        <v>111</v>
      </c>
      <c r="U3093">
        <v>2.55</v>
      </c>
      <c r="V3093">
        <v>5.59</v>
      </c>
      <c r="W3093">
        <v>13466</v>
      </c>
      <c r="X3093">
        <v>18926</v>
      </c>
      <c r="Y3093">
        <v>0.71</v>
      </c>
      <c r="Z3093">
        <v>230</v>
      </c>
      <c r="AA3093">
        <v>1144</v>
      </c>
      <c r="AB3093" t="s">
        <v>32</v>
      </c>
      <c r="AC3093">
        <v>5.51</v>
      </c>
    </row>
    <row r="3094" spans="1:29">
      <c r="A3094" t="str">
        <f>"603000"</f>
        <v>603000</v>
      </c>
      <c r="B3094" t="s">
        <v>3264</v>
      </c>
      <c r="C3094">
        <v>1.95</v>
      </c>
      <c r="D3094">
        <v>8.36</v>
      </c>
      <c r="E3094">
        <v>0.16</v>
      </c>
      <c r="F3094">
        <v>8.36</v>
      </c>
      <c r="G3094">
        <v>8.37</v>
      </c>
      <c r="H3094">
        <v>59042</v>
      </c>
      <c r="I3094">
        <v>14</v>
      </c>
      <c r="J3094">
        <v>-0.11</v>
      </c>
      <c r="K3094">
        <v>0.53</v>
      </c>
      <c r="L3094">
        <v>8.17</v>
      </c>
      <c r="M3094">
        <v>8.42</v>
      </c>
      <c r="N3094">
        <v>8.15</v>
      </c>
      <c r="O3094">
        <v>8.2</v>
      </c>
      <c r="P3094" t="s">
        <v>32</v>
      </c>
      <c r="Q3094">
        <v>49185408</v>
      </c>
      <c r="R3094">
        <v>1.51</v>
      </c>
      <c r="S3094" t="s">
        <v>316</v>
      </c>
      <c r="T3094" t="s">
        <v>45</v>
      </c>
      <c r="U3094">
        <v>3.29</v>
      </c>
      <c r="V3094">
        <v>8.33</v>
      </c>
      <c r="W3094">
        <v>26207</v>
      </c>
      <c r="X3094">
        <v>32834</v>
      </c>
      <c r="Y3094">
        <v>0.8</v>
      </c>
      <c r="Z3094">
        <v>135</v>
      </c>
      <c r="AA3094">
        <v>710</v>
      </c>
      <c r="AB3094" t="s">
        <v>32</v>
      </c>
      <c r="AC3094">
        <v>11.06</v>
      </c>
    </row>
    <row r="3095" spans="1:29">
      <c r="A3095" t="str">
        <f>"603001"</f>
        <v>603001</v>
      </c>
      <c r="B3095" t="s">
        <v>3265</v>
      </c>
      <c r="C3095">
        <v>2.41</v>
      </c>
      <c r="D3095">
        <v>11.9</v>
      </c>
      <c r="E3095">
        <v>0.28</v>
      </c>
      <c r="F3095">
        <v>11.88</v>
      </c>
      <c r="G3095">
        <v>11.9</v>
      </c>
      <c r="H3095">
        <v>19840</v>
      </c>
      <c r="I3095">
        <v>7</v>
      </c>
      <c r="J3095">
        <v>0</v>
      </c>
      <c r="K3095">
        <v>0.49</v>
      </c>
      <c r="L3095">
        <v>11.58</v>
      </c>
      <c r="M3095">
        <v>11.93</v>
      </c>
      <c r="N3095">
        <v>11.56</v>
      </c>
      <c r="O3095">
        <v>11.62</v>
      </c>
      <c r="P3095">
        <v>10</v>
      </c>
      <c r="Q3095">
        <v>23414040</v>
      </c>
      <c r="R3095">
        <v>2.18</v>
      </c>
      <c r="S3095" t="s">
        <v>622</v>
      </c>
      <c r="T3095" t="s">
        <v>149</v>
      </c>
      <c r="U3095">
        <v>3.18</v>
      </c>
      <c r="V3095">
        <v>11.8</v>
      </c>
      <c r="W3095">
        <v>7266</v>
      </c>
      <c r="X3095">
        <v>12573</v>
      </c>
      <c r="Y3095">
        <v>0.58</v>
      </c>
      <c r="Z3095">
        <v>95</v>
      </c>
      <c r="AA3095">
        <v>175</v>
      </c>
      <c r="AB3095" t="s">
        <v>32</v>
      </c>
      <c r="AC3095">
        <v>4.01</v>
      </c>
    </row>
    <row r="3096" spans="1:29">
      <c r="A3096" t="str">
        <f>"603002"</f>
        <v>603002</v>
      </c>
      <c r="B3096" t="s">
        <v>3266</v>
      </c>
      <c r="C3096">
        <v>1.79</v>
      </c>
      <c r="D3096">
        <v>4.55</v>
      </c>
      <c r="E3096">
        <v>0.08</v>
      </c>
      <c r="F3096">
        <v>4.54</v>
      </c>
      <c r="G3096">
        <v>4.55</v>
      </c>
      <c r="H3096">
        <v>109585</v>
      </c>
      <c r="I3096">
        <v>100</v>
      </c>
      <c r="J3096">
        <v>0.44</v>
      </c>
      <c r="K3096">
        <v>1.8</v>
      </c>
      <c r="L3096">
        <v>4.46</v>
      </c>
      <c r="M3096">
        <v>4.56</v>
      </c>
      <c r="N3096">
        <v>4.42</v>
      </c>
      <c r="O3096">
        <v>4.47</v>
      </c>
      <c r="P3096">
        <v>35.07</v>
      </c>
      <c r="Q3096">
        <v>49367348</v>
      </c>
      <c r="R3096">
        <v>0.58</v>
      </c>
      <c r="S3096" t="s">
        <v>218</v>
      </c>
      <c r="T3096" t="s">
        <v>136</v>
      </c>
      <c r="U3096">
        <v>3.13</v>
      </c>
      <c r="V3096">
        <v>4.5</v>
      </c>
      <c r="W3096">
        <v>56239</v>
      </c>
      <c r="X3096">
        <v>53346</v>
      </c>
      <c r="Y3096">
        <v>1.05</v>
      </c>
      <c r="Z3096">
        <v>194</v>
      </c>
      <c r="AA3096">
        <v>1468</v>
      </c>
      <c r="AB3096" t="s">
        <v>32</v>
      </c>
      <c r="AC3096">
        <v>6.1</v>
      </c>
    </row>
    <row r="3097" spans="1:29">
      <c r="A3097" t="str">
        <f>"603003"</f>
        <v>603003</v>
      </c>
      <c r="B3097" t="s">
        <v>3267</v>
      </c>
      <c r="C3097">
        <v>2.07</v>
      </c>
      <c r="D3097">
        <v>8.39</v>
      </c>
      <c r="E3097">
        <v>0.17</v>
      </c>
      <c r="F3097">
        <v>8.38</v>
      </c>
      <c r="G3097">
        <v>8.39</v>
      </c>
      <c r="H3097">
        <v>31870</v>
      </c>
      <c r="I3097">
        <v>33</v>
      </c>
      <c r="J3097">
        <v>0.12</v>
      </c>
      <c r="K3097">
        <v>0.72</v>
      </c>
      <c r="L3097">
        <v>8.24</v>
      </c>
      <c r="M3097">
        <v>8.42</v>
      </c>
      <c r="N3097">
        <v>8.21</v>
      </c>
      <c r="O3097">
        <v>8.22</v>
      </c>
      <c r="P3097">
        <v>53.82</v>
      </c>
      <c r="Q3097">
        <v>26616020</v>
      </c>
      <c r="R3097">
        <v>1.87</v>
      </c>
      <c r="S3097" t="s">
        <v>132</v>
      </c>
      <c r="T3097" t="s">
        <v>366</v>
      </c>
      <c r="U3097">
        <v>2.55</v>
      </c>
      <c r="V3097">
        <v>8.35</v>
      </c>
      <c r="W3097">
        <v>13405</v>
      </c>
      <c r="X3097">
        <v>18464</v>
      </c>
      <c r="Y3097">
        <v>0.73</v>
      </c>
      <c r="Z3097">
        <v>254</v>
      </c>
      <c r="AA3097">
        <v>326</v>
      </c>
      <c r="AB3097" t="s">
        <v>32</v>
      </c>
      <c r="AC3097">
        <v>4.41</v>
      </c>
    </row>
    <row r="3098" spans="1:29">
      <c r="A3098" t="str">
        <f>"603005"</f>
        <v>603005</v>
      </c>
      <c r="B3098" t="s">
        <v>3268</v>
      </c>
      <c r="C3098">
        <v>0.91</v>
      </c>
      <c r="D3098">
        <v>23.37</v>
      </c>
      <c r="E3098">
        <v>0.21</v>
      </c>
      <c r="F3098">
        <v>23.37</v>
      </c>
      <c r="G3098">
        <v>23.38</v>
      </c>
      <c r="H3098">
        <v>26358</v>
      </c>
      <c r="I3098">
        <v>9</v>
      </c>
      <c r="J3098">
        <v>0.26</v>
      </c>
      <c r="K3098">
        <v>1.51</v>
      </c>
      <c r="L3098">
        <v>23</v>
      </c>
      <c r="M3098">
        <v>23.4</v>
      </c>
      <c r="N3098">
        <v>22.73</v>
      </c>
      <c r="O3098">
        <v>23.16</v>
      </c>
      <c r="P3098">
        <v>130.86</v>
      </c>
      <c r="Q3098">
        <v>60845424</v>
      </c>
      <c r="R3098">
        <v>1.14</v>
      </c>
      <c r="S3098" t="s">
        <v>699</v>
      </c>
      <c r="T3098" t="s">
        <v>87</v>
      </c>
      <c r="U3098">
        <v>2.89</v>
      </c>
      <c r="V3098">
        <v>23.08</v>
      </c>
      <c r="W3098">
        <v>12974</v>
      </c>
      <c r="X3098">
        <v>13383</v>
      </c>
      <c r="Y3098">
        <v>0.97</v>
      </c>
      <c r="Z3098">
        <v>22</v>
      </c>
      <c r="AA3098">
        <v>23</v>
      </c>
      <c r="AB3098" t="s">
        <v>32</v>
      </c>
      <c r="AC3098">
        <v>1.75</v>
      </c>
    </row>
    <row r="3099" spans="1:29">
      <c r="A3099" t="str">
        <f>"603006"</f>
        <v>603006</v>
      </c>
      <c r="B3099" t="s">
        <v>3269</v>
      </c>
      <c r="C3099">
        <v>2.82</v>
      </c>
      <c r="D3099">
        <v>12.05</v>
      </c>
      <c r="E3099">
        <v>0.33</v>
      </c>
      <c r="F3099">
        <v>12.04</v>
      </c>
      <c r="G3099">
        <v>12.05</v>
      </c>
      <c r="H3099">
        <v>26373</v>
      </c>
      <c r="I3099">
        <v>10</v>
      </c>
      <c r="J3099">
        <v>-0.32</v>
      </c>
      <c r="K3099">
        <v>3.72</v>
      </c>
      <c r="L3099">
        <v>11.72</v>
      </c>
      <c r="M3099">
        <v>12.28</v>
      </c>
      <c r="N3099">
        <v>11.64</v>
      </c>
      <c r="O3099">
        <v>11.72</v>
      </c>
      <c r="P3099">
        <v>22.44</v>
      </c>
      <c r="Q3099">
        <v>31387598</v>
      </c>
      <c r="R3099">
        <v>1.86</v>
      </c>
      <c r="S3099" t="s">
        <v>80</v>
      </c>
      <c r="T3099" t="s">
        <v>366</v>
      </c>
      <c r="U3099">
        <v>5.46</v>
      </c>
      <c r="V3099">
        <v>11.9</v>
      </c>
      <c r="W3099">
        <v>13118</v>
      </c>
      <c r="X3099">
        <v>13255</v>
      </c>
      <c r="Y3099">
        <v>0.99</v>
      </c>
      <c r="Z3099">
        <v>32</v>
      </c>
      <c r="AA3099">
        <v>4</v>
      </c>
      <c r="AB3099" t="s">
        <v>32</v>
      </c>
      <c r="AC3099">
        <v>0.71</v>
      </c>
    </row>
    <row r="3100" spans="1:29">
      <c r="A3100" t="str">
        <f>"603007"</f>
        <v>603007</v>
      </c>
      <c r="B3100" t="s">
        <v>3270</v>
      </c>
      <c r="C3100">
        <v>3.27</v>
      </c>
      <c r="D3100">
        <v>11.05</v>
      </c>
      <c r="E3100">
        <v>0.35</v>
      </c>
      <c r="F3100">
        <v>11.04</v>
      </c>
      <c r="G3100">
        <v>11.06</v>
      </c>
      <c r="H3100">
        <v>18272</v>
      </c>
      <c r="I3100">
        <v>2</v>
      </c>
      <c r="J3100">
        <v>0</v>
      </c>
      <c r="K3100">
        <v>0.94</v>
      </c>
      <c r="L3100">
        <v>10.65</v>
      </c>
      <c r="M3100">
        <v>11.38</v>
      </c>
      <c r="N3100">
        <v>10.62</v>
      </c>
      <c r="O3100">
        <v>10.7</v>
      </c>
      <c r="P3100">
        <v>59.44</v>
      </c>
      <c r="Q3100">
        <v>20217140</v>
      </c>
      <c r="R3100">
        <v>1.46</v>
      </c>
      <c r="S3100" t="s">
        <v>49</v>
      </c>
      <c r="T3100" t="s">
        <v>87</v>
      </c>
      <c r="U3100">
        <v>7.1</v>
      </c>
      <c r="V3100">
        <v>11.06</v>
      </c>
      <c r="W3100">
        <v>9585</v>
      </c>
      <c r="X3100">
        <v>8687</v>
      </c>
      <c r="Y3100">
        <v>1.1</v>
      </c>
      <c r="Z3100">
        <v>49</v>
      </c>
      <c r="AA3100">
        <v>146</v>
      </c>
      <c r="AB3100" t="s">
        <v>32</v>
      </c>
      <c r="AC3100">
        <v>1.94</v>
      </c>
    </row>
    <row r="3101" spans="1:29">
      <c r="A3101" t="str">
        <f>"603008"</f>
        <v>603008</v>
      </c>
      <c r="B3101" t="s">
        <v>3271</v>
      </c>
      <c r="C3101">
        <v>2.37</v>
      </c>
      <c r="D3101">
        <v>17.7</v>
      </c>
      <c r="E3101">
        <v>0.41</v>
      </c>
      <c r="F3101">
        <v>17.69</v>
      </c>
      <c r="G3101">
        <v>17.71</v>
      </c>
      <c r="H3101">
        <v>38886</v>
      </c>
      <c r="I3101">
        <v>26</v>
      </c>
      <c r="J3101">
        <v>-0.05</v>
      </c>
      <c r="K3101">
        <v>1.22</v>
      </c>
      <c r="L3101">
        <v>17.35</v>
      </c>
      <c r="M3101">
        <v>17.9</v>
      </c>
      <c r="N3101">
        <v>17.15</v>
      </c>
      <c r="O3101">
        <v>17.29</v>
      </c>
      <c r="P3101">
        <v>32.74</v>
      </c>
      <c r="Q3101">
        <v>68607176</v>
      </c>
      <c r="R3101">
        <v>1.74</v>
      </c>
      <c r="S3101" t="s">
        <v>545</v>
      </c>
      <c r="T3101" t="s">
        <v>149</v>
      </c>
      <c r="U3101">
        <v>4.34</v>
      </c>
      <c r="V3101">
        <v>17.64</v>
      </c>
      <c r="W3101">
        <v>17494</v>
      </c>
      <c r="X3101">
        <v>21392</v>
      </c>
      <c r="Y3101">
        <v>0.82</v>
      </c>
      <c r="Z3101">
        <v>8</v>
      </c>
      <c r="AA3101">
        <v>36</v>
      </c>
      <c r="AB3101" t="s">
        <v>32</v>
      </c>
      <c r="AC3101">
        <v>3.2</v>
      </c>
    </row>
    <row r="3102" spans="1:29">
      <c r="A3102" t="str">
        <f>"603009"</f>
        <v>603009</v>
      </c>
      <c r="B3102" t="s">
        <v>3272</v>
      </c>
      <c r="C3102">
        <v>-0.12</v>
      </c>
      <c r="D3102">
        <v>8.2</v>
      </c>
      <c r="E3102">
        <v>-0.01</v>
      </c>
      <c r="F3102">
        <v>8.19</v>
      </c>
      <c r="G3102">
        <v>8.2</v>
      </c>
      <c r="H3102">
        <v>117899</v>
      </c>
      <c r="I3102">
        <v>60</v>
      </c>
      <c r="J3102">
        <v>0.24</v>
      </c>
      <c r="K3102">
        <v>3.68</v>
      </c>
      <c r="L3102">
        <v>8.19</v>
      </c>
      <c r="M3102">
        <v>8.29</v>
      </c>
      <c r="N3102">
        <v>7.95</v>
      </c>
      <c r="O3102">
        <v>8.21</v>
      </c>
      <c r="P3102">
        <v>31.68</v>
      </c>
      <c r="Q3102">
        <v>95708904</v>
      </c>
      <c r="R3102">
        <v>1.44</v>
      </c>
      <c r="S3102" t="s">
        <v>80</v>
      </c>
      <c r="T3102" t="s">
        <v>366</v>
      </c>
      <c r="U3102">
        <v>4.14</v>
      </c>
      <c r="V3102">
        <v>8.12</v>
      </c>
      <c r="W3102">
        <v>60007</v>
      </c>
      <c r="X3102">
        <v>57891</v>
      </c>
      <c r="Y3102">
        <v>1.04</v>
      </c>
      <c r="Z3102">
        <v>164</v>
      </c>
      <c r="AA3102">
        <v>170</v>
      </c>
      <c r="AB3102" t="s">
        <v>32</v>
      </c>
      <c r="AC3102">
        <v>3.21</v>
      </c>
    </row>
    <row r="3103" spans="1:29">
      <c r="A3103" t="str">
        <f>"603010"</f>
        <v>603010</v>
      </c>
      <c r="B3103" t="s">
        <v>3273</v>
      </c>
      <c r="C3103">
        <v>2</v>
      </c>
      <c r="D3103">
        <v>15.8</v>
      </c>
      <c r="E3103">
        <v>0.31</v>
      </c>
      <c r="F3103">
        <v>15.79</v>
      </c>
      <c r="G3103">
        <v>15.8</v>
      </c>
      <c r="H3103">
        <v>28528</v>
      </c>
      <c r="I3103">
        <v>2</v>
      </c>
      <c r="J3103">
        <v>-0.24</v>
      </c>
      <c r="K3103">
        <v>1.3</v>
      </c>
      <c r="L3103">
        <v>15.58</v>
      </c>
      <c r="M3103">
        <v>15.9</v>
      </c>
      <c r="N3103">
        <v>15.42</v>
      </c>
      <c r="O3103">
        <v>15.49</v>
      </c>
      <c r="P3103">
        <v>192.18</v>
      </c>
      <c r="Q3103">
        <v>44855568</v>
      </c>
      <c r="R3103">
        <v>1.06</v>
      </c>
      <c r="S3103" t="s">
        <v>218</v>
      </c>
      <c r="T3103" t="s">
        <v>149</v>
      </c>
      <c r="U3103">
        <v>3.1</v>
      </c>
      <c r="V3103">
        <v>15.72</v>
      </c>
      <c r="W3103">
        <v>13359</v>
      </c>
      <c r="X3103">
        <v>15169</v>
      </c>
      <c r="Y3103">
        <v>0.88</v>
      </c>
      <c r="Z3103">
        <v>5</v>
      </c>
      <c r="AA3103">
        <v>16</v>
      </c>
      <c r="AB3103" t="s">
        <v>32</v>
      </c>
      <c r="AC3103">
        <v>2.2</v>
      </c>
    </row>
    <row r="3104" spans="1:29">
      <c r="A3104" t="str">
        <f>"603011"</f>
        <v>603011</v>
      </c>
      <c r="B3104" t="s">
        <v>3274</v>
      </c>
      <c r="C3104">
        <v>1.94</v>
      </c>
      <c r="D3104">
        <v>5.79</v>
      </c>
      <c r="E3104">
        <v>0.11</v>
      </c>
      <c r="F3104">
        <v>5.79</v>
      </c>
      <c r="G3104">
        <v>5.8</v>
      </c>
      <c r="H3104">
        <v>74465</v>
      </c>
      <c r="I3104">
        <v>28</v>
      </c>
      <c r="J3104">
        <v>0.35</v>
      </c>
      <c r="K3104">
        <v>1.81</v>
      </c>
      <c r="L3104">
        <v>5.64</v>
      </c>
      <c r="M3104">
        <v>5.84</v>
      </c>
      <c r="N3104">
        <v>5.6</v>
      </c>
      <c r="O3104">
        <v>5.68</v>
      </c>
      <c r="P3104">
        <v>53.51</v>
      </c>
      <c r="Q3104">
        <v>42682576</v>
      </c>
      <c r="R3104">
        <v>1.21</v>
      </c>
      <c r="S3104" t="s">
        <v>179</v>
      </c>
      <c r="T3104" t="s">
        <v>143</v>
      </c>
      <c r="U3104">
        <v>4.23</v>
      </c>
      <c r="V3104">
        <v>5.73</v>
      </c>
      <c r="W3104">
        <v>31342</v>
      </c>
      <c r="X3104">
        <v>43123</v>
      </c>
      <c r="Y3104">
        <v>0.73</v>
      </c>
      <c r="Z3104">
        <v>190</v>
      </c>
      <c r="AA3104">
        <v>777</v>
      </c>
      <c r="AB3104" t="s">
        <v>32</v>
      </c>
      <c r="AC3104">
        <v>4.12</v>
      </c>
    </row>
    <row r="3105" spans="1:29">
      <c r="A3105" t="str">
        <f>"603012"</f>
        <v>603012</v>
      </c>
      <c r="B3105" t="s">
        <v>3275</v>
      </c>
      <c r="C3105">
        <v>0.94</v>
      </c>
      <c r="D3105">
        <v>6.42</v>
      </c>
      <c r="E3105">
        <v>0.06</v>
      </c>
      <c r="F3105">
        <v>6.41</v>
      </c>
      <c r="G3105">
        <v>6.42</v>
      </c>
      <c r="H3105">
        <v>16776</v>
      </c>
      <c r="I3105">
        <v>76</v>
      </c>
      <c r="J3105">
        <v>-0.15</v>
      </c>
      <c r="K3105">
        <v>0.26</v>
      </c>
      <c r="L3105">
        <v>6.37</v>
      </c>
      <c r="M3105">
        <v>6.52</v>
      </c>
      <c r="N3105">
        <v>6.32</v>
      </c>
      <c r="O3105">
        <v>6.36</v>
      </c>
      <c r="P3105">
        <v>30.85</v>
      </c>
      <c r="Q3105">
        <v>10786382</v>
      </c>
      <c r="R3105">
        <v>1.18</v>
      </c>
      <c r="S3105" t="s">
        <v>171</v>
      </c>
      <c r="T3105" t="s">
        <v>366</v>
      </c>
      <c r="U3105">
        <v>3.14</v>
      </c>
      <c r="V3105">
        <v>6.43</v>
      </c>
      <c r="W3105">
        <v>8643</v>
      </c>
      <c r="X3105">
        <v>8132</v>
      </c>
      <c r="Y3105">
        <v>1.06</v>
      </c>
      <c r="Z3105">
        <v>518</v>
      </c>
      <c r="AA3105">
        <v>81</v>
      </c>
      <c r="AB3105" t="s">
        <v>32</v>
      </c>
      <c r="AC3105">
        <v>6.37</v>
      </c>
    </row>
    <row r="3106" spans="1:29">
      <c r="A3106" t="str">
        <f>"603013"</f>
        <v>603013</v>
      </c>
      <c r="B3106" t="s">
        <v>3276</v>
      </c>
      <c r="C3106">
        <v>2.92</v>
      </c>
      <c r="D3106">
        <v>29.29</v>
      </c>
      <c r="E3106">
        <v>0.83</v>
      </c>
      <c r="F3106">
        <v>29.28</v>
      </c>
      <c r="G3106">
        <v>29.29</v>
      </c>
      <c r="H3106">
        <v>64202</v>
      </c>
      <c r="I3106">
        <v>21</v>
      </c>
      <c r="J3106">
        <v>0.14</v>
      </c>
      <c r="K3106">
        <v>10.7</v>
      </c>
      <c r="L3106">
        <v>28.47</v>
      </c>
      <c r="M3106">
        <v>29.4</v>
      </c>
      <c r="N3106">
        <v>28.13</v>
      </c>
      <c r="O3106">
        <v>28.46</v>
      </c>
      <c r="P3106">
        <v>51.81</v>
      </c>
      <c r="Q3106">
        <v>185746832</v>
      </c>
      <c r="R3106">
        <v>0.91</v>
      </c>
      <c r="S3106" t="s">
        <v>80</v>
      </c>
      <c r="T3106" t="s">
        <v>87</v>
      </c>
      <c r="U3106">
        <v>4.46</v>
      </c>
      <c r="V3106">
        <v>28.93</v>
      </c>
      <c r="W3106">
        <v>29152</v>
      </c>
      <c r="X3106">
        <v>35050</v>
      </c>
      <c r="Y3106">
        <v>0.83</v>
      </c>
      <c r="Z3106">
        <v>92</v>
      </c>
      <c r="AA3106">
        <v>46</v>
      </c>
      <c r="AB3106" t="s">
        <v>32</v>
      </c>
      <c r="AC3106">
        <v>0.6</v>
      </c>
    </row>
    <row r="3107" spans="1:29">
      <c r="A3107" t="str">
        <f>"603015"</f>
        <v>603015</v>
      </c>
      <c r="B3107" t="s">
        <v>3277</v>
      </c>
      <c r="C3107">
        <v>1.38</v>
      </c>
      <c r="D3107">
        <v>7.34</v>
      </c>
      <c r="E3107">
        <v>0.1</v>
      </c>
      <c r="F3107">
        <v>7.34</v>
      </c>
      <c r="G3107">
        <v>7.35</v>
      </c>
      <c r="H3107">
        <v>25995</v>
      </c>
      <c r="I3107">
        <v>10</v>
      </c>
      <c r="J3107">
        <v>0</v>
      </c>
      <c r="K3107">
        <v>0.65</v>
      </c>
      <c r="L3107">
        <v>7.24</v>
      </c>
      <c r="M3107">
        <v>7.37</v>
      </c>
      <c r="N3107">
        <v>7.2</v>
      </c>
      <c r="O3107">
        <v>7.24</v>
      </c>
      <c r="P3107">
        <v>29.01</v>
      </c>
      <c r="Q3107">
        <v>19004658</v>
      </c>
      <c r="R3107">
        <v>1.57</v>
      </c>
      <c r="S3107" t="s">
        <v>104</v>
      </c>
      <c r="T3107" t="s">
        <v>149</v>
      </c>
      <c r="U3107">
        <v>2.35</v>
      </c>
      <c r="V3107">
        <v>7.31</v>
      </c>
      <c r="W3107">
        <v>12996</v>
      </c>
      <c r="X3107">
        <v>12998</v>
      </c>
      <c r="Y3107">
        <v>1</v>
      </c>
      <c r="Z3107">
        <v>220</v>
      </c>
      <c r="AA3107">
        <v>276</v>
      </c>
      <c r="AB3107" t="s">
        <v>32</v>
      </c>
      <c r="AC3107">
        <v>4.02</v>
      </c>
    </row>
    <row r="3108" spans="1:29">
      <c r="A3108" t="str">
        <f>"603016"</f>
        <v>603016</v>
      </c>
      <c r="B3108" t="s">
        <v>3278</v>
      </c>
      <c r="C3108">
        <v>0</v>
      </c>
      <c r="D3108">
        <v>21.54</v>
      </c>
      <c r="E3108">
        <v>0</v>
      </c>
      <c r="F3108" t="s">
        <v>32</v>
      </c>
      <c r="G3108" t="s">
        <v>32</v>
      </c>
      <c r="H3108">
        <v>0</v>
      </c>
      <c r="I3108">
        <v>0</v>
      </c>
      <c r="J3108">
        <v>0</v>
      </c>
      <c r="K3108">
        <v>0</v>
      </c>
      <c r="L3108" t="s">
        <v>32</v>
      </c>
      <c r="M3108" t="s">
        <v>32</v>
      </c>
      <c r="N3108" t="s">
        <v>32</v>
      </c>
      <c r="O3108">
        <v>21.54</v>
      </c>
      <c r="P3108">
        <v>59.01</v>
      </c>
      <c r="Q3108">
        <v>0</v>
      </c>
      <c r="R3108">
        <v>0</v>
      </c>
      <c r="S3108" t="s">
        <v>104</v>
      </c>
      <c r="T3108" t="s">
        <v>87</v>
      </c>
      <c r="U3108">
        <v>0</v>
      </c>
      <c r="V3108">
        <v>21.54</v>
      </c>
      <c r="W3108">
        <v>0</v>
      </c>
      <c r="X3108">
        <v>0</v>
      </c>
      <c r="Y3108" t="s">
        <v>32</v>
      </c>
      <c r="Z3108">
        <v>0</v>
      </c>
      <c r="AA3108">
        <v>0</v>
      </c>
      <c r="AB3108" t="s">
        <v>32</v>
      </c>
      <c r="AC3108">
        <v>0.7</v>
      </c>
    </row>
    <row r="3109" spans="1:29">
      <c r="A3109" t="str">
        <f>"603017"</f>
        <v>603017</v>
      </c>
      <c r="B3109" t="s">
        <v>3279</v>
      </c>
      <c r="C3109">
        <v>2.35</v>
      </c>
      <c r="D3109">
        <v>10.46</v>
      </c>
      <c r="E3109">
        <v>0.24</v>
      </c>
      <c r="F3109">
        <v>10.45</v>
      </c>
      <c r="G3109">
        <v>10.46</v>
      </c>
      <c r="H3109">
        <v>17041</v>
      </c>
      <c r="I3109">
        <v>43</v>
      </c>
      <c r="J3109">
        <v>-0.37</v>
      </c>
      <c r="K3109">
        <v>0.62</v>
      </c>
      <c r="L3109">
        <v>10.22</v>
      </c>
      <c r="M3109">
        <v>10.6</v>
      </c>
      <c r="N3109">
        <v>10.15</v>
      </c>
      <c r="O3109">
        <v>10.22</v>
      </c>
      <c r="P3109">
        <v>35.36</v>
      </c>
      <c r="Q3109">
        <v>17858548</v>
      </c>
      <c r="R3109">
        <v>1.11</v>
      </c>
      <c r="S3109" t="s">
        <v>49</v>
      </c>
      <c r="T3109" t="s">
        <v>87</v>
      </c>
      <c r="U3109">
        <v>4.4</v>
      </c>
      <c r="V3109">
        <v>10.48</v>
      </c>
      <c r="W3109">
        <v>9484</v>
      </c>
      <c r="X3109">
        <v>7557</v>
      </c>
      <c r="Y3109">
        <v>1.25</v>
      </c>
      <c r="Z3109">
        <v>69</v>
      </c>
      <c r="AA3109">
        <v>16</v>
      </c>
      <c r="AB3109" t="s">
        <v>32</v>
      </c>
      <c r="AC3109">
        <v>2.75</v>
      </c>
    </row>
    <row r="3110" spans="1:29">
      <c r="A3110" t="str">
        <f>"603018"</f>
        <v>603018</v>
      </c>
      <c r="B3110" t="s">
        <v>3280</v>
      </c>
      <c r="C3110">
        <v>10.03</v>
      </c>
      <c r="D3110">
        <v>17.56</v>
      </c>
      <c r="E3110">
        <v>1.6</v>
      </c>
      <c r="F3110">
        <v>17.56</v>
      </c>
      <c r="G3110" t="s">
        <v>32</v>
      </c>
      <c r="H3110">
        <v>74259</v>
      </c>
      <c r="I3110">
        <v>10</v>
      </c>
      <c r="J3110">
        <v>0</v>
      </c>
      <c r="K3110">
        <v>2.4</v>
      </c>
      <c r="L3110">
        <v>16.42</v>
      </c>
      <c r="M3110">
        <v>17.56</v>
      </c>
      <c r="N3110">
        <v>16.42</v>
      </c>
      <c r="O3110">
        <v>15.96</v>
      </c>
      <c r="P3110">
        <v>23.25</v>
      </c>
      <c r="Q3110">
        <v>129047408</v>
      </c>
      <c r="R3110">
        <v>4.69</v>
      </c>
      <c r="S3110" t="s">
        <v>49</v>
      </c>
      <c r="T3110" t="s">
        <v>87</v>
      </c>
      <c r="U3110">
        <v>7.14</v>
      </c>
      <c r="V3110">
        <v>17.38</v>
      </c>
      <c r="W3110">
        <v>45597</v>
      </c>
      <c r="X3110">
        <v>28661</v>
      </c>
      <c r="Y3110">
        <v>1.59</v>
      </c>
      <c r="Z3110">
        <v>2977</v>
      </c>
      <c r="AA3110">
        <v>0</v>
      </c>
      <c r="AB3110" t="s">
        <v>32</v>
      </c>
      <c r="AC3110">
        <v>3.09</v>
      </c>
    </row>
    <row r="3111" spans="1:29">
      <c r="A3111" t="str">
        <f>"603019"</f>
        <v>603019</v>
      </c>
      <c r="B3111" t="s">
        <v>3281</v>
      </c>
      <c r="C3111">
        <v>-0.2</v>
      </c>
      <c r="D3111">
        <v>53.81</v>
      </c>
      <c r="E3111">
        <v>-0.11</v>
      </c>
      <c r="F3111">
        <v>53.79</v>
      </c>
      <c r="G3111">
        <v>53.8</v>
      </c>
      <c r="H3111">
        <v>167251</v>
      </c>
      <c r="I3111">
        <v>18</v>
      </c>
      <c r="J3111">
        <v>-0.16</v>
      </c>
      <c r="K3111">
        <v>2.6</v>
      </c>
      <c r="L3111">
        <v>53.95</v>
      </c>
      <c r="M3111">
        <v>54.5</v>
      </c>
      <c r="N3111">
        <v>52.66</v>
      </c>
      <c r="O3111">
        <v>53.92</v>
      </c>
      <c r="P3111">
        <v>379.3</v>
      </c>
      <c r="Q3111">
        <v>896173440</v>
      </c>
      <c r="R3111">
        <v>0.73</v>
      </c>
      <c r="S3111" t="s">
        <v>65</v>
      </c>
      <c r="T3111" t="s">
        <v>248</v>
      </c>
      <c r="U3111">
        <v>3.41</v>
      </c>
      <c r="V3111">
        <v>53.58</v>
      </c>
      <c r="W3111">
        <v>84206</v>
      </c>
      <c r="X3111">
        <v>83045</v>
      </c>
      <c r="Y3111">
        <v>1.01</v>
      </c>
      <c r="Z3111">
        <v>103</v>
      </c>
      <c r="AA3111">
        <v>2</v>
      </c>
      <c r="AB3111" t="s">
        <v>32</v>
      </c>
      <c r="AC3111">
        <v>6.43</v>
      </c>
    </row>
    <row r="3112" spans="1:29">
      <c r="A3112" t="str">
        <f>"603020"</f>
        <v>603020</v>
      </c>
      <c r="B3112" t="s">
        <v>3282</v>
      </c>
      <c r="C3112">
        <v>1.22</v>
      </c>
      <c r="D3112">
        <v>9.15</v>
      </c>
      <c r="E3112">
        <v>0.11</v>
      </c>
      <c r="F3112">
        <v>9.14</v>
      </c>
      <c r="G3112">
        <v>9.16</v>
      </c>
      <c r="H3112">
        <v>28211</v>
      </c>
      <c r="I3112">
        <v>278</v>
      </c>
      <c r="J3112">
        <v>-0.21</v>
      </c>
      <c r="K3112">
        <v>0.88</v>
      </c>
      <c r="L3112">
        <v>9.03</v>
      </c>
      <c r="M3112">
        <v>9.18</v>
      </c>
      <c r="N3112">
        <v>8.96</v>
      </c>
      <c r="O3112">
        <v>9.04</v>
      </c>
      <c r="P3112">
        <v>27.81</v>
      </c>
      <c r="Q3112">
        <v>25758512</v>
      </c>
      <c r="R3112">
        <v>2.35</v>
      </c>
      <c r="S3112" t="s">
        <v>213</v>
      </c>
      <c r="T3112" t="s">
        <v>366</v>
      </c>
      <c r="U3112">
        <v>2.43</v>
      </c>
      <c r="V3112">
        <v>9.13</v>
      </c>
      <c r="W3112">
        <v>17583</v>
      </c>
      <c r="X3112">
        <v>10628</v>
      </c>
      <c r="Y3112">
        <v>1.65</v>
      </c>
      <c r="Z3112">
        <v>217</v>
      </c>
      <c r="AA3112">
        <v>95</v>
      </c>
      <c r="AB3112" t="s">
        <v>32</v>
      </c>
      <c r="AC3112">
        <v>3.2</v>
      </c>
    </row>
    <row r="3113" spans="1:29">
      <c r="A3113" t="str">
        <f>"603021"</f>
        <v>603021</v>
      </c>
      <c r="B3113" t="s">
        <v>3283</v>
      </c>
      <c r="C3113">
        <v>-2.04</v>
      </c>
      <c r="D3113">
        <v>8.15</v>
      </c>
      <c r="E3113">
        <v>-0.17</v>
      </c>
      <c r="F3113">
        <v>8.15</v>
      </c>
      <c r="G3113">
        <v>8.16</v>
      </c>
      <c r="H3113">
        <v>49539</v>
      </c>
      <c r="I3113">
        <v>4</v>
      </c>
      <c r="J3113">
        <v>-0.11</v>
      </c>
      <c r="K3113">
        <v>1.57</v>
      </c>
      <c r="L3113">
        <v>8.15</v>
      </c>
      <c r="M3113">
        <v>8.29</v>
      </c>
      <c r="N3113">
        <v>8.03</v>
      </c>
      <c r="O3113">
        <v>8.32</v>
      </c>
      <c r="P3113">
        <v>246.84</v>
      </c>
      <c r="Q3113">
        <v>40293236</v>
      </c>
      <c r="R3113">
        <v>1.26</v>
      </c>
      <c r="S3113" t="s">
        <v>52</v>
      </c>
      <c r="T3113" t="s">
        <v>162</v>
      </c>
      <c r="U3113">
        <v>3.13</v>
      </c>
      <c r="V3113">
        <v>8.13</v>
      </c>
      <c r="W3113">
        <v>31566</v>
      </c>
      <c r="X3113">
        <v>17973</v>
      </c>
      <c r="Y3113">
        <v>1.76</v>
      </c>
      <c r="Z3113">
        <v>21</v>
      </c>
      <c r="AA3113">
        <v>145</v>
      </c>
      <c r="AB3113" t="s">
        <v>32</v>
      </c>
      <c r="AC3113">
        <v>3.16</v>
      </c>
    </row>
    <row r="3114" spans="1:29">
      <c r="A3114" t="str">
        <f>"603022"</f>
        <v>603022</v>
      </c>
      <c r="B3114" t="s">
        <v>3284</v>
      </c>
      <c r="C3114">
        <v>0.36</v>
      </c>
      <c r="D3114">
        <v>8.41</v>
      </c>
      <c r="E3114">
        <v>0.03</v>
      </c>
      <c r="F3114">
        <v>8.4</v>
      </c>
      <c r="G3114">
        <v>8.41</v>
      </c>
      <c r="H3114">
        <v>28513</v>
      </c>
      <c r="I3114">
        <v>20</v>
      </c>
      <c r="J3114">
        <v>0.12</v>
      </c>
      <c r="K3114">
        <v>1.43</v>
      </c>
      <c r="L3114">
        <v>8.27</v>
      </c>
      <c r="M3114">
        <v>8.42</v>
      </c>
      <c r="N3114">
        <v>8.16</v>
      </c>
      <c r="O3114">
        <v>8.38</v>
      </c>
      <c r="P3114">
        <v>61.96</v>
      </c>
      <c r="Q3114">
        <v>23712934</v>
      </c>
      <c r="R3114">
        <v>1.83</v>
      </c>
      <c r="S3114" t="s">
        <v>91</v>
      </c>
      <c r="T3114" t="s">
        <v>366</v>
      </c>
      <c r="U3114">
        <v>3.1</v>
      </c>
      <c r="V3114">
        <v>8.32</v>
      </c>
      <c r="W3114">
        <v>12725</v>
      </c>
      <c r="X3114">
        <v>15788</v>
      </c>
      <c r="Y3114">
        <v>0.81</v>
      </c>
      <c r="Z3114">
        <v>51</v>
      </c>
      <c r="AA3114">
        <v>6</v>
      </c>
      <c r="AB3114" t="s">
        <v>32</v>
      </c>
      <c r="AC3114">
        <v>2</v>
      </c>
    </row>
    <row r="3115" spans="1:29">
      <c r="A3115" t="str">
        <f>"603023"</f>
        <v>603023</v>
      </c>
      <c r="B3115" t="s">
        <v>3285</v>
      </c>
      <c r="C3115">
        <v>0.85</v>
      </c>
      <c r="D3115">
        <v>5.95</v>
      </c>
      <c r="E3115">
        <v>0.05</v>
      </c>
      <c r="F3115">
        <v>5.94</v>
      </c>
      <c r="G3115">
        <v>5.95</v>
      </c>
      <c r="H3115">
        <v>15949</v>
      </c>
      <c r="I3115">
        <v>34</v>
      </c>
      <c r="J3115">
        <v>-0.16</v>
      </c>
      <c r="K3115">
        <v>0.44</v>
      </c>
      <c r="L3115">
        <v>5.86</v>
      </c>
      <c r="M3115">
        <v>5.98</v>
      </c>
      <c r="N3115">
        <v>5.82</v>
      </c>
      <c r="O3115">
        <v>5.9</v>
      </c>
      <c r="P3115">
        <v>32.23</v>
      </c>
      <c r="Q3115">
        <v>9445972</v>
      </c>
      <c r="R3115">
        <v>1.11</v>
      </c>
      <c r="S3115" t="s">
        <v>80</v>
      </c>
      <c r="T3115" t="s">
        <v>297</v>
      </c>
      <c r="U3115">
        <v>2.71</v>
      </c>
      <c r="V3115">
        <v>5.92</v>
      </c>
      <c r="W3115">
        <v>6929</v>
      </c>
      <c r="X3115">
        <v>9019</v>
      </c>
      <c r="Y3115">
        <v>0.77</v>
      </c>
      <c r="Z3115">
        <v>150</v>
      </c>
      <c r="AA3115">
        <v>26</v>
      </c>
      <c r="AB3115" t="s">
        <v>32</v>
      </c>
      <c r="AC3115">
        <v>3.6</v>
      </c>
    </row>
    <row r="3116" spans="1:29">
      <c r="A3116" t="str">
        <f>"603025"</f>
        <v>603025</v>
      </c>
      <c r="B3116" t="s">
        <v>3286</v>
      </c>
      <c r="C3116">
        <v>1.25</v>
      </c>
      <c r="D3116">
        <v>21.14</v>
      </c>
      <c r="E3116">
        <v>0.26</v>
      </c>
      <c r="F3116">
        <v>21.13</v>
      </c>
      <c r="G3116">
        <v>21.14</v>
      </c>
      <c r="H3116">
        <v>15329</v>
      </c>
      <c r="I3116">
        <v>5</v>
      </c>
      <c r="J3116">
        <v>-0.27</v>
      </c>
      <c r="K3116">
        <v>0.24</v>
      </c>
      <c r="L3116">
        <v>20.88</v>
      </c>
      <c r="M3116">
        <v>21.29</v>
      </c>
      <c r="N3116">
        <v>20.67</v>
      </c>
      <c r="O3116">
        <v>20.88</v>
      </c>
      <c r="P3116">
        <v>34.48</v>
      </c>
      <c r="Q3116">
        <v>32419380</v>
      </c>
      <c r="R3116">
        <v>1.01</v>
      </c>
      <c r="S3116" t="s">
        <v>65</v>
      </c>
      <c r="T3116" t="s">
        <v>45</v>
      </c>
      <c r="U3116">
        <v>2.97</v>
      </c>
      <c r="V3116">
        <v>21.15</v>
      </c>
      <c r="W3116">
        <v>6156</v>
      </c>
      <c r="X3116">
        <v>9172</v>
      </c>
      <c r="Y3116">
        <v>0.67</v>
      </c>
      <c r="Z3116">
        <v>60</v>
      </c>
      <c r="AA3116">
        <v>4</v>
      </c>
      <c r="AB3116" t="s">
        <v>32</v>
      </c>
      <c r="AC3116">
        <v>6.27</v>
      </c>
    </row>
    <row r="3117" spans="1:29">
      <c r="A3117" t="str">
        <f>"603026"</f>
        <v>603026</v>
      </c>
      <c r="B3117" t="s">
        <v>3287</v>
      </c>
      <c r="C3117">
        <v>-0.62</v>
      </c>
      <c r="D3117">
        <v>24.09</v>
      </c>
      <c r="E3117">
        <v>-0.15</v>
      </c>
      <c r="F3117">
        <v>24.1</v>
      </c>
      <c r="G3117">
        <v>24.11</v>
      </c>
      <c r="H3117">
        <v>47373</v>
      </c>
      <c r="I3117">
        <v>16</v>
      </c>
      <c r="J3117">
        <v>0</v>
      </c>
      <c r="K3117">
        <v>2.34</v>
      </c>
      <c r="L3117">
        <v>24.09</v>
      </c>
      <c r="M3117">
        <v>24.23</v>
      </c>
      <c r="N3117">
        <v>23.8</v>
      </c>
      <c r="O3117">
        <v>24.24</v>
      </c>
      <c r="P3117">
        <v>18.2</v>
      </c>
      <c r="Q3117">
        <v>113848464</v>
      </c>
      <c r="R3117">
        <v>0.85</v>
      </c>
      <c r="S3117" t="s">
        <v>218</v>
      </c>
      <c r="T3117" t="s">
        <v>162</v>
      </c>
      <c r="U3117">
        <v>1.77</v>
      </c>
      <c r="V3117">
        <v>24.03</v>
      </c>
      <c r="W3117">
        <v>25504</v>
      </c>
      <c r="X3117">
        <v>21868</v>
      </c>
      <c r="Y3117">
        <v>1.17</v>
      </c>
      <c r="Z3117">
        <v>21</v>
      </c>
      <c r="AA3117">
        <v>76</v>
      </c>
      <c r="AB3117" t="s">
        <v>32</v>
      </c>
      <c r="AC3117">
        <v>2.03</v>
      </c>
    </row>
    <row r="3118" spans="1:29">
      <c r="A3118" t="str">
        <f>"603027"</f>
        <v>603027</v>
      </c>
      <c r="B3118" t="s">
        <v>3288</v>
      </c>
      <c r="C3118">
        <v>3.97</v>
      </c>
      <c r="D3118">
        <v>23.33</v>
      </c>
      <c r="E3118">
        <v>0.89</v>
      </c>
      <c r="F3118">
        <v>23.32</v>
      </c>
      <c r="G3118">
        <v>23.35</v>
      </c>
      <c r="H3118">
        <v>79294</v>
      </c>
      <c r="I3118">
        <v>4</v>
      </c>
      <c r="J3118">
        <v>1</v>
      </c>
      <c r="K3118">
        <v>5.95</v>
      </c>
      <c r="L3118">
        <v>22.19</v>
      </c>
      <c r="M3118">
        <v>23.38</v>
      </c>
      <c r="N3118">
        <v>22.13</v>
      </c>
      <c r="O3118">
        <v>22.44</v>
      </c>
      <c r="P3118">
        <v>17.29</v>
      </c>
      <c r="Q3118">
        <v>180447824</v>
      </c>
      <c r="R3118">
        <v>1.39</v>
      </c>
      <c r="S3118" t="s">
        <v>213</v>
      </c>
      <c r="T3118" t="s">
        <v>146</v>
      </c>
      <c r="U3118">
        <v>5.57</v>
      </c>
      <c r="V3118">
        <v>22.76</v>
      </c>
      <c r="W3118">
        <v>32969</v>
      </c>
      <c r="X3118">
        <v>46325</v>
      </c>
      <c r="Y3118">
        <v>0.71</v>
      </c>
      <c r="Z3118">
        <v>39</v>
      </c>
      <c r="AA3118">
        <v>15</v>
      </c>
      <c r="AB3118" t="s">
        <v>32</v>
      </c>
      <c r="AC3118">
        <v>1.33</v>
      </c>
    </row>
    <row r="3119" spans="1:29">
      <c r="A3119" t="str">
        <f>"603028"</f>
        <v>603028</v>
      </c>
      <c r="B3119" t="s">
        <v>3289</v>
      </c>
      <c r="C3119">
        <v>1.79</v>
      </c>
      <c r="D3119">
        <v>7.94</v>
      </c>
      <c r="E3119">
        <v>0.14</v>
      </c>
      <c r="F3119">
        <v>7.93</v>
      </c>
      <c r="G3119">
        <v>7.94</v>
      </c>
      <c r="H3119">
        <v>20676</v>
      </c>
      <c r="I3119">
        <v>3</v>
      </c>
      <c r="J3119">
        <v>0.76</v>
      </c>
      <c r="K3119">
        <v>1.79</v>
      </c>
      <c r="L3119">
        <v>7.85</v>
      </c>
      <c r="M3119">
        <v>8.07</v>
      </c>
      <c r="N3119">
        <v>7.77</v>
      </c>
      <c r="O3119">
        <v>7.8</v>
      </c>
      <c r="P3119">
        <v>97.06</v>
      </c>
      <c r="Q3119">
        <v>16388766</v>
      </c>
      <c r="R3119">
        <v>1.35</v>
      </c>
      <c r="S3119" t="s">
        <v>449</v>
      </c>
      <c r="T3119" t="s">
        <v>87</v>
      </c>
      <c r="U3119">
        <v>3.85</v>
      </c>
      <c r="V3119">
        <v>7.93</v>
      </c>
      <c r="W3119">
        <v>9632</v>
      </c>
      <c r="X3119">
        <v>11044</v>
      </c>
      <c r="Y3119">
        <v>0.87</v>
      </c>
      <c r="Z3119">
        <v>259</v>
      </c>
      <c r="AA3119">
        <v>2</v>
      </c>
      <c r="AB3119" t="s">
        <v>32</v>
      </c>
      <c r="AC3119">
        <v>1.16</v>
      </c>
    </row>
    <row r="3120" spans="1:29">
      <c r="A3120" t="str">
        <f>"603029"</f>
        <v>603029</v>
      </c>
      <c r="B3120" t="s">
        <v>3290</v>
      </c>
      <c r="C3120">
        <v>1.1</v>
      </c>
      <c r="D3120">
        <v>16.49</v>
      </c>
      <c r="E3120">
        <v>0.18</v>
      </c>
      <c r="F3120">
        <v>16.5</v>
      </c>
      <c r="G3120">
        <v>16.51</v>
      </c>
      <c r="H3120">
        <v>9133</v>
      </c>
      <c r="I3120">
        <v>5</v>
      </c>
      <c r="J3120">
        <v>0.06</v>
      </c>
      <c r="K3120">
        <v>2.5</v>
      </c>
      <c r="L3120">
        <v>16.25</v>
      </c>
      <c r="M3120">
        <v>16.57</v>
      </c>
      <c r="N3120">
        <v>16.25</v>
      </c>
      <c r="O3120">
        <v>16.31</v>
      </c>
      <c r="P3120">
        <v>431.96</v>
      </c>
      <c r="Q3120">
        <v>15020058</v>
      </c>
      <c r="R3120">
        <v>0.6</v>
      </c>
      <c r="S3120" t="s">
        <v>481</v>
      </c>
      <c r="T3120" t="s">
        <v>162</v>
      </c>
      <c r="U3120">
        <v>1.96</v>
      </c>
      <c r="V3120">
        <v>16.45</v>
      </c>
      <c r="W3120">
        <v>4155</v>
      </c>
      <c r="X3120">
        <v>4978</v>
      </c>
      <c r="Y3120">
        <v>0.83</v>
      </c>
      <c r="Z3120">
        <v>11</v>
      </c>
      <c r="AA3120">
        <v>105</v>
      </c>
      <c r="AB3120" t="s">
        <v>32</v>
      </c>
      <c r="AC3120">
        <v>0.37</v>
      </c>
    </row>
    <row r="3121" spans="1:29">
      <c r="A3121" t="str">
        <f>"603030"</f>
        <v>603030</v>
      </c>
      <c r="B3121" t="s">
        <v>3291</v>
      </c>
      <c r="C3121">
        <v>2.95</v>
      </c>
      <c r="D3121">
        <v>6.97</v>
      </c>
      <c r="E3121">
        <v>0.2</v>
      </c>
      <c r="F3121">
        <v>6.96</v>
      </c>
      <c r="G3121">
        <v>6.97</v>
      </c>
      <c r="H3121">
        <v>37577</v>
      </c>
      <c r="I3121">
        <v>10</v>
      </c>
      <c r="J3121">
        <v>0.14</v>
      </c>
      <c r="K3121">
        <v>0.7</v>
      </c>
      <c r="L3121">
        <v>6.77</v>
      </c>
      <c r="M3121">
        <v>7.22</v>
      </c>
      <c r="N3121">
        <v>6.74</v>
      </c>
      <c r="O3121">
        <v>6.77</v>
      </c>
      <c r="P3121">
        <v>24.74</v>
      </c>
      <c r="Q3121">
        <v>26316788</v>
      </c>
      <c r="R3121">
        <v>1.28</v>
      </c>
      <c r="S3121" t="s">
        <v>59</v>
      </c>
      <c r="T3121" t="s">
        <v>366</v>
      </c>
      <c r="U3121">
        <v>7.09</v>
      </c>
      <c r="V3121">
        <v>7</v>
      </c>
      <c r="W3121">
        <v>21233</v>
      </c>
      <c r="X3121">
        <v>16343</v>
      </c>
      <c r="Y3121">
        <v>1.3</v>
      </c>
      <c r="Z3121">
        <v>16</v>
      </c>
      <c r="AA3121">
        <v>137</v>
      </c>
      <c r="AB3121" t="s">
        <v>32</v>
      </c>
      <c r="AC3121">
        <v>5.34</v>
      </c>
    </row>
    <row r="3122" spans="1:29">
      <c r="A3122" t="str">
        <f>"603031"</f>
        <v>603031</v>
      </c>
      <c r="B3122" t="s">
        <v>3292</v>
      </c>
      <c r="C3122">
        <v>1.7</v>
      </c>
      <c r="D3122">
        <v>13.13</v>
      </c>
      <c r="E3122">
        <v>0.22</v>
      </c>
      <c r="F3122">
        <v>13.12</v>
      </c>
      <c r="G3122">
        <v>13.13</v>
      </c>
      <c r="H3122">
        <v>18074</v>
      </c>
      <c r="I3122">
        <v>115</v>
      </c>
      <c r="J3122">
        <v>0.31</v>
      </c>
      <c r="K3122">
        <v>3.24</v>
      </c>
      <c r="L3122">
        <v>12.94</v>
      </c>
      <c r="M3122">
        <v>13.15</v>
      </c>
      <c r="N3122">
        <v>12.85</v>
      </c>
      <c r="O3122">
        <v>12.91</v>
      </c>
      <c r="P3122">
        <v>65.74</v>
      </c>
      <c r="Q3122">
        <v>23550428</v>
      </c>
      <c r="R3122">
        <v>1.48</v>
      </c>
      <c r="S3122" t="s">
        <v>186</v>
      </c>
      <c r="T3122" t="s">
        <v>143</v>
      </c>
      <c r="U3122">
        <v>2.32</v>
      </c>
      <c r="V3122">
        <v>13.03</v>
      </c>
      <c r="W3122">
        <v>8155</v>
      </c>
      <c r="X3122">
        <v>9919</v>
      </c>
      <c r="Y3122">
        <v>0.82</v>
      </c>
      <c r="Z3122">
        <v>70</v>
      </c>
      <c r="AA3122">
        <v>23</v>
      </c>
      <c r="AB3122" t="s">
        <v>32</v>
      </c>
      <c r="AC3122">
        <v>0.56</v>
      </c>
    </row>
    <row r="3123" spans="1:29">
      <c r="A3123" t="str">
        <f>"603032"</f>
        <v>603032</v>
      </c>
      <c r="B3123" t="s">
        <v>3293</v>
      </c>
      <c r="C3123">
        <v>0</v>
      </c>
      <c r="D3123">
        <v>14.12</v>
      </c>
      <c r="E3123">
        <v>0</v>
      </c>
      <c r="F3123" t="s">
        <v>32</v>
      </c>
      <c r="G3123" t="s">
        <v>32</v>
      </c>
      <c r="H3123">
        <v>0</v>
      </c>
      <c r="I3123">
        <v>0</v>
      </c>
      <c r="J3123">
        <v>0</v>
      </c>
      <c r="K3123">
        <v>0</v>
      </c>
      <c r="L3123" t="s">
        <v>32</v>
      </c>
      <c r="M3123" t="s">
        <v>32</v>
      </c>
      <c r="N3123" t="s">
        <v>32</v>
      </c>
      <c r="O3123">
        <v>14.12</v>
      </c>
      <c r="P3123">
        <v>3561.34</v>
      </c>
      <c r="Q3123">
        <v>0</v>
      </c>
      <c r="R3123">
        <v>0</v>
      </c>
      <c r="S3123" t="s">
        <v>983</v>
      </c>
      <c r="T3123" t="s">
        <v>156</v>
      </c>
      <c r="U3123">
        <v>0</v>
      </c>
      <c r="V3123">
        <v>14.12</v>
      </c>
      <c r="W3123">
        <v>0</v>
      </c>
      <c r="X3123">
        <v>0</v>
      </c>
      <c r="Y3123" t="s">
        <v>32</v>
      </c>
      <c r="Z3123">
        <v>0</v>
      </c>
      <c r="AA3123">
        <v>0</v>
      </c>
      <c r="AB3123" t="s">
        <v>32</v>
      </c>
      <c r="AC3123">
        <v>0.78</v>
      </c>
    </row>
    <row r="3124" spans="1:29">
      <c r="A3124" t="str">
        <f>"603033"</f>
        <v>603033</v>
      </c>
      <c r="B3124" t="s">
        <v>3294</v>
      </c>
      <c r="C3124">
        <v>1.16</v>
      </c>
      <c r="D3124">
        <v>19.12</v>
      </c>
      <c r="E3124">
        <v>0.22</v>
      </c>
      <c r="F3124">
        <v>19.08</v>
      </c>
      <c r="G3124">
        <v>19.13</v>
      </c>
      <c r="H3124">
        <v>6706</v>
      </c>
      <c r="I3124">
        <v>143</v>
      </c>
      <c r="J3124">
        <v>0.16</v>
      </c>
      <c r="K3124">
        <v>1.21</v>
      </c>
      <c r="L3124">
        <v>18.98</v>
      </c>
      <c r="M3124">
        <v>19.16</v>
      </c>
      <c r="N3124">
        <v>18.87</v>
      </c>
      <c r="O3124">
        <v>18.9</v>
      </c>
      <c r="P3124">
        <v>37.09</v>
      </c>
      <c r="Q3124">
        <v>12781385</v>
      </c>
      <c r="R3124">
        <v>0.55</v>
      </c>
      <c r="S3124" t="s">
        <v>526</v>
      </c>
      <c r="T3124" t="s">
        <v>149</v>
      </c>
      <c r="U3124">
        <v>1.53</v>
      </c>
      <c r="V3124">
        <v>19.06</v>
      </c>
      <c r="W3124">
        <v>2993</v>
      </c>
      <c r="X3124">
        <v>3712</v>
      </c>
      <c r="Y3124">
        <v>0.81</v>
      </c>
      <c r="Z3124">
        <v>19</v>
      </c>
      <c r="AA3124">
        <v>2</v>
      </c>
      <c r="AB3124" t="s">
        <v>32</v>
      </c>
      <c r="AC3124">
        <v>0.55</v>
      </c>
    </row>
    <row r="3125" spans="1:29">
      <c r="A3125" t="str">
        <f>"603035"</f>
        <v>603035</v>
      </c>
      <c r="B3125" t="s">
        <v>3295</v>
      </c>
      <c r="C3125">
        <v>1.52</v>
      </c>
      <c r="D3125">
        <v>14.05</v>
      </c>
      <c r="E3125">
        <v>0.21</v>
      </c>
      <c r="F3125">
        <v>14.04</v>
      </c>
      <c r="G3125">
        <v>14.05</v>
      </c>
      <c r="H3125">
        <v>25361</v>
      </c>
      <c r="I3125">
        <v>2</v>
      </c>
      <c r="J3125">
        <v>0.43</v>
      </c>
      <c r="K3125">
        <v>1.47</v>
      </c>
      <c r="L3125">
        <v>13.72</v>
      </c>
      <c r="M3125">
        <v>14.09</v>
      </c>
      <c r="N3125">
        <v>13.68</v>
      </c>
      <c r="O3125">
        <v>13.84</v>
      </c>
      <c r="P3125">
        <v>11.11</v>
      </c>
      <c r="Q3125">
        <v>35460756</v>
      </c>
      <c r="R3125">
        <v>1.55</v>
      </c>
      <c r="S3125" t="s">
        <v>80</v>
      </c>
      <c r="T3125" t="s">
        <v>87</v>
      </c>
      <c r="U3125">
        <v>2.96</v>
      </c>
      <c r="V3125">
        <v>13.98</v>
      </c>
      <c r="W3125">
        <v>11567</v>
      </c>
      <c r="X3125">
        <v>13794</v>
      </c>
      <c r="Y3125">
        <v>0.84</v>
      </c>
      <c r="Z3125">
        <v>1</v>
      </c>
      <c r="AA3125">
        <v>33</v>
      </c>
      <c r="AB3125" t="s">
        <v>32</v>
      </c>
      <c r="AC3125">
        <v>1.72</v>
      </c>
    </row>
    <row r="3126" spans="1:29">
      <c r="A3126" t="str">
        <f>"603036"</f>
        <v>603036</v>
      </c>
      <c r="B3126" t="s">
        <v>3296</v>
      </c>
      <c r="C3126">
        <v>2.06</v>
      </c>
      <c r="D3126">
        <v>14.34</v>
      </c>
      <c r="E3126">
        <v>0.29</v>
      </c>
      <c r="F3126">
        <v>14.33</v>
      </c>
      <c r="G3126">
        <v>14.35</v>
      </c>
      <c r="H3126">
        <v>49517</v>
      </c>
      <c r="I3126">
        <v>2</v>
      </c>
      <c r="J3126">
        <v>0.14</v>
      </c>
      <c r="K3126">
        <v>9.74</v>
      </c>
      <c r="L3126">
        <v>13.86</v>
      </c>
      <c r="M3126">
        <v>14.55</v>
      </c>
      <c r="N3126">
        <v>13.86</v>
      </c>
      <c r="O3126">
        <v>14.05</v>
      </c>
      <c r="P3126">
        <v>176.6</v>
      </c>
      <c r="Q3126">
        <v>70730488</v>
      </c>
      <c r="R3126">
        <v>2.37</v>
      </c>
      <c r="S3126" t="s">
        <v>171</v>
      </c>
      <c r="T3126" t="s">
        <v>87</v>
      </c>
      <c r="U3126">
        <v>4.91</v>
      </c>
      <c r="V3126">
        <v>14.28</v>
      </c>
      <c r="W3126">
        <v>22793</v>
      </c>
      <c r="X3126">
        <v>26724</v>
      </c>
      <c r="Y3126">
        <v>0.85</v>
      </c>
      <c r="Z3126">
        <v>91</v>
      </c>
      <c r="AA3126">
        <v>193</v>
      </c>
      <c r="AB3126" t="s">
        <v>32</v>
      </c>
      <c r="AC3126">
        <v>0.51</v>
      </c>
    </row>
    <row r="3127" spans="1:29">
      <c r="A3127" t="str">
        <f>"603037"</f>
        <v>603037</v>
      </c>
      <c r="B3127" t="s">
        <v>3297</v>
      </c>
      <c r="C3127">
        <v>0.51</v>
      </c>
      <c r="D3127">
        <v>23.44</v>
      </c>
      <c r="E3127">
        <v>0.12</v>
      </c>
      <c r="F3127">
        <v>23.44</v>
      </c>
      <c r="G3127">
        <v>23.45</v>
      </c>
      <c r="H3127">
        <v>6963</v>
      </c>
      <c r="I3127">
        <v>50</v>
      </c>
      <c r="J3127">
        <v>0.17</v>
      </c>
      <c r="K3127">
        <v>1.13</v>
      </c>
      <c r="L3127">
        <v>23.47</v>
      </c>
      <c r="M3127">
        <v>23.57</v>
      </c>
      <c r="N3127">
        <v>23.33</v>
      </c>
      <c r="O3127">
        <v>23.32</v>
      </c>
      <c r="P3127">
        <v>14.31</v>
      </c>
      <c r="Q3127">
        <v>16322518</v>
      </c>
      <c r="R3127">
        <v>1.38</v>
      </c>
      <c r="S3127" t="s">
        <v>80</v>
      </c>
      <c r="T3127" t="s">
        <v>366</v>
      </c>
      <c r="U3127">
        <v>1.03</v>
      </c>
      <c r="V3127">
        <v>23.44</v>
      </c>
      <c r="W3127">
        <v>3700</v>
      </c>
      <c r="X3127">
        <v>3262</v>
      </c>
      <c r="Y3127">
        <v>1.13</v>
      </c>
      <c r="Z3127">
        <v>25</v>
      </c>
      <c r="AA3127">
        <v>15</v>
      </c>
      <c r="AB3127" t="s">
        <v>32</v>
      </c>
      <c r="AC3127">
        <v>0.61</v>
      </c>
    </row>
    <row r="3128" spans="1:29">
      <c r="A3128" t="str">
        <f>"603038"</f>
        <v>603038</v>
      </c>
      <c r="B3128" t="s">
        <v>3298</v>
      </c>
      <c r="C3128">
        <v>2.16</v>
      </c>
      <c r="D3128">
        <v>20.84</v>
      </c>
      <c r="E3128">
        <v>0.44</v>
      </c>
      <c r="F3128">
        <v>20.83</v>
      </c>
      <c r="G3128">
        <v>20.85</v>
      </c>
      <c r="H3128">
        <v>5170</v>
      </c>
      <c r="I3128">
        <v>11</v>
      </c>
      <c r="J3128">
        <v>0.24</v>
      </c>
      <c r="K3128">
        <v>1.38</v>
      </c>
      <c r="L3128">
        <v>20.43</v>
      </c>
      <c r="M3128">
        <v>20.85</v>
      </c>
      <c r="N3128">
        <v>20.34</v>
      </c>
      <c r="O3128">
        <v>20.4</v>
      </c>
      <c r="P3128">
        <v>57.87</v>
      </c>
      <c r="Q3128">
        <v>10707898</v>
      </c>
      <c r="R3128">
        <v>1.96</v>
      </c>
      <c r="S3128" t="s">
        <v>59</v>
      </c>
      <c r="T3128" t="s">
        <v>136</v>
      </c>
      <c r="U3128">
        <v>2.5</v>
      </c>
      <c r="V3128">
        <v>20.71</v>
      </c>
      <c r="W3128">
        <v>2853</v>
      </c>
      <c r="X3128">
        <v>2316</v>
      </c>
      <c r="Y3128">
        <v>1.23</v>
      </c>
      <c r="Z3128">
        <v>39</v>
      </c>
      <c r="AA3128">
        <v>9</v>
      </c>
      <c r="AB3128" t="s">
        <v>32</v>
      </c>
      <c r="AC3128">
        <v>0.37</v>
      </c>
    </row>
    <row r="3129" spans="1:29">
      <c r="A3129" t="str">
        <f>"603039"</f>
        <v>603039</v>
      </c>
      <c r="B3129" t="s">
        <v>3299</v>
      </c>
      <c r="C3129">
        <v>0.36</v>
      </c>
      <c r="D3129">
        <v>92.81</v>
      </c>
      <c r="E3129">
        <v>0.33</v>
      </c>
      <c r="F3129">
        <v>92.78</v>
      </c>
      <c r="G3129">
        <v>92.89</v>
      </c>
      <c r="H3129">
        <v>4537</v>
      </c>
      <c r="I3129">
        <v>1</v>
      </c>
      <c r="J3129">
        <v>0.04</v>
      </c>
      <c r="K3129">
        <v>1.14</v>
      </c>
      <c r="L3129">
        <v>92.5</v>
      </c>
      <c r="M3129">
        <v>95.29</v>
      </c>
      <c r="N3129">
        <v>91.22</v>
      </c>
      <c r="O3129">
        <v>92.48</v>
      </c>
      <c r="P3129">
        <v>169.56</v>
      </c>
      <c r="Q3129">
        <v>42515968</v>
      </c>
      <c r="R3129">
        <v>1.45</v>
      </c>
      <c r="S3129" t="s">
        <v>270</v>
      </c>
      <c r="T3129" t="s">
        <v>366</v>
      </c>
      <c r="U3129">
        <v>4.4</v>
      </c>
      <c r="V3129">
        <v>93.7</v>
      </c>
      <c r="W3129">
        <v>1869</v>
      </c>
      <c r="X3129">
        <v>2668</v>
      </c>
      <c r="Y3129">
        <v>0.7</v>
      </c>
      <c r="Z3129">
        <v>6</v>
      </c>
      <c r="AA3129">
        <v>1</v>
      </c>
      <c r="AB3129" t="s">
        <v>32</v>
      </c>
      <c r="AC3129">
        <v>0.4</v>
      </c>
    </row>
    <row r="3130" spans="1:29">
      <c r="A3130" t="str">
        <f>"603040"</f>
        <v>603040</v>
      </c>
      <c r="B3130" t="s">
        <v>3300</v>
      </c>
      <c r="C3130">
        <v>1.79</v>
      </c>
      <c r="D3130">
        <v>39.8</v>
      </c>
      <c r="E3130">
        <v>0.7</v>
      </c>
      <c r="F3130">
        <v>39.79</v>
      </c>
      <c r="G3130">
        <v>39.8</v>
      </c>
      <c r="H3130">
        <v>3251</v>
      </c>
      <c r="I3130">
        <v>4</v>
      </c>
      <c r="J3130">
        <v>0.08</v>
      </c>
      <c r="K3130">
        <v>1.04</v>
      </c>
      <c r="L3130">
        <v>38.97</v>
      </c>
      <c r="M3130">
        <v>39.9</v>
      </c>
      <c r="N3130">
        <v>38.81</v>
      </c>
      <c r="O3130">
        <v>39.1</v>
      </c>
      <c r="P3130">
        <v>30.1</v>
      </c>
      <c r="Q3130">
        <v>12879897</v>
      </c>
      <c r="R3130">
        <v>1.23</v>
      </c>
      <c r="S3130" t="s">
        <v>241</v>
      </c>
      <c r="T3130" t="s">
        <v>149</v>
      </c>
      <c r="U3130">
        <v>2.79</v>
      </c>
      <c r="V3130">
        <v>39.61</v>
      </c>
      <c r="W3130">
        <v>1563</v>
      </c>
      <c r="X3130">
        <v>1688</v>
      </c>
      <c r="Y3130">
        <v>0.93</v>
      </c>
      <c r="Z3130">
        <v>9</v>
      </c>
      <c r="AA3130">
        <v>33</v>
      </c>
      <c r="AB3130" t="s">
        <v>32</v>
      </c>
      <c r="AC3130">
        <v>0.31</v>
      </c>
    </row>
    <row r="3131" spans="1:29">
      <c r="A3131" t="str">
        <f>"603041"</f>
        <v>603041</v>
      </c>
      <c r="B3131" t="s">
        <v>3301</v>
      </c>
      <c r="C3131">
        <v>1.06</v>
      </c>
      <c r="D3131">
        <v>18.17</v>
      </c>
      <c r="E3131">
        <v>0.19</v>
      </c>
      <c r="F3131">
        <v>18.12</v>
      </c>
      <c r="G3131">
        <v>18.21</v>
      </c>
      <c r="H3131">
        <v>9524</v>
      </c>
      <c r="I3131">
        <v>153</v>
      </c>
      <c r="J3131">
        <v>0.33</v>
      </c>
      <c r="K3131">
        <v>2.05</v>
      </c>
      <c r="L3131">
        <v>17.99</v>
      </c>
      <c r="M3131">
        <v>18.44</v>
      </c>
      <c r="N3131">
        <v>17.9</v>
      </c>
      <c r="O3131">
        <v>17.98</v>
      </c>
      <c r="P3131">
        <v>42.26</v>
      </c>
      <c r="Q3131">
        <v>17272824</v>
      </c>
      <c r="R3131">
        <v>0.48</v>
      </c>
      <c r="S3131" t="s">
        <v>218</v>
      </c>
      <c r="T3131" t="s">
        <v>87</v>
      </c>
      <c r="U3131">
        <v>3</v>
      </c>
      <c r="V3131">
        <v>18.14</v>
      </c>
      <c r="W3131">
        <v>4852</v>
      </c>
      <c r="X3131">
        <v>4672</v>
      </c>
      <c r="Y3131">
        <v>1.04</v>
      </c>
      <c r="Z3131">
        <v>12</v>
      </c>
      <c r="AA3131">
        <v>16</v>
      </c>
      <c r="AB3131" t="s">
        <v>32</v>
      </c>
      <c r="AC3131">
        <v>0.47</v>
      </c>
    </row>
    <row r="3132" spans="1:29">
      <c r="A3132" t="str">
        <f>"603042"</f>
        <v>603042</v>
      </c>
      <c r="B3132" t="s">
        <v>3302</v>
      </c>
      <c r="C3132">
        <v>0.46</v>
      </c>
      <c r="D3132">
        <v>19.73</v>
      </c>
      <c r="E3132">
        <v>0.09</v>
      </c>
      <c r="F3132">
        <v>19.73</v>
      </c>
      <c r="G3132">
        <v>19.74</v>
      </c>
      <c r="H3132">
        <v>20555</v>
      </c>
      <c r="I3132">
        <v>25</v>
      </c>
      <c r="J3132">
        <v>0.31</v>
      </c>
      <c r="K3132">
        <v>2.03</v>
      </c>
      <c r="L3132">
        <v>19.52</v>
      </c>
      <c r="M3132">
        <v>19.79</v>
      </c>
      <c r="N3132">
        <v>19.38</v>
      </c>
      <c r="O3132">
        <v>19.64</v>
      </c>
      <c r="P3132">
        <v>82.16</v>
      </c>
      <c r="Q3132">
        <v>40402952</v>
      </c>
      <c r="R3132">
        <v>0.62</v>
      </c>
      <c r="S3132" t="s">
        <v>119</v>
      </c>
      <c r="T3132" t="s">
        <v>87</v>
      </c>
      <c r="U3132">
        <v>2.09</v>
      </c>
      <c r="V3132">
        <v>19.66</v>
      </c>
      <c r="W3132">
        <v>11187</v>
      </c>
      <c r="X3132">
        <v>9367</v>
      </c>
      <c r="Y3132">
        <v>1.19</v>
      </c>
      <c r="Z3132">
        <v>17</v>
      </c>
      <c r="AA3132">
        <v>1</v>
      </c>
      <c r="AB3132" t="s">
        <v>32</v>
      </c>
      <c r="AC3132">
        <v>1.01</v>
      </c>
    </row>
    <row r="3133" spans="1:29">
      <c r="A3133" t="str">
        <f>"603043"</f>
        <v>603043</v>
      </c>
      <c r="B3133" t="s">
        <v>3303</v>
      </c>
      <c r="C3133">
        <v>3.25</v>
      </c>
      <c r="D3133">
        <v>28.24</v>
      </c>
      <c r="E3133">
        <v>0.89</v>
      </c>
      <c r="F3133">
        <v>28.23</v>
      </c>
      <c r="G3133">
        <v>28.24</v>
      </c>
      <c r="H3133">
        <v>36584</v>
      </c>
      <c r="I3133">
        <v>9</v>
      </c>
      <c r="J3133">
        <v>0.36</v>
      </c>
      <c r="K3133">
        <v>2.91</v>
      </c>
      <c r="L3133">
        <v>27.11</v>
      </c>
      <c r="M3133">
        <v>28.29</v>
      </c>
      <c r="N3133">
        <v>27</v>
      </c>
      <c r="O3133">
        <v>27.35</v>
      </c>
      <c r="P3133">
        <v>73.92</v>
      </c>
      <c r="Q3133">
        <v>101640168</v>
      </c>
      <c r="R3133">
        <v>0.96</v>
      </c>
      <c r="S3133" t="s">
        <v>213</v>
      </c>
      <c r="T3133" t="s">
        <v>136</v>
      </c>
      <c r="U3133">
        <v>4.72</v>
      </c>
      <c r="V3133">
        <v>27.78</v>
      </c>
      <c r="W3133">
        <v>15706</v>
      </c>
      <c r="X3133">
        <v>20878</v>
      </c>
      <c r="Y3133">
        <v>0.75</v>
      </c>
      <c r="Z3133">
        <v>38</v>
      </c>
      <c r="AA3133">
        <v>85</v>
      </c>
      <c r="AB3133" t="s">
        <v>32</v>
      </c>
      <c r="AC3133">
        <v>1.26</v>
      </c>
    </row>
    <row r="3134" spans="1:29">
      <c r="A3134" t="str">
        <f>"603045"</f>
        <v>603045</v>
      </c>
      <c r="B3134" t="s">
        <v>3304</v>
      </c>
      <c r="C3134">
        <v>1.71</v>
      </c>
      <c r="D3134">
        <v>62.48</v>
      </c>
      <c r="E3134">
        <v>1.05</v>
      </c>
      <c r="F3134">
        <v>62.49</v>
      </c>
      <c r="G3134">
        <v>62.5</v>
      </c>
      <c r="H3134">
        <v>69760</v>
      </c>
      <c r="I3134">
        <v>89</v>
      </c>
      <c r="J3134">
        <v>0</v>
      </c>
      <c r="K3134">
        <v>28.38</v>
      </c>
      <c r="L3134">
        <v>61.88</v>
      </c>
      <c r="M3134">
        <v>62.84</v>
      </c>
      <c r="N3134">
        <v>60.89</v>
      </c>
      <c r="O3134">
        <v>61.43</v>
      </c>
      <c r="P3134">
        <v>281.98</v>
      </c>
      <c r="Q3134">
        <v>432834688</v>
      </c>
      <c r="R3134">
        <v>0.89</v>
      </c>
      <c r="S3134" t="s">
        <v>104</v>
      </c>
      <c r="T3134" t="s">
        <v>149</v>
      </c>
      <c r="U3134">
        <v>3.17</v>
      </c>
      <c r="V3134">
        <v>62.05</v>
      </c>
      <c r="W3134">
        <v>33494</v>
      </c>
      <c r="X3134">
        <v>36266</v>
      </c>
      <c r="Y3134">
        <v>0.92</v>
      </c>
      <c r="Z3134">
        <v>16</v>
      </c>
      <c r="AA3134">
        <v>26</v>
      </c>
      <c r="AB3134" t="s">
        <v>32</v>
      </c>
      <c r="AC3134">
        <v>0.25</v>
      </c>
    </row>
    <row r="3135" spans="1:29">
      <c r="A3135" t="str">
        <f>"603050"</f>
        <v>603050</v>
      </c>
      <c r="B3135" t="s">
        <v>3305</v>
      </c>
      <c r="C3135">
        <v>1.51</v>
      </c>
      <c r="D3135">
        <v>13.41</v>
      </c>
      <c r="E3135">
        <v>0.2</v>
      </c>
      <c r="F3135">
        <v>13.42</v>
      </c>
      <c r="G3135">
        <v>13.43</v>
      </c>
      <c r="H3135">
        <v>22290</v>
      </c>
      <c r="I3135">
        <v>5</v>
      </c>
      <c r="J3135">
        <v>-0.21</v>
      </c>
      <c r="K3135">
        <v>2.78</v>
      </c>
      <c r="L3135">
        <v>13.21</v>
      </c>
      <c r="M3135">
        <v>13.68</v>
      </c>
      <c r="N3135">
        <v>13.21</v>
      </c>
      <c r="O3135">
        <v>13.21</v>
      </c>
      <c r="P3135">
        <v>114.27</v>
      </c>
      <c r="Q3135">
        <v>29827194</v>
      </c>
      <c r="R3135">
        <v>1.86</v>
      </c>
      <c r="S3135" t="s">
        <v>104</v>
      </c>
      <c r="T3135" t="s">
        <v>154</v>
      </c>
      <c r="U3135">
        <v>3.56</v>
      </c>
      <c r="V3135">
        <v>13.38</v>
      </c>
      <c r="W3135">
        <v>10137</v>
      </c>
      <c r="X3135">
        <v>12153</v>
      </c>
      <c r="Y3135">
        <v>0.83</v>
      </c>
      <c r="Z3135">
        <v>50</v>
      </c>
      <c r="AA3135">
        <v>1168</v>
      </c>
      <c r="AB3135" t="s">
        <v>32</v>
      </c>
      <c r="AC3135">
        <v>0.8</v>
      </c>
    </row>
    <row r="3136" spans="1:29">
      <c r="A3136" t="str">
        <f>"603055"</f>
        <v>603055</v>
      </c>
      <c r="B3136" t="s">
        <v>3306</v>
      </c>
      <c r="C3136">
        <v>1.73</v>
      </c>
      <c r="D3136">
        <v>14.12</v>
      </c>
      <c r="E3136">
        <v>0.24</v>
      </c>
      <c r="F3136">
        <v>14.11</v>
      </c>
      <c r="G3136">
        <v>14.14</v>
      </c>
      <c r="H3136">
        <v>15935</v>
      </c>
      <c r="I3136">
        <v>20</v>
      </c>
      <c r="J3136">
        <v>0</v>
      </c>
      <c r="K3136">
        <v>2.36</v>
      </c>
      <c r="L3136">
        <v>13.87</v>
      </c>
      <c r="M3136">
        <v>14.21</v>
      </c>
      <c r="N3136">
        <v>13.8</v>
      </c>
      <c r="O3136">
        <v>13.88</v>
      </c>
      <c r="P3136">
        <v>24.79</v>
      </c>
      <c r="Q3136">
        <v>22408308</v>
      </c>
      <c r="R3136">
        <v>1.23</v>
      </c>
      <c r="S3136" t="s">
        <v>99</v>
      </c>
      <c r="T3136" t="s">
        <v>149</v>
      </c>
      <c r="U3136">
        <v>2.95</v>
      </c>
      <c r="V3136">
        <v>14.06</v>
      </c>
      <c r="W3136">
        <v>7593</v>
      </c>
      <c r="X3136">
        <v>8341</v>
      </c>
      <c r="Y3136">
        <v>0.91</v>
      </c>
      <c r="Z3136">
        <v>25</v>
      </c>
      <c r="AA3136">
        <v>112</v>
      </c>
      <c r="AB3136" t="s">
        <v>32</v>
      </c>
      <c r="AC3136">
        <v>0.68</v>
      </c>
    </row>
    <row r="3137" spans="1:29">
      <c r="A3137" t="str">
        <f>"603056"</f>
        <v>603056</v>
      </c>
      <c r="B3137" t="s">
        <v>3307</v>
      </c>
      <c r="C3137">
        <v>1.32</v>
      </c>
      <c r="D3137">
        <v>26.88</v>
      </c>
      <c r="E3137">
        <v>0.35</v>
      </c>
      <c r="F3137">
        <v>26.86</v>
      </c>
      <c r="G3137">
        <v>26.88</v>
      </c>
      <c r="H3137">
        <v>26742</v>
      </c>
      <c r="I3137">
        <v>5</v>
      </c>
      <c r="J3137">
        <v>0.19</v>
      </c>
      <c r="K3137">
        <v>2.67</v>
      </c>
      <c r="L3137">
        <v>26.69</v>
      </c>
      <c r="M3137">
        <v>26.89</v>
      </c>
      <c r="N3137">
        <v>26.3</v>
      </c>
      <c r="O3137">
        <v>26.53</v>
      </c>
      <c r="P3137">
        <v>64.62</v>
      </c>
      <c r="Q3137">
        <v>71519920</v>
      </c>
      <c r="R3137">
        <v>0.99</v>
      </c>
      <c r="S3137" t="s">
        <v>742</v>
      </c>
      <c r="T3137" t="s">
        <v>366</v>
      </c>
      <c r="U3137">
        <v>2.22</v>
      </c>
      <c r="V3137">
        <v>26.74</v>
      </c>
      <c r="W3137">
        <v>11442</v>
      </c>
      <c r="X3137">
        <v>15299</v>
      </c>
      <c r="Y3137">
        <v>0.75</v>
      </c>
      <c r="Z3137">
        <v>18</v>
      </c>
      <c r="AA3137">
        <v>25</v>
      </c>
      <c r="AB3137" t="s">
        <v>32</v>
      </c>
      <c r="AC3137">
        <v>1</v>
      </c>
    </row>
    <row r="3138" spans="1:29">
      <c r="A3138" t="str">
        <f>"603058"</f>
        <v>603058</v>
      </c>
      <c r="B3138" t="s">
        <v>3308</v>
      </c>
      <c r="C3138">
        <v>0.33</v>
      </c>
      <c r="D3138">
        <v>12.14</v>
      </c>
      <c r="E3138">
        <v>0.04</v>
      </c>
      <c r="F3138">
        <v>12.14</v>
      </c>
      <c r="G3138">
        <v>12.15</v>
      </c>
      <c r="H3138">
        <v>40664</v>
      </c>
      <c r="I3138">
        <v>49</v>
      </c>
      <c r="J3138">
        <v>0.25</v>
      </c>
      <c r="K3138">
        <v>1.78</v>
      </c>
      <c r="L3138">
        <v>12.07</v>
      </c>
      <c r="M3138">
        <v>12.18</v>
      </c>
      <c r="N3138">
        <v>11.92</v>
      </c>
      <c r="O3138">
        <v>12.1</v>
      </c>
      <c r="P3138">
        <v>35.68</v>
      </c>
      <c r="Q3138">
        <v>49173880</v>
      </c>
      <c r="R3138">
        <v>1</v>
      </c>
      <c r="S3138" t="s">
        <v>91</v>
      </c>
      <c r="T3138" t="s">
        <v>253</v>
      </c>
      <c r="U3138">
        <v>2.15</v>
      </c>
      <c r="V3138">
        <v>12.09</v>
      </c>
      <c r="W3138">
        <v>22228</v>
      </c>
      <c r="X3138">
        <v>18435</v>
      </c>
      <c r="Y3138">
        <v>1.21</v>
      </c>
      <c r="Z3138">
        <v>15</v>
      </c>
      <c r="AA3138">
        <v>141</v>
      </c>
      <c r="AB3138" t="s">
        <v>32</v>
      </c>
      <c r="AC3138">
        <v>2.28</v>
      </c>
    </row>
    <row r="3139" spans="1:29">
      <c r="A3139" t="str">
        <f>"603059"</f>
        <v>603059</v>
      </c>
      <c r="B3139" t="s">
        <v>3309</v>
      </c>
      <c r="C3139">
        <v>3.15</v>
      </c>
      <c r="D3139">
        <v>38.33</v>
      </c>
      <c r="E3139">
        <v>1.17</v>
      </c>
      <c r="F3139">
        <v>38.33</v>
      </c>
      <c r="G3139">
        <v>38.36</v>
      </c>
      <c r="H3139">
        <v>15368</v>
      </c>
      <c r="I3139">
        <v>10</v>
      </c>
      <c r="J3139">
        <v>-0.04</v>
      </c>
      <c r="K3139">
        <v>7.68</v>
      </c>
      <c r="L3139">
        <v>37.18</v>
      </c>
      <c r="M3139">
        <v>38.37</v>
      </c>
      <c r="N3139">
        <v>37.05</v>
      </c>
      <c r="O3139">
        <v>37.16</v>
      </c>
      <c r="P3139">
        <v>41.64</v>
      </c>
      <c r="Q3139">
        <v>58172460</v>
      </c>
      <c r="R3139">
        <v>1.26</v>
      </c>
      <c r="S3139" t="s">
        <v>545</v>
      </c>
      <c r="T3139" t="s">
        <v>87</v>
      </c>
      <c r="U3139">
        <v>3.55</v>
      </c>
      <c r="V3139">
        <v>37.85</v>
      </c>
      <c r="W3139">
        <v>6831</v>
      </c>
      <c r="X3139">
        <v>8537</v>
      </c>
      <c r="Y3139">
        <v>0.8</v>
      </c>
      <c r="Z3139">
        <v>7</v>
      </c>
      <c r="AA3139">
        <v>27</v>
      </c>
      <c r="AB3139" t="s">
        <v>32</v>
      </c>
      <c r="AC3139">
        <v>0.2</v>
      </c>
    </row>
    <row r="3140" spans="1:29">
      <c r="A3140" t="str">
        <f>"603060"</f>
        <v>603060</v>
      </c>
      <c r="B3140" t="s">
        <v>3310</v>
      </c>
      <c r="C3140">
        <v>3.48</v>
      </c>
      <c r="D3140">
        <v>18.16</v>
      </c>
      <c r="E3140">
        <v>0.61</v>
      </c>
      <c r="F3140">
        <v>18.14</v>
      </c>
      <c r="G3140">
        <v>18.15</v>
      </c>
      <c r="H3140">
        <v>20664</v>
      </c>
      <c r="I3140">
        <v>71</v>
      </c>
      <c r="J3140">
        <v>-0.21</v>
      </c>
      <c r="K3140">
        <v>3.24</v>
      </c>
      <c r="L3140">
        <v>17.55</v>
      </c>
      <c r="M3140">
        <v>18.35</v>
      </c>
      <c r="N3140">
        <v>17.51</v>
      </c>
      <c r="O3140">
        <v>17.55</v>
      </c>
      <c r="P3140">
        <v>51.4</v>
      </c>
      <c r="Q3140">
        <v>37456360</v>
      </c>
      <c r="R3140">
        <v>2.39</v>
      </c>
      <c r="S3140" t="s">
        <v>49</v>
      </c>
      <c r="T3140" t="s">
        <v>45</v>
      </c>
      <c r="U3140">
        <v>4.79</v>
      </c>
      <c r="V3140">
        <v>18.13</v>
      </c>
      <c r="W3140">
        <v>10209</v>
      </c>
      <c r="X3140">
        <v>10455</v>
      </c>
      <c r="Y3140">
        <v>0.98</v>
      </c>
      <c r="Z3140">
        <v>20</v>
      </c>
      <c r="AA3140">
        <v>11</v>
      </c>
      <c r="AB3140" t="s">
        <v>32</v>
      </c>
      <c r="AC3140">
        <v>0.64</v>
      </c>
    </row>
    <row r="3141" spans="1:29">
      <c r="A3141" t="str">
        <f>"603063"</f>
        <v>603063</v>
      </c>
      <c r="B3141" t="s">
        <v>3311</v>
      </c>
      <c r="C3141">
        <v>3.36</v>
      </c>
      <c r="D3141">
        <v>11.09</v>
      </c>
      <c r="E3141">
        <v>0.36</v>
      </c>
      <c r="F3141">
        <v>11.09</v>
      </c>
      <c r="G3141">
        <v>11.1</v>
      </c>
      <c r="H3141">
        <v>22279</v>
      </c>
      <c r="I3141">
        <v>20</v>
      </c>
      <c r="J3141">
        <v>0.27</v>
      </c>
      <c r="K3141">
        <v>3.71</v>
      </c>
      <c r="L3141">
        <v>10.64</v>
      </c>
      <c r="M3141">
        <v>11.14</v>
      </c>
      <c r="N3141">
        <v>10.64</v>
      </c>
      <c r="O3141">
        <v>10.73</v>
      </c>
      <c r="P3141">
        <v>56.75</v>
      </c>
      <c r="Q3141">
        <v>24388272</v>
      </c>
      <c r="R3141">
        <v>1.89</v>
      </c>
      <c r="S3141" t="s">
        <v>104</v>
      </c>
      <c r="T3141" t="s">
        <v>31</v>
      </c>
      <c r="U3141">
        <v>4.66</v>
      </c>
      <c r="V3141">
        <v>10.95</v>
      </c>
      <c r="W3141">
        <v>9856</v>
      </c>
      <c r="X3141">
        <v>12423</v>
      </c>
      <c r="Y3141">
        <v>0.79</v>
      </c>
      <c r="Z3141">
        <v>109</v>
      </c>
      <c r="AA3141">
        <v>14</v>
      </c>
      <c r="AB3141" t="s">
        <v>32</v>
      </c>
      <c r="AC3141">
        <v>0.6</v>
      </c>
    </row>
    <row r="3142" spans="1:29">
      <c r="A3142" t="str">
        <f>"603066"</f>
        <v>603066</v>
      </c>
      <c r="B3142" t="s">
        <v>3312</v>
      </c>
      <c r="C3142">
        <v>2.76</v>
      </c>
      <c r="D3142">
        <v>9.69</v>
      </c>
      <c r="E3142">
        <v>0.26</v>
      </c>
      <c r="F3142">
        <v>9.68</v>
      </c>
      <c r="G3142">
        <v>9.69</v>
      </c>
      <c r="H3142">
        <v>27632</v>
      </c>
      <c r="I3142">
        <v>10</v>
      </c>
      <c r="J3142">
        <v>0</v>
      </c>
      <c r="K3142">
        <v>2.01</v>
      </c>
      <c r="L3142">
        <v>9.38</v>
      </c>
      <c r="M3142">
        <v>9.8</v>
      </c>
      <c r="N3142">
        <v>9.35</v>
      </c>
      <c r="O3142">
        <v>9.43</v>
      </c>
      <c r="P3142">
        <v>61.98</v>
      </c>
      <c r="Q3142">
        <v>26610764</v>
      </c>
      <c r="R3142">
        <v>1.51</v>
      </c>
      <c r="S3142" t="s">
        <v>742</v>
      </c>
      <c r="T3142" t="s">
        <v>87</v>
      </c>
      <c r="U3142">
        <v>4.77</v>
      </c>
      <c r="V3142">
        <v>9.63</v>
      </c>
      <c r="W3142">
        <v>12630</v>
      </c>
      <c r="X3142">
        <v>15001</v>
      </c>
      <c r="Y3142">
        <v>0.84</v>
      </c>
      <c r="Z3142">
        <v>23</v>
      </c>
      <c r="AA3142">
        <v>9</v>
      </c>
      <c r="AB3142" t="s">
        <v>32</v>
      </c>
      <c r="AC3142">
        <v>1.38</v>
      </c>
    </row>
    <row r="3143" spans="1:29">
      <c r="A3143" t="str">
        <f>"603067"</f>
        <v>603067</v>
      </c>
      <c r="B3143" t="s">
        <v>3313</v>
      </c>
      <c r="C3143">
        <v>-1.81</v>
      </c>
      <c r="D3143">
        <v>13.53</v>
      </c>
      <c r="E3143">
        <v>-0.25</v>
      </c>
      <c r="F3143">
        <v>13.54</v>
      </c>
      <c r="G3143">
        <v>13.55</v>
      </c>
      <c r="H3143">
        <v>172066</v>
      </c>
      <c r="I3143">
        <v>7</v>
      </c>
      <c r="J3143">
        <v>-0.06</v>
      </c>
      <c r="K3143">
        <v>11.06</v>
      </c>
      <c r="L3143">
        <v>13.54</v>
      </c>
      <c r="M3143">
        <v>13.76</v>
      </c>
      <c r="N3143">
        <v>13.21</v>
      </c>
      <c r="O3143">
        <v>13.78</v>
      </c>
      <c r="P3143">
        <v>22.47</v>
      </c>
      <c r="Q3143">
        <v>232548384</v>
      </c>
      <c r="R3143">
        <v>1.07</v>
      </c>
      <c r="S3143" t="s">
        <v>218</v>
      </c>
      <c r="T3143" t="s">
        <v>193</v>
      </c>
      <c r="U3143">
        <v>3.99</v>
      </c>
      <c r="V3143">
        <v>13.52</v>
      </c>
      <c r="W3143">
        <v>95181</v>
      </c>
      <c r="X3143">
        <v>76884</v>
      </c>
      <c r="Y3143">
        <v>1.24</v>
      </c>
      <c r="Z3143">
        <v>331</v>
      </c>
      <c r="AA3143">
        <v>518</v>
      </c>
      <c r="AB3143" t="s">
        <v>32</v>
      </c>
      <c r="AC3143">
        <v>1.56</v>
      </c>
    </row>
    <row r="3144" spans="1:29">
      <c r="A3144" t="str">
        <f>"603069"</f>
        <v>603069</v>
      </c>
      <c r="B3144" t="s">
        <v>3314</v>
      </c>
      <c r="C3144">
        <v>1.52</v>
      </c>
      <c r="D3144">
        <v>8.68</v>
      </c>
      <c r="E3144">
        <v>0.13</v>
      </c>
      <c r="F3144">
        <v>8.67</v>
      </c>
      <c r="G3144">
        <v>8.68</v>
      </c>
      <c r="H3144">
        <v>36456</v>
      </c>
      <c r="I3144">
        <v>6</v>
      </c>
      <c r="J3144">
        <v>-0.11</v>
      </c>
      <c r="K3144">
        <v>2.1</v>
      </c>
      <c r="L3144">
        <v>8.51</v>
      </c>
      <c r="M3144">
        <v>8.71</v>
      </c>
      <c r="N3144">
        <v>8.48</v>
      </c>
      <c r="O3144">
        <v>8.55</v>
      </c>
      <c r="P3144">
        <v>43.8</v>
      </c>
      <c r="Q3144">
        <v>31478174</v>
      </c>
      <c r="R3144">
        <v>1.69</v>
      </c>
      <c r="S3144" t="s">
        <v>983</v>
      </c>
      <c r="T3144" t="s">
        <v>209</v>
      </c>
      <c r="U3144">
        <v>2.69</v>
      </c>
      <c r="V3144">
        <v>8.63</v>
      </c>
      <c r="W3144">
        <v>18373</v>
      </c>
      <c r="X3144">
        <v>18083</v>
      </c>
      <c r="Y3144">
        <v>1.02</v>
      </c>
      <c r="Z3144">
        <v>5</v>
      </c>
      <c r="AA3144">
        <v>15</v>
      </c>
      <c r="AB3144" t="s">
        <v>32</v>
      </c>
      <c r="AC3144">
        <v>1.74</v>
      </c>
    </row>
    <row r="3145" spans="1:29">
      <c r="A3145" t="str">
        <f>"603076"</f>
        <v>603076</v>
      </c>
      <c r="B3145" t="s">
        <v>3315</v>
      </c>
      <c r="C3145">
        <v>0.81</v>
      </c>
      <c r="D3145">
        <v>37.38</v>
      </c>
      <c r="E3145">
        <v>0.3</v>
      </c>
      <c r="F3145">
        <v>37.35</v>
      </c>
      <c r="G3145">
        <v>37.39</v>
      </c>
      <c r="H3145">
        <v>11792</v>
      </c>
      <c r="I3145">
        <v>3</v>
      </c>
      <c r="J3145">
        <v>-0.04</v>
      </c>
      <c r="K3145">
        <v>6.32</v>
      </c>
      <c r="L3145">
        <v>37.44</v>
      </c>
      <c r="M3145">
        <v>37.6</v>
      </c>
      <c r="N3145">
        <v>36.73</v>
      </c>
      <c r="O3145">
        <v>37.08</v>
      </c>
      <c r="P3145">
        <v>38.16</v>
      </c>
      <c r="Q3145">
        <v>43930848</v>
      </c>
      <c r="R3145">
        <v>1.12</v>
      </c>
      <c r="S3145" t="s">
        <v>171</v>
      </c>
      <c r="T3145" t="s">
        <v>149</v>
      </c>
      <c r="U3145">
        <v>2.35</v>
      </c>
      <c r="V3145">
        <v>37.25</v>
      </c>
      <c r="W3145">
        <v>4787</v>
      </c>
      <c r="X3145">
        <v>7005</v>
      </c>
      <c r="Y3145">
        <v>0.68</v>
      </c>
      <c r="Z3145">
        <v>49</v>
      </c>
      <c r="AA3145">
        <v>4</v>
      </c>
      <c r="AB3145" t="s">
        <v>32</v>
      </c>
      <c r="AC3145">
        <v>0.19</v>
      </c>
    </row>
    <row r="3146" spans="1:29">
      <c r="A3146" t="str">
        <f>"603077"</f>
        <v>603077</v>
      </c>
      <c r="B3146" t="s">
        <v>3316</v>
      </c>
      <c r="C3146">
        <v>1.16</v>
      </c>
      <c r="D3146">
        <v>1.75</v>
      </c>
      <c r="E3146">
        <v>0.02</v>
      </c>
      <c r="F3146">
        <v>1.74</v>
      </c>
      <c r="G3146">
        <v>1.75</v>
      </c>
      <c r="H3146">
        <v>461276</v>
      </c>
      <c r="I3146">
        <v>23</v>
      </c>
      <c r="J3146">
        <v>0.57</v>
      </c>
      <c r="K3146">
        <v>0.52</v>
      </c>
      <c r="L3146">
        <v>1.72</v>
      </c>
      <c r="M3146">
        <v>1.75</v>
      </c>
      <c r="N3146">
        <v>1.72</v>
      </c>
      <c r="O3146">
        <v>1.73</v>
      </c>
      <c r="P3146">
        <v>77.57</v>
      </c>
      <c r="Q3146">
        <v>80230984</v>
      </c>
      <c r="R3146">
        <v>2.91</v>
      </c>
      <c r="S3146" t="s">
        <v>218</v>
      </c>
      <c r="T3146" t="s">
        <v>146</v>
      </c>
      <c r="U3146">
        <v>1.73</v>
      </c>
      <c r="V3146">
        <v>1.74</v>
      </c>
      <c r="W3146">
        <v>202122</v>
      </c>
      <c r="X3146">
        <v>259154</v>
      </c>
      <c r="Y3146">
        <v>0.78</v>
      </c>
      <c r="Z3146">
        <v>4175</v>
      </c>
      <c r="AA3146">
        <v>55264</v>
      </c>
      <c r="AB3146" t="s">
        <v>32</v>
      </c>
      <c r="AC3146">
        <v>88.31</v>
      </c>
    </row>
    <row r="3147" spans="1:29">
      <c r="A3147" t="str">
        <f>"603078"</f>
        <v>603078</v>
      </c>
      <c r="B3147" t="s">
        <v>3317</v>
      </c>
      <c r="C3147">
        <v>0.2</v>
      </c>
      <c r="D3147">
        <v>40.6</v>
      </c>
      <c r="E3147">
        <v>0.08</v>
      </c>
      <c r="F3147">
        <v>40.61</v>
      </c>
      <c r="G3147">
        <v>40.62</v>
      </c>
      <c r="H3147">
        <v>7912</v>
      </c>
      <c r="I3147">
        <v>1</v>
      </c>
      <c r="J3147">
        <v>0.12</v>
      </c>
      <c r="K3147">
        <v>1.65</v>
      </c>
      <c r="L3147">
        <v>40.18</v>
      </c>
      <c r="M3147">
        <v>40.74</v>
      </c>
      <c r="N3147">
        <v>40.02</v>
      </c>
      <c r="O3147">
        <v>40.52</v>
      </c>
      <c r="P3147">
        <v>99.05</v>
      </c>
      <c r="Q3147">
        <v>31996130</v>
      </c>
      <c r="R3147">
        <v>0.73</v>
      </c>
      <c r="S3147" t="s">
        <v>218</v>
      </c>
      <c r="T3147" t="s">
        <v>87</v>
      </c>
      <c r="U3147">
        <v>1.78</v>
      </c>
      <c r="V3147">
        <v>40.44</v>
      </c>
      <c r="W3147">
        <v>4259</v>
      </c>
      <c r="X3147">
        <v>3653</v>
      </c>
      <c r="Y3147">
        <v>1.17</v>
      </c>
      <c r="Z3147">
        <v>26</v>
      </c>
      <c r="AA3147">
        <v>10</v>
      </c>
      <c r="AB3147" t="s">
        <v>32</v>
      </c>
      <c r="AC3147">
        <v>0.48</v>
      </c>
    </row>
    <row r="3148" spans="1:29">
      <c r="A3148" t="str">
        <f>"603079"</f>
        <v>603079</v>
      </c>
      <c r="B3148" t="s">
        <v>3318</v>
      </c>
      <c r="C3148">
        <v>2.38</v>
      </c>
      <c r="D3148">
        <v>28.78</v>
      </c>
      <c r="E3148">
        <v>0.67</v>
      </c>
      <c r="F3148">
        <v>28.77</v>
      </c>
      <c r="G3148">
        <v>28.78</v>
      </c>
      <c r="H3148">
        <v>10159</v>
      </c>
      <c r="I3148">
        <v>2</v>
      </c>
      <c r="J3148">
        <v>-0.16</v>
      </c>
      <c r="K3148">
        <v>3.63</v>
      </c>
      <c r="L3148">
        <v>28.15</v>
      </c>
      <c r="M3148">
        <v>28.97</v>
      </c>
      <c r="N3148">
        <v>27.71</v>
      </c>
      <c r="O3148">
        <v>28.11</v>
      </c>
      <c r="P3148">
        <v>33.51</v>
      </c>
      <c r="Q3148">
        <v>29073344</v>
      </c>
      <c r="R3148">
        <v>0.92</v>
      </c>
      <c r="S3148" t="s">
        <v>213</v>
      </c>
      <c r="T3148" t="s">
        <v>149</v>
      </c>
      <c r="U3148">
        <v>4.48</v>
      </c>
      <c r="V3148">
        <v>28.62</v>
      </c>
      <c r="W3148">
        <v>4522</v>
      </c>
      <c r="X3148">
        <v>5636</v>
      </c>
      <c r="Y3148">
        <v>0.8</v>
      </c>
      <c r="Z3148">
        <v>22</v>
      </c>
      <c r="AA3148">
        <v>15</v>
      </c>
      <c r="AB3148" t="s">
        <v>32</v>
      </c>
      <c r="AC3148">
        <v>0.28</v>
      </c>
    </row>
    <row r="3149" spans="1:29">
      <c r="A3149" t="str">
        <f>"603080"</f>
        <v>603080</v>
      </c>
      <c r="B3149" t="s">
        <v>3319</v>
      </c>
      <c r="C3149">
        <v>0.62</v>
      </c>
      <c r="D3149">
        <v>32.24</v>
      </c>
      <c r="E3149">
        <v>0.2</v>
      </c>
      <c r="F3149">
        <v>32.24</v>
      </c>
      <c r="G3149">
        <v>32.25</v>
      </c>
      <c r="H3149">
        <v>33586</v>
      </c>
      <c r="I3149">
        <v>102</v>
      </c>
      <c r="J3149">
        <v>0.06</v>
      </c>
      <c r="K3149">
        <v>9.46</v>
      </c>
      <c r="L3149">
        <v>32.2</v>
      </c>
      <c r="M3149">
        <v>32.48</v>
      </c>
      <c r="N3149">
        <v>31.6</v>
      </c>
      <c r="O3149">
        <v>32.04</v>
      </c>
      <c r="P3149">
        <v>54.24</v>
      </c>
      <c r="Q3149">
        <v>107926368</v>
      </c>
      <c r="R3149">
        <v>1.09</v>
      </c>
      <c r="S3149" t="s">
        <v>174</v>
      </c>
      <c r="T3149" t="s">
        <v>156</v>
      </c>
      <c r="U3149">
        <v>2.75</v>
      </c>
      <c r="V3149">
        <v>32.13</v>
      </c>
      <c r="W3149">
        <v>17163</v>
      </c>
      <c r="X3149">
        <v>16423</v>
      </c>
      <c r="Y3149">
        <v>1.05</v>
      </c>
      <c r="Z3149">
        <v>4</v>
      </c>
      <c r="AA3149">
        <v>12</v>
      </c>
      <c r="AB3149" t="s">
        <v>32</v>
      </c>
      <c r="AC3149">
        <v>0.36</v>
      </c>
    </row>
    <row r="3150" spans="1:29">
      <c r="A3150" t="str">
        <f>"603081"</f>
        <v>603081</v>
      </c>
      <c r="B3150" t="s">
        <v>3320</v>
      </c>
      <c r="C3150">
        <v>2.25</v>
      </c>
      <c r="D3150">
        <v>13.64</v>
      </c>
      <c r="E3150">
        <v>0.3</v>
      </c>
      <c r="F3150">
        <v>13.65</v>
      </c>
      <c r="G3150">
        <v>13.66</v>
      </c>
      <c r="H3150">
        <v>37789</v>
      </c>
      <c r="I3150">
        <v>3</v>
      </c>
      <c r="J3150">
        <v>0.15</v>
      </c>
      <c r="K3150">
        <v>4.86</v>
      </c>
      <c r="L3150">
        <v>13.48</v>
      </c>
      <c r="M3150">
        <v>13.7</v>
      </c>
      <c r="N3150">
        <v>13.37</v>
      </c>
      <c r="O3150">
        <v>13.34</v>
      </c>
      <c r="P3150">
        <v>35.07</v>
      </c>
      <c r="Q3150">
        <v>51226736</v>
      </c>
      <c r="R3150">
        <v>1.29</v>
      </c>
      <c r="S3150" t="s">
        <v>171</v>
      </c>
      <c r="T3150" t="s">
        <v>149</v>
      </c>
      <c r="U3150">
        <v>2.47</v>
      </c>
      <c r="V3150">
        <v>13.56</v>
      </c>
      <c r="W3150">
        <v>16508</v>
      </c>
      <c r="X3150">
        <v>21280</v>
      </c>
      <c r="Y3150">
        <v>0.78</v>
      </c>
      <c r="Z3150">
        <v>60</v>
      </c>
      <c r="AA3150">
        <v>45</v>
      </c>
      <c r="AB3150" t="s">
        <v>32</v>
      </c>
      <c r="AC3150">
        <v>0.78</v>
      </c>
    </row>
    <row r="3151" spans="1:29">
      <c r="A3151" t="str">
        <f>"603083"</f>
        <v>603083</v>
      </c>
      <c r="B3151" t="s">
        <v>3321</v>
      </c>
      <c r="C3151">
        <v>2.47</v>
      </c>
      <c r="D3151">
        <v>32</v>
      </c>
      <c r="E3151">
        <v>0.77</v>
      </c>
      <c r="F3151">
        <v>32.03</v>
      </c>
      <c r="G3151">
        <v>32.04</v>
      </c>
      <c r="H3151">
        <v>12564</v>
      </c>
      <c r="I3151">
        <v>64</v>
      </c>
      <c r="J3151">
        <v>0.16</v>
      </c>
      <c r="K3151">
        <v>5.13</v>
      </c>
      <c r="L3151">
        <v>31.49</v>
      </c>
      <c r="M3151">
        <v>32.03</v>
      </c>
      <c r="N3151">
        <v>30.87</v>
      </c>
      <c r="O3151">
        <v>31.23</v>
      </c>
      <c r="P3151" t="s">
        <v>32</v>
      </c>
      <c r="Q3151">
        <v>39808952</v>
      </c>
      <c r="R3151">
        <v>1.22</v>
      </c>
      <c r="S3151" t="s">
        <v>119</v>
      </c>
      <c r="T3151" t="s">
        <v>366</v>
      </c>
      <c r="U3151">
        <v>3.71</v>
      </c>
      <c r="V3151">
        <v>31.69</v>
      </c>
      <c r="W3151">
        <v>4638</v>
      </c>
      <c r="X3151">
        <v>7925</v>
      </c>
      <c r="Y3151">
        <v>0.59</v>
      </c>
      <c r="Z3151">
        <v>35</v>
      </c>
      <c r="AA3151">
        <v>2</v>
      </c>
      <c r="AB3151" t="s">
        <v>32</v>
      </c>
      <c r="AC3151">
        <v>0.24</v>
      </c>
    </row>
    <row r="3152" spans="1:29">
      <c r="A3152" t="str">
        <f>"603085"</f>
        <v>603085</v>
      </c>
      <c r="B3152" t="s">
        <v>3322</v>
      </c>
      <c r="C3152">
        <v>0.6</v>
      </c>
      <c r="D3152">
        <v>16.78</v>
      </c>
      <c r="E3152">
        <v>0.1</v>
      </c>
      <c r="F3152">
        <v>16.78</v>
      </c>
      <c r="G3152">
        <v>16.79</v>
      </c>
      <c r="H3152">
        <v>97244</v>
      </c>
      <c r="I3152">
        <v>10</v>
      </c>
      <c r="J3152">
        <v>0.24</v>
      </c>
      <c r="K3152">
        <v>12.32</v>
      </c>
      <c r="L3152">
        <v>16.35</v>
      </c>
      <c r="M3152">
        <v>16.95</v>
      </c>
      <c r="N3152">
        <v>16.03</v>
      </c>
      <c r="O3152">
        <v>16.68</v>
      </c>
      <c r="P3152">
        <v>82.49</v>
      </c>
      <c r="Q3152">
        <v>160424096</v>
      </c>
      <c r="R3152">
        <v>0.9</v>
      </c>
      <c r="S3152" t="s">
        <v>80</v>
      </c>
      <c r="T3152" t="s">
        <v>149</v>
      </c>
      <c r="U3152">
        <v>5.52</v>
      </c>
      <c r="V3152">
        <v>16.5</v>
      </c>
      <c r="W3152">
        <v>49107</v>
      </c>
      <c r="X3152">
        <v>48137</v>
      </c>
      <c r="Y3152">
        <v>1.02</v>
      </c>
      <c r="Z3152">
        <v>23</v>
      </c>
      <c r="AA3152">
        <v>20</v>
      </c>
      <c r="AB3152" t="s">
        <v>32</v>
      </c>
      <c r="AC3152">
        <v>0.79</v>
      </c>
    </row>
    <row r="3153" spans="1:29">
      <c r="A3153" t="str">
        <f>"603086"</f>
        <v>603086</v>
      </c>
      <c r="B3153" t="s">
        <v>3323</v>
      </c>
      <c r="C3153">
        <v>0.64</v>
      </c>
      <c r="D3153">
        <v>25.21</v>
      </c>
      <c r="E3153">
        <v>0.16</v>
      </c>
      <c r="F3153">
        <v>25.22</v>
      </c>
      <c r="G3153">
        <v>25.24</v>
      </c>
      <c r="H3153">
        <v>30159</v>
      </c>
      <c r="I3153">
        <v>1</v>
      </c>
      <c r="J3153">
        <v>0.08</v>
      </c>
      <c r="K3153">
        <v>4.16</v>
      </c>
      <c r="L3153">
        <v>25.28</v>
      </c>
      <c r="M3153">
        <v>25.9</v>
      </c>
      <c r="N3153">
        <v>25.06</v>
      </c>
      <c r="O3153">
        <v>25.05</v>
      </c>
      <c r="P3153">
        <v>24.46</v>
      </c>
      <c r="Q3153">
        <v>76590928</v>
      </c>
      <c r="R3153">
        <v>0.72</v>
      </c>
      <c r="S3153" t="s">
        <v>145</v>
      </c>
      <c r="T3153" t="s">
        <v>162</v>
      </c>
      <c r="U3153">
        <v>3.35</v>
      </c>
      <c r="V3153">
        <v>25.4</v>
      </c>
      <c r="W3153">
        <v>14122</v>
      </c>
      <c r="X3153">
        <v>16037</v>
      </c>
      <c r="Y3153">
        <v>0.88</v>
      </c>
      <c r="Z3153">
        <v>13</v>
      </c>
      <c r="AA3153">
        <v>21</v>
      </c>
      <c r="AB3153" t="s">
        <v>32</v>
      </c>
      <c r="AC3153">
        <v>0.73</v>
      </c>
    </row>
    <row r="3154" spans="1:29">
      <c r="A3154" t="str">
        <f>"603088"</f>
        <v>603088</v>
      </c>
      <c r="B3154" t="s">
        <v>3324</v>
      </c>
      <c r="C3154">
        <v>2.07</v>
      </c>
      <c r="D3154">
        <v>13.29</v>
      </c>
      <c r="E3154">
        <v>0.27</v>
      </c>
      <c r="F3154">
        <v>13.29</v>
      </c>
      <c r="G3154">
        <v>13.3</v>
      </c>
      <c r="H3154">
        <v>19668</v>
      </c>
      <c r="I3154">
        <v>12</v>
      </c>
      <c r="J3154">
        <v>0.08</v>
      </c>
      <c r="K3154">
        <v>1.76</v>
      </c>
      <c r="L3154">
        <v>13.02</v>
      </c>
      <c r="M3154">
        <v>13.38</v>
      </c>
      <c r="N3154">
        <v>12.94</v>
      </c>
      <c r="O3154">
        <v>13.02</v>
      </c>
      <c r="P3154">
        <v>42.53</v>
      </c>
      <c r="Q3154">
        <v>25951508</v>
      </c>
      <c r="R3154">
        <v>0.93</v>
      </c>
      <c r="S3154" t="s">
        <v>171</v>
      </c>
      <c r="T3154" t="s">
        <v>149</v>
      </c>
      <c r="U3154">
        <v>3.38</v>
      </c>
      <c r="V3154">
        <v>13.19</v>
      </c>
      <c r="W3154">
        <v>9019</v>
      </c>
      <c r="X3154">
        <v>10649</v>
      </c>
      <c r="Y3154">
        <v>0.85</v>
      </c>
      <c r="Z3154">
        <v>14</v>
      </c>
      <c r="AA3154">
        <v>54</v>
      </c>
      <c r="AB3154" t="s">
        <v>32</v>
      </c>
      <c r="AC3154">
        <v>1.12</v>
      </c>
    </row>
    <row r="3155" spans="1:29">
      <c r="A3155" t="str">
        <f>"603089"</f>
        <v>603089</v>
      </c>
      <c r="B3155" t="s">
        <v>3325</v>
      </c>
      <c r="C3155">
        <v>3.56</v>
      </c>
      <c r="D3155">
        <v>19.78</v>
      </c>
      <c r="E3155">
        <v>0.68</v>
      </c>
      <c r="F3155">
        <v>19.75</v>
      </c>
      <c r="G3155">
        <v>19.78</v>
      </c>
      <c r="H3155">
        <v>8965</v>
      </c>
      <c r="I3155">
        <v>2</v>
      </c>
      <c r="J3155">
        <v>0.25</v>
      </c>
      <c r="K3155">
        <v>2.85</v>
      </c>
      <c r="L3155">
        <v>19.17</v>
      </c>
      <c r="M3155">
        <v>20.19</v>
      </c>
      <c r="N3155">
        <v>18.75</v>
      </c>
      <c r="O3155">
        <v>19.1</v>
      </c>
      <c r="P3155">
        <v>250.19</v>
      </c>
      <c r="Q3155">
        <v>17635220</v>
      </c>
      <c r="R3155">
        <v>2.49</v>
      </c>
      <c r="S3155" t="s">
        <v>80</v>
      </c>
      <c r="T3155" t="s">
        <v>149</v>
      </c>
      <c r="U3155">
        <v>7.54</v>
      </c>
      <c r="V3155">
        <v>19.67</v>
      </c>
      <c r="W3155">
        <v>4363</v>
      </c>
      <c r="X3155">
        <v>4602</v>
      </c>
      <c r="Y3155">
        <v>0.95</v>
      </c>
      <c r="Z3155">
        <v>2</v>
      </c>
      <c r="AA3155">
        <v>20</v>
      </c>
      <c r="AB3155" t="s">
        <v>32</v>
      </c>
      <c r="AC3155">
        <v>0.31</v>
      </c>
    </row>
    <row r="3156" spans="1:29">
      <c r="A3156" t="str">
        <f>"603090"</f>
        <v>603090</v>
      </c>
      <c r="B3156" t="s">
        <v>3326</v>
      </c>
      <c r="C3156">
        <v>3.1</v>
      </c>
      <c r="D3156">
        <v>15.63</v>
      </c>
      <c r="E3156">
        <v>0.47</v>
      </c>
      <c r="F3156">
        <v>15.67</v>
      </c>
      <c r="G3156">
        <v>15.68</v>
      </c>
      <c r="H3156">
        <v>16664</v>
      </c>
      <c r="I3156">
        <v>24</v>
      </c>
      <c r="J3156">
        <v>0.13</v>
      </c>
      <c r="K3156">
        <v>4.1</v>
      </c>
      <c r="L3156">
        <v>15.13</v>
      </c>
      <c r="M3156">
        <v>15.79</v>
      </c>
      <c r="N3156">
        <v>15.13</v>
      </c>
      <c r="O3156">
        <v>15.16</v>
      </c>
      <c r="P3156">
        <v>97.14</v>
      </c>
      <c r="Q3156">
        <v>25844288</v>
      </c>
      <c r="R3156">
        <v>2.57</v>
      </c>
      <c r="S3156" t="s">
        <v>171</v>
      </c>
      <c r="T3156" t="s">
        <v>87</v>
      </c>
      <c r="U3156">
        <v>4.35</v>
      </c>
      <c r="V3156">
        <v>15.51</v>
      </c>
      <c r="W3156">
        <v>5752</v>
      </c>
      <c r="X3156">
        <v>10911</v>
      </c>
      <c r="Y3156">
        <v>0.53</v>
      </c>
      <c r="Z3156">
        <v>5</v>
      </c>
      <c r="AA3156">
        <v>55</v>
      </c>
      <c r="AB3156" t="s">
        <v>32</v>
      </c>
      <c r="AC3156">
        <v>0.41</v>
      </c>
    </row>
    <row r="3157" spans="1:29">
      <c r="A3157" t="str">
        <f>"603096"</f>
        <v>603096</v>
      </c>
      <c r="B3157" t="s">
        <v>3327</v>
      </c>
      <c r="C3157">
        <v>1.18</v>
      </c>
      <c r="D3157">
        <v>89.11</v>
      </c>
      <c r="E3157">
        <v>1.04</v>
      </c>
      <c r="F3157">
        <v>89.05</v>
      </c>
      <c r="G3157">
        <v>89.1</v>
      </c>
      <c r="H3157">
        <v>6321</v>
      </c>
      <c r="I3157">
        <v>8</v>
      </c>
      <c r="J3157">
        <v>0.02</v>
      </c>
      <c r="K3157">
        <v>1.2</v>
      </c>
      <c r="L3157">
        <v>87.8</v>
      </c>
      <c r="M3157">
        <v>91.6</v>
      </c>
      <c r="N3157">
        <v>87.04</v>
      </c>
      <c r="O3157">
        <v>88.07</v>
      </c>
      <c r="P3157">
        <v>54.63</v>
      </c>
      <c r="Q3157">
        <v>57054416</v>
      </c>
      <c r="R3157">
        <v>1.32</v>
      </c>
      <c r="S3157" t="s">
        <v>211</v>
      </c>
      <c r="T3157" t="s">
        <v>248</v>
      </c>
      <c r="U3157">
        <v>5.18</v>
      </c>
      <c r="V3157">
        <v>90.26</v>
      </c>
      <c r="W3157">
        <v>2550</v>
      </c>
      <c r="X3157">
        <v>3771</v>
      </c>
      <c r="Y3157">
        <v>0.68</v>
      </c>
      <c r="Z3157">
        <v>1</v>
      </c>
      <c r="AA3157">
        <v>13</v>
      </c>
      <c r="AB3157" t="s">
        <v>32</v>
      </c>
      <c r="AC3157">
        <v>0.53</v>
      </c>
    </row>
    <row r="3158" spans="1:29">
      <c r="A3158" t="str">
        <f>"603098"</f>
        <v>603098</v>
      </c>
      <c r="B3158" t="s">
        <v>3328</v>
      </c>
      <c r="C3158">
        <v>1.12</v>
      </c>
      <c r="D3158">
        <v>12.6</v>
      </c>
      <c r="E3158">
        <v>0.14</v>
      </c>
      <c r="F3158">
        <v>12.59</v>
      </c>
      <c r="G3158">
        <v>12.6</v>
      </c>
      <c r="H3158">
        <v>10036</v>
      </c>
      <c r="I3158">
        <v>5</v>
      </c>
      <c r="J3158">
        <v>0.08</v>
      </c>
      <c r="K3158">
        <v>1.34</v>
      </c>
      <c r="L3158">
        <v>12.61</v>
      </c>
      <c r="M3158">
        <v>12.68</v>
      </c>
      <c r="N3158">
        <v>12.41</v>
      </c>
      <c r="O3158">
        <v>12.46</v>
      </c>
      <c r="P3158">
        <v>47.76</v>
      </c>
      <c r="Q3158">
        <v>12630495</v>
      </c>
      <c r="R3158">
        <v>0.8</v>
      </c>
      <c r="S3158" t="s">
        <v>59</v>
      </c>
      <c r="T3158" t="s">
        <v>45</v>
      </c>
      <c r="U3158">
        <v>2.17</v>
      </c>
      <c r="V3158">
        <v>12.59</v>
      </c>
      <c r="W3158">
        <v>5042</v>
      </c>
      <c r="X3158">
        <v>4994</v>
      </c>
      <c r="Y3158">
        <v>1.01</v>
      </c>
      <c r="Z3158">
        <v>130</v>
      </c>
      <c r="AA3158">
        <v>6</v>
      </c>
      <c r="AB3158" t="s">
        <v>32</v>
      </c>
      <c r="AC3158">
        <v>0.75</v>
      </c>
    </row>
    <row r="3159" spans="1:29">
      <c r="A3159" t="str">
        <f>"603099"</f>
        <v>603099</v>
      </c>
      <c r="B3159" t="s">
        <v>3329</v>
      </c>
      <c r="C3159">
        <v>1.87</v>
      </c>
      <c r="D3159">
        <v>10.88</v>
      </c>
      <c r="E3159">
        <v>0.2</v>
      </c>
      <c r="F3159">
        <v>10.88</v>
      </c>
      <c r="G3159">
        <v>10.9</v>
      </c>
      <c r="H3159">
        <v>17145</v>
      </c>
      <c r="I3159">
        <v>5</v>
      </c>
      <c r="J3159">
        <v>0.46</v>
      </c>
      <c r="K3159">
        <v>0.64</v>
      </c>
      <c r="L3159">
        <v>10.6</v>
      </c>
      <c r="M3159">
        <v>10.89</v>
      </c>
      <c r="N3159">
        <v>10.6</v>
      </c>
      <c r="O3159">
        <v>10.68</v>
      </c>
      <c r="P3159" t="s">
        <v>32</v>
      </c>
      <c r="Q3159">
        <v>18456832</v>
      </c>
      <c r="R3159">
        <v>1.23</v>
      </c>
      <c r="S3159" t="s">
        <v>124</v>
      </c>
      <c r="T3159" t="s">
        <v>81</v>
      </c>
      <c r="U3159">
        <v>2.72</v>
      </c>
      <c r="V3159">
        <v>10.77</v>
      </c>
      <c r="W3159">
        <v>8146</v>
      </c>
      <c r="X3159">
        <v>8999</v>
      </c>
      <c r="Y3159">
        <v>0.91</v>
      </c>
      <c r="Z3159">
        <v>31</v>
      </c>
      <c r="AA3159">
        <v>148</v>
      </c>
      <c r="AB3159" t="s">
        <v>32</v>
      </c>
      <c r="AC3159">
        <v>2.67</v>
      </c>
    </row>
    <row r="3160" spans="1:29">
      <c r="A3160" t="str">
        <f>"603100"</f>
        <v>603100</v>
      </c>
      <c r="B3160" t="s">
        <v>3330</v>
      </c>
      <c r="C3160">
        <v>1.83</v>
      </c>
      <c r="D3160">
        <v>8.92</v>
      </c>
      <c r="E3160">
        <v>0.16</v>
      </c>
      <c r="F3160">
        <v>8.92</v>
      </c>
      <c r="G3160">
        <v>8.93</v>
      </c>
      <c r="H3160">
        <v>21201</v>
      </c>
      <c r="I3160">
        <v>23</v>
      </c>
      <c r="J3160">
        <v>0</v>
      </c>
      <c r="K3160">
        <v>0.82</v>
      </c>
      <c r="L3160">
        <v>8.68</v>
      </c>
      <c r="M3160">
        <v>8.98</v>
      </c>
      <c r="N3160">
        <v>8.68</v>
      </c>
      <c r="O3160">
        <v>8.76</v>
      </c>
      <c r="P3160">
        <v>33.05</v>
      </c>
      <c r="Q3160">
        <v>18851760</v>
      </c>
      <c r="R3160">
        <v>1.8</v>
      </c>
      <c r="S3160" t="s">
        <v>606</v>
      </c>
      <c r="T3160" t="s">
        <v>221</v>
      </c>
      <c r="U3160">
        <v>3.42</v>
      </c>
      <c r="V3160">
        <v>8.89</v>
      </c>
      <c r="W3160">
        <v>9565</v>
      </c>
      <c r="X3160">
        <v>11636</v>
      </c>
      <c r="Y3160">
        <v>0.82</v>
      </c>
      <c r="Z3160">
        <v>22</v>
      </c>
      <c r="AA3160">
        <v>259</v>
      </c>
      <c r="AB3160" t="s">
        <v>32</v>
      </c>
      <c r="AC3160">
        <v>2.59</v>
      </c>
    </row>
    <row r="3161" spans="1:29">
      <c r="A3161" t="str">
        <f>"603101"</f>
        <v>603101</v>
      </c>
      <c r="B3161" t="s">
        <v>3331</v>
      </c>
      <c r="C3161">
        <v>4.05</v>
      </c>
      <c r="D3161">
        <v>12.86</v>
      </c>
      <c r="E3161">
        <v>0.5</v>
      </c>
      <c r="F3161">
        <v>12.85</v>
      </c>
      <c r="G3161">
        <v>12.86</v>
      </c>
      <c r="H3161">
        <v>84521</v>
      </c>
      <c r="I3161">
        <v>4</v>
      </c>
      <c r="J3161">
        <v>0.23</v>
      </c>
      <c r="K3161">
        <v>11.74</v>
      </c>
      <c r="L3161">
        <v>12.96</v>
      </c>
      <c r="M3161">
        <v>13.6</v>
      </c>
      <c r="N3161">
        <v>12.81</v>
      </c>
      <c r="O3161">
        <v>12.36</v>
      </c>
      <c r="P3161">
        <v>17.31</v>
      </c>
      <c r="Q3161">
        <v>112525544</v>
      </c>
      <c r="R3161">
        <v>11.74</v>
      </c>
      <c r="S3161" t="s">
        <v>186</v>
      </c>
      <c r="T3161" t="s">
        <v>156</v>
      </c>
      <c r="U3161">
        <v>6.39</v>
      </c>
      <c r="V3161">
        <v>13.31</v>
      </c>
      <c r="W3161">
        <v>42121</v>
      </c>
      <c r="X3161">
        <v>42400</v>
      </c>
      <c r="Y3161">
        <v>0.99</v>
      </c>
      <c r="Z3161">
        <v>10</v>
      </c>
      <c r="AA3161">
        <v>92</v>
      </c>
      <c r="AB3161" t="s">
        <v>32</v>
      </c>
      <c r="AC3161">
        <v>0.72</v>
      </c>
    </row>
    <row r="3162" spans="1:29">
      <c r="A3162" t="str">
        <f>"603103"</f>
        <v>603103</v>
      </c>
      <c r="B3162" t="s">
        <v>3332</v>
      </c>
      <c r="C3162">
        <v>1.77</v>
      </c>
      <c r="D3162">
        <v>31.03</v>
      </c>
      <c r="E3162">
        <v>0.54</v>
      </c>
      <c r="F3162">
        <v>31</v>
      </c>
      <c r="G3162">
        <v>31.02</v>
      </c>
      <c r="H3162">
        <v>33085</v>
      </c>
      <c r="I3162">
        <v>7</v>
      </c>
      <c r="J3162">
        <v>0.19</v>
      </c>
      <c r="K3162">
        <v>6.24</v>
      </c>
      <c r="L3162">
        <v>30.49</v>
      </c>
      <c r="M3162">
        <v>31.08</v>
      </c>
      <c r="N3162">
        <v>29.9</v>
      </c>
      <c r="O3162">
        <v>30.49</v>
      </c>
      <c r="P3162">
        <v>18.63</v>
      </c>
      <c r="Q3162">
        <v>101320096</v>
      </c>
      <c r="R3162">
        <v>1.16</v>
      </c>
      <c r="S3162" t="s">
        <v>148</v>
      </c>
      <c r="T3162" t="s">
        <v>149</v>
      </c>
      <c r="U3162">
        <v>3.87</v>
      </c>
      <c r="V3162">
        <v>30.62</v>
      </c>
      <c r="W3162">
        <v>16389</v>
      </c>
      <c r="X3162">
        <v>16696</v>
      </c>
      <c r="Y3162">
        <v>0.98</v>
      </c>
      <c r="Z3162">
        <v>9</v>
      </c>
      <c r="AA3162">
        <v>5</v>
      </c>
      <c r="AB3162" t="s">
        <v>32</v>
      </c>
      <c r="AC3162">
        <v>0.53</v>
      </c>
    </row>
    <row r="3163" spans="1:29">
      <c r="A3163" t="str">
        <f>"603105"</f>
        <v>603105</v>
      </c>
      <c r="B3163" t="s">
        <v>3333</v>
      </c>
      <c r="C3163">
        <v>10.02</v>
      </c>
      <c r="D3163">
        <v>19.87</v>
      </c>
      <c r="E3163">
        <v>1.81</v>
      </c>
      <c r="F3163">
        <v>19.87</v>
      </c>
      <c r="G3163" t="s">
        <v>32</v>
      </c>
      <c r="H3163">
        <v>2576</v>
      </c>
      <c r="I3163">
        <v>10</v>
      </c>
      <c r="J3163">
        <v>0</v>
      </c>
      <c r="K3163">
        <v>0.29</v>
      </c>
      <c r="L3163">
        <v>19.87</v>
      </c>
      <c r="M3163">
        <v>19.87</v>
      </c>
      <c r="N3163">
        <v>19.87</v>
      </c>
      <c r="O3163">
        <v>18.06</v>
      </c>
      <c r="P3163">
        <v>228.33</v>
      </c>
      <c r="Q3163">
        <v>5119307</v>
      </c>
      <c r="R3163">
        <v>0.49</v>
      </c>
      <c r="S3163" t="s">
        <v>104</v>
      </c>
      <c r="T3163" t="s">
        <v>149</v>
      </c>
      <c r="U3163">
        <v>0</v>
      </c>
      <c r="V3163">
        <v>19.87</v>
      </c>
      <c r="W3163">
        <v>2050</v>
      </c>
      <c r="X3163">
        <v>526</v>
      </c>
      <c r="Y3163">
        <v>3.9</v>
      </c>
      <c r="Z3163">
        <v>133060</v>
      </c>
      <c r="AA3163">
        <v>0</v>
      </c>
      <c r="AB3163" t="s">
        <v>32</v>
      </c>
      <c r="AC3163">
        <v>0.88</v>
      </c>
    </row>
    <row r="3164" spans="1:29">
      <c r="A3164" t="str">
        <f>"603106"</f>
        <v>603106</v>
      </c>
      <c r="B3164" t="s">
        <v>3334</v>
      </c>
      <c r="C3164">
        <v>-0.2</v>
      </c>
      <c r="D3164">
        <v>19.91</v>
      </c>
      <c r="E3164">
        <v>-0.04</v>
      </c>
      <c r="F3164">
        <v>19.89</v>
      </c>
      <c r="G3164">
        <v>19.9</v>
      </c>
      <c r="H3164">
        <v>110663</v>
      </c>
      <c r="I3164">
        <v>2</v>
      </c>
      <c r="J3164">
        <v>-0.09</v>
      </c>
      <c r="K3164">
        <v>14.37</v>
      </c>
      <c r="L3164">
        <v>19.29</v>
      </c>
      <c r="M3164">
        <v>20.14</v>
      </c>
      <c r="N3164">
        <v>19.18</v>
      </c>
      <c r="O3164">
        <v>19.95</v>
      </c>
      <c r="P3164">
        <v>48.2</v>
      </c>
      <c r="Q3164">
        <v>216766992</v>
      </c>
      <c r="R3164">
        <v>1.72</v>
      </c>
      <c r="S3164" t="s">
        <v>65</v>
      </c>
      <c r="T3164" t="s">
        <v>248</v>
      </c>
      <c r="U3164">
        <v>4.81</v>
      </c>
      <c r="V3164">
        <v>19.59</v>
      </c>
      <c r="W3164">
        <v>61693</v>
      </c>
      <c r="X3164">
        <v>48970</v>
      </c>
      <c r="Y3164">
        <v>1.26</v>
      </c>
      <c r="Z3164">
        <v>2</v>
      </c>
      <c r="AA3164">
        <v>22</v>
      </c>
      <c r="AB3164" t="s">
        <v>32</v>
      </c>
      <c r="AC3164">
        <v>0.77</v>
      </c>
    </row>
    <row r="3165" spans="1:29">
      <c r="A3165" t="str">
        <f>"603108"</f>
        <v>603108</v>
      </c>
      <c r="B3165" t="s">
        <v>3335</v>
      </c>
      <c r="C3165">
        <v>-1.15</v>
      </c>
      <c r="D3165">
        <v>12.86</v>
      </c>
      <c r="E3165">
        <v>-0.15</v>
      </c>
      <c r="F3165">
        <v>12.85</v>
      </c>
      <c r="G3165">
        <v>12.86</v>
      </c>
      <c r="H3165">
        <v>39708</v>
      </c>
      <c r="I3165">
        <v>1</v>
      </c>
      <c r="J3165">
        <v>0.23</v>
      </c>
      <c r="K3165">
        <v>0.78</v>
      </c>
      <c r="L3165">
        <v>12.99</v>
      </c>
      <c r="M3165">
        <v>13.12</v>
      </c>
      <c r="N3165">
        <v>12.73</v>
      </c>
      <c r="O3165">
        <v>13.01</v>
      </c>
      <c r="P3165">
        <v>33.02</v>
      </c>
      <c r="Q3165">
        <v>51034720</v>
      </c>
      <c r="R3165">
        <v>0.36</v>
      </c>
      <c r="S3165" t="s">
        <v>77</v>
      </c>
      <c r="T3165" t="s">
        <v>366</v>
      </c>
      <c r="U3165">
        <v>3</v>
      </c>
      <c r="V3165">
        <v>12.85</v>
      </c>
      <c r="W3165">
        <v>24624</v>
      </c>
      <c r="X3165">
        <v>15083</v>
      </c>
      <c r="Y3165">
        <v>1.63</v>
      </c>
      <c r="Z3165">
        <v>102</v>
      </c>
      <c r="AA3165">
        <v>44</v>
      </c>
      <c r="AB3165" t="s">
        <v>32</v>
      </c>
      <c r="AC3165">
        <v>5.08</v>
      </c>
    </row>
    <row r="3166" spans="1:29">
      <c r="A3166" t="str">
        <f>"603110"</f>
        <v>603110</v>
      </c>
      <c r="B3166" t="s">
        <v>3336</v>
      </c>
      <c r="C3166">
        <v>-1.17</v>
      </c>
      <c r="D3166">
        <v>16.92</v>
      </c>
      <c r="E3166">
        <v>-0.2</v>
      </c>
      <c r="F3166">
        <v>16.91</v>
      </c>
      <c r="G3166">
        <v>16.95</v>
      </c>
      <c r="H3166">
        <v>26516</v>
      </c>
      <c r="I3166">
        <v>6</v>
      </c>
      <c r="J3166">
        <v>0</v>
      </c>
      <c r="K3166">
        <v>7.38</v>
      </c>
      <c r="L3166">
        <v>16.94</v>
      </c>
      <c r="M3166">
        <v>17.1</v>
      </c>
      <c r="N3166">
        <v>16.53</v>
      </c>
      <c r="O3166">
        <v>17.12</v>
      </c>
      <c r="P3166">
        <v>73.42</v>
      </c>
      <c r="Q3166">
        <v>44737908</v>
      </c>
      <c r="R3166">
        <v>0.58</v>
      </c>
      <c r="S3166" t="s">
        <v>281</v>
      </c>
      <c r="T3166" t="s">
        <v>149</v>
      </c>
      <c r="U3166">
        <v>3.33</v>
      </c>
      <c r="V3166">
        <v>16.87</v>
      </c>
      <c r="W3166">
        <v>15520</v>
      </c>
      <c r="X3166">
        <v>10996</v>
      </c>
      <c r="Y3166">
        <v>1.41</v>
      </c>
      <c r="Z3166">
        <v>98</v>
      </c>
      <c r="AA3166">
        <v>41</v>
      </c>
      <c r="AB3166" t="s">
        <v>32</v>
      </c>
      <c r="AC3166">
        <v>0.36</v>
      </c>
    </row>
    <row r="3167" spans="1:29">
      <c r="A3167" t="str">
        <f>"603111"</f>
        <v>603111</v>
      </c>
      <c r="B3167" t="s">
        <v>3337</v>
      </c>
      <c r="C3167">
        <v>0</v>
      </c>
      <c r="D3167">
        <v>7.07</v>
      </c>
      <c r="E3167">
        <v>0</v>
      </c>
      <c r="F3167">
        <v>7.07</v>
      </c>
      <c r="G3167">
        <v>7.08</v>
      </c>
      <c r="H3167">
        <v>200247</v>
      </c>
      <c r="I3167">
        <v>7</v>
      </c>
      <c r="J3167">
        <v>0</v>
      </c>
      <c r="K3167">
        <v>2.71</v>
      </c>
      <c r="L3167">
        <v>6.99</v>
      </c>
      <c r="M3167">
        <v>7.16</v>
      </c>
      <c r="N3167">
        <v>6.87</v>
      </c>
      <c r="O3167">
        <v>7.07</v>
      </c>
      <c r="P3167">
        <v>17.67</v>
      </c>
      <c r="Q3167">
        <v>141031504</v>
      </c>
      <c r="R3167">
        <v>1.35</v>
      </c>
      <c r="S3167" t="s">
        <v>44</v>
      </c>
      <c r="T3167" t="s">
        <v>87</v>
      </c>
      <c r="U3167">
        <v>4.1</v>
      </c>
      <c r="V3167">
        <v>7.04</v>
      </c>
      <c r="W3167">
        <v>106999</v>
      </c>
      <c r="X3167">
        <v>93248</v>
      </c>
      <c r="Y3167">
        <v>1.15</v>
      </c>
      <c r="Z3167">
        <v>212</v>
      </c>
      <c r="AA3167">
        <v>229</v>
      </c>
      <c r="AB3167" t="s">
        <v>32</v>
      </c>
      <c r="AC3167">
        <v>7.38</v>
      </c>
    </row>
    <row r="3168" spans="1:29">
      <c r="A3168" t="str">
        <f>"603113"</f>
        <v>603113</v>
      </c>
      <c r="B3168" t="s">
        <v>3338</v>
      </c>
      <c r="C3168">
        <v>1.44</v>
      </c>
      <c r="D3168">
        <v>14.75</v>
      </c>
      <c r="E3168">
        <v>0.21</v>
      </c>
      <c r="F3168">
        <v>14.74</v>
      </c>
      <c r="G3168">
        <v>14.76</v>
      </c>
      <c r="H3168">
        <v>105507</v>
      </c>
      <c r="I3168">
        <v>15</v>
      </c>
      <c r="J3168">
        <v>0</v>
      </c>
      <c r="K3168">
        <v>3.18</v>
      </c>
      <c r="L3168">
        <v>14.4</v>
      </c>
      <c r="M3168">
        <v>14.86</v>
      </c>
      <c r="N3168">
        <v>14.35</v>
      </c>
      <c r="O3168">
        <v>14.54</v>
      </c>
      <c r="P3168">
        <v>9.66</v>
      </c>
      <c r="Q3168">
        <v>154573152</v>
      </c>
      <c r="R3168">
        <v>1.84</v>
      </c>
      <c r="S3168" t="s">
        <v>218</v>
      </c>
      <c r="T3168" t="s">
        <v>162</v>
      </c>
      <c r="U3168">
        <v>3.51</v>
      </c>
      <c r="V3168">
        <v>14.65</v>
      </c>
      <c r="W3168">
        <v>53146</v>
      </c>
      <c r="X3168">
        <v>52361</v>
      </c>
      <c r="Y3168">
        <v>1.01</v>
      </c>
      <c r="Z3168">
        <v>135</v>
      </c>
      <c r="AA3168">
        <v>146</v>
      </c>
      <c r="AB3168" t="s">
        <v>32</v>
      </c>
      <c r="AC3168">
        <v>3.32</v>
      </c>
    </row>
    <row r="3169" spans="1:29">
      <c r="A3169" t="str">
        <f>"603116"</f>
        <v>603116</v>
      </c>
      <c r="B3169" t="s">
        <v>3339</v>
      </c>
      <c r="C3169">
        <v>1.21</v>
      </c>
      <c r="D3169">
        <v>9.19</v>
      </c>
      <c r="E3169">
        <v>0.11</v>
      </c>
      <c r="F3169">
        <v>9.18</v>
      </c>
      <c r="G3169">
        <v>9.19</v>
      </c>
      <c r="H3169">
        <v>15695</v>
      </c>
      <c r="I3169">
        <v>20</v>
      </c>
      <c r="J3169">
        <v>0</v>
      </c>
      <c r="K3169">
        <v>0.27</v>
      </c>
      <c r="L3169">
        <v>9.06</v>
      </c>
      <c r="M3169">
        <v>9.23</v>
      </c>
      <c r="N3169">
        <v>9.03</v>
      </c>
      <c r="O3169">
        <v>9.08</v>
      </c>
      <c r="P3169">
        <v>14.54</v>
      </c>
      <c r="Q3169">
        <v>14391621</v>
      </c>
      <c r="R3169">
        <v>1.13</v>
      </c>
      <c r="S3169" t="s">
        <v>622</v>
      </c>
      <c r="T3169" t="s">
        <v>149</v>
      </c>
      <c r="U3169">
        <v>2.2</v>
      </c>
      <c r="V3169">
        <v>9.17</v>
      </c>
      <c r="W3169">
        <v>7146</v>
      </c>
      <c r="X3169">
        <v>8549</v>
      </c>
      <c r="Y3169">
        <v>0.84</v>
      </c>
      <c r="Z3169">
        <v>306</v>
      </c>
      <c r="AA3169">
        <v>9</v>
      </c>
      <c r="AB3169" t="s">
        <v>32</v>
      </c>
      <c r="AC3169">
        <v>5.72</v>
      </c>
    </row>
    <row r="3170" spans="1:29">
      <c r="A3170" t="str">
        <f>"603117"</f>
        <v>603117</v>
      </c>
      <c r="B3170" t="s">
        <v>3340</v>
      </c>
      <c r="C3170">
        <v>2.49</v>
      </c>
      <c r="D3170">
        <v>4.94</v>
      </c>
      <c r="E3170">
        <v>0.12</v>
      </c>
      <c r="F3170">
        <v>4.93</v>
      </c>
      <c r="G3170">
        <v>4.94</v>
      </c>
      <c r="H3170">
        <v>50279</v>
      </c>
      <c r="I3170">
        <v>26</v>
      </c>
      <c r="J3170">
        <v>0.41</v>
      </c>
      <c r="K3170">
        <v>0.8</v>
      </c>
      <c r="L3170">
        <v>4.81</v>
      </c>
      <c r="M3170">
        <v>4.98</v>
      </c>
      <c r="N3170">
        <v>4.78</v>
      </c>
      <c r="O3170">
        <v>4.82</v>
      </c>
      <c r="P3170">
        <v>26.81</v>
      </c>
      <c r="Q3170">
        <v>24658320</v>
      </c>
      <c r="R3170">
        <v>2.14</v>
      </c>
      <c r="S3170" t="s">
        <v>742</v>
      </c>
      <c r="T3170" t="s">
        <v>87</v>
      </c>
      <c r="U3170">
        <v>4.15</v>
      </c>
      <c r="V3170">
        <v>4.9</v>
      </c>
      <c r="W3170">
        <v>26785</v>
      </c>
      <c r="X3170">
        <v>23493</v>
      </c>
      <c r="Y3170">
        <v>1.14</v>
      </c>
      <c r="Z3170">
        <v>123</v>
      </c>
      <c r="AA3170">
        <v>43</v>
      </c>
      <c r="AB3170" t="s">
        <v>32</v>
      </c>
      <c r="AC3170">
        <v>6.26</v>
      </c>
    </row>
    <row r="3171" spans="1:29">
      <c r="A3171" t="str">
        <f>"603118"</f>
        <v>603118</v>
      </c>
      <c r="B3171" t="s">
        <v>3341</v>
      </c>
      <c r="C3171">
        <v>1.99</v>
      </c>
      <c r="D3171">
        <v>5.63</v>
      </c>
      <c r="E3171">
        <v>0.11</v>
      </c>
      <c r="F3171">
        <v>5.62</v>
      </c>
      <c r="G3171">
        <v>5.63</v>
      </c>
      <c r="H3171">
        <v>65640</v>
      </c>
      <c r="I3171">
        <v>10</v>
      </c>
      <c r="J3171">
        <v>0.18</v>
      </c>
      <c r="K3171">
        <v>0.85</v>
      </c>
      <c r="L3171">
        <v>5.47</v>
      </c>
      <c r="M3171">
        <v>5.65</v>
      </c>
      <c r="N3171">
        <v>5.47</v>
      </c>
      <c r="O3171">
        <v>5.52</v>
      </c>
      <c r="P3171">
        <v>1128.62</v>
      </c>
      <c r="Q3171">
        <v>36656720</v>
      </c>
      <c r="R3171">
        <v>1.18</v>
      </c>
      <c r="S3171" t="s">
        <v>119</v>
      </c>
      <c r="T3171" t="s">
        <v>31</v>
      </c>
      <c r="U3171">
        <v>3.26</v>
      </c>
      <c r="V3171">
        <v>5.58</v>
      </c>
      <c r="W3171">
        <v>31043</v>
      </c>
      <c r="X3171">
        <v>34597</v>
      </c>
      <c r="Y3171">
        <v>0.9</v>
      </c>
      <c r="Z3171">
        <v>288</v>
      </c>
      <c r="AA3171">
        <v>240</v>
      </c>
      <c r="AB3171" t="s">
        <v>32</v>
      </c>
      <c r="AC3171">
        <v>7.76</v>
      </c>
    </row>
    <row r="3172" spans="1:29">
      <c r="A3172" t="str">
        <f>"603123"</f>
        <v>603123</v>
      </c>
      <c r="B3172" t="s">
        <v>3342</v>
      </c>
      <c r="C3172">
        <v>1.65</v>
      </c>
      <c r="D3172">
        <v>6.16</v>
      </c>
      <c r="E3172">
        <v>0.1</v>
      </c>
      <c r="F3172">
        <v>6.15</v>
      </c>
      <c r="G3172">
        <v>6.16</v>
      </c>
      <c r="H3172">
        <v>16943</v>
      </c>
      <c r="I3172">
        <v>13</v>
      </c>
      <c r="J3172">
        <v>0.16</v>
      </c>
      <c r="K3172">
        <v>0.32</v>
      </c>
      <c r="L3172">
        <v>6.04</v>
      </c>
      <c r="M3172">
        <v>6.17</v>
      </c>
      <c r="N3172">
        <v>6.03</v>
      </c>
      <c r="O3172">
        <v>6.06</v>
      </c>
      <c r="P3172">
        <v>17.63</v>
      </c>
      <c r="Q3172">
        <v>10364305</v>
      </c>
      <c r="R3172">
        <v>1.76</v>
      </c>
      <c r="S3172" t="s">
        <v>186</v>
      </c>
      <c r="T3172" t="s">
        <v>45</v>
      </c>
      <c r="U3172">
        <v>2.31</v>
      </c>
      <c r="V3172">
        <v>6.12</v>
      </c>
      <c r="W3172">
        <v>10058</v>
      </c>
      <c r="X3172">
        <v>6884</v>
      </c>
      <c r="Y3172">
        <v>1.46</v>
      </c>
      <c r="Z3172">
        <v>449</v>
      </c>
      <c r="AA3172">
        <v>446</v>
      </c>
      <c r="AB3172" t="s">
        <v>32</v>
      </c>
      <c r="AC3172">
        <v>5.24</v>
      </c>
    </row>
    <row r="3173" spans="1:29">
      <c r="A3173" t="str">
        <f>"603126"</f>
        <v>603126</v>
      </c>
      <c r="B3173" t="s">
        <v>3343</v>
      </c>
      <c r="C3173">
        <v>4.78</v>
      </c>
      <c r="D3173">
        <v>6.58</v>
      </c>
      <c r="E3173">
        <v>0.3</v>
      </c>
      <c r="F3173">
        <v>6.58</v>
      </c>
      <c r="G3173">
        <v>6.59</v>
      </c>
      <c r="H3173">
        <v>92513</v>
      </c>
      <c r="I3173">
        <v>59</v>
      </c>
      <c r="J3173">
        <v>0</v>
      </c>
      <c r="K3173">
        <v>1.52</v>
      </c>
      <c r="L3173">
        <v>6.27</v>
      </c>
      <c r="M3173">
        <v>6.64</v>
      </c>
      <c r="N3173">
        <v>6.23</v>
      </c>
      <c r="O3173">
        <v>6.28</v>
      </c>
      <c r="P3173">
        <v>119.77</v>
      </c>
      <c r="Q3173">
        <v>59787096</v>
      </c>
      <c r="R3173">
        <v>2.7</v>
      </c>
      <c r="S3173" t="s">
        <v>86</v>
      </c>
      <c r="T3173" t="s">
        <v>248</v>
      </c>
      <c r="U3173">
        <v>6.53</v>
      </c>
      <c r="V3173">
        <v>6.46</v>
      </c>
      <c r="W3173">
        <v>38602</v>
      </c>
      <c r="X3173">
        <v>53911</v>
      </c>
      <c r="Y3173">
        <v>0.72</v>
      </c>
      <c r="Z3173">
        <v>52</v>
      </c>
      <c r="AA3173">
        <v>1107</v>
      </c>
      <c r="AB3173" t="s">
        <v>32</v>
      </c>
      <c r="AC3173">
        <v>6.11</v>
      </c>
    </row>
    <row r="3174" spans="1:29">
      <c r="A3174" t="str">
        <f>"603127"</f>
        <v>603127</v>
      </c>
      <c r="B3174" t="s">
        <v>3344</v>
      </c>
      <c r="C3174">
        <v>2.15</v>
      </c>
      <c r="D3174">
        <v>57.03</v>
      </c>
      <c r="E3174">
        <v>1.2</v>
      </c>
      <c r="F3174">
        <v>57.01</v>
      </c>
      <c r="G3174">
        <v>57.04</v>
      </c>
      <c r="H3174">
        <v>13879</v>
      </c>
      <c r="I3174">
        <v>4</v>
      </c>
      <c r="J3174">
        <v>-0.29</v>
      </c>
      <c r="K3174">
        <v>4.84</v>
      </c>
      <c r="L3174">
        <v>55.4</v>
      </c>
      <c r="M3174">
        <v>58</v>
      </c>
      <c r="N3174">
        <v>55.09</v>
      </c>
      <c r="O3174">
        <v>55.83</v>
      </c>
      <c r="P3174">
        <v>186.93</v>
      </c>
      <c r="Q3174">
        <v>78919408</v>
      </c>
      <c r="R3174">
        <v>0.98</v>
      </c>
      <c r="S3174" t="s">
        <v>138</v>
      </c>
      <c r="T3174" t="s">
        <v>45</v>
      </c>
      <c r="U3174">
        <v>5.21</v>
      </c>
      <c r="V3174">
        <v>56.86</v>
      </c>
      <c r="W3174">
        <v>6463</v>
      </c>
      <c r="X3174">
        <v>7415</v>
      </c>
      <c r="Y3174">
        <v>0.87</v>
      </c>
      <c r="Z3174">
        <v>2</v>
      </c>
      <c r="AA3174">
        <v>8</v>
      </c>
      <c r="AB3174" t="s">
        <v>32</v>
      </c>
      <c r="AC3174">
        <v>0.29</v>
      </c>
    </row>
    <row r="3175" spans="1:29">
      <c r="A3175" t="str">
        <f>"603128"</f>
        <v>603128</v>
      </c>
      <c r="B3175" t="s">
        <v>3345</v>
      </c>
      <c r="C3175">
        <v>3.2</v>
      </c>
      <c r="D3175">
        <v>5.8</v>
      </c>
      <c r="E3175">
        <v>0.18</v>
      </c>
      <c r="F3175">
        <v>5.79</v>
      </c>
      <c r="G3175">
        <v>5.8</v>
      </c>
      <c r="H3175">
        <v>152150</v>
      </c>
      <c r="I3175">
        <v>100</v>
      </c>
      <c r="J3175">
        <v>0.17</v>
      </c>
      <c r="K3175">
        <v>1.59</v>
      </c>
      <c r="L3175">
        <v>5.62</v>
      </c>
      <c r="M3175">
        <v>5.86</v>
      </c>
      <c r="N3175">
        <v>5.59</v>
      </c>
      <c r="O3175">
        <v>5.62</v>
      </c>
      <c r="P3175">
        <v>19.2</v>
      </c>
      <c r="Q3175">
        <v>87488496</v>
      </c>
      <c r="R3175">
        <v>1.6</v>
      </c>
      <c r="S3175" t="s">
        <v>742</v>
      </c>
      <c r="T3175" t="s">
        <v>366</v>
      </c>
      <c r="U3175">
        <v>4.8</v>
      </c>
      <c r="V3175">
        <v>5.75</v>
      </c>
      <c r="W3175">
        <v>62809</v>
      </c>
      <c r="X3175">
        <v>89340</v>
      </c>
      <c r="Y3175">
        <v>0.7</v>
      </c>
      <c r="Z3175">
        <v>374</v>
      </c>
      <c r="AA3175">
        <v>42</v>
      </c>
      <c r="AB3175" t="s">
        <v>32</v>
      </c>
      <c r="AC3175">
        <v>9.55</v>
      </c>
    </row>
    <row r="3176" spans="1:29">
      <c r="A3176" t="str">
        <f>"603129"</f>
        <v>603129</v>
      </c>
      <c r="B3176" t="s">
        <v>3346</v>
      </c>
      <c r="C3176">
        <v>1.65</v>
      </c>
      <c r="D3176">
        <v>19.14</v>
      </c>
      <c r="E3176">
        <v>0.31</v>
      </c>
      <c r="F3176">
        <v>19.14</v>
      </c>
      <c r="G3176">
        <v>19.16</v>
      </c>
      <c r="H3176">
        <v>8298</v>
      </c>
      <c r="I3176">
        <v>5</v>
      </c>
      <c r="J3176">
        <v>0.21</v>
      </c>
      <c r="K3176">
        <v>2.49</v>
      </c>
      <c r="L3176">
        <v>18.8</v>
      </c>
      <c r="M3176">
        <v>19.23</v>
      </c>
      <c r="N3176">
        <v>18.67</v>
      </c>
      <c r="O3176">
        <v>18.83</v>
      </c>
      <c r="P3176">
        <v>41.53</v>
      </c>
      <c r="Q3176">
        <v>15805990</v>
      </c>
      <c r="R3176">
        <v>1.38</v>
      </c>
      <c r="S3176" t="s">
        <v>549</v>
      </c>
      <c r="T3176" t="s">
        <v>149</v>
      </c>
      <c r="U3176">
        <v>2.97</v>
      </c>
      <c r="V3176">
        <v>19.05</v>
      </c>
      <c r="W3176">
        <v>4073</v>
      </c>
      <c r="X3176">
        <v>4225</v>
      </c>
      <c r="Y3176">
        <v>0.96</v>
      </c>
      <c r="Z3176">
        <v>4</v>
      </c>
      <c r="AA3176">
        <v>42</v>
      </c>
      <c r="AB3176" t="s">
        <v>32</v>
      </c>
      <c r="AC3176">
        <v>0.33</v>
      </c>
    </row>
    <row r="3177" spans="1:29">
      <c r="A3177" t="str">
        <f>"603131"</f>
        <v>603131</v>
      </c>
      <c r="B3177" t="s">
        <v>3347</v>
      </c>
      <c r="C3177">
        <v>1.26</v>
      </c>
      <c r="D3177">
        <v>15.29</v>
      </c>
      <c r="E3177">
        <v>0.19</v>
      </c>
      <c r="F3177">
        <v>15.28</v>
      </c>
      <c r="G3177">
        <v>15.29</v>
      </c>
      <c r="H3177">
        <v>6739</v>
      </c>
      <c r="I3177">
        <v>36</v>
      </c>
      <c r="J3177">
        <v>0.13</v>
      </c>
      <c r="K3177">
        <v>1.35</v>
      </c>
      <c r="L3177">
        <v>15.13</v>
      </c>
      <c r="M3177">
        <v>15.3</v>
      </c>
      <c r="N3177">
        <v>14.93</v>
      </c>
      <c r="O3177">
        <v>15.1</v>
      </c>
      <c r="P3177">
        <v>790.92</v>
      </c>
      <c r="Q3177">
        <v>10246713</v>
      </c>
      <c r="R3177">
        <v>2.16</v>
      </c>
      <c r="S3177" t="s">
        <v>171</v>
      </c>
      <c r="T3177" t="s">
        <v>366</v>
      </c>
      <c r="U3177">
        <v>2.45</v>
      </c>
      <c r="V3177">
        <v>15.21</v>
      </c>
      <c r="W3177">
        <v>2932</v>
      </c>
      <c r="X3177">
        <v>3807</v>
      </c>
      <c r="Y3177">
        <v>0.77</v>
      </c>
      <c r="Z3177">
        <v>86</v>
      </c>
      <c r="AA3177">
        <v>20</v>
      </c>
      <c r="AB3177" t="s">
        <v>32</v>
      </c>
      <c r="AC3177">
        <v>0.5</v>
      </c>
    </row>
    <row r="3178" spans="1:29">
      <c r="A3178" t="str">
        <f>"603133"</f>
        <v>603133</v>
      </c>
      <c r="B3178" t="s">
        <v>3348</v>
      </c>
      <c r="C3178">
        <v>0.34</v>
      </c>
      <c r="D3178">
        <v>20.91</v>
      </c>
      <c r="E3178">
        <v>0.07</v>
      </c>
      <c r="F3178">
        <v>20.91</v>
      </c>
      <c r="G3178">
        <v>20.92</v>
      </c>
      <c r="H3178">
        <v>27841</v>
      </c>
      <c r="I3178">
        <v>1</v>
      </c>
      <c r="J3178">
        <v>0</v>
      </c>
      <c r="K3178">
        <v>2.49</v>
      </c>
      <c r="L3178">
        <v>20.66</v>
      </c>
      <c r="M3178">
        <v>21.08</v>
      </c>
      <c r="N3178">
        <v>20.42</v>
      </c>
      <c r="O3178">
        <v>20.84</v>
      </c>
      <c r="P3178">
        <v>126.9</v>
      </c>
      <c r="Q3178">
        <v>57822968</v>
      </c>
      <c r="R3178">
        <v>0.46</v>
      </c>
      <c r="S3178" t="s">
        <v>63</v>
      </c>
      <c r="T3178" t="s">
        <v>87</v>
      </c>
      <c r="U3178">
        <v>3.17</v>
      </c>
      <c r="V3178">
        <v>20.77</v>
      </c>
      <c r="W3178">
        <v>15362</v>
      </c>
      <c r="X3178">
        <v>12479</v>
      </c>
      <c r="Y3178">
        <v>1.23</v>
      </c>
      <c r="Z3178">
        <v>43</v>
      </c>
      <c r="AA3178">
        <v>52</v>
      </c>
      <c r="AB3178" t="s">
        <v>32</v>
      </c>
      <c r="AC3178">
        <v>1.12</v>
      </c>
    </row>
    <row r="3179" spans="1:29">
      <c r="A3179" t="str">
        <f>"603136"</f>
        <v>603136</v>
      </c>
      <c r="B3179" t="s">
        <v>3349</v>
      </c>
      <c r="C3179">
        <v>3.5</v>
      </c>
      <c r="D3179">
        <v>35.49</v>
      </c>
      <c r="E3179">
        <v>1.2</v>
      </c>
      <c r="F3179">
        <v>35.49</v>
      </c>
      <c r="G3179">
        <v>35.53</v>
      </c>
      <c r="H3179">
        <v>13982</v>
      </c>
      <c r="I3179">
        <v>10</v>
      </c>
      <c r="J3179">
        <v>0.31</v>
      </c>
      <c r="K3179">
        <v>6.99</v>
      </c>
      <c r="L3179">
        <v>34.29</v>
      </c>
      <c r="M3179">
        <v>35.85</v>
      </c>
      <c r="N3179">
        <v>34.29</v>
      </c>
      <c r="O3179">
        <v>34.29</v>
      </c>
      <c r="P3179">
        <v>40.26</v>
      </c>
      <c r="Q3179">
        <v>49392136</v>
      </c>
      <c r="R3179">
        <v>1.94</v>
      </c>
      <c r="S3179" t="s">
        <v>124</v>
      </c>
      <c r="T3179" t="s">
        <v>87</v>
      </c>
      <c r="U3179">
        <v>4.55</v>
      </c>
      <c r="V3179">
        <v>35.33</v>
      </c>
      <c r="W3179">
        <v>5647</v>
      </c>
      <c r="X3179">
        <v>8335</v>
      </c>
      <c r="Y3179">
        <v>0.68</v>
      </c>
      <c r="Z3179">
        <v>2</v>
      </c>
      <c r="AA3179">
        <v>31</v>
      </c>
      <c r="AB3179" t="s">
        <v>32</v>
      </c>
      <c r="AC3179">
        <v>0.2</v>
      </c>
    </row>
    <row r="3180" spans="1:29">
      <c r="A3180" t="str">
        <f>"603138"</f>
        <v>603138</v>
      </c>
      <c r="B3180" t="s">
        <v>3350</v>
      </c>
      <c r="C3180">
        <v>0.23</v>
      </c>
      <c r="D3180">
        <v>26.4</v>
      </c>
      <c r="E3180">
        <v>0.06</v>
      </c>
      <c r="F3180">
        <v>26.42</v>
      </c>
      <c r="G3180">
        <v>26.43</v>
      </c>
      <c r="H3180">
        <v>29092</v>
      </c>
      <c r="I3180">
        <v>12</v>
      </c>
      <c r="J3180">
        <v>0.34</v>
      </c>
      <c r="K3180">
        <v>6.14</v>
      </c>
      <c r="L3180">
        <v>26.35</v>
      </c>
      <c r="M3180">
        <v>26.51</v>
      </c>
      <c r="N3180">
        <v>25.9</v>
      </c>
      <c r="O3180">
        <v>26.34</v>
      </c>
      <c r="P3180">
        <v>141.85</v>
      </c>
      <c r="Q3180">
        <v>76383672</v>
      </c>
      <c r="R3180">
        <v>0.62</v>
      </c>
      <c r="S3180" t="s">
        <v>270</v>
      </c>
      <c r="T3180" t="s">
        <v>45</v>
      </c>
      <c r="U3180">
        <v>2.32</v>
      </c>
      <c r="V3180">
        <v>26.26</v>
      </c>
      <c r="W3180">
        <v>15453</v>
      </c>
      <c r="X3180">
        <v>13638</v>
      </c>
      <c r="Y3180">
        <v>1.13</v>
      </c>
      <c r="Z3180">
        <v>10</v>
      </c>
      <c r="AA3180">
        <v>29</v>
      </c>
      <c r="AB3180" t="s">
        <v>32</v>
      </c>
      <c r="AC3180">
        <v>0.47</v>
      </c>
    </row>
    <row r="3181" spans="1:29">
      <c r="A3181" t="str">
        <f>"603139"</f>
        <v>603139</v>
      </c>
      <c r="B3181" t="s">
        <v>3351</v>
      </c>
      <c r="C3181">
        <v>1</v>
      </c>
      <c r="D3181">
        <v>21.11</v>
      </c>
      <c r="E3181">
        <v>0.21</v>
      </c>
      <c r="F3181">
        <v>21.1</v>
      </c>
      <c r="G3181">
        <v>21.11</v>
      </c>
      <c r="H3181">
        <v>15320</v>
      </c>
      <c r="I3181">
        <v>4</v>
      </c>
      <c r="J3181">
        <v>0.05</v>
      </c>
      <c r="K3181">
        <v>2.86</v>
      </c>
      <c r="L3181">
        <v>20.84</v>
      </c>
      <c r="M3181">
        <v>21.12</v>
      </c>
      <c r="N3181">
        <v>20.71</v>
      </c>
      <c r="O3181">
        <v>20.9</v>
      </c>
      <c r="P3181">
        <v>51.55</v>
      </c>
      <c r="Q3181">
        <v>32141474</v>
      </c>
      <c r="R3181">
        <v>1.99</v>
      </c>
      <c r="S3181" t="s">
        <v>195</v>
      </c>
      <c r="T3181" t="s">
        <v>223</v>
      </c>
      <c r="U3181">
        <v>1.96</v>
      </c>
      <c r="V3181">
        <v>20.98</v>
      </c>
      <c r="W3181">
        <v>6228</v>
      </c>
      <c r="X3181">
        <v>9092</v>
      </c>
      <c r="Y3181">
        <v>0.68</v>
      </c>
      <c r="Z3181">
        <v>55</v>
      </c>
      <c r="AA3181">
        <v>2</v>
      </c>
      <c r="AB3181" t="s">
        <v>32</v>
      </c>
      <c r="AC3181">
        <v>0.54</v>
      </c>
    </row>
    <row r="3182" spans="1:29">
      <c r="A3182" t="str">
        <f>"603156"</f>
        <v>603156</v>
      </c>
      <c r="B3182" t="s">
        <v>3352</v>
      </c>
      <c r="C3182">
        <v>1.28</v>
      </c>
      <c r="D3182">
        <v>62.28</v>
      </c>
      <c r="E3182">
        <v>0.79</v>
      </c>
      <c r="F3182">
        <v>62.3</v>
      </c>
      <c r="G3182">
        <v>62.31</v>
      </c>
      <c r="H3182">
        <v>18648</v>
      </c>
      <c r="I3182">
        <v>23</v>
      </c>
      <c r="J3182">
        <v>-0.01</v>
      </c>
      <c r="K3182">
        <v>3.09</v>
      </c>
      <c r="L3182">
        <v>61.49</v>
      </c>
      <c r="M3182">
        <v>62.87</v>
      </c>
      <c r="N3182">
        <v>60.91</v>
      </c>
      <c r="O3182">
        <v>61.49</v>
      </c>
      <c r="P3182">
        <v>12.61</v>
      </c>
      <c r="Q3182">
        <v>115162144</v>
      </c>
      <c r="R3182">
        <v>1.65</v>
      </c>
      <c r="S3182" t="s">
        <v>61</v>
      </c>
      <c r="T3182" t="s">
        <v>154</v>
      </c>
      <c r="U3182">
        <v>3.19</v>
      </c>
      <c r="V3182">
        <v>61.76</v>
      </c>
      <c r="W3182">
        <v>8575</v>
      </c>
      <c r="X3182">
        <v>10072</v>
      </c>
      <c r="Y3182">
        <v>0.85</v>
      </c>
      <c r="Z3182">
        <v>96</v>
      </c>
      <c r="AA3182">
        <v>1</v>
      </c>
      <c r="AB3182" t="s">
        <v>32</v>
      </c>
      <c r="AC3182">
        <v>0.6</v>
      </c>
    </row>
    <row r="3183" spans="1:29">
      <c r="A3183" t="str">
        <f>"603157"</f>
        <v>603157</v>
      </c>
      <c r="B3183" t="s">
        <v>3353</v>
      </c>
      <c r="C3183">
        <v>2.02</v>
      </c>
      <c r="D3183">
        <v>18.71</v>
      </c>
      <c r="E3183">
        <v>0.37</v>
      </c>
      <c r="F3183">
        <v>18.71</v>
      </c>
      <c r="G3183">
        <v>18.72</v>
      </c>
      <c r="H3183">
        <v>82023</v>
      </c>
      <c r="I3183">
        <v>15</v>
      </c>
      <c r="J3183">
        <v>0.27</v>
      </c>
      <c r="K3183">
        <v>14.98</v>
      </c>
      <c r="L3183">
        <v>18.38</v>
      </c>
      <c r="M3183">
        <v>18.89</v>
      </c>
      <c r="N3183">
        <v>18.05</v>
      </c>
      <c r="O3183">
        <v>18.34</v>
      </c>
      <c r="P3183">
        <v>14.71</v>
      </c>
      <c r="Q3183">
        <v>152543088</v>
      </c>
      <c r="R3183">
        <v>0.87</v>
      </c>
      <c r="S3183" t="s">
        <v>622</v>
      </c>
      <c r="T3183" t="s">
        <v>366</v>
      </c>
      <c r="U3183">
        <v>4.58</v>
      </c>
      <c r="V3183">
        <v>18.6</v>
      </c>
      <c r="W3183">
        <v>40813</v>
      </c>
      <c r="X3183">
        <v>41209</v>
      </c>
      <c r="Y3183">
        <v>0.99</v>
      </c>
      <c r="Z3183">
        <v>145</v>
      </c>
      <c r="AA3183">
        <v>485</v>
      </c>
      <c r="AB3183" t="s">
        <v>32</v>
      </c>
      <c r="AC3183">
        <v>0.55</v>
      </c>
    </row>
    <row r="3184" spans="1:29">
      <c r="A3184" t="str">
        <f>"603158"</f>
        <v>603158</v>
      </c>
      <c r="B3184" t="s">
        <v>3354</v>
      </c>
      <c r="C3184">
        <v>0.3</v>
      </c>
      <c r="D3184">
        <v>16.93</v>
      </c>
      <c r="E3184">
        <v>0.05</v>
      </c>
      <c r="F3184">
        <v>16.93</v>
      </c>
      <c r="G3184">
        <v>16.97</v>
      </c>
      <c r="H3184">
        <v>2303</v>
      </c>
      <c r="I3184">
        <v>5</v>
      </c>
      <c r="J3184">
        <v>-0.23</v>
      </c>
      <c r="K3184">
        <v>0.11</v>
      </c>
      <c r="L3184">
        <v>16.88</v>
      </c>
      <c r="M3184">
        <v>17.02</v>
      </c>
      <c r="N3184">
        <v>16.88</v>
      </c>
      <c r="O3184">
        <v>16.88</v>
      </c>
      <c r="P3184">
        <v>37.06</v>
      </c>
      <c r="Q3184">
        <v>3906281</v>
      </c>
      <c r="R3184">
        <v>0.6</v>
      </c>
      <c r="S3184" t="s">
        <v>80</v>
      </c>
      <c r="T3184" t="s">
        <v>87</v>
      </c>
      <c r="U3184">
        <v>0.83</v>
      </c>
      <c r="V3184">
        <v>16.96</v>
      </c>
      <c r="W3184">
        <v>785</v>
      </c>
      <c r="X3184">
        <v>1518</v>
      </c>
      <c r="Y3184">
        <v>0.52</v>
      </c>
      <c r="Z3184">
        <v>51</v>
      </c>
      <c r="AA3184">
        <v>63</v>
      </c>
      <c r="AB3184" t="s">
        <v>32</v>
      </c>
      <c r="AC3184">
        <v>2.17</v>
      </c>
    </row>
    <row r="3185" spans="1:29">
      <c r="A3185" t="str">
        <f>"603159"</f>
        <v>603159</v>
      </c>
      <c r="B3185" t="s">
        <v>3355</v>
      </c>
      <c r="C3185">
        <v>1.49</v>
      </c>
      <c r="D3185">
        <v>21.16</v>
      </c>
      <c r="E3185">
        <v>0.31</v>
      </c>
      <c r="F3185">
        <v>21.13</v>
      </c>
      <c r="G3185">
        <v>21.14</v>
      </c>
      <c r="H3185">
        <v>12003</v>
      </c>
      <c r="I3185">
        <v>25</v>
      </c>
      <c r="J3185">
        <v>-0.04</v>
      </c>
      <c r="K3185">
        <v>4.8</v>
      </c>
      <c r="L3185">
        <v>20.86</v>
      </c>
      <c r="M3185">
        <v>21.98</v>
      </c>
      <c r="N3185">
        <v>20.67</v>
      </c>
      <c r="O3185">
        <v>20.85</v>
      </c>
      <c r="P3185">
        <v>52.91</v>
      </c>
      <c r="Q3185">
        <v>25556200</v>
      </c>
      <c r="R3185">
        <v>2.5</v>
      </c>
      <c r="S3185" t="s">
        <v>171</v>
      </c>
      <c r="T3185" t="s">
        <v>366</v>
      </c>
      <c r="U3185">
        <v>6.28</v>
      </c>
      <c r="V3185">
        <v>21.29</v>
      </c>
      <c r="W3185">
        <v>5748</v>
      </c>
      <c r="X3185">
        <v>6255</v>
      </c>
      <c r="Y3185">
        <v>0.92</v>
      </c>
      <c r="Z3185">
        <v>24</v>
      </c>
      <c r="AA3185">
        <v>62</v>
      </c>
      <c r="AB3185" t="s">
        <v>32</v>
      </c>
      <c r="AC3185">
        <v>0.25</v>
      </c>
    </row>
    <row r="3186" spans="1:29">
      <c r="A3186" t="str">
        <f>"603160"</f>
        <v>603160</v>
      </c>
      <c r="B3186" t="s">
        <v>3356</v>
      </c>
      <c r="C3186">
        <v>2.39</v>
      </c>
      <c r="D3186">
        <v>70.78</v>
      </c>
      <c r="E3186">
        <v>1.65</v>
      </c>
      <c r="F3186">
        <v>70.77</v>
      </c>
      <c r="G3186">
        <v>70.78</v>
      </c>
      <c r="H3186">
        <v>19596</v>
      </c>
      <c r="I3186">
        <v>6</v>
      </c>
      <c r="J3186">
        <v>0.07</v>
      </c>
      <c r="K3186">
        <v>0.85</v>
      </c>
      <c r="L3186">
        <v>69.7</v>
      </c>
      <c r="M3186">
        <v>70.99</v>
      </c>
      <c r="N3186">
        <v>69.43</v>
      </c>
      <c r="O3186">
        <v>69.13</v>
      </c>
      <c r="P3186">
        <v>417.7</v>
      </c>
      <c r="Q3186">
        <v>138249952</v>
      </c>
      <c r="R3186">
        <v>2.04</v>
      </c>
      <c r="S3186" t="s">
        <v>63</v>
      </c>
      <c r="T3186" t="s">
        <v>31</v>
      </c>
      <c r="U3186">
        <v>2.26</v>
      </c>
      <c r="V3186">
        <v>70.55</v>
      </c>
      <c r="W3186">
        <v>7947</v>
      </c>
      <c r="X3186">
        <v>11648</v>
      </c>
      <c r="Y3186">
        <v>0.68</v>
      </c>
      <c r="Z3186">
        <v>17</v>
      </c>
      <c r="AA3186">
        <v>3</v>
      </c>
      <c r="AB3186" t="s">
        <v>32</v>
      </c>
      <c r="AC3186">
        <v>2.3</v>
      </c>
    </row>
    <row r="3187" spans="1:29">
      <c r="A3187" t="str">
        <f>"603161"</f>
        <v>603161</v>
      </c>
      <c r="B3187" t="s">
        <v>3357</v>
      </c>
      <c r="C3187">
        <v>1.91</v>
      </c>
      <c r="D3187">
        <v>21.87</v>
      </c>
      <c r="E3187">
        <v>0.41</v>
      </c>
      <c r="F3187">
        <v>21.87</v>
      </c>
      <c r="G3187">
        <v>21.88</v>
      </c>
      <c r="H3187">
        <v>17131</v>
      </c>
      <c r="I3187">
        <v>25</v>
      </c>
      <c r="J3187">
        <v>0.23</v>
      </c>
      <c r="K3187">
        <v>5.13</v>
      </c>
      <c r="L3187">
        <v>21.47</v>
      </c>
      <c r="M3187">
        <v>21.92</v>
      </c>
      <c r="N3187">
        <v>21.31</v>
      </c>
      <c r="O3187">
        <v>21.46</v>
      </c>
      <c r="P3187">
        <v>28.4</v>
      </c>
      <c r="Q3187">
        <v>37197628</v>
      </c>
      <c r="R3187">
        <v>1.15</v>
      </c>
      <c r="S3187" t="s">
        <v>80</v>
      </c>
      <c r="T3187" t="s">
        <v>87</v>
      </c>
      <c r="U3187">
        <v>2.84</v>
      </c>
      <c r="V3187">
        <v>21.71</v>
      </c>
      <c r="W3187">
        <v>7347</v>
      </c>
      <c r="X3187">
        <v>9784</v>
      </c>
      <c r="Y3187">
        <v>0.75</v>
      </c>
      <c r="Z3187">
        <v>10</v>
      </c>
      <c r="AA3187">
        <v>3</v>
      </c>
      <c r="AB3187" t="s">
        <v>32</v>
      </c>
      <c r="AC3187">
        <v>0.33</v>
      </c>
    </row>
    <row r="3188" spans="1:29">
      <c r="A3188" t="str">
        <f>"603165"</f>
        <v>603165</v>
      </c>
      <c r="B3188" t="s">
        <v>3358</v>
      </c>
      <c r="C3188">
        <v>2.71</v>
      </c>
      <c r="D3188">
        <v>21.62</v>
      </c>
      <c r="E3188">
        <v>0.57</v>
      </c>
      <c r="F3188">
        <v>21.61</v>
      </c>
      <c r="G3188">
        <v>21.62</v>
      </c>
      <c r="H3188">
        <v>21281</v>
      </c>
      <c r="I3188">
        <v>11</v>
      </c>
      <c r="J3188">
        <v>0.05</v>
      </c>
      <c r="K3188">
        <v>4.8</v>
      </c>
      <c r="L3188">
        <v>21</v>
      </c>
      <c r="M3188">
        <v>21.72</v>
      </c>
      <c r="N3188">
        <v>20.86</v>
      </c>
      <c r="O3188">
        <v>21.05</v>
      </c>
      <c r="P3188">
        <v>16.2</v>
      </c>
      <c r="Q3188">
        <v>45503152</v>
      </c>
      <c r="R3188">
        <v>1.67</v>
      </c>
      <c r="S3188" t="s">
        <v>204</v>
      </c>
      <c r="T3188" t="s">
        <v>149</v>
      </c>
      <c r="U3188">
        <v>4.09</v>
      </c>
      <c r="V3188">
        <v>21.38</v>
      </c>
      <c r="W3188">
        <v>9059</v>
      </c>
      <c r="X3188">
        <v>12222</v>
      </c>
      <c r="Y3188">
        <v>0.74</v>
      </c>
      <c r="Z3188">
        <v>458</v>
      </c>
      <c r="AA3188">
        <v>1</v>
      </c>
      <c r="AB3188" t="s">
        <v>32</v>
      </c>
      <c r="AC3188">
        <v>0.44</v>
      </c>
    </row>
    <row r="3189" spans="1:29">
      <c r="A3189" t="str">
        <f>"603166"</f>
        <v>603166</v>
      </c>
      <c r="B3189" t="s">
        <v>3359</v>
      </c>
      <c r="C3189">
        <v>0.15</v>
      </c>
      <c r="D3189">
        <v>6.78</v>
      </c>
      <c r="E3189">
        <v>0.01</v>
      </c>
      <c r="F3189">
        <v>6.77</v>
      </c>
      <c r="G3189">
        <v>6.78</v>
      </c>
      <c r="H3189">
        <v>30753</v>
      </c>
      <c r="I3189">
        <v>20</v>
      </c>
      <c r="J3189">
        <v>0</v>
      </c>
      <c r="K3189">
        <v>0.52</v>
      </c>
      <c r="L3189">
        <v>6.77</v>
      </c>
      <c r="M3189">
        <v>6.88</v>
      </c>
      <c r="N3189">
        <v>6.6</v>
      </c>
      <c r="O3189">
        <v>6.77</v>
      </c>
      <c r="P3189">
        <v>26.22</v>
      </c>
      <c r="Q3189">
        <v>20796100</v>
      </c>
      <c r="R3189">
        <v>1.28</v>
      </c>
      <c r="S3189" t="s">
        <v>80</v>
      </c>
      <c r="T3189" t="s">
        <v>238</v>
      </c>
      <c r="U3189">
        <v>4.14</v>
      </c>
      <c r="V3189">
        <v>6.76</v>
      </c>
      <c r="W3189">
        <v>16864</v>
      </c>
      <c r="X3189">
        <v>13889</v>
      </c>
      <c r="Y3189">
        <v>1.21</v>
      </c>
      <c r="Z3189">
        <v>50</v>
      </c>
      <c r="AA3189">
        <v>100</v>
      </c>
      <c r="AB3189" t="s">
        <v>32</v>
      </c>
      <c r="AC3189">
        <v>5.92</v>
      </c>
    </row>
    <row r="3190" spans="1:29">
      <c r="A3190" t="str">
        <f>"603167"</f>
        <v>603167</v>
      </c>
      <c r="B3190" t="s">
        <v>3360</v>
      </c>
      <c r="C3190">
        <v>1.4</v>
      </c>
      <c r="D3190">
        <v>9.42</v>
      </c>
      <c r="E3190">
        <v>0.13</v>
      </c>
      <c r="F3190">
        <v>9.41</v>
      </c>
      <c r="G3190">
        <v>9.42</v>
      </c>
      <c r="H3190">
        <v>26047</v>
      </c>
      <c r="I3190">
        <v>10</v>
      </c>
      <c r="J3190">
        <v>0.11</v>
      </c>
      <c r="K3190">
        <v>0.54</v>
      </c>
      <c r="L3190">
        <v>9.3</v>
      </c>
      <c r="M3190">
        <v>9.43</v>
      </c>
      <c r="N3190">
        <v>9.26</v>
      </c>
      <c r="O3190">
        <v>9.29</v>
      </c>
      <c r="P3190">
        <v>7.48</v>
      </c>
      <c r="Q3190">
        <v>24430156</v>
      </c>
      <c r="R3190">
        <v>1.67</v>
      </c>
      <c r="S3190" t="s">
        <v>229</v>
      </c>
      <c r="T3190" t="s">
        <v>162</v>
      </c>
      <c r="U3190">
        <v>1.83</v>
      </c>
      <c r="V3190">
        <v>9.38</v>
      </c>
      <c r="W3190">
        <v>12299</v>
      </c>
      <c r="X3190">
        <v>13748</v>
      </c>
      <c r="Y3190">
        <v>0.89</v>
      </c>
      <c r="Z3190">
        <v>24</v>
      </c>
      <c r="AA3190">
        <v>51</v>
      </c>
      <c r="AB3190" t="s">
        <v>32</v>
      </c>
      <c r="AC3190">
        <v>4.81</v>
      </c>
    </row>
    <row r="3191" spans="1:29">
      <c r="A3191" t="str">
        <f>"603168"</f>
        <v>603168</v>
      </c>
      <c r="B3191" t="s">
        <v>3361</v>
      </c>
      <c r="C3191">
        <v>3.88</v>
      </c>
      <c r="D3191">
        <v>8.83</v>
      </c>
      <c r="E3191">
        <v>0.33</v>
      </c>
      <c r="F3191">
        <v>8.81</v>
      </c>
      <c r="G3191">
        <v>8.83</v>
      </c>
      <c r="H3191">
        <v>37613</v>
      </c>
      <c r="I3191">
        <v>18</v>
      </c>
      <c r="J3191">
        <v>0.46</v>
      </c>
      <c r="K3191">
        <v>1.26</v>
      </c>
      <c r="L3191">
        <v>8.45</v>
      </c>
      <c r="M3191">
        <v>8.84</v>
      </c>
      <c r="N3191">
        <v>8.39</v>
      </c>
      <c r="O3191">
        <v>8.5</v>
      </c>
      <c r="P3191">
        <v>17.43</v>
      </c>
      <c r="Q3191">
        <v>32472180</v>
      </c>
      <c r="R3191">
        <v>1.55</v>
      </c>
      <c r="S3191" t="s">
        <v>142</v>
      </c>
      <c r="T3191" t="s">
        <v>149</v>
      </c>
      <c r="U3191">
        <v>5.29</v>
      </c>
      <c r="V3191">
        <v>8.63</v>
      </c>
      <c r="W3191">
        <v>17513</v>
      </c>
      <c r="X3191">
        <v>20099</v>
      </c>
      <c r="Y3191">
        <v>0.87</v>
      </c>
      <c r="Z3191">
        <v>9</v>
      </c>
      <c r="AA3191">
        <v>33</v>
      </c>
      <c r="AB3191" t="s">
        <v>32</v>
      </c>
      <c r="AC3191">
        <v>2.97</v>
      </c>
    </row>
    <row r="3192" spans="1:29">
      <c r="A3192" t="str">
        <f>"603169"</f>
        <v>603169</v>
      </c>
      <c r="B3192" t="s">
        <v>3362</v>
      </c>
      <c r="C3192">
        <v>2.02</v>
      </c>
      <c r="D3192">
        <v>5.05</v>
      </c>
      <c r="E3192">
        <v>0.1</v>
      </c>
      <c r="F3192">
        <v>5.04</v>
      </c>
      <c r="G3192">
        <v>5.05</v>
      </c>
      <c r="H3192">
        <v>62397</v>
      </c>
      <c r="I3192">
        <v>131</v>
      </c>
      <c r="J3192">
        <v>-0.19</v>
      </c>
      <c r="K3192">
        <v>0.61</v>
      </c>
      <c r="L3192">
        <v>4.95</v>
      </c>
      <c r="M3192">
        <v>5.1</v>
      </c>
      <c r="N3192">
        <v>4.95</v>
      </c>
      <c r="O3192">
        <v>4.95</v>
      </c>
      <c r="P3192" t="s">
        <v>32</v>
      </c>
      <c r="Q3192">
        <v>31436360</v>
      </c>
      <c r="R3192">
        <v>2.48</v>
      </c>
      <c r="S3192" t="s">
        <v>171</v>
      </c>
      <c r="T3192" t="s">
        <v>266</v>
      </c>
      <c r="U3192">
        <v>3.03</v>
      </c>
      <c r="V3192">
        <v>5.04</v>
      </c>
      <c r="W3192">
        <v>30843</v>
      </c>
      <c r="X3192">
        <v>31553</v>
      </c>
      <c r="Y3192">
        <v>0.98</v>
      </c>
      <c r="Z3192">
        <v>501</v>
      </c>
      <c r="AA3192">
        <v>536</v>
      </c>
      <c r="AB3192" t="s">
        <v>32</v>
      </c>
      <c r="AC3192">
        <v>10.25</v>
      </c>
    </row>
    <row r="3193" spans="1:29">
      <c r="A3193" t="str">
        <f>"603177"</f>
        <v>603177</v>
      </c>
      <c r="B3193" t="s">
        <v>3363</v>
      </c>
      <c r="C3193">
        <v>1.36</v>
      </c>
      <c r="D3193">
        <v>14.19</v>
      </c>
      <c r="E3193">
        <v>0.19</v>
      </c>
      <c r="F3193">
        <v>14.19</v>
      </c>
      <c r="G3193">
        <v>14.2</v>
      </c>
      <c r="H3193">
        <v>15825</v>
      </c>
      <c r="I3193">
        <v>5</v>
      </c>
      <c r="J3193">
        <v>-0.06</v>
      </c>
      <c r="K3193">
        <v>2.56</v>
      </c>
      <c r="L3193">
        <v>13.92</v>
      </c>
      <c r="M3193">
        <v>14.25</v>
      </c>
      <c r="N3193">
        <v>13.92</v>
      </c>
      <c r="O3193">
        <v>14</v>
      </c>
      <c r="P3193" t="s">
        <v>32</v>
      </c>
      <c r="Q3193">
        <v>22414386</v>
      </c>
      <c r="R3193">
        <v>0.9</v>
      </c>
      <c r="S3193" t="s">
        <v>86</v>
      </c>
      <c r="T3193" t="s">
        <v>149</v>
      </c>
      <c r="U3193">
        <v>2.36</v>
      </c>
      <c r="V3193">
        <v>14.16</v>
      </c>
      <c r="W3193">
        <v>7193</v>
      </c>
      <c r="X3193">
        <v>8632</v>
      </c>
      <c r="Y3193">
        <v>0.83</v>
      </c>
      <c r="Z3193">
        <v>217</v>
      </c>
      <c r="AA3193">
        <v>754</v>
      </c>
      <c r="AB3193" t="s">
        <v>32</v>
      </c>
      <c r="AC3193">
        <v>0.62</v>
      </c>
    </row>
    <row r="3194" spans="1:29">
      <c r="A3194" t="str">
        <f>"603178"</f>
        <v>603178</v>
      </c>
      <c r="B3194" t="s">
        <v>3364</v>
      </c>
      <c r="C3194">
        <v>1.09</v>
      </c>
      <c r="D3194">
        <v>12.07</v>
      </c>
      <c r="E3194">
        <v>0.13</v>
      </c>
      <c r="F3194">
        <v>12.07</v>
      </c>
      <c r="G3194">
        <v>12.08</v>
      </c>
      <c r="H3194">
        <v>11272</v>
      </c>
      <c r="I3194">
        <v>24</v>
      </c>
      <c r="J3194">
        <v>0</v>
      </c>
      <c r="K3194">
        <v>2.25</v>
      </c>
      <c r="L3194">
        <v>11.96</v>
      </c>
      <c r="M3194">
        <v>12.09</v>
      </c>
      <c r="N3194">
        <v>11.81</v>
      </c>
      <c r="O3194">
        <v>11.94</v>
      </c>
      <c r="P3194">
        <v>29.5</v>
      </c>
      <c r="Q3194">
        <v>13519289</v>
      </c>
      <c r="R3194">
        <v>1.68</v>
      </c>
      <c r="S3194" t="s">
        <v>80</v>
      </c>
      <c r="T3194" t="s">
        <v>149</v>
      </c>
      <c r="U3194">
        <v>2.35</v>
      </c>
      <c r="V3194">
        <v>11.99</v>
      </c>
      <c r="W3194">
        <v>4623</v>
      </c>
      <c r="X3194">
        <v>6648</v>
      </c>
      <c r="Y3194">
        <v>0.7</v>
      </c>
      <c r="Z3194">
        <v>50</v>
      </c>
      <c r="AA3194">
        <v>103</v>
      </c>
      <c r="AB3194" t="s">
        <v>32</v>
      </c>
      <c r="AC3194">
        <v>0.5</v>
      </c>
    </row>
    <row r="3195" spans="1:29">
      <c r="A3195" t="str">
        <f>"603179"</f>
        <v>603179</v>
      </c>
      <c r="B3195" t="s">
        <v>3365</v>
      </c>
      <c r="C3195">
        <v>2.72</v>
      </c>
      <c r="D3195">
        <v>21.18</v>
      </c>
      <c r="E3195">
        <v>0.56</v>
      </c>
      <c r="F3195">
        <v>21.18</v>
      </c>
      <c r="G3195">
        <v>21.2</v>
      </c>
      <c r="H3195">
        <v>14354</v>
      </c>
      <c r="I3195">
        <v>25</v>
      </c>
      <c r="J3195">
        <v>-0.23</v>
      </c>
      <c r="K3195">
        <v>1.54</v>
      </c>
      <c r="L3195">
        <v>20.7</v>
      </c>
      <c r="M3195">
        <v>21.4</v>
      </c>
      <c r="N3195">
        <v>20.45</v>
      </c>
      <c r="O3195">
        <v>20.62</v>
      </c>
      <c r="P3195">
        <v>15.76</v>
      </c>
      <c r="Q3195">
        <v>30061332</v>
      </c>
      <c r="R3195">
        <v>1.46</v>
      </c>
      <c r="S3195" t="s">
        <v>80</v>
      </c>
      <c r="T3195" t="s">
        <v>87</v>
      </c>
      <c r="U3195">
        <v>4.61</v>
      </c>
      <c r="V3195">
        <v>20.94</v>
      </c>
      <c r="W3195">
        <v>7429</v>
      </c>
      <c r="X3195">
        <v>6924</v>
      </c>
      <c r="Y3195">
        <v>1.07</v>
      </c>
      <c r="Z3195">
        <v>1</v>
      </c>
      <c r="AA3195">
        <v>15</v>
      </c>
      <c r="AB3195" t="s">
        <v>32</v>
      </c>
      <c r="AC3195">
        <v>0.93</v>
      </c>
    </row>
    <row r="3196" spans="1:29">
      <c r="A3196" t="str">
        <f>"603180"</f>
        <v>603180</v>
      </c>
      <c r="B3196" t="s">
        <v>3366</v>
      </c>
      <c r="C3196">
        <v>4.57</v>
      </c>
      <c r="D3196">
        <v>92.46</v>
      </c>
      <c r="E3196">
        <v>4.04</v>
      </c>
      <c r="F3196">
        <v>92.42</v>
      </c>
      <c r="G3196">
        <v>92.45</v>
      </c>
      <c r="H3196">
        <v>8452</v>
      </c>
      <c r="I3196">
        <v>30</v>
      </c>
      <c r="J3196">
        <v>0.34</v>
      </c>
      <c r="K3196">
        <v>4.59</v>
      </c>
      <c r="L3196">
        <v>89.36</v>
      </c>
      <c r="M3196">
        <v>93.45</v>
      </c>
      <c r="N3196">
        <v>89.1</v>
      </c>
      <c r="O3196">
        <v>88.42</v>
      </c>
      <c r="P3196">
        <v>83.95</v>
      </c>
      <c r="Q3196">
        <v>77705832</v>
      </c>
      <c r="R3196">
        <v>1.3</v>
      </c>
      <c r="S3196" t="s">
        <v>545</v>
      </c>
      <c r="T3196" t="s">
        <v>236</v>
      </c>
      <c r="U3196">
        <v>4.92</v>
      </c>
      <c r="V3196">
        <v>91.94</v>
      </c>
      <c r="W3196">
        <v>3873</v>
      </c>
      <c r="X3196">
        <v>4579</v>
      </c>
      <c r="Y3196">
        <v>0.85</v>
      </c>
      <c r="Z3196">
        <v>27</v>
      </c>
      <c r="AA3196">
        <v>2</v>
      </c>
      <c r="AB3196" t="s">
        <v>32</v>
      </c>
      <c r="AC3196">
        <v>0.18</v>
      </c>
    </row>
    <row r="3197" spans="1:29">
      <c r="A3197" t="str">
        <f>"603181"</f>
        <v>603181</v>
      </c>
      <c r="B3197" t="s">
        <v>3367</v>
      </c>
      <c r="C3197">
        <v>1.14</v>
      </c>
      <c r="D3197">
        <v>20.34</v>
      </c>
      <c r="E3197">
        <v>0.23</v>
      </c>
      <c r="F3197">
        <v>20.34</v>
      </c>
      <c r="G3197">
        <v>20.35</v>
      </c>
      <c r="H3197">
        <v>26080</v>
      </c>
      <c r="I3197">
        <v>15</v>
      </c>
      <c r="J3197">
        <v>0.2</v>
      </c>
      <c r="K3197">
        <v>5.22</v>
      </c>
      <c r="L3197">
        <v>19.89</v>
      </c>
      <c r="M3197">
        <v>20.38</v>
      </c>
      <c r="N3197">
        <v>19.86</v>
      </c>
      <c r="O3197">
        <v>20.11</v>
      </c>
      <c r="P3197">
        <v>29</v>
      </c>
      <c r="Q3197">
        <v>52802188</v>
      </c>
      <c r="R3197">
        <v>1.29</v>
      </c>
      <c r="S3197" t="s">
        <v>218</v>
      </c>
      <c r="T3197" t="s">
        <v>149</v>
      </c>
      <c r="U3197">
        <v>2.59</v>
      </c>
      <c r="V3197">
        <v>20.25</v>
      </c>
      <c r="W3197">
        <v>11510</v>
      </c>
      <c r="X3197">
        <v>14569</v>
      </c>
      <c r="Y3197">
        <v>0.79</v>
      </c>
      <c r="Z3197">
        <v>2923</v>
      </c>
      <c r="AA3197">
        <v>191</v>
      </c>
      <c r="AB3197" t="s">
        <v>32</v>
      </c>
      <c r="AC3197">
        <v>0.5</v>
      </c>
    </row>
    <row r="3198" spans="1:29">
      <c r="A3198" t="str">
        <f>"603183"</f>
        <v>603183</v>
      </c>
      <c r="B3198" t="s">
        <v>3368</v>
      </c>
      <c r="C3198">
        <v>10.02</v>
      </c>
      <c r="D3198">
        <v>22.62</v>
      </c>
      <c r="E3198">
        <v>2.06</v>
      </c>
      <c r="F3198">
        <v>22.62</v>
      </c>
      <c r="G3198" t="s">
        <v>32</v>
      </c>
      <c r="H3198">
        <v>21451</v>
      </c>
      <c r="I3198">
        <v>25</v>
      </c>
      <c r="J3198">
        <v>0</v>
      </c>
      <c r="K3198">
        <v>6.96</v>
      </c>
      <c r="L3198">
        <v>20.49</v>
      </c>
      <c r="M3198">
        <v>22.62</v>
      </c>
      <c r="N3198">
        <v>20.4</v>
      </c>
      <c r="O3198">
        <v>20.56</v>
      </c>
      <c r="P3198">
        <v>86.3</v>
      </c>
      <c r="Q3198">
        <v>47708392</v>
      </c>
      <c r="R3198">
        <v>2.08</v>
      </c>
      <c r="S3198" t="s">
        <v>49</v>
      </c>
      <c r="T3198" t="s">
        <v>87</v>
      </c>
      <c r="U3198">
        <v>10.8</v>
      </c>
      <c r="V3198">
        <v>22.24</v>
      </c>
      <c r="W3198">
        <v>15263</v>
      </c>
      <c r="X3198">
        <v>6187</v>
      </c>
      <c r="Y3198">
        <v>2.47</v>
      </c>
      <c r="Z3198">
        <v>10455</v>
      </c>
      <c r="AA3198">
        <v>0</v>
      </c>
      <c r="AB3198" t="s">
        <v>32</v>
      </c>
      <c r="AC3198">
        <v>0.31</v>
      </c>
    </row>
    <row r="3199" spans="1:29">
      <c r="A3199" t="str">
        <f>"603186"</f>
        <v>603186</v>
      </c>
      <c r="B3199" t="s">
        <v>3369</v>
      </c>
      <c r="C3199">
        <v>0.06</v>
      </c>
      <c r="D3199">
        <v>17.12</v>
      </c>
      <c r="E3199">
        <v>0.01</v>
      </c>
      <c r="F3199">
        <v>17.12</v>
      </c>
      <c r="G3199">
        <v>17.13</v>
      </c>
      <c r="H3199">
        <v>34039</v>
      </c>
      <c r="I3199">
        <v>32</v>
      </c>
      <c r="J3199">
        <v>0</v>
      </c>
      <c r="K3199">
        <v>4.62</v>
      </c>
      <c r="L3199">
        <v>17.25</v>
      </c>
      <c r="M3199">
        <v>17.42</v>
      </c>
      <c r="N3199">
        <v>17.06</v>
      </c>
      <c r="O3199">
        <v>17.11</v>
      </c>
      <c r="P3199">
        <v>49</v>
      </c>
      <c r="Q3199">
        <v>58623464</v>
      </c>
      <c r="R3199">
        <v>0.56</v>
      </c>
      <c r="S3199" t="s">
        <v>63</v>
      </c>
      <c r="T3199" t="s">
        <v>149</v>
      </c>
      <c r="U3199">
        <v>2.1</v>
      </c>
      <c r="V3199">
        <v>17.22</v>
      </c>
      <c r="W3199">
        <v>18401</v>
      </c>
      <c r="X3199">
        <v>15638</v>
      </c>
      <c r="Y3199">
        <v>1.18</v>
      </c>
      <c r="Z3199">
        <v>10</v>
      </c>
      <c r="AA3199">
        <v>16</v>
      </c>
      <c r="AB3199" t="s">
        <v>32</v>
      </c>
      <c r="AC3199">
        <v>0.74</v>
      </c>
    </row>
    <row r="3200" spans="1:29">
      <c r="A3200" t="str">
        <f>"603188"</f>
        <v>603188</v>
      </c>
      <c r="B3200" t="s">
        <v>3370</v>
      </c>
      <c r="C3200">
        <v>-0.09</v>
      </c>
      <c r="D3200">
        <v>11.14</v>
      </c>
      <c r="E3200">
        <v>-0.01</v>
      </c>
      <c r="F3200">
        <v>11.14</v>
      </c>
      <c r="G3200">
        <v>11.15</v>
      </c>
      <c r="H3200">
        <v>141878</v>
      </c>
      <c r="I3200">
        <v>20</v>
      </c>
      <c r="J3200">
        <v>0.36</v>
      </c>
      <c r="K3200">
        <v>2.46</v>
      </c>
      <c r="L3200">
        <v>10.99</v>
      </c>
      <c r="M3200">
        <v>11.32</v>
      </c>
      <c r="N3200">
        <v>10.88</v>
      </c>
      <c r="O3200">
        <v>11.15</v>
      </c>
      <c r="P3200">
        <v>14.13</v>
      </c>
      <c r="Q3200">
        <v>158096016</v>
      </c>
      <c r="R3200">
        <v>1.72</v>
      </c>
      <c r="S3200" t="s">
        <v>281</v>
      </c>
      <c r="T3200" t="s">
        <v>87</v>
      </c>
      <c r="U3200">
        <v>3.95</v>
      </c>
      <c r="V3200">
        <v>11.14</v>
      </c>
      <c r="W3200">
        <v>70579</v>
      </c>
      <c r="X3200">
        <v>71298</v>
      </c>
      <c r="Y3200">
        <v>0.99</v>
      </c>
      <c r="Z3200">
        <v>24</v>
      </c>
      <c r="AA3200">
        <v>213</v>
      </c>
      <c r="AB3200" t="s">
        <v>32</v>
      </c>
      <c r="AC3200">
        <v>5.76</v>
      </c>
    </row>
    <row r="3201" spans="1:29">
      <c r="A3201" t="str">
        <f>"603189"</f>
        <v>603189</v>
      </c>
      <c r="B3201" t="s">
        <v>3371</v>
      </c>
      <c r="C3201">
        <v>1.08</v>
      </c>
      <c r="D3201">
        <v>14.94</v>
      </c>
      <c r="E3201">
        <v>0.16</v>
      </c>
      <c r="F3201">
        <v>14.92</v>
      </c>
      <c r="G3201">
        <v>14.93</v>
      </c>
      <c r="H3201">
        <v>31175</v>
      </c>
      <c r="I3201">
        <v>15</v>
      </c>
      <c r="J3201">
        <v>0</v>
      </c>
      <c r="K3201">
        <v>2.83</v>
      </c>
      <c r="L3201">
        <v>14.77</v>
      </c>
      <c r="M3201">
        <v>14.99</v>
      </c>
      <c r="N3201">
        <v>14.56</v>
      </c>
      <c r="O3201">
        <v>14.78</v>
      </c>
      <c r="P3201" t="s">
        <v>32</v>
      </c>
      <c r="Q3201">
        <v>46303996</v>
      </c>
      <c r="R3201">
        <v>0.76</v>
      </c>
      <c r="S3201" t="s">
        <v>270</v>
      </c>
      <c r="T3201" t="s">
        <v>366</v>
      </c>
      <c r="U3201">
        <v>2.91</v>
      </c>
      <c r="V3201">
        <v>14.85</v>
      </c>
      <c r="W3201">
        <v>14281</v>
      </c>
      <c r="X3201">
        <v>16894</v>
      </c>
      <c r="Y3201">
        <v>0.85</v>
      </c>
      <c r="Z3201">
        <v>15</v>
      </c>
      <c r="AA3201">
        <v>50</v>
      </c>
      <c r="AB3201" t="s">
        <v>32</v>
      </c>
      <c r="AC3201">
        <v>1.1</v>
      </c>
    </row>
    <row r="3202" spans="1:29">
      <c r="A3202" t="str">
        <f>"603196"</f>
        <v>603196</v>
      </c>
      <c r="B3202" t="s">
        <v>3372</v>
      </c>
      <c r="C3202">
        <v>1.35</v>
      </c>
      <c r="D3202">
        <v>10.53</v>
      </c>
      <c r="E3202">
        <v>0.14</v>
      </c>
      <c r="F3202">
        <v>10.53</v>
      </c>
      <c r="G3202">
        <v>10.54</v>
      </c>
      <c r="H3202">
        <v>10550</v>
      </c>
      <c r="I3202">
        <v>3</v>
      </c>
      <c r="J3202">
        <v>-0.08</v>
      </c>
      <c r="K3202">
        <v>1.61</v>
      </c>
      <c r="L3202">
        <v>10.38</v>
      </c>
      <c r="M3202">
        <v>10.6</v>
      </c>
      <c r="N3202">
        <v>10.37</v>
      </c>
      <c r="O3202">
        <v>10.39</v>
      </c>
      <c r="P3202">
        <v>37.94</v>
      </c>
      <c r="Q3202">
        <v>11107892</v>
      </c>
      <c r="R3202">
        <v>1.52</v>
      </c>
      <c r="S3202" t="s">
        <v>622</v>
      </c>
      <c r="T3202" t="s">
        <v>366</v>
      </c>
      <c r="U3202">
        <v>2.21</v>
      </c>
      <c r="V3202">
        <v>10.53</v>
      </c>
      <c r="W3202">
        <v>4777</v>
      </c>
      <c r="X3202">
        <v>5773</v>
      </c>
      <c r="Y3202">
        <v>0.83</v>
      </c>
      <c r="Z3202">
        <v>85</v>
      </c>
      <c r="AA3202">
        <v>39</v>
      </c>
      <c r="AB3202" t="s">
        <v>32</v>
      </c>
      <c r="AC3202">
        <v>0.65</v>
      </c>
    </row>
    <row r="3203" spans="1:29">
      <c r="A3203" t="str">
        <f>"603197"</f>
        <v>603197</v>
      </c>
      <c r="B3203" t="s">
        <v>3373</v>
      </c>
      <c r="C3203">
        <v>0.65</v>
      </c>
      <c r="D3203">
        <v>27.74</v>
      </c>
      <c r="E3203">
        <v>0.18</v>
      </c>
      <c r="F3203">
        <v>27.74</v>
      </c>
      <c r="G3203">
        <v>27.75</v>
      </c>
      <c r="H3203">
        <v>17789</v>
      </c>
      <c r="I3203">
        <v>20</v>
      </c>
      <c r="J3203">
        <v>-0.1</v>
      </c>
      <c r="K3203">
        <v>1.81</v>
      </c>
      <c r="L3203">
        <v>27.28</v>
      </c>
      <c r="M3203">
        <v>28.19</v>
      </c>
      <c r="N3203">
        <v>27.28</v>
      </c>
      <c r="O3203">
        <v>27.56</v>
      </c>
      <c r="P3203">
        <v>23.51</v>
      </c>
      <c r="Q3203">
        <v>49521088</v>
      </c>
      <c r="R3203">
        <v>1</v>
      </c>
      <c r="S3203" t="s">
        <v>80</v>
      </c>
      <c r="T3203" t="s">
        <v>366</v>
      </c>
      <c r="U3203">
        <v>3.3</v>
      </c>
      <c r="V3203">
        <v>27.84</v>
      </c>
      <c r="W3203">
        <v>8315</v>
      </c>
      <c r="X3203">
        <v>9473</v>
      </c>
      <c r="Y3203">
        <v>0.88</v>
      </c>
      <c r="Z3203">
        <v>22</v>
      </c>
      <c r="AA3203">
        <v>67</v>
      </c>
      <c r="AB3203" t="s">
        <v>32</v>
      </c>
      <c r="AC3203">
        <v>0.98</v>
      </c>
    </row>
    <row r="3204" spans="1:29">
      <c r="A3204" t="str">
        <f>"603198"</f>
        <v>603198</v>
      </c>
      <c r="B3204" t="s">
        <v>3374</v>
      </c>
      <c r="C3204">
        <v>8.41</v>
      </c>
      <c r="D3204">
        <v>19.33</v>
      </c>
      <c r="E3204">
        <v>1.5</v>
      </c>
      <c r="F3204">
        <v>19.32</v>
      </c>
      <c r="G3204">
        <v>19.33</v>
      </c>
      <c r="H3204">
        <v>114511</v>
      </c>
      <c r="I3204">
        <v>29</v>
      </c>
      <c r="J3204">
        <v>0.62</v>
      </c>
      <c r="K3204">
        <v>1.43</v>
      </c>
      <c r="L3204">
        <v>17.8</v>
      </c>
      <c r="M3204">
        <v>19.37</v>
      </c>
      <c r="N3204">
        <v>17.65</v>
      </c>
      <c r="O3204">
        <v>17.83</v>
      </c>
      <c r="P3204">
        <v>11.93</v>
      </c>
      <c r="Q3204">
        <v>213148848</v>
      </c>
      <c r="R3204">
        <v>2.35</v>
      </c>
      <c r="S3204" t="s">
        <v>285</v>
      </c>
      <c r="T3204" t="s">
        <v>143</v>
      </c>
      <c r="U3204">
        <v>9.65</v>
      </c>
      <c r="V3204">
        <v>18.61</v>
      </c>
      <c r="W3204">
        <v>49409</v>
      </c>
      <c r="X3204">
        <v>65102</v>
      </c>
      <c r="Y3204">
        <v>0.76</v>
      </c>
      <c r="Z3204">
        <v>27</v>
      </c>
      <c r="AA3204">
        <v>15</v>
      </c>
      <c r="AB3204" t="s">
        <v>32</v>
      </c>
      <c r="AC3204">
        <v>8</v>
      </c>
    </row>
    <row r="3205" spans="1:29">
      <c r="A3205" t="str">
        <f>"603199"</f>
        <v>603199</v>
      </c>
      <c r="B3205" t="s">
        <v>3375</v>
      </c>
      <c r="C3205">
        <v>1.03</v>
      </c>
      <c r="D3205">
        <v>24.41</v>
      </c>
      <c r="E3205">
        <v>0.25</v>
      </c>
      <c r="F3205">
        <v>24.41</v>
      </c>
      <c r="G3205">
        <v>24.42</v>
      </c>
      <c r="H3205">
        <v>9262</v>
      </c>
      <c r="I3205">
        <v>143</v>
      </c>
      <c r="J3205">
        <v>0</v>
      </c>
      <c r="K3205">
        <v>0.84</v>
      </c>
      <c r="L3205">
        <v>24.16</v>
      </c>
      <c r="M3205">
        <v>24.49</v>
      </c>
      <c r="N3205">
        <v>24.16</v>
      </c>
      <c r="O3205">
        <v>24.16</v>
      </c>
      <c r="P3205">
        <v>22.42</v>
      </c>
      <c r="Q3205">
        <v>22551154</v>
      </c>
      <c r="R3205">
        <v>1.33</v>
      </c>
      <c r="S3205" t="s">
        <v>124</v>
      </c>
      <c r="T3205" t="s">
        <v>143</v>
      </c>
      <c r="U3205">
        <v>1.37</v>
      </c>
      <c r="V3205">
        <v>24.35</v>
      </c>
      <c r="W3205">
        <v>4923</v>
      </c>
      <c r="X3205">
        <v>4338</v>
      </c>
      <c r="Y3205">
        <v>1.13</v>
      </c>
      <c r="Z3205">
        <v>75</v>
      </c>
      <c r="AA3205">
        <v>6</v>
      </c>
      <c r="AB3205" t="s">
        <v>32</v>
      </c>
      <c r="AC3205">
        <v>1.11</v>
      </c>
    </row>
    <row r="3206" spans="1:29">
      <c r="A3206" t="str">
        <f>"603200"</f>
        <v>603200</v>
      </c>
      <c r="B3206" t="s">
        <v>3376</v>
      </c>
      <c r="C3206">
        <v>0.93</v>
      </c>
      <c r="D3206">
        <v>36.79</v>
      </c>
      <c r="E3206">
        <v>0.34</v>
      </c>
      <c r="F3206">
        <v>36.79</v>
      </c>
      <c r="G3206">
        <v>36.8</v>
      </c>
      <c r="H3206">
        <v>6464</v>
      </c>
      <c r="I3206">
        <v>1</v>
      </c>
      <c r="J3206">
        <v>0.03</v>
      </c>
      <c r="K3206">
        <v>2.56</v>
      </c>
      <c r="L3206">
        <v>36.51</v>
      </c>
      <c r="M3206">
        <v>36.95</v>
      </c>
      <c r="N3206">
        <v>36.32</v>
      </c>
      <c r="O3206">
        <v>36.45</v>
      </c>
      <c r="P3206">
        <v>53.64</v>
      </c>
      <c r="Q3206">
        <v>23746704</v>
      </c>
      <c r="R3206">
        <v>0.71</v>
      </c>
      <c r="S3206" t="s">
        <v>86</v>
      </c>
      <c r="T3206" t="s">
        <v>366</v>
      </c>
      <c r="U3206">
        <v>1.73</v>
      </c>
      <c r="V3206">
        <v>36.74</v>
      </c>
      <c r="W3206">
        <v>3228</v>
      </c>
      <c r="X3206">
        <v>3236</v>
      </c>
      <c r="Y3206">
        <v>1</v>
      </c>
      <c r="Z3206">
        <v>57</v>
      </c>
      <c r="AA3206">
        <v>27</v>
      </c>
      <c r="AB3206" t="s">
        <v>32</v>
      </c>
      <c r="AC3206">
        <v>0.25</v>
      </c>
    </row>
    <row r="3207" spans="1:29">
      <c r="A3207" t="str">
        <f>"603203"</f>
        <v>603203</v>
      </c>
      <c r="B3207" t="s">
        <v>3377</v>
      </c>
      <c r="C3207">
        <v>4.3</v>
      </c>
      <c r="D3207">
        <v>23.53</v>
      </c>
      <c r="E3207">
        <v>0.97</v>
      </c>
      <c r="F3207">
        <v>23.52</v>
      </c>
      <c r="G3207">
        <v>23.58</v>
      </c>
      <c r="H3207">
        <v>9805</v>
      </c>
      <c r="I3207">
        <v>7</v>
      </c>
      <c r="J3207">
        <v>-0.29</v>
      </c>
      <c r="K3207">
        <v>1.86</v>
      </c>
      <c r="L3207">
        <v>22.49</v>
      </c>
      <c r="M3207">
        <v>23.87</v>
      </c>
      <c r="N3207">
        <v>22.4</v>
      </c>
      <c r="O3207">
        <v>22.56</v>
      </c>
      <c r="P3207">
        <v>32.19</v>
      </c>
      <c r="Q3207">
        <v>22840548</v>
      </c>
      <c r="R3207">
        <v>3.4</v>
      </c>
      <c r="S3207" t="s">
        <v>171</v>
      </c>
      <c r="T3207" t="s">
        <v>87</v>
      </c>
      <c r="U3207">
        <v>6.52</v>
      </c>
      <c r="V3207">
        <v>23.29</v>
      </c>
      <c r="W3207">
        <v>4941</v>
      </c>
      <c r="X3207">
        <v>4864</v>
      </c>
      <c r="Y3207">
        <v>1.02</v>
      </c>
      <c r="Z3207">
        <v>20</v>
      </c>
      <c r="AA3207">
        <v>6</v>
      </c>
      <c r="AB3207" t="s">
        <v>32</v>
      </c>
      <c r="AC3207">
        <v>0.53</v>
      </c>
    </row>
    <row r="3208" spans="1:29">
      <c r="A3208" t="str">
        <f>"603208"</f>
        <v>603208</v>
      </c>
      <c r="B3208" t="s">
        <v>3378</v>
      </c>
      <c r="C3208">
        <v>1.49</v>
      </c>
      <c r="D3208">
        <v>26.61</v>
      </c>
      <c r="E3208">
        <v>0.39</v>
      </c>
      <c r="F3208">
        <v>26.59</v>
      </c>
      <c r="G3208">
        <v>26.62</v>
      </c>
      <c r="H3208">
        <v>5832</v>
      </c>
      <c r="I3208">
        <v>8</v>
      </c>
      <c r="J3208">
        <v>-0.07</v>
      </c>
      <c r="K3208">
        <v>1.89</v>
      </c>
      <c r="L3208">
        <v>26.5</v>
      </c>
      <c r="M3208">
        <v>26.75</v>
      </c>
      <c r="N3208">
        <v>26.06</v>
      </c>
      <c r="O3208">
        <v>26.22</v>
      </c>
      <c r="P3208">
        <v>56.62</v>
      </c>
      <c r="Q3208">
        <v>15500442</v>
      </c>
      <c r="R3208">
        <v>1.87</v>
      </c>
      <c r="S3208" t="s">
        <v>545</v>
      </c>
      <c r="T3208" t="s">
        <v>149</v>
      </c>
      <c r="U3208">
        <v>2.63</v>
      </c>
      <c r="V3208">
        <v>26.58</v>
      </c>
      <c r="W3208">
        <v>1784</v>
      </c>
      <c r="X3208">
        <v>4047</v>
      </c>
      <c r="Y3208">
        <v>0.44</v>
      </c>
      <c r="Z3208">
        <v>8</v>
      </c>
      <c r="AA3208">
        <v>21</v>
      </c>
      <c r="AB3208" t="s">
        <v>32</v>
      </c>
      <c r="AC3208">
        <v>0.31</v>
      </c>
    </row>
    <row r="3209" spans="1:29">
      <c r="A3209" t="str">
        <f>"603214"</f>
        <v>603214</v>
      </c>
      <c r="B3209" t="s">
        <v>3379</v>
      </c>
      <c r="C3209">
        <v>2.42</v>
      </c>
      <c r="D3209">
        <v>57.03</v>
      </c>
      <c r="E3209">
        <v>1.35</v>
      </c>
      <c r="F3209">
        <v>57.14</v>
      </c>
      <c r="G3209">
        <v>57.15</v>
      </c>
      <c r="H3209">
        <v>42985</v>
      </c>
      <c r="I3209">
        <v>8</v>
      </c>
      <c r="J3209">
        <v>0.78</v>
      </c>
      <c r="K3209">
        <v>17.19</v>
      </c>
      <c r="L3209">
        <v>54.6</v>
      </c>
      <c r="M3209">
        <v>57.15</v>
      </c>
      <c r="N3209">
        <v>53.6</v>
      </c>
      <c r="O3209">
        <v>55.68</v>
      </c>
      <c r="P3209">
        <v>117.54</v>
      </c>
      <c r="Q3209">
        <v>237526432</v>
      </c>
      <c r="R3209">
        <v>1.11</v>
      </c>
      <c r="S3209" t="s">
        <v>186</v>
      </c>
      <c r="T3209" t="s">
        <v>366</v>
      </c>
      <c r="U3209">
        <v>6.38</v>
      </c>
      <c r="V3209">
        <v>55.26</v>
      </c>
      <c r="W3209">
        <v>21104</v>
      </c>
      <c r="X3209">
        <v>21881</v>
      </c>
      <c r="Y3209">
        <v>0.96</v>
      </c>
      <c r="Z3209">
        <v>2</v>
      </c>
      <c r="AA3209">
        <v>43</v>
      </c>
      <c r="AB3209" t="s">
        <v>32</v>
      </c>
      <c r="AC3209">
        <v>0.25</v>
      </c>
    </row>
    <row r="3210" spans="1:29">
      <c r="A3210" t="str">
        <f>"603218"</f>
        <v>603218</v>
      </c>
      <c r="B3210" t="s">
        <v>3380</v>
      </c>
      <c r="C3210">
        <v>1.77</v>
      </c>
      <c r="D3210">
        <v>18.4</v>
      </c>
      <c r="E3210">
        <v>0.32</v>
      </c>
      <c r="F3210">
        <v>18.4</v>
      </c>
      <c r="G3210">
        <v>18.41</v>
      </c>
      <c r="H3210">
        <v>14875</v>
      </c>
      <c r="I3210">
        <v>3</v>
      </c>
      <c r="J3210">
        <v>-0.04</v>
      </c>
      <c r="K3210">
        <v>1.5</v>
      </c>
      <c r="L3210">
        <v>18.3</v>
      </c>
      <c r="M3210">
        <v>18.52</v>
      </c>
      <c r="N3210">
        <v>18.12</v>
      </c>
      <c r="O3210">
        <v>18.08</v>
      </c>
      <c r="P3210">
        <v>37.82</v>
      </c>
      <c r="Q3210">
        <v>27331500</v>
      </c>
      <c r="R3210">
        <v>1.63</v>
      </c>
      <c r="S3210" t="s">
        <v>151</v>
      </c>
      <c r="T3210" t="s">
        <v>149</v>
      </c>
      <c r="U3210">
        <v>2.21</v>
      </c>
      <c r="V3210">
        <v>18.37</v>
      </c>
      <c r="W3210">
        <v>6669</v>
      </c>
      <c r="X3210">
        <v>8206</v>
      </c>
      <c r="Y3210">
        <v>0.81</v>
      </c>
      <c r="Z3210">
        <v>5</v>
      </c>
      <c r="AA3210">
        <v>98</v>
      </c>
      <c r="AB3210" t="s">
        <v>32</v>
      </c>
      <c r="AC3210">
        <v>0.99</v>
      </c>
    </row>
    <row r="3211" spans="1:29">
      <c r="A3211" t="str">
        <f>"603222"</f>
        <v>603222</v>
      </c>
      <c r="B3211" t="s">
        <v>3381</v>
      </c>
      <c r="C3211">
        <v>0.87</v>
      </c>
      <c r="D3211">
        <v>9.28</v>
      </c>
      <c r="E3211">
        <v>0.08</v>
      </c>
      <c r="F3211">
        <v>9.28</v>
      </c>
      <c r="G3211">
        <v>9.29</v>
      </c>
      <c r="H3211">
        <v>21045</v>
      </c>
      <c r="I3211">
        <v>50</v>
      </c>
      <c r="J3211">
        <v>-0.1</v>
      </c>
      <c r="K3211">
        <v>0.66</v>
      </c>
      <c r="L3211">
        <v>9.18</v>
      </c>
      <c r="M3211">
        <v>9.38</v>
      </c>
      <c r="N3211">
        <v>9.18</v>
      </c>
      <c r="O3211">
        <v>9.2</v>
      </c>
      <c r="P3211">
        <v>66.2</v>
      </c>
      <c r="Q3211">
        <v>19564826</v>
      </c>
      <c r="R3211">
        <v>0.47</v>
      </c>
      <c r="S3211" t="s">
        <v>142</v>
      </c>
      <c r="T3211" t="s">
        <v>149</v>
      </c>
      <c r="U3211">
        <v>2.17</v>
      </c>
      <c r="V3211">
        <v>9.3</v>
      </c>
      <c r="W3211">
        <v>9617</v>
      </c>
      <c r="X3211">
        <v>11427</v>
      </c>
      <c r="Y3211">
        <v>0.84</v>
      </c>
      <c r="Z3211">
        <v>74</v>
      </c>
      <c r="AA3211">
        <v>196</v>
      </c>
      <c r="AB3211" t="s">
        <v>32</v>
      </c>
      <c r="AC3211">
        <v>3.2</v>
      </c>
    </row>
    <row r="3212" spans="1:29">
      <c r="A3212" t="str">
        <f>"603223"</f>
        <v>603223</v>
      </c>
      <c r="B3212" t="s">
        <v>3382</v>
      </c>
      <c r="C3212">
        <v>0.33</v>
      </c>
      <c r="D3212">
        <v>12.25</v>
      </c>
      <c r="E3212">
        <v>0.04</v>
      </c>
      <c r="F3212">
        <v>12.24</v>
      </c>
      <c r="G3212">
        <v>12.25</v>
      </c>
      <c r="H3212">
        <v>12284</v>
      </c>
      <c r="I3212">
        <v>30</v>
      </c>
      <c r="J3212">
        <v>0.16</v>
      </c>
      <c r="K3212">
        <v>0.73</v>
      </c>
      <c r="L3212">
        <v>12.28</v>
      </c>
      <c r="M3212">
        <v>12.35</v>
      </c>
      <c r="N3212">
        <v>12.1</v>
      </c>
      <c r="O3212">
        <v>12.21</v>
      </c>
      <c r="P3212">
        <v>28.36</v>
      </c>
      <c r="Q3212">
        <v>15031855</v>
      </c>
      <c r="R3212">
        <v>0.67</v>
      </c>
      <c r="S3212" t="s">
        <v>174</v>
      </c>
      <c r="T3212" t="s">
        <v>162</v>
      </c>
      <c r="U3212">
        <v>2.05</v>
      </c>
      <c r="V3212">
        <v>12.24</v>
      </c>
      <c r="W3212">
        <v>6641</v>
      </c>
      <c r="X3212">
        <v>5643</v>
      </c>
      <c r="Y3212">
        <v>1.18</v>
      </c>
      <c r="Z3212">
        <v>8</v>
      </c>
      <c r="AA3212">
        <v>42</v>
      </c>
      <c r="AB3212" t="s">
        <v>32</v>
      </c>
      <c r="AC3212">
        <v>1.68</v>
      </c>
    </row>
    <row r="3213" spans="1:29">
      <c r="A3213" t="str">
        <f>"603225"</f>
        <v>603225</v>
      </c>
      <c r="B3213" t="s">
        <v>3383</v>
      </c>
      <c r="C3213">
        <v>2.33</v>
      </c>
      <c r="D3213">
        <v>22.41</v>
      </c>
      <c r="E3213">
        <v>0.51</v>
      </c>
      <c r="F3213">
        <v>22.39</v>
      </c>
      <c r="G3213">
        <v>22.41</v>
      </c>
      <c r="H3213">
        <v>72674</v>
      </c>
      <c r="I3213">
        <v>5</v>
      </c>
      <c r="J3213">
        <v>-0.12</v>
      </c>
      <c r="K3213">
        <v>6.11</v>
      </c>
      <c r="L3213">
        <v>22.22</v>
      </c>
      <c r="M3213">
        <v>22.68</v>
      </c>
      <c r="N3213">
        <v>22.03</v>
      </c>
      <c r="O3213">
        <v>21.9</v>
      </c>
      <c r="P3213">
        <v>18.02</v>
      </c>
      <c r="Q3213">
        <v>162973648</v>
      </c>
      <c r="R3213">
        <v>2.01</v>
      </c>
      <c r="S3213" t="s">
        <v>190</v>
      </c>
      <c r="T3213" t="s">
        <v>149</v>
      </c>
      <c r="U3213">
        <v>2.97</v>
      </c>
      <c r="V3213">
        <v>22.43</v>
      </c>
      <c r="W3213">
        <v>35810</v>
      </c>
      <c r="X3213">
        <v>36864</v>
      </c>
      <c r="Y3213">
        <v>0.97</v>
      </c>
      <c r="Z3213">
        <v>264</v>
      </c>
      <c r="AA3213">
        <v>17</v>
      </c>
      <c r="AB3213" t="s">
        <v>32</v>
      </c>
      <c r="AC3213">
        <v>1.19</v>
      </c>
    </row>
    <row r="3214" spans="1:29">
      <c r="A3214" t="str">
        <f>"603226"</f>
        <v>603226</v>
      </c>
      <c r="B3214" t="s">
        <v>3384</v>
      </c>
      <c r="C3214">
        <v>1.42</v>
      </c>
      <c r="D3214">
        <v>18.62</v>
      </c>
      <c r="E3214">
        <v>0.26</v>
      </c>
      <c r="F3214">
        <v>18.6</v>
      </c>
      <c r="G3214">
        <v>18.63</v>
      </c>
      <c r="H3214">
        <v>11782</v>
      </c>
      <c r="I3214">
        <v>1</v>
      </c>
      <c r="J3214">
        <v>-0.2</v>
      </c>
      <c r="K3214">
        <v>4.18</v>
      </c>
      <c r="L3214">
        <v>18.39</v>
      </c>
      <c r="M3214">
        <v>18.97</v>
      </c>
      <c r="N3214">
        <v>18.31</v>
      </c>
      <c r="O3214">
        <v>18.36</v>
      </c>
      <c r="P3214">
        <v>31.34</v>
      </c>
      <c r="Q3214">
        <v>21918184</v>
      </c>
      <c r="R3214">
        <v>2.13</v>
      </c>
      <c r="S3214" t="s">
        <v>545</v>
      </c>
      <c r="T3214" t="s">
        <v>366</v>
      </c>
      <c r="U3214">
        <v>3.59</v>
      </c>
      <c r="V3214">
        <v>18.6</v>
      </c>
      <c r="W3214">
        <v>5426</v>
      </c>
      <c r="X3214">
        <v>6355</v>
      </c>
      <c r="Y3214">
        <v>0.85</v>
      </c>
      <c r="Z3214">
        <v>22</v>
      </c>
      <c r="AA3214">
        <v>9</v>
      </c>
      <c r="AB3214" t="s">
        <v>32</v>
      </c>
      <c r="AC3214">
        <v>0.28</v>
      </c>
    </row>
    <row r="3215" spans="1:29">
      <c r="A3215" t="str">
        <f>"603227"</f>
        <v>603227</v>
      </c>
      <c r="B3215" t="s">
        <v>3385</v>
      </c>
      <c r="C3215">
        <v>2.34</v>
      </c>
      <c r="D3215">
        <v>3.94</v>
      </c>
      <c r="E3215">
        <v>0.09</v>
      </c>
      <c r="F3215">
        <v>3.93</v>
      </c>
      <c r="G3215">
        <v>3.94</v>
      </c>
      <c r="H3215">
        <v>67560</v>
      </c>
      <c r="I3215">
        <v>1</v>
      </c>
      <c r="J3215">
        <v>0</v>
      </c>
      <c r="K3215">
        <v>1.03</v>
      </c>
      <c r="L3215">
        <v>3.85</v>
      </c>
      <c r="M3215">
        <v>4.12</v>
      </c>
      <c r="N3215">
        <v>3.82</v>
      </c>
      <c r="O3215">
        <v>3.85</v>
      </c>
      <c r="P3215" t="s">
        <v>32</v>
      </c>
      <c r="Q3215">
        <v>26755374</v>
      </c>
      <c r="R3215">
        <v>3.24</v>
      </c>
      <c r="S3215" t="s">
        <v>218</v>
      </c>
      <c r="T3215" t="s">
        <v>156</v>
      </c>
      <c r="U3215">
        <v>7.79</v>
      </c>
      <c r="V3215">
        <v>3.96</v>
      </c>
      <c r="W3215">
        <v>31650</v>
      </c>
      <c r="X3215">
        <v>35910</v>
      </c>
      <c r="Y3215">
        <v>0.88</v>
      </c>
      <c r="Z3215">
        <v>1028</v>
      </c>
      <c r="AA3215">
        <v>25</v>
      </c>
      <c r="AB3215" t="s">
        <v>32</v>
      </c>
      <c r="AC3215">
        <v>6.59</v>
      </c>
    </row>
    <row r="3216" spans="1:29">
      <c r="A3216" t="str">
        <f>"603228"</f>
        <v>603228</v>
      </c>
      <c r="B3216" t="s">
        <v>3386</v>
      </c>
      <c r="C3216">
        <v>-1.68</v>
      </c>
      <c r="D3216">
        <v>56.76</v>
      </c>
      <c r="E3216">
        <v>-0.97</v>
      </c>
      <c r="F3216">
        <v>56.46</v>
      </c>
      <c r="G3216">
        <v>56.56</v>
      </c>
      <c r="H3216">
        <v>15293</v>
      </c>
      <c r="I3216">
        <v>5</v>
      </c>
      <c r="J3216">
        <v>0.91</v>
      </c>
      <c r="K3216">
        <v>1.89</v>
      </c>
      <c r="L3216">
        <v>56.91</v>
      </c>
      <c r="M3216">
        <v>57.5</v>
      </c>
      <c r="N3216">
        <v>56.14</v>
      </c>
      <c r="O3216">
        <v>57.73</v>
      </c>
      <c r="P3216">
        <v>37.05</v>
      </c>
      <c r="Q3216">
        <v>86584160</v>
      </c>
      <c r="R3216">
        <v>0.9</v>
      </c>
      <c r="S3216" t="s">
        <v>63</v>
      </c>
      <c r="T3216" t="s">
        <v>31</v>
      </c>
      <c r="U3216">
        <v>2.36</v>
      </c>
      <c r="V3216">
        <v>56.62</v>
      </c>
      <c r="W3216">
        <v>7549</v>
      </c>
      <c r="X3216">
        <v>7743</v>
      </c>
      <c r="Y3216">
        <v>0.97</v>
      </c>
      <c r="Z3216">
        <v>2</v>
      </c>
      <c r="AA3216">
        <v>5</v>
      </c>
      <c r="AB3216" t="s">
        <v>32</v>
      </c>
      <c r="AC3216">
        <v>0.81</v>
      </c>
    </row>
    <row r="3217" spans="1:29">
      <c r="A3217" t="str">
        <f>"603229"</f>
        <v>603229</v>
      </c>
      <c r="B3217" t="s">
        <v>3387</v>
      </c>
      <c r="C3217">
        <v>1.49</v>
      </c>
      <c r="D3217">
        <v>15.7</v>
      </c>
      <c r="E3217">
        <v>0.23</v>
      </c>
      <c r="F3217">
        <v>15.73</v>
      </c>
      <c r="G3217">
        <v>15.74</v>
      </c>
      <c r="H3217">
        <v>27955</v>
      </c>
      <c r="I3217">
        <v>102</v>
      </c>
      <c r="J3217">
        <v>0.19</v>
      </c>
      <c r="K3217">
        <v>5.18</v>
      </c>
      <c r="L3217">
        <v>15.5</v>
      </c>
      <c r="M3217">
        <v>15.89</v>
      </c>
      <c r="N3217">
        <v>15.21</v>
      </c>
      <c r="O3217">
        <v>15.47</v>
      </c>
      <c r="P3217">
        <v>312.31</v>
      </c>
      <c r="Q3217">
        <v>43730984</v>
      </c>
      <c r="R3217">
        <v>0.59</v>
      </c>
      <c r="S3217" t="s">
        <v>142</v>
      </c>
      <c r="T3217" t="s">
        <v>149</v>
      </c>
      <c r="U3217">
        <v>4.4</v>
      </c>
      <c r="V3217">
        <v>15.64</v>
      </c>
      <c r="W3217">
        <v>13191</v>
      </c>
      <c r="X3217">
        <v>14764</v>
      </c>
      <c r="Y3217">
        <v>0.89</v>
      </c>
      <c r="Z3217">
        <v>167</v>
      </c>
      <c r="AA3217">
        <v>46</v>
      </c>
      <c r="AB3217" t="s">
        <v>32</v>
      </c>
      <c r="AC3217">
        <v>0.54</v>
      </c>
    </row>
    <row r="3218" spans="1:29">
      <c r="A3218" t="str">
        <f>"603232"</f>
        <v>603232</v>
      </c>
      <c r="B3218" t="s">
        <v>3388</v>
      </c>
      <c r="C3218">
        <v>0.87</v>
      </c>
      <c r="D3218">
        <v>27.87</v>
      </c>
      <c r="E3218">
        <v>0.24</v>
      </c>
      <c r="F3218">
        <v>27.85</v>
      </c>
      <c r="G3218">
        <v>27.88</v>
      </c>
      <c r="H3218">
        <v>5734</v>
      </c>
      <c r="I3218">
        <v>2</v>
      </c>
      <c r="J3218">
        <v>-0.03</v>
      </c>
      <c r="K3218">
        <v>1.12</v>
      </c>
      <c r="L3218">
        <v>27.63</v>
      </c>
      <c r="M3218">
        <v>27.96</v>
      </c>
      <c r="N3218">
        <v>27.29</v>
      </c>
      <c r="O3218">
        <v>27.63</v>
      </c>
      <c r="P3218">
        <v>365.36</v>
      </c>
      <c r="Q3218">
        <v>15866204</v>
      </c>
      <c r="R3218">
        <v>0.75</v>
      </c>
      <c r="S3218" t="s">
        <v>270</v>
      </c>
      <c r="T3218" t="s">
        <v>366</v>
      </c>
      <c r="U3218">
        <v>2.42</v>
      </c>
      <c r="V3218">
        <v>27.67</v>
      </c>
      <c r="W3218">
        <v>2974</v>
      </c>
      <c r="X3218">
        <v>2759</v>
      </c>
      <c r="Y3218">
        <v>1.08</v>
      </c>
      <c r="Z3218">
        <v>122</v>
      </c>
      <c r="AA3218">
        <v>7</v>
      </c>
      <c r="AB3218" t="s">
        <v>32</v>
      </c>
      <c r="AC3218">
        <v>0.51</v>
      </c>
    </row>
    <row r="3219" spans="1:29">
      <c r="A3219" t="str">
        <f>"603233"</f>
        <v>603233</v>
      </c>
      <c r="B3219" t="s">
        <v>3389</v>
      </c>
      <c r="C3219">
        <v>2.06</v>
      </c>
      <c r="D3219">
        <v>59.84</v>
      </c>
      <c r="E3219">
        <v>1.21</v>
      </c>
      <c r="F3219">
        <v>59.9</v>
      </c>
      <c r="G3219">
        <v>59.91</v>
      </c>
      <c r="H3219">
        <v>9379</v>
      </c>
      <c r="I3219">
        <v>5</v>
      </c>
      <c r="J3219">
        <v>-0.02</v>
      </c>
      <c r="K3219">
        <v>2.34</v>
      </c>
      <c r="L3219">
        <v>58.63</v>
      </c>
      <c r="M3219">
        <v>60.72</v>
      </c>
      <c r="N3219">
        <v>57.88</v>
      </c>
      <c r="O3219">
        <v>58.63</v>
      </c>
      <c r="P3219">
        <v>40.71</v>
      </c>
      <c r="Q3219">
        <v>56264272</v>
      </c>
      <c r="R3219">
        <v>1.06</v>
      </c>
      <c r="S3219" t="s">
        <v>77</v>
      </c>
      <c r="T3219" t="s">
        <v>136</v>
      </c>
      <c r="U3219">
        <v>4.84</v>
      </c>
      <c r="V3219">
        <v>59.99</v>
      </c>
      <c r="W3219">
        <v>4246</v>
      </c>
      <c r="X3219">
        <v>5133</v>
      </c>
      <c r="Y3219">
        <v>0.83</v>
      </c>
      <c r="Z3219">
        <v>24</v>
      </c>
      <c r="AA3219">
        <v>1</v>
      </c>
      <c r="AB3219" t="s">
        <v>32</v>
      </c>
      <c r="AC3219">
        <v>0.4</v>
      </c>
    </row>
    <row r="3220" spans="1:29">
      <c r="A3220" t="str">
        <f>"603238"</f>
        <v>603238</v>
      </c>
      <c r="B3220" t="s">
        <v>3390</v>
      </c>
      <c r="C3220">
        <v>0</v>
      </c>
      <c r="D3220">
        <v>19.82</v>
      </c>
      <c r="E3220">
        <v>0</v>
      </c>
      <c r="F3220">
        <v>19.81</v>
      </c>
      <c r="G3220">
        <v>19.82</v>
      </c>
      <c r="H3220">
        <v>24627</v>
      </c>
      <c r="I3220">
        <v>20</v>
      </c>
      <c r="J3220">
        <v>0.61</v>
      </c>
      <c r="K3220">
        <v>8.21</v>
      </c>
      <c r="L3220">
        <v>19.75</v>
      </c>
      <c r="M3220">
        <v>19.91</v>
      </c>
      <c r="N3220">
        <v>19.53</v>
      </c>
      <c r="O3220">
        <v>19.82</v>
      </c>
      <c r="P3220">
        <v>69.57</v>
      </c>
      <c r="Q3220">
        <v>48708440</v>
      </c>
      <c r="R3220">
        <v>1.19</v>
      </c>
      <c r="S3220" t="s">
        <v>99</v>
      </c>
      <c r="T3220" t="s">
        <v>149</v>
      </c>
      <c r="U3220">
        <v>1.92</v>
      </c>
      <c r="V3220">
        <v>19.78</v>
      </c>
      <c r="W3220">
        <v>8290</v>
      </c>
      <c r="X3220">
        <v>16337</v>
      </c>
      <c r="Y3220">
        <v>0.51</v>
      </c>
      <c r="Z3220">
        <v>32</v>
      </c>
      <c r="AA3220">
        <v>47</v>
      </c>
      <c r="AB3220" t="s">
        <v>32</v>
      </c>
      <c r="AC3220">
        <v>0.3</v>
      </c>
    </row>
    <row r="3221" spans="1:29">
      <c r="A3221" t="str">
        <f>"603239"</f>
        <v>603239</v>
      </c>
      <c r="B3221" t="s">
        <v>3391</v>
      </c>
      <c r="C3221">
        <v>1.25</v>
      </c>
      <c r="D3221">
        <v>12.16</v>
      </c>
      <c r="E3221">
        <v>0.15</v>
      </c>
      <c r="F3221">
        <v>12.16</v>
      </c>
      <c r="G3221">
        <v>12.18</v>
      </c>
      <c r="H3221">
        <v>7569</v>
      </c>
      <c r="I3221">
        <v>10</v>
      </c>
      <c r="J3221">
        <v>0.08</v>
      </c>
      <c r="K3221">
        <v>0.83</v>
      </c>
      <c r="L3221">
        <v>12.19</v>
      </c>
      <c r="M3221">
        <v>12.2</v>
      </c>
      <c r="N3221">
        <v>11.95</v>
      </c>
      <c r="O3221">
        <v>12.01</v>
      </c>
      <c r="P3221">
        <v>21.24</v>
      </c>
      <c r="Q3221">
        <v>9168233</v>
      </c>
      <c r="R3221">
        <v>1.17</v>
      </c>
      <c r="S3221" t="s">
        <v>80</v>
      </c>
      <c r="T3221" t="s">
        <v>149</v>
      </c>
      <c r="U3221">
        <v>2.08</v>
      </c>
      <c r="V3221">
        <v>12.11</v>
      </c>
      <c r="W3221">
        <v>2866</v>
      </c>
      <c r="X3221">
        <v>4703</v>
      </c>
      <c r="Y3221">
        <v>0.61</v>
      </c>
      <c r="Z3221">
        <v>3</v>
      </c>
      <c r="AA3221">
        <v>505</v>
      </c>
      <c r="AB3221" t="s">
        <v>32</v>
      </c>
      <c r="AC3221">
        <v>0.91</v>
      </c>
    </row>
    <row r="3222" spans="1:29">
      <c r="A3222" t="str">
        <f>"603258"</f>
        <v>603258</v>
      </c>
      <c r="B3222" t="s">
        <v>3392</v>
      </c>
      <c r="C3222">
        <v>1.99</v>
      </c>
      <c r="D3222">
        <v>19.45</v>
      </c>
      <c r="E3222">
        <v>0.38</v>
      </c>
      <c r="F3222">
        <v>19.45</v>
      </c>
      <c r="G3222">
        <v>19.47</v>
      </c>
      <c r="H3222">
        <v>12673</v>
      </c>
      <c r="I3222">
        <v>3</v>
      </c>
      <c r="J3222">
        <v>0.05</v>
      </c>
      <c r="K3222">
        <v>1.9</v>
      </c>
      <c r="L3222">
        <v>19.12</v>
      </c>
      <c r="M3222">
        <v>19.62</v>
      </c>
      <c r="N3222">
        <v>18.8</v>
      </c>
      <c r="O3222">
        <v>19.07</v>
      </c>
      <c r="P3222">
        <v>50.68</v>
      </c>
      <c r="Q3222">
        <v>24461580</v>
      </c>
      <c r="R3222">
        <v>1.29</v>
      </c>
      <c r="S3222" t="s">
        <v>316</v>
      </c>
      <c r="T3222" t="s">
        <v>149</v>
      </c>
      <c r="U3222">
        <v>4.3</v>
      </c>
      <c r="V3222">
        <v>19.3</v>
      </c>
      <c r="W3222">
        <v>5728</v>
      </c>
      <c r="X3222">
        <v>6944</v>
      </c>
      <c r="Y3222">
        <v>0.82</v>
      </c>
      <c r="Z3222">
        <v>1</v>
      </c>
      <c r="AA3222">
        <v>16</v>
      </c>
      <c r="AB3222" t="s">
        <v>32</v>
      </c>
      <c r="AC3222">
        <v>0.67</v>
      </c>
    </row>
    <row r="3223" spans="1:29">
      <c r="A3223" t="str">
        <f>"603259"</f>
        <v>603259</v>
      </c>
      <c r="B3223" t="s">
        <v>3393</v>
      </c>
      <c r="C3223">
        <v>1.52</v>
      </c>
      <c r="D3223">
        <v>89.46</v>
      </c>
      <c r="E3223">
        <v>1.34</v>
      </c>
      <c r="F3223">
        <v>89.5</v>
      </c>
      <c r="G3223">
        <v>89.6</v>
      </c>
      <c r="H3223">
        <v>89972</v>
      </c>
      <c r="I3223">
        <v>27</v>
      </c>
      <c r="J3223">
        <v>0.11</v>
      </c>
      <c r="K3223">
        <v>8.63</v>
      </c>
      <c r="L3223">
        <v>87.6</v>
      </c>
      <c r="M3223">
        <v>90.68</v>
      </c>
      <c r="N3223">
        <v>87.11</v>
      </c>
      <c r="O3223">
        <v>88.12</v>
      </c>
      <c r="P3223">
        <v>80.18</v>
      </c>
      <c r="Q3223">
        <v>801576384</v>
      </c>
      <c r="R3223">
        <v>0.89</v>
      </c>
      <c r="S3223" t="s">
        <v>142</v>
      </c>
      <c r="T3223" t="s">
        <v>87</v>
      </c>
      <c r="U3223">
        <v>4.05</v>
      </c>
      <c r="V3223">
        <v>89.09</v>
      </c>
      <c r="W3223">
        <v>43604</v>
      </c>
      <c r="X3223">
        <v>46368</v>
      </c>
      <c r="Y3223">
        <v>0.94</v>
      </c>
      <c r="Z3223">
        <v>59</v>
      </c>
      <c r="AA3223">
        <v>95</v>
      </c>
      <c r="AB3223" t="s">
        <v>32</v>
      </c>
      <c r="AC3223">
        <v>1.04</v>
      </c>
    </row>
    <row r="3224" spans="1:29">
      <c r="A3224" t="str">
        <f>"603260"</f>
        <v>603260</v>
      </c>
      <c r="B3224" t="s">
        <v>3394</v>
      </c>
      <c r="C3224">
        <v>0.25</v>
      </c>
      <c r="D3224">
        <v>74.95</v>
      </c>
      <c r="E3224">
        <v>0.19</v>
      </c>
      <c r="F3224">
        <v>74.91</v>
      </c>
      <c r="G3224">
        <v>74.92</v>
      </c>
      <c r="H3224">
        <v>43600</v>
      </c>
      <c r="I3224">
        <v>2</v>
      </c>
      <c r="J3224">
        <v>0.28</v>
      </c>
      <c r="K3224">
        <v>6.23</v>
      </c>
      <c r="L3224">
        <v>74.78</v>
      </c>
      <c r="M3224">
        <v>75.48</v>
      </c>
      <c r="N3224">
        <v>74.01</v>
      </c>
      <c r="O3224">
        <v>74.76</v>
      </c>
      <c r="P3224">
        <v>19.92</v>
      </c>
      <c r="Q3224">
        <v>326033600</v>
      </c>
      <c r="R3224">
        <v>1.1</v>
      </c>
      <c r="S3224" t="s">
        <v>218</v>
      </c>
      <c r="T3224" t="s">
        <v>149</v>
      </c>
      <c r="U3224">
        <v>1.97</v>
      </c>
      <c r="V3224">
        <v>74.78</v>
      </c>
      <c r="W3224">
        <v>20588</v>
      </c>
      <c r="X3224">
        <v>23011</v>
      </c>
      <c r="Y3224">
        <v>0.89</v>
      </c>
      <c r="Z3224">
        <v>5</v>
      </c>
      <c r="AA3224">
        <v>5</v>
      </c>
      <c r="AB3224" t="s">
        <v>32</v>
      </c>
      <c r="AC3224">
        <v>0.7</v>
      </c>
    </row>
    <row r="3225" spans="1:29">
      <c r="A3225" t="str">
        <f>"603266"</f>
        <v>603266</v>
      </c>
      <c r="B3225" t="s">
        <v>3395</v>
      </c>
      <c r="C3225">
        <v>1.59</v>
      </c>
      <c r="D3225">
        <v>15.29</v>
      </c>
      <c r="E3225">
        <v>0.24</v>
      </c>
      <c r="F3225">
        <v>15.29</v>
      </c>
      <c r="G3225">
        <v>15.3</v>
      </c>
      <c r="H3225">
        <v>9090</v>
      </c>
      <c r="I3225">
        <v>2</v>
      </c>
      <c r="J3225">
        <v>0.07</v>
      </c>
      <c r="K3225">
        <v>2.6</v>
      </c>
      <c r="L3225">
        <v>15.2</v>
      </c>
      <c r="M3225">
        <v>15.46</v>
      </c>
      <c r="N3225">
        <v>15.06</v>
      </c>
      <c r="O3225">
        <v>15.05</v>
      </c>
      <c r="P3225">
        <v>35.52</v>
      </c>
      <c r="Q3225">
        <v>13884336</v>
      </c>
      <c r="R3225">
        <v>1.08</v>
      </c>
      <c r="S3225" t="s">
        <v>508</v>
      </c>
      <c r="T3225" t="s">
        <v>149</v>
      </c>
      <c r="U3225">
        <v>2.66</v>
      </c>
      <c r="V3225">
        <v>15.27</v>
      </c>
      <c r="W3225">
        <v>4196</v>
      </c>
      <c r="X3225">
        <v>4894</v>
      </c>
      <c r="Y3225">
        <v>0.86</v>
      </c>
      <c r="Z3225">
        <v>26</v>
      </c>
      <c r="AA3225">
        <v>49</v>
      </c>
      <c r="AB3225" t="s">
        <v>32</v>
      </c>
      <c r="AC3225">
        <v>0.35</v>
      </c>
    </row>
    <row r="3226" spans="1:29">
      <c r="A3226" t="str">
        <f>"603268"</f>
        <v>603268</v>
      </c>
      <c r="B3226" t="s">
        <v>3396</v>
      </c>
      <c r="C3226">
        <v>-0.27</v>
      </c>
      <c r="D3226">
        <v>14.86</v>
      </c>
      <c r="E3226">
        <v>-0.04</v>
      </c>
      <c r="F3226">
        <v>14.87</v>
      </c>
      <c r="G3226">
        <v>14.89</v>
      </c>
      <c r="H3226">
        <v>27975</v>
      </c>
      <c r="I3226">
        <v>9</v>
      </c>
      <c r="J3226">
        <v>-0.26</v>
      </c>
      <c r="K3226">
        <v>2.27</v>
      </c>
      <c r="L3226">
        <v>15.04</v>
      </c>
      <c r="M3226">
        <v>15.3</v>
      </c>
      <c r="N3226">
        <v>14.42</v>
      </c>
      <c r="O3226">
        <v>14.9</v>
      </c>
      <c r="P3226">
        <v>39.45</v>
      </c>
      <c r="Q3226">
        <v>41358920</v>
      </c>
      <c r="R3226">
        <v>1.37</v>
      </c>
      <c r="S3226" t="s">
        <v>1630</v>
      </c>
      <c r="T3226" t="s">
        <v>136</v>
      </c>
      <c r="U3226">
        <v>5.91</v>
      </c>
      <c r="V3226">
        <v>14.78</v>
      </c>
      <c r="W3226">
        <v>16924</v>
      </c>
      <c r="X3226">
        <v>11051</v>
      </c>
      <c r="Y3226">
        <v>1.53</v>
      </c>
      <c r="Z3226">
        <v>29</v>
      </c>
      <c r="AA3226">
        <v>18</v>
      </c>
      <c r="AB3226" t="s">
        <v>32</v>
      </c>
      <c r="AC3226">
        <v>1.23</v>
      </c>
    </row>
    <row r="3227" spans="1:29">
      <c r="A3227" t="str">
        <f>"603269"</f>
        <v>603269</v>
      </c>
      <c r="B3227" t="s">
        <v>3397</v>
      </c>
      <c r="C3227">
        <v>3.09</v>
      </c>
      <c r="D3227">
        <v>19.33</v>
      </c>
      <c r="E3227">
        <v>0.58</v>
      </c>
      <c r="F3227">
        <v>19.32</v>
      </c>
      <c r="G3227">
        <v>19.33</v>
      </c>
      <c r="H3227">
        <v>20691</v>
      </c>
      <c r="I3227">
        <v>1</v>
      </c>
      <c r="J3227">
        <v>-0.04</v>
      </c>
      <c r="K3227">
        <v>5.57</v>
      </c>
      <c r="L3227">
        <v>18.78</v>
      </c>
      <c r="M3227">
        <v>19.76</v>
      </c>
      <c r="N3227">
        <v>18.65</v>
      </c>
      <c r="O3227">
        <v>18.75</v>
      </c>
      <c r="P3227">
        <v>49.54</v>
      </c>
      <c r="Q3227">
        <v>39813152</v>
      </c>
      <c r="R3227">
        <v>1.96</v>
      </c>
      <c r="S3227" t="s">
        <v>241</v>
      </c>
      <c r="T3227" t="s">
        <v>87</v>
      </c>
      <c r="U3227">
        <v>5.92</v>
      </c>
      <c r="V3227">
        <v>19.24</v>
      </c>
      <c r="W3227">
        <v>8892</v>
      </c>
      <c r="X3227">
        <v>11798</v>
      </c>
      <c r="Y3227">
        <v>0.75</v>
      </c>
      <c r="Z3227">
        <v>27</v>
      </c>
      <c r="AA3227">
        <v>26</v>
      </c>
      <c r="AB3227" t="s">
        <v>32</v>
      </c>
      <c r="AC3227">
        <v>0.37</v>
      </c>
    </row>
    <row r="3228" spans="1:29">
      <c r="A3228" t="str">
        <f>"603277"</f>
        <v>603277</v>
      </c>
      <c r="B3228" t="s">
        <v>3398</v>
      </c>
      <c r="C3228">
        <v>1.37</v>
      </c>
      <c r="D3228">
        <v>11.84</v>
      </c>
      <c r="E3228">
        <v>0.16</v>
      </c>
      <c r="F3228">
        <v>11.86</v>
      </c>
      <c r="G3228">
        <v>11.87</v>
      </c>
      <c r="H3228">
        <v>19631</v>
      </c>
      <c r="I3228">
        <v>300</v>
      </c>
      <c r="J3228">
        <v>0</v>
      </c>
      <c r="K3228">
        <v>2.97</v>
      </c>
      <c r="L3228">
        <v>11.73</v>
      </c>
      <c r="M3228">
        <v>11.89</v>
      </c>
      <c r="N3228">
        <v>11.62</v>
      </c>
      <c r="O3228">
        <v>11.68</v>
      </c>
      <c r="P3228">
        <v>37.64</v>
      </c>
      <c r="Q3228">
        <v>23186284</v>
      </c>
      <c r="R3228">
        <v>1.32</v>
      </c>
      <c r="S3228" t="s">
        <v>171</v>
      </c>
      <c r="T3228" t="s">
        <v>149</v>
      </c>
      <c r="U3228">
        <v>2.31</v>
      </c>
      <c r="V3228">
        <v>11.81</v>
      </c>
      <c r="W3228">
        <v>9919</v>
      </c>
      <c r="X3228">
        <v>9711</v>
      </c>
      <c r="Y3228">
        <v>1.02</v>
      </c>
      <c r="Z3228">
        <v>10</v>
      </c>
      <c r="AA3228">
        <v>213</v>
      </c>
      <c r="AB3228" t="s">
        <v>32</v>
      </c>
      <c r="AC3228">
        <v>0.66</v>
      </c>
    </row>
    <row r="3229" spans="1:29">
      <c r="A3229" t="str">
        <f>"603278"</f>
        <v>603278</v>
      </c>
      <c r="B3229" t="s">
        <v>3399</v>
      </c>
      <c r="C3229">
        <v>-1.15</v>
      </c>
      <c r="D3229">
        <v>18.9</v>
      </c>
      <c r="E3229">
        <v>-0.22</v>
      </c>
      <c r="F3229">
        <v>18.89</v>
      </c>
      <c r="G3229">
        <v>18.91</v>
      </c>
      <c r="H3229">
        <v>80920</v>
      </c>
      <c r="I3229">
        <v>62</v>
      </c>
      <c r="J3229">
        <v>0.05</v>
      </c>
      <c r="K3229">
        <v>15.56</v>
      </c>
      <c r="L3229">
        <v>18.52</v>
      </c>
      <c r="M3229">
        <v>19.16</v>
      </c>
      <c r="N3229">
        <v>18.47</v>
      </c>
      <c r="O3229">
        <v>19.12</v>
      </c>
      <c r="P3229">
        <v>25.69</v>
      </c>
      <c r="Q3229">
        <v>152004096</v>
      </c>
      <c r="R3229">
        <v>2.06</v>
      </c>
      <c r="S3229" t="s">
        <v>449</v>
      </c>
      <c r="T3229" t="s">
        <v>162</v>
      </c>
      <c r="U3229">
        <v>3.61</v>
      </c>
      <c r="V3229">
        <v>18.78</v>
      </c>
      <c r="W3229">
        <v>43810</v>
      </c>
      <c r="X3229">
        <v>37110</v>
      </c>
      <c r="Y3229">
        <v>1.18</v>
      </c>
      <c r="Z3229">
        <v>4</v>
      </c>
      <c r="AA3229">
        <v>139</v>
      </c>
      <c r="AB3229" t="s">
        <v>32</v>
      </c>
      <c r="AC3229">
        <v>0.52</v>
      </c>
    </row>
    <row r="3230" spans="1:29">
      <c r="A3230" t="str">
        <f>"603283"</f>
        <v>603283</v>
      </c>
      <c r="B3230" t="s">
        <v>3400</v>
      </c>
      <c r="C3230">
        <v>1.38</v>
      </c>
      <c r="D3230">
        <v>27.17</v>
      </c>
      <c r="E3230">
        <v>0.37</v>
      </c>
      <c r="F3230">
        <v>27.17</v>
      </c>
      <c r="G3230">
        <v>27.18</v>
      </c>
      <c r="H3230">
        <v>35007</v>
      </c>
      <c r="I3230">
        <v>2</v>
      </c>
      <c r="J3230">
        <v>0.26</v>
      </c>
      <c r="K3230">
        <v>8.75</v>
      </c>
      <c r="L3230">
        <v>26.95</v>
      </c>
      <c r="M3230">
        <v>27.28</v>
      </c>
      <c r="N3230">
        <v>26.48</v>
      </c>
      <c r="O3230">
        <v>26.8</v>
      </c>
      <c r="P3230">
        <v>55.14</v>
      </c>
      <c r="Q3230">
        <v>94703552</v>
      </c>
      <c r="R3230">
        <v>0.98</v>
      </c>
      <c r="S3230" t="s">
        <v>171</v>
      </c>
      <c r="T3230" t="s">
        <v>87</v>
      </c>
      <c r="U3230">
        <v>2.99</v>
      </c>
      <c r="V3230">
        <v>27.05</v>
      </c>
      <c r="W3230">
        <v>16599</v>
      </c>
      <c r="X3230">
        <v>18407</v>
      </c>
      <c r="Y3230">
        <v>0.9</v>
      </c>
      <c r="Z3230">
        <v>48</v>
      </c>
      <c r="AA3230">
        <v>49</v>
      </c>
      <c r="AB3230" t="s">
        <v>32</v>
      </c>
      <c r="AC3230">
        <v>0.4</v>
      </c>
    </row>
    <row r="3231" spans="1:29">
      <c r="A3231" t="str">
        <f>"603286"</f>
        <v>603286</v>
      </c>
      <c r="B3231" t="s">
        <v>3401</v>
      </c>
      <c r="C3231">
        <v>2.24</v>
      </c>
      <c r="D3231">
        <v>20.08</v>
      </c>
      <c r="E3231">
        <v>0.44</v>
      </c>
      <c r="F3231">
        <v>20.08</v>
      </c>
      <c r="G3231">
        <v>20.1</v>
      </c>
      <c r="H3231">
        <v>19410</v>
      </c>
      <c r="I3231">
        <v>2</v>
      </c>
      <c r="J3231">
        <v>0.1</v>
      </c>
      <c r="K3231">
        <v>4.24</v>
      </c>
      <c r="L3231">
        <v>19.89</v>
      </c>
      <c r="M3231">
        <v>20.23</v>
      </c>
      <c r="N3231">
        <v>19.7</v>
      </c>
      <c r="O3231">
        <v>19.64</v>
      </c>
      <c r="P3231">
        <v>60.9</v>
      </c>
      <c r="Q3231">
        <v>38894792</v>
      </c>
      <c r="R3231">
        <v>1.08</v>
      </c>
      <c r="S3231" t="s">
        <v>80</v>
      </c>
      <c r="T3231" t="s">
        <v>87</v>
      </c>
      <c r="U3231">
        <v>2.7</v>
      </c>
      <c r="V3231">
        <v>20.04</v>
      </c>
      <c r="W3231">
        <v>7859</v>
      </c>
      <c r="X3231">
        <v>11550</v>
      </c>
      <c r="Y3231">
        <v>0.68</v>
      </c>
      <c r="Z3231">
        <v>8</v>
      </c>
      <c r="AA3231">
        <v>14</v>
      </c>
      <c r="AB3231" t="s">
        <v>32</v>
      </c>
      <c r="AC3231">
        <v>0.46</v>
      </c>
    </row>
    <row r="3232" spans="1:29">
      <c r="A3232" t="str">
        <f>"603288"</f>
        <v>603288</v>
      </c>
      <c r="B3232" t="s">
        <v>3402</v>
      </c>
      <c r="C3232">
        <v>0.96</v>
      </c>
      <c r="D3232">
        <v>71.77</v>
      </c>
      <c r="E3232">
        <v>0.68</v>
      </c>
      <c r="F3232">
        <v>71.78</v>
      </c>
      <c r="G3232">
        <v>71.83</v>
      </c>
      <c r="H3232">
        <v>48618</v>
      </c>
      <c r="I3232">
        <v>39</v>
      </c>
      <c r="J3232">
        <v>-0.1</v>
      </c>
      <c r="K3232">
        <v>0.18</v>
      </c>
      <c r="L3232">
        <v>71.2</v>
      </c>
      <c r="M3232">
        <v>72.3</v>
      </c>
      <c r="N3232">
        <v>70.45</v>
      </c>
      <c r="O3232">
        <v>71.09</v>
      </c>
      <c r="P3232">
        <v>40.3</v>
      </c>
      <c r="Q3232">
        <v>347865824</v>
      </c>
      <c r="R3232">
        <v>1.28</v>
      </c>
      <c r="S3232" t="s">
        <v>213</v>
      </c>
      <c r="T3232" t="s">
        <v>136</v>
      </c>
      <c r="U3232">
        <v>2.6</v>
      </c>
      <c r="V3232">
        <v>71.55</v>
      </c>
      <c r="W3232">
        <v>25374</v>
      </c>
      <c r="X3232">
        <v>23243</v>
      </c>
      <c r="Y3232">
        <v>1.09</v>
      </c>
      <c r="Z3232">
        <v>4</v>
      </c>
      <c r="AA3232">
        <v>12</v>
      </c>
      <c r="AB3232" t="s">
        <v>32</v>
      </c>
      <c r="AC3232">
        <v>26.97</v>
      </c>
    </row>
    <row r="3233" spans="1:29">
      <c r="A3233" t="str">
        <f>"603289"</f>
        <v>603289</v>
      </c>
      <c r="B3233" t="s">
        <v>3403</v>
      </c>
      <c r="C3233">
        <v>1.01</v>
      </c>
      <c r="D3233">
        <v>12.05</v>
      </c>
      <c r="E3233">
        <v>0.12</v>
      </c>
      <c r="F3233">
        <v>12.04</v>
      </c>
      <c r="G3233">
        <v>12.05</v>
      </c>
      <c r="H3233">
        <v>41701</v>
      </c>
      <c r="I3233">
        <v>7</v>
      </c>
      <c r="J3233">
        <v>0</v>
      </c>
      <c r="K3233">
        <v>6.29</v>
      </c>
      <c r="L3233">
        <v>11.96</v>
      </c>
      <c r="M3233">
        <v>12.09</v>
      </c>
      <c r="N3233">
        <v>11.85</v>
      </c>
      <c r="O3233">
        <v>11.93</v>
      </c>
      <c r="P3233">
        <v>39.28</v>
      </c>
      <c r="Q3233">
        <v>50060292</v>
      </c>
      <c r="R3233">
        <v>1.29</v>
      </c>
      <c r="S3233" t="s">
        <v>171</v>
      </c>
      <c r="T3233" t="s">
        <v>149</v>
      </c>
      <c r="U3233">
        <v>2.01</v>
      </c>
      <c r="V3233">
        <v>12</v>
      </c>
      <c r="W3233">
        <v>20283</v>
      </c>
      <c r="X3233">
        <v>21418</v>
      </c>
      <c r="Y3233">
        <v>0.95</v>
      </c>
      <c r="Z3233">
        <v>275</v>
      </c>
      <c r="AA3233">
        <v>17</v>
      </c>
      <c r="AB3233" t="s">
        <v>32</v>
      </c>
      <c r="AC3233">
        <v>0.66</v>
      </c>
    </row>
    <row r="3234" spans="1:29">
      <c r="A3234" t="str">
        <f>"603298"</f>
        <v>603298</v>
      </c>
      <c r="B3234" t="s">
        <v>3404</v>
      </c>
      <c r="C3234">
        <v>1.67</v>
      </c>
      <c r="D3234">
        <v>12.82</v>
      </c>
      <c r="E3234">
        <v>0.21</v>
      </c>
      <c r="F3234">
        <v>12.82</v>
      </c>
      <c r="G3234">
        <v>12.83</v>
      </c>
      <c r="H3234">
        <v>36658</v>
      </c>
      <c r="I3234">
        <v>5</v>
      </c>
      <c r="J3234">
        <v>-0.07</v>
      </c>
      <c r="K3234">
        <v>2.15</v>
      </c>
      <c r="L3234">
        <v>12.53</v>
      </c>
      <c r="M3234">
        <v>12.91</v>
      </c>
      <c r="N3234">
        <v>12.52</v>
      </c>
      <c r="O3234">
        <v>12.61</v>
      </c>
      <c r="P3234">
        <v>16.52</v>
      </c>
      <c r="Q3234">
        <v>46727096</v>
      </c>
      <c r="R3234">
        <v>2.42</v>
      </c>
      <c r="S3234" t="s">
        <v>171</v>
      </c>
      <c r="T3234" t="s">
        <v>149</v>
      </c>
      <c r="U3234">
        <v>3.09</v>
      </c>
      <c r="V3234">
        <v>12.75</v>
      </c>
      <c r="W3234">
        <v>14555</v>
      </c>
      <c r="X3234">
        <v>22103</v>
      </c>
      <c r="Y3234">
        <v>0.66</v>
      </c>
      <c r="Z3234">
        <v>45</v>
      </c>
      <c r="AA3234">
        <v>186</v>
      </c>
      <c r="AB3234" t="s">
        <v>32</v>
      </c>
      <c r="AC3234">
        <v>1.71</v>
      </c>
    </row>
    <row r="3235" spans="1:29">
      <c r="A3235" t="str">
        <f>"603299"</f>
        <v>603299</v>
      </c>
      <c r="B3235" t="s">
        <v>3405</v>
      </c>
      <c r="C3235">
        <v>2.7</v>
      </c>
      <c r="D3235">
        <v>7.62</v>
      </c>
      <c r="E3235">
        <v>0.2</v>
      </c>
      <c r="F3235">
        <v>7.61</v>
      </c>
      <c r="G3235">
        <v>7.62</v>
      </c>
      <c r="H3235">
        <v>38423</v>
      </c>
      <c r="I3235">
        <v>1</v>
      </c>
      <c r="J3235">
        <v>0.4</v>
      </c>
      <c r="K3235">
        <v>1.38</v>
      </c>
      <c r="L3235">
        <v>7.41</v>
      </c>
      <c r="M3235">
        <v>7.62</v>
      </c>
      <c r="N3235">
        <v>7.41</v>
      </c>
      <c r="O3235">
        <v>7.42</v>
      </c>
      <c r="P3235">
        <v>34.42</v>
      </c>
      <c r="Q3235">
        <v>28962436</v>
      </c>
      <c r="R3235">
        <v>1.69</v>
      </c>
      <c r="S3235" t="s">
        <v>218</v>
      </c>
      <c r="T3235" t="s">
        <v>87</v>
      </c>
      <c r="U3235">
        <v>2.83</v>
      </c>
      <c r="V3235">
        <v>7.54</v>
      </c>
      <c r="W3235">
        <v>14957</v>
      </c>
      <c r="X3235">
        <v>23465</v>
      </c>
      <c r="Y3235">
        <v>0.64</v>
      </c>
      <c r="Z3235">
        <v>338</v>
      </c>
      <c r="AA3235">
        <v>195</v>
      </c>
      <c r="AB3235" t="s">
        <v>32</v>
      </c>
      <c r="AC3235">
        <v>2.79</v>
      </c>
    </row>
    <row r="3236" spans="1:29">
      <c r="A3236" t="str">
        <f>"603300"</f>
        <v>603300</v>
      </c>
      <c r="B3236" t="s">
        <v>3406</v>
      </c>
      <c r="C3236">
        <v>2.31</v>
      </c>
      <c r="D3236">
        <v>5.31</v>
      </c>
      <c r="E3236">
        <v>0.12</v>
      </c>
      <c r="F3236">
        <v>5.31</v>
      </c>
      <c r="G3236">
        <v>5.32</v>
      </c>
      <c r="H3236">
        <v>73025</v>
      </c>
      <c r="I3236">
        <v>654</v>
      </c>
      <c r="J3236">
        <v>0.19</v>
      </c>
      <c r="K3236">
        <v>1.8</v>
      </c>
      <c r="L3236">
        <v>5.19</v>
      </c>
      <c r="M3236">
        <v>5.32</v>
      </c>
      <c r="N3236">
        <v>5.16</v>
      </c>
      <c r="O3236">
        <v>5.19</v>
      </c>
      <c r="P3236">
        <v>40.05</v>
      </c>
      <c r="Q3236">
        <v>38371172</v>
      </c>
      <c r="R3236">
        <v>1.64</v>
      </c>
      <c r="S3236" t="s">
        <v>449</v>
      </c>
      <c r="T3236" t="s">
        <v>149</v>
      </c>
      <c r="U3236">
        <v>3.08</v>
      </c>
      <c r="V3236">
        <v>5.25</v>
      </c>
      <c r="W3236">
        <v>34927</v>
      </c>
      <c r="X3236">
        <v>38098</v>
      </c>
      <c r="Y3236">
        <v>0.92</v>
      </c>
      <c r="Z3236">
        <v>16</v>
      </c>
      <c r="AA3236">
        <v>1071</v>
      </c>
      <c r="AB3236" t="s">
        <v>32</v>
      </c>
      <c r="AC3236">
        <v>4.05</v>
      </c>
    </row>
    <row r="3237" spans="1:29">
      <c r="A3237" t="str">
        <f>"603301"</f>
        <v>603301</v>
      </c>
      <c r="B3237" t="s">
        <v>3407</v>
      </c>
      <c r="C3237">
        <v>3</v>
      </c>
      <c r="D3237">
        <v>46</v>
      </c>
      <c r="E3237">
        <v>1.34</v>
      </c>
      <c r="F3237">
        <v>46.03</v>
      </c>
      <c r="G3237">
        <v>46.04</v>
      </c>
      <c r="H3237">
        <v>30140</v>
      </c>
      <c r="I3237">
        <v>2</v>
      </c>
      <c r="J3237">
        <v>0.48</v>
      </c>
      <c r="K3237">
        <v>12.06</v>
      </c>
      <c r="L3237">
        <v>44.5</v>
      </c>
      <c r="M3237">
        <v>46.33</v>
      </c>
      <c r="N3237">
        <v>44.49</v>
      </c>
      <c r="O3237">
        <v>44.66</v>
      </c>
      <c r="P3237">
        <v>58.36</v>
      </c>
      <c r="Q3237">
        <v>137088832</v>
      </c>
      <c r="R3237">
        <v>0.97</v>
      </c>
      <c r="S3237" t="s">
        <v>138</v>
      </c>
      <c r="T3237" t="s">
        <v>149</v>
      </c>
      <c r="U3237">
        <v>4.12</v>
      </c>
      <c r="V3237">
        <v>45.48</v>
      </c>
      <c r="W3237">
        <v>14708</v>
      </c>
      <c r="X3237">
        <v>15432</v>
      </c>
      <c r="Y3237">
        <v>0.95</v>
      </c>
      <c r="Z3237">
        <v>29</v>
      </c>
      <c r="AA3237">
        <v>8</v>
      </c>
      <c r="AB3237" t="s">
        <v>32</v>
      </c>
      <c r="AC3237">
        <v>0.25</v>
      </c>
    </row>
    <row r="3238" spans="1:29">
      <c r="A3238" t="str">
        <f>"603303"</f>
        <v>603303</v>
      </c>
      <c r="B3238" t="s">
        <v>3408</v>
      </c>
      <c r="C3238">
        <v>1.12</v>
      </c>
      <c r="D3238">
        <v>10.79</v>
      </c>
      <c r="E3238">
        <v>0.12</v>
      </c>
      <c r="F3238">
        <v>10.77</v>
      </c>
      <c r="G3238">
        <v>10.79</v>
      </c>
      <c r="H3238">
        <v>22258</v>
      </c>
      <c r="I3238">
        <v>50</v>
      </c>
      <c r="J3238">
        <v>-0.08</v>
      </c>
      <c r="K3238">
        <v>2.18</v>
      </c>
      <c r="L3238">
        <v>10.7</v>
      </c>
      <c r="M3238">
        <v>10.86</v>
      </c>
      <c r="N3238">
        <v>10.61</v>
      </c>
      <c r="O3238">
        <v>10.67</v>
      </c>
      <c r="P3238">
        <v>28.56</v>
      </c>
      <c r="Q3238">
        <v>24008840</v>
      </c>
      <c r="R3238">
        <v>1.29</v>
      </c>
      <c r="S3238" t="s">
        <v>55</v>
      </c>
      <c r="T3238" t="s">
        <v>149</v>
      </c>
      <c r="U3238">
        <v>2.34</v>
      </c>
      <c r="V3238">
        <v>10.79</v>
      </c>
      <c r="W3238">
        <v>10361</v>
      </c>
      <c r="X3238">
        <v>11896</v>
      </c>
      <c r="Y3238">
        <v>0.87</v>
      </c>
      <c r="Z3238">
        <v>18</v>
      </c>
      <c r="AA3238">
        <v>30</v>
      </c>
      <c r="AB3238" t="s">
        <v>32</v>
      </c>
      <c r="AC3238">
        <v>1.02</v>
      </c>
    </row>
    <row r="3239" spans="1:29">
      <c r="A3239" t="str">
        <f>"603305"</f>
        <v>603305</v>
      </c>
      <c r="B3239" t="s">
        <v>3409</v>
      </c>
      <c r="C3239">
        <v>0.87</v>
      </c>
      <c r="D3239">
        <v>29.13</v>
      </c>
      <c r="E3239">
        <v>0.25</v>
      </c>
      <c r="F3239">
        <v>29.13</v>
      </c>
      <c r="G3239">
        <v>29.14</v>
      </c>
      <c r="H3239">
        <v>15808</v>
      </c>
      <c r="I3239">
        <v>27</v>
      </c>
      <c r="J3239">
        <v>0.14</v>
      </c>
      <c r="K3239">
        <v>2.5</v>
      </c>
      <c r="L3239">
        <v>28.78</v>
      </c>
      <c r="M3239">
        <v>29.15</v>
      </c>
      <c r="N3239">
        <v>28.3</v>
      </c>
      <c r="O3239">
        <v>28.88</v>
      </c>
      <c r="P3239">
        <v>53.39</v>
      </c>
      <c r="Q3239">
        <v>45493648</v>
      </c>
      <c r="R3239">
        <v>1.08</v>
      </c>
      <c r="S3239" t="s">
        <v>80</v>
      </c>
      <c r="T3239" t="s">
        <v>149</v>
      </c>
      <c r="U3239">
        <v>2.94</v>
      </c>
      <c r="V3239">
        <v>28.78</v>
      </c>
      <c r="W3239">
        <v>8353</v>
      </c>
      <c r="X3239">
        <v>7455</v>
      </c>
      <c r="Y3239">
        <v>1.12</v>
      </c>
      <c r="Z3239">
        <v>20</v>
      </c>
      <c r="AA3239">
        <v>6</v>
      </c>
      <c r="AB3239" t="s">
        <v>32</v>
      </c>
      <c r="AC3239">
        <v>0.63</v>
      </c>
    </row>
    <row r="3240" spans="1:29">
      <c r="A3240" t="str">
        <f>"603306"</f>
        <v>603306</v>
      </c>
      <c r="B3240" t="s">
        <v>3410</v>
      </c>
      <c r="C3240">
        <v>0.89</v>
      </c>
      <c r="D3240">
        <v>17.05</v>
      </c>
      <c r="E3240">
        <v>0.15</v>
      </c>
      <c r="F3240">
        <v>17.02</v>
      </c>
      <c r="G3240">
        <v>17.06</v>
      </c>
      <c r="H3240">
        <v>9227</v>
      </c>
      <c r="I3240">
        <v>3</v>
      </c>
      <c r="J3240">
        <v>0</v>
      </c>
      <c r="K3240">
        <v>0.33</v>
      </c>
      <c r="L3240">
        <v>17</v>
      </c>
      <c r="M3240">
        <v>17.14</v>
      </c>
      <c r="N3240">
        <v>16.75</v>
      </c>
      <c r="O3240">
        <v>16.9</v>
      </c>
      <c r="P3240">
        <v>16.59</v>
      </c>
      <c r="Q3240">
        <v>15670156</v>
      </c>
      <c r="R3240">
        <v>1.04</v>
      </c>
      <c r="S3240" t="s">
        <v>80</v>
      </c>
      <c r="T3240" t="s">
        <v>236</v>
      </c>
      <c r="U3240">
        <v>2.31</v>
      </c>
      <c r="V3240">
        <v>16.98</v>
      </c>
      <c r="W3240">
        <v>5332</v>
      </c>
      <c r="X3240">
        <v>3894</v>
      </c>
      <c r="Y3240">
        <v>1.37</v>
      </c>
      <c r="Z3240">
        <v>30</v>
      </c>
      <c r="AA3240">
        <v>35</v>
      </c>
      <c r="AB3240" t="s">
        <v>32</v>
      </c>
      <c r="AC3240">
        <v>2.77</v>
      </c>
    </row>
    <row r="3241" spans="1:29">
      <c r="A3241" t="str">
        <f>"603308"</f>
        <v>603308</v>
      </c>
      <c r="B3241" t="s">
        <v>3411</v>
      </c>
      <c r="C3241">
        <v>0.23</v>
      </c>
      <c r="D3241">
        <v>12.87</v>
      </c>
      <c r="E3241">
        <v>0.03</v>
      </c>
      <c r="F3241">
        <v>12.86</v>
      </c>
      <c r="G3241">
        <v>12.87</v>
      </c>
      <c r="H3241">
        <v>26516</v>
      </c>
      <c r="I3241">
        <v>3</v>
      </c>
      <c r="J3241">
        <v>0.23</v>
      </c>
      <c r="K3241">
        <v>0.66</v>
      </c>
      <c r="L3241">
        <v>12.75</v>
      </c>
      <c r="M3241">
        <v>12.95</v>
      </c>
      <c r="N3241">
        <v>12.7</v>
      </c>
      <c r="O3241">
        <v>12.84</v>
      </c>
      <c r="P3241">
        <v>42.55</v>
      </c>
      <c r="Q3241">
        <v>34106624</v>
      </c>
      <c r="R3241">
        <v>0.82</v>
      </c>
      <c r="S3241" t="s">
        <v>171</v>
      </c>
      <c r="T3241" t="s">
        <v>143</v>
      </c>
      <c r="U3241">
        <v>1.95</v>
      </c>
      <c r="V3241">
        <v>12.86</v>
      </c>
      <c r="W3241">
        <v>15632</v>
      </c>
      <c r="X3241">
        <v>10883</v>
      </c>
      <c r="Y3241">
        <v>1.44</v>
      </c>
      <c r="Z3241">
        <v>5</v>
      </c>
      <c r="AA3241">
        <v>16</v>
      </c>
      <c r="AB3241" t="s">
        <v>32</v>
      </c>
      <c r="AC3241">
        <v>4</v>
      </c>
    </row>
    <row r="3242" spans="1:29">
      <c r="A3242" t="str">
        <f>"603309"</f>
        <v>603309</v>
      </c>
      <c r="B3242" t="s">
        <v>3412</v>
      </c>
      <c r="C3242">
        <v>3.06</v>
      </c>
      <c r="D3242">
        <v>12.11</v>
      </c>
      <c r="E3242">
        <v>0.36</v>
      </c>
      <c r="F3242">
        <v>12.11</v>
      </c>
      <c r="G3242">
        <v>12.12</v>
      </c>
      <c r="H3242">
        <v>18759</v>
      </c>
      <c r="I3242">
        <v>2</v>
      </c>
      <c r="J3242">
        <v>0</v>
      </c>
      <c r="K3242">
        <v>0.94</v>
      </c>
      <c r="L3242">
        <v>11.67</v>
      </c>
      <c r="M3242">
        <v>12.17</v>
      </c>
      <c r="N3242">
        <v>11.67</v>
      </c>
      <c r="O3242">
        <v>11.75</v>
      </c>
      <c r="P3242">
        <v>98.28</v>
      </c>
      <c r="Q3242">
        <v>22472956</v>
      </c>
      <c r="R3242">
        <v>1.07</v>
      </c>
      <c r="S3242" t="s">
        <v>138</v>
      </c>
      <c r="T3242" t="s">
        <v>136</v>
      </c>
      <c r="U3242">
        <v>4.26</v>
      </c>
      <c r="V3242">
        <v>11.98</v>
      </c>
      <c r="W3242">
        <v>8696</v>
      </c>
      <c r="X3242">
        <v>10063</v>
      </c>
      <c r="Y3242">
        <v>0.86</v>
      </c>
      <c r="Z3242">
        <v>51</v>
      </c>
      <c r="AA3242">
        <v>82</v>
      </c>
      <c r="AB3242" t="s">
        <v>32</v>
      </c>
      <c r="AC3242">
        <v>2</v>
      </c>
    </row>
    <row r="3243" spans="1:29">
      <c r="A3243" t="str">
        <f>"603311"</f>
        <v>603311</v>
      </c>
      <c r="B3243" t="s">
        <v>3413</v>
      </c>
      <c r="C3243">
        <v>-0.61</v>
      </c>
      <c r="D3243">
        <v>11.46</v>
      </c>
      <c r="E3243">
        <v>-0.07</v>
      </c>
      <c r="F3243">
        <v>11.48</v>
      </c>
      <c r="G3243">
        <v>11.49</v>
      </c>
      <c r="H3243">
        <v>13458</v>
      </c>
      <c r="I3243">
        <v>10</v>
      </c>
      <c r="J3243">
        <v>0.09</v>
      </c>
      <c r="K3243">
        <v>0.64</v>
      </c>
      <c r="L3243">
        <v>11.44</v>
      </c>
      <c r="M3243">
        <v>11.5</v>
      </c>
      <c r="N3243">
        <v>11.28</v>
      </c>
      <c r="O3243">
        <v>11.53</v>
      </c>
      <c r="P3243">
        <v>29.33</v>
      </c>
      <c r="Q3243">
        <v>15371756</v>
      </c>
      <c r="R3243">
        <v>1.48</v>
      </c>
      <c r="S3243" t="s">
        <v>171</v>
      </c>
      <c r="T3243" t="s">
        <v>149</v>
      </c>
      <c r="U3243">
        <v>1.91</v>
      </c>
      <c r="V3243">
        <v>11.42</v>
      </c>
      <c r="W3243">
        <v>7357</v>
      </c>
      <c r="X3243">
        <v>6100</v>
      </c>
      <c r="Y3243">
        <v>1.21</v>
      </c>
      <c r="Z3243">
        <v>45</v>
      </c>
      <c r="AA3243">
        <v>23</v>
      </c>
      <c r="AB3243" t="s">
        <v>32</v>
      </c>
      <c r="AC3243">
        <v>2.1</v>
      </c>
    </row>
    <row r="3244" spans="1:29">
      <c r="A3244" t="str">
        <f>"603313"</f>
        <v>603313</v>
      </c>
      <c r="B3244" t="s">
        <v>3414</v>
      </c>
      <c r="C3244">
        <v>1.4</v>
      </c>
      <c r="D3244">
        <v>18.07</v>
      </c>
      <c r="E3244">
        <v>0.25</v>
      </c>
      <c r="F3244">
        <v>18.06</v>
      </c>
      <c r="G3244">
        <v>18.07</v>
      </c>
      <c r="H3244">
        <v>7746</v>
      </c>
      <c r="I3244">
        <v>6</v>
      </c>
      <c r="J3244">
        <v>0</v>
      </c>
      <c r="K3244">
        <v>0.94</v>
      </c>
      <c r="L3244">
        <v>17.82</v>
      </c>
      <c r="M3244">
        <v>18.17</v>
      </c>
      <c r="N3244">
        <v>17.8</v>
      </c>
      <c r="O3244">
        <v>17.82</v>
      </c>
      <c r="P3244">
        <v>237.03</v>
      </c>
      <c r="Q3244">
        <v>13943290</v>
      </c>
      <c r="R3244">
        <v>1.34</v>
      </c>
      <c r="S3244" t="s">
        <v>545</v>
      </c>
      <c r="T3244" t="s">
        <v>87</v>
      </c>
      <c r="U3244">
        <v>2.08</v>
      </c>
      <c r="V3244">
        <v>18</v>
      </c>
      <c r="W3244">
        <v>3666</v>
      </c>
      <c r="X3244">
        <v>4080</v>
      </c>
      <c r="Y3244">
        <v>0.9</v>
      </c>
      <c r="Z3244">
        <v>26</v>
      </c>
      <c r="AA3244">
        <v>8</v>
      </c>
      <c r="AB3244" t="s">
        <v>32</v>
      </c>
      <c r="AC3244">
        <v>0.82</v>
      </c>
    </row>
    <row r="3245" spans="1:29">
      <c r="A3245" t="str">
        <f>"603315"</f>
        <v>603315</v>
      </c>
      <c r="B3245" t="s">
        <v>3415</v>
      </c>
      <c r="C3245">
        <v>0</v>
      </c>
      <c r="D3245">
        <v>12.43</v>
      </c>
      <c r="E3245">
        <v>0</v>
      </c>
      <c r="F3245" t="s">
        <v>32</v>
      </c>
      <c r="G3245" t="s">
        <v>32</v>
      </c>
      <c r="H3245">
        <v>0</v>
      </c>
      <c r="I3245">
        <v>0</v>
      </c>
      <c r="J3245">
        <v>0</v>
      </c>
      <c r="K3245">
        <v>0</v>
      </c>
      <c r="L3245" t="s">
        <v>32</v>
      </c>
      <c r="M3245" t="s">
        <v>32</v>
      </c>
      <c r="N3245" t="s">
        <v>32</v>
      </c>
      <c r="O3245">
        <v>12.43</v>
      </c>
      <c r="P3245">
        <v>249.15</v>
      </c>
      <c r="Q3245">
        <v>0</v>
      </c>
      <c r="R3245">
        <v>0</v>
      </c>
      <c r="S3245" t="s">
        <v>241</v>
      </c>
      <c r="T3245" t="s">
        <v>111</v>
      </c>
      <c r="U3245">
        <v>0</v>
      </c>
      <c r="V3245">
        <v>12.43</v>
      </c>
      <c r="W3245">
        <v>0</v>
      </c>
      <c r="X3245">
        <v>0</v>
      </c>
      <c r="Y3245" t="s">
        <v>32</v>
      </c>
      <c r="Z3245">
        <v>0</v>
      </c>
      <c r="AA3245">
        <v>0</v>
      </c>
      <c r="AB3245" t="s">
        <v>32</v>
      </c>
      <c r="AC3245">
        <v>2</v>
      </c>
    </row>
    <row r="3246" spans="1:29">
      <c r="A3246" t="str">
        <f>"603316"</f>
        <v>603316</v>
      </c>
      <c r="B3246" t="s">
        <v>3416</v>
      </c>
      <c r="C3246">
        <v>4.08</v>
      </c>
      <c r="D3246">
        <v>9.96</v>
      </c>
      <c r="E3246">
        <v>0.39</v>
      </c>
      <c r="F3246">
        <v>9.95</v>
      </c>
      <c r="G3246">
        <v>9.97</v>
      </c>
      <c r="H3246">
        <v>17485</v>
      </c>
      <c r="I3246">
        <v>13</v>
      </c>
      <c r="J3246">
        <v>0.5</v>
      </c>
      <c r="K3246">
        <v>1.66</v>
      </c>
      <c r="L3246">
        <v>9.56</v>
      </c>
      <c r="M3246">
        <v>9.98</v>
      </c>
      <c r="N3246">
        <v>9.56</v>
      </c>
      <c r="O3246">
        <v>9.57</v>
      </c>
      <c r="P3246">
        <v>36.72</v>
      </c>
      <c r="Q3246">
        <v>17210668</v>
      </c>
      <c r="R3246">
        <v>2.6</v>
      </c>
      <c r="S3246" t="s">
        <v>49</v>
      </c>
      <c r="T3246" t="s">
        <v>149</v>
      </c>
      <c r="U3246">
        <v>4.39</v>
      </c>
      <c r="V3246">
        <v>9.84</v>
      </c>
      <c r="W3246">
        <v>7766</v>
      </c>
      <c r="X3246">
        <v>9719</v>
      </c>
      <c r="Y3246">
        <v>0.8</v>
      </c>
      <c r="Z3246">
        <v>120</v>
      </c>
      <c r="AA3246">
        <v>19</v>
      </c>
      <c r="AB3246" t="s">
        <v>32</v>
      </c>
      <c r="AC3246">
        <v>1.05</v>
      </c>
    </row>
    <row r="3247" spans="1:29">
      <c r="A3247" t="str">
        <f>"603318"</f>
        <v>603318</v>
      </c>
      <c r="B3247" t="s">
        <v>3417</v>
      </c>
      <c r="C3247">
        <v>0.5</v>
      </c>
      <c r="D3247">
        <v>12.11</v>
      </c>
      <c r="E3247">
        <v>0.06</v>
      </c>
      <c r="F3247">
        <v>12.04</v>
      </c>
      <c r="G3247">
        <v>12.05</v>
      </c>
      <c r="H3247">
        <v>14100</v>
      </c>
      <c r="I3247">
        <v>7</v>
      </c>
      <c r="J3247">
        <v>1</v>
      </c>
      <c r="K3247">
        <v>0.39</v>
      </c>
      <c r="L3247">
        <v>12.08</v>
      </c>
      <c r="M3247">
        <v>12.16</v>
      </c>
      <c r="N3247">
        <v>11.93</v>
      </c>
      <c r="O3247">
        <v>12.05</v>
      </c>
      <c r="P3247">
        <v>133.35</v>
      </c>
      <c r="Q3247">
        <v>16941832</v>
      </c>
      <c r="R3247">
        <v>0.72</v>
      </c>
      <c r="S3247" t="s">
        <v>171</v>
      </c>
      <c r="T3247" t="s">
        <v>111</v>
      </c>
      <c r="U3247">
        <v>1.91</v>
      </c>
      <c r="V3247">
        <v>12.02</v>
      </c>
      <c r="W3247">
        <v>5684</v>
      </c>
      <c r="X3247">
        <v>8416</v>
      </c>
      <c r="Y3247">
        <v>0.68</v>
      </c>
      <c r="Z3247">
        <v>44</v>
      </c>
      <c r="AA3247">
        <v>43</v>
      </c>
      <c r="AB3247" t="s">
        <v>32</v>
      </c>
      <c r="AC3247">
        <v>3.62</v>
      </c>
    </row>
    <row r="3248" spans="1:29">
      <c r="A3248" t="str">
        <f>"603319"</f>
        <v>603319</v>
      </c>
      <c r="B3248" t="s">
        <v>3418</v>
      </c>
      <c r="C3248">
        <v>1.21</v>
      </c>
      <c r="D3248">
        <v>25.85</v>
      </c>
      <c r="E3248">
        <v>0.31</v>
      </c>
      <c r="F3248">
        <v>25.77</v>
      </c>
      <c r="G3248">
        <v>25.88</v>
      </c>
      <c r="H3248">
        <v>6454</v>
      </c>
      <c r="I3248">
        <v>20</v>
      </c>
      <c r="J3248">
        <v>-0.03</v>
      </c>
      <c r="K3248">
        <v>1.14</v>
      </c>
      <c r="L3248">
        <v>25.69</v>
      </c>
      <c r="M3248">
        <v>25.9</v>
      </c>
      <c r="N3248">
        <v>25.3</v>
      </c>
      <c r="O3248">
        <v>25.54</v>
      </c>
      <c r="P3248">
        <v>19.02</v>
      </c>
      <c r="Q3248">
        <v>16590764</v>
      </c>
      <c r="R3248">
        <v>1.22</v>
      </c>
      <c r="S3248" t="s">
        <v>80</v>
      </c>
      <c r="T3248" t="s">
        <v>152</v>
      </c>
      <c r="U3248">
        <v>2.35</v>
      </c>
      <c r="V3248">
        <v>25.71</v>
      </c>
      <c r="W3248">
        <v>2827</v>
      </c>
      <c r="X3248">
        <v>3626</v>
      </c>
      <c r="Y3248">
        <v>0.78</v>
      </c>
      <c r="Z3248">
        <v>11</v>
      </c>
      <c r="AA3248">
        <v>6</v>
      </c>
      <c r="AB3248" t="s">
        <v>32</v>
      </c>
      <c r="AC3248">
        <v>0.57</v>
      </c>
    </row>
    <row r="3249" spans="1:29">
      <c r="A3249" t="str">
        <f>"603320"</f>
        <v>603320</v>
      </c>
      <c r="B3249" t="s">
        <v>3419</v>
      </c>
      <c r="C3249">
        <v>1.08</v>
      </c>
      <c r="D3249">
        <v>21.6</v>
      </c>
      <c r="E3249">
        <v>0.23</v>
      </c>
      <c r="F3249">
        <v>21.6</v>
      </c>
      <c r="G3249">
        <v>21.61</v>
      </c>
      <c r="H3249">
        <v>18188</v>
      </c>
      <c r="I3249">
        <v>10</v>
      </c>
      <c r="J3249">
        <v>0</v>
      </c>
      <c r="K3249">
        <v>5.6</v>
      </c>
      <c r="L3249">
        <v>21.25</v>
      </c>
      <c r="M3249">
        <v>21.99</v>
      </c>
      <c r="N3249">
        <v>21.25</v>
      </c>
      <c r="O3249">
        <v>21.37</v>
      </c>
      <c r="P3249">
        <v>53.67</v>
      </c>
      <c r="Q3249">
        <v>39322272</v>
      </c>
      <c r="R3249">
        <v>1.28</v>
      </c>
      <c r="S3249" t="s">
        <v>241</v>
      </c>
      <c r="T3249" t="s">
        <v>149</v>
      </c>
      <c r="U3249">
        <v>3.46</v>
      </c>
      <c r="V3249">
        <v>21.62</v>
      </c>
      <c r="W3249">
        <v>10009</v>
      </c>
      <c r="X3249">
        <v>8179</v>
      </c>
      <c r="Y3249">
        <v>1.22</v>
      </c>
      <c r="Z3249">
        <v>2</v>
      </c>
      <c r="AA3249">
        <v>31</v>
      </c>
      <c r="AB3249" t="s">
        <v>32</v>
      </c>
      <c r="AC3249">
        <v>0.33</v>
      </c>
    </row>
    <row r="3250" spans="1:29">
      <c r="A3250" t="str">
        <f>"603321"</f>
        <v>603321</v>
      </c>
      <c r="B3250" t="s">
        <v>3420</v>
      </c>
      <c r="C3250">
        <v>2.11</v>
      </c>
      <c r="D3250">
        <v>9.21</v>
      </c>
      <c r="E3250">
        <v>0.19</v>
      </c>
      <c r="F3250">
        <v>9.21</v>
      </c>
      <c r="G3250">
        <v>9.22</v>
      </c>
      <c r="H3250">
        <v>33479</v>
      </c>
      <c r="I3250">
        <v>41</v>
      </c>
      <c r="J3250">
        <v>0</v>
      </c>
      <c r="K3250">
        <v>4.35</v>
      </c>
      <c r="L3250">
        <v>9.02</v>
      </c>
      <c r="M3250">
        <v>9.25</v>
      </c>
      <c r="N3250">
        <v>8.98</v>
      </c>
      <c r="O3250">
        <v>9.02</v>
      </c>
      <c r="P3250">
        <v>97.88</v>
      </c>
      <c r="Q3250">
        <v>30675620</v>
      </c>
      <c r="R3250">
        <v>1.64</v>
      </c>
      <c r="S3250" t="s">
        <v>44</v>
      </c>
      <c r="T3250" t="s">
        <v>149</v>
      </c>
      <c r="U3250">
        <v>2.99</v>
      </c>
      <c r="V3250">
        <v>9.16</v>
      </c>
      <c r="W3250">
        <v>15286</v>
      </c>
      <c r="X3250">
        <v>18192</v>
      </c>
      <c r="Y3250">
        <v>0.84</v>
      </c>
      <c r="Z3250">
        <v>87</v>
      </c>
      <c r="AA3250">
        <v>278</v>
      </c>
      <c r="AB3250" t="s">
        <v>32</v>
      </c>
      <c r="AC3250">
        <v>0.77</v>
      </c>
    </row>
    <row r="3251" spans="1:29">
      <c r="A3251" t="str">
        <f>"603322"</f>
        <v>603322</v>
      </c>
      <c r="B3251" t="s">
        <v>3421</v>
      </c>
      <c r="C3251">
        <v>1.43</v>
      </c>
      <c r="D3251">
        <v>27.69</v>
      </c>
      <c r="E3251">
        <v>0.39</v>
      </c>
      <c r="F3251">
        <v>27.68</v>
      </c>
      <c r="G3251">
        <v>27.7</v>
      </c>
      <c r="H3251">
        <v>10482</v>
      </c>
      <c r="I3251">
        <v>10</v>
      </c>
      <c r="J3251">
        <v>-0.03</v>
      </c>
      <c r="K3251">
        <v>2.31</v>
      </c>
      <c r="L3251">
        <v>27.46</v>
      </c>
      <c r="M3251">
        <v>27.8</v>
      </c>
      <c r="N3251">
        <v>27.12</v>
      </c>
      <c r="O3251">
        <v>27.3</v>
      </c>
      <c r="P3251" t="s">
        <v>32</v>
      </c>
      <c r="Q3251">
        <v>28859600</v>
      </c>
      <c r="R3251">
        <v>0.91</v>
      </c>
      <c r="S3251" t="s">
        <v>119</v>
      </c>
      <c r="T3251" t="s">
        <v>136</v>
      </c>
      <c r="U3251">
        <v>2.49</v>
      </c>
      <c r="V3251">
        <v>27.53</v>
      </c>
      <c r="W3251">
        <v>4492</v>
      </c>
      <c r="X3251">
        <v>5990</v>
      </c>
      <c r="Y3251">
        <v>0.75</v>
      </c>
      <c r="Z3251">
        <v>74</v>
      </c>
      <c r="AA3251">
        <v>42</v>
      </c>
      <c r="AB3251" t="s">
        <v>32</v>
      </c>
      <c r="AC3251">
        <v>0.45</v>
      </c>
    </row>
    <row r="3252" spans="1:29">
      <c r="A3252" t="str">
        <f>"603323"</f>
        <v>603323</v>
      </c>
      <c r="B3252" t="s">
        <v>3422</v>
      </c>
      <c r="C3252">
        <v>-1.67</v>
      </c>
      <c r="D3252">
        <v>6.46</v>
      </c>
      <c r="E3252">
        <v>-0.11</v>
      </c>
      <c r="F3252">
        <v>6.45</v>
      </c>
      <c r="G3252">
        <v>6.48</v>
      </c>
      <c r="H3252">
        <v>365223</v>
      </c>
      <c r="I3252">
        <v>106</v>
      </c>
      <c r="J3252">
        <v>0.16</v>
      </c>
      <c r="K3252">
        <v>6.02</v>
      </c>
      <c r="L3252">
        <v>6.42</v>
      </c>
      <c r="M3252">
        <v>6.62</v>
      </c>
      <c r="N3252">
        <v>6.38</v>
      </c>
      <c r="O3252">
        <v>6.57</v>
      </c>
      <c r="P3252">
        <v>11.98</v>
      </c>
      <c r="Q3252">
        <v>237003600</v>
      </c>
      <c r="R3252">
        <v>1.87</v>
      </c>
      <c r="S3252" t="s">
        <v>30</v>
      </c>
      <c r="T3252" t="s">
        <v>87</v>
      </c>
      <c r="U3252">
        <v>3.65</v>
      </c>
      <c r="V3252">
        <v>6.49</v>
      </c>
      <c r="W3252">
        <v>203693</v>
      </c>
      <c r="X3252">
        <v>161530</v>
      </c>
      <c r="Y3252">
        <v>1.26</v>
      </c>
      <c r="Z3252">
        <v>478</v>
      </c>
      <c r="AA3252">
        <v>472</v>
      </c>
      <c r="AB3252" t="s">
        <v>32</v>
      </c>
      <c r="AC3252">
        <v>6.07</v>
      </c>
    </row>
    <row r="3253" spans="1:29">
      <c r="A3253" t="str">
        <f>"603326"</f>
        <v>603326</v>
      </c>
      <c r="B3253" t="s">
        <v>3423</v>
      </c>
      <c r="C3253">
        <v>4.4</v>
      </c>
      <c r="D3253">
        <v>11.4</v>
      </c>
      <c r="E3253">
        <v>0.48</v>
      </c>
      <c r="F3253">
        <v>11.41</v>
      </c>
      <c r="G3253">
        <v>11.48</v>
      </c>
      <c r="H3253">
        <v>16745</v>
      </c>
      <c r="I3253">
        <v>41</v>
      </c>
      <c r="J3253">
        <v>1.6</v>
      </c>
      <c r="K3253">
        <v>2.6</v>
      </c>
      <c r="L3253">
        <v>10.81</v>
      </c>
      <c r="M3253">
        <v>11.5</v>
      </c>
      <c r="N3253">
        <v>10.81</v>
      </c>
      <c r="O3253">
        <v>10.92</v>
      </c>
      <c r="P3253" t="s">
        <v>32</v>
      </c>
      <c r="Q3253">
        <v>18635578</v>
      </c>
      <c r="R3253">
        <v>1.74</v>
      </c>
      <c r="S3253" t="s">
        <v>545</v>
      </c>
      <c r="T3253" t="s">
        <v>87</v>
      </c>
      <c r="U3253">
        <v>6.32</v>
      </c>
      <c r="V3253">
        <v>11.13</v>
      </c>
      <c r="W3253">
        <v>5926</v>
      </c>
      <c r="X3253">
        <v>10819</v>
      </c>
      <c r="Y3253">
        <v>0.55</v>
      </c>
      <c r="Z3253">
        <v>98</v>
      </c>
      <c r="AA3253">
        <v>264</v>
      </c>
      <c r="AB3253" t="s">
        <v>32</v>
      </c>
      <c r="AC3253">
        <v>0.64</v>
      </c>
    </row>
    <row r="3254" spans="1:29">
      <c r="A3254" t="str">
        <f>"603328"</f>
        <v>603328</v>
      </c>
      <c r="B3254" t="s">
        <v>3424</v>
      </c>
      <c r="C3254">
        <v>1.81</v>
      </c>
      <c r="D3254">
        <v>11.82</v>
      </c>
      <c r="E3254">
        <v>0.21</v>
      </c>
      <c r="F3254">
        <v>11.84</v>
      </c>
      <c r="G3254">
        <v>11.85</v>
      </c>
      <c r="H3254">
        <v>35686</v>
      </c>
      <c r="I3254">
        <v>11</v>
      </c>
      <c r="J3254">
        <v>0</v>
      </c>
      <c r="K3254">
        <v>0.36</v>
      </c>
      <c r="L3254">
        <v>11.67</v>
      </c>
      <c r="M3254">
        <v>11.93</v>
      </c>
      <c r="N3254">
        <v>11.58</v>
      </c>
      <c r="O3254">
        <v>11.61</v>
      </c>
      <c r="P3254">
        <v>34.34</v>
      </c>
      <c r="Q3254">
        <v>42024832</v>
      </c>
      <c r="R3254">
        <v>0.84</v>
      </c>
      <c r="S3254" t="s">
        <v>63</v>
      </c>
      <c r="T3254" t="s">
        <v>136</v>
      </c>
      <c r="U3254">
        <v>3.01</v>
      </c>
      <c r="V3254">
        <v>11.78</v>
      </c>
      <c r="W3254">
        <v>15301</v>
      </c>
      <c r="X3254">
        <v>20384</v>
      </c>
      <c r="Y3254">
        <v>0.75</v>
      </c>
      <c r="Z3254">
        <v>29</v>
      </c>
      <c r="AA3254">
        <v>64</v>
      </c>
      <c r="AB3254" t="s">
        <v>32</v>
      </c>
      <c r="AC3254">
        <v>9.92</v>
      </c>
    </row>
    <row r="3255" spans="1:29">
      <c r="A3255" t="str">
        <f>"603329"</f>
        <v>603329</v>
      </c>
      <c r="B3255" t="s">
        <v>3425</v>
      </c>
      <c r="C3255">
        <v>2.46</v>
      </c>
      <c r="D3255">
        <v>28.32</v>
      </c>
      <c r="E3255">
        <v>0.68</v>
      </c>
      <c r="F3255">
        <v>28.31</v>
      </c>
      <c r="G3255">
        <v>28.32</v>
      </c>
      <c r="H3255">
        <v>43038</v>
      </c>
      <c r="I3255">
        <v>18</v>
      </c>
      <c r="J3255">
        <v>-0.2</v>
      </c>
      <c r="K3255">
        <v>13.04</v>
      </c>
      <c r="L3255">
        <v>27.7</v>
      </c>
      <c r="M3255">
        <v>28.58</v>
      </c>
      <c r="N3255">
        <v>27.4</v>
      </c>
      <c r="O3255">
        <v>27.64</v>
      </c>
      <c r="P3255">
        <v>60.63</v>
      </c>
      <c r="Q3255">
        <v>120861112</v>
      </c>
      <c r="R3255">
        <v>1.26</v>
      </c>
      <c r="S3255" t="s">
        <v>742</v>
      </c>
      <c r="T3255" t="s">
        <v>366</v>
      </c>
      <c r="U3255">
        <v>4.27</v>
      </c>
      <c r="V3255">
        <v>28.08</v>
      </c>
      <c r="W3255">
        <v>20626</v>
      </c>
      <c r="X3255">
        <v>22412</v>
      </c>
      <c r="Y3255">
        <v>0.92</v>
      </c>
      <c r="Z3255">
        <v>104</v>
      </c>
      <c r="AA3255">
        <v>66</v>
      </c>
      <c r="AB3255" t="s">
        <v>32</v>
      </c>
      <c r="AC3255">
        <v>0.33</v>
      </c>
    </row>
    <row r="3256" spans="1:29">
      <c r="A3256" t="str">
        <f>"603330"</f>
        <v>603330</v>
      </c>
      <c r="B3256" t="s">
        <v>3426</v>
      </c>
      <c r="C3256">
        <v>-0.09</v>
      </c>
      <c r="D3256">
        <v>22.66</v>
      </c>
      <c r="E3256">
        <v>-0.02</v>
      </c>
      <c r="F3256">
        <v>22.68</v>
      </c>
      <c r="G3256">
        <v>22.7</v>
      </c>
      <c r="H3256">
        <v>9232</v>
      </c>
      <c r="I3256">
        <v>1</v>
      </c>
      <c r="J3256">
        <v>0.27</v>
      </c>
      <c r="K3256">
        <v>2.93</v>
      </c>
      <c r="L3256">
        <v>22.51</v>
      </c>
      <c r="M3256">
        <v>22.8</v>
      </c>
      <c r="N3256">
        <v>22.37</v>
      </c>
      <c r="O3256">
        <v>22.68</v>
      </c>
      <c r="P3256">
        <v>79.01</v>
      </c>
      <c r="Q3256">
        <v>20852626</v>
      </c>
      <c r="R3256">
        <v>1.67</v>
      </c>
      <c r="S3256" t="s">
        <v>508</v>
      </c>
      <c r="T3256" t="s">
        <v>366</v>
      </c>
      <c r="U3256">
        <v>1.9</v>
      </c>
      <c r="V3256">
        <v>22.59</v>
      </c>
      <c r="W3256">
        <v>5292</v>
      </c>
      <c r="X3256">
        <v>3939</v>
      </c>
      <c r="Y3256">
        <v>1.34</v>
      </c>
      <c r="Z3256">
        <v>3</v>
      </c>
      <c r="AA3256">
        <v>37</v>
      </c>
      <c r="AB3256" t="s">
        <v>32</v>
      </c>
      <c r="AC3256">
        <v>0.32</v>
      </c>
    </row>
    <row r="3257" spans="1:29">
      <c r="A3257" t="str">
        <f>"603331"</f>
        <v>603331</v>
      </c>
      <c r="B3257" t="s">
        <v>3427</v>
      </c>
      <c r="C3257">
        <v>1.12</v>
      </c>
      <c r="D3257">
        <v>17.13</v>
      </c>
      <c r="E3257">
        <v>0.19</v>
      </c>
      <c r="F3257">
        <v>17.13</v>
      </c>
      <c r="G3257">
        <v>17.15</v>
      </c>
      <c r="H3257">
        <v>14989</v>
      </c>
      <c r="I3257">
        <v>9</v>
      </c>
      <c r="J3257">
        <v>0</v>
      </c>
      <c r="K3257">
        <v>4.71</v>
      </c>
      <c r="L3257">
        <v>16.9</v>
      </c>
      <c r="M3257">
        <v>17.25</v>
      </c>
      <c r="N3257">
        <v>16.8</v>
      </c>
      <c r="O3257">
        <v>16.94</v>
      </c>
      <c r="P3257">
        <v>28.29</v>
      </c>
      <c r="Q3257">
        <v>25646452</v>
      </c>
      <c r="R3257">
        <v>1.27</v>
      </c>
      <c r="S3257" t="s">
        <v>171</v>
      </c>
      <c r="T3257" t="s">
        <v>149</v>
      </c>
      <c r="U3257">
        <v>2.66</v>
      </c>
      <c r="V3257">
        <v>17.11</v>
      </c>
      <c r="W3257">
        <v>6945</v>
      </c>
      <c r="X3257">
        <v>8044</v>
      </c>
      <c r="Y3257">
        <v>0.86</v>
      </c>
      <c r="Z3257">
        <v>4</v>
      </c>
      <c r="AA3257">
        <v>14</v>
      </c>
      <c r="AB3257" t="s">
        <v>32</v>
      </c>
      <c r="AC3257">
        <v>0.32</v>
      </c>
    </row>
    <row r="3258" spans="1:29">
      <c r="A3258" t="str">
        <f>"603333"</f>
        <v>603333</v>
      </c>
      <c r="B3258" t="s">
        <v>3428</v>
      </c>
      <c r="C3258">
        <v>2.55</v>
      </c>
      <c r="D3258">
        <v>6.03</v>
      </c>
      <c r="E3258">
        <v>0.15</v>
      </c>
      <c r="F3258">
        <v>6.03</v>
      </c>
      <c r="G3258">
        <v>6.04</v>
      </c>
      <c r="H3258">
        <v>26220</v>
      </c>
      <c r="I3258">
        <v>10</v>
      </c>
      <c r="J3258">
        <v>-0.16</v>
      </c>
      <c r="K3258">
        <v>0.5</v>
      </c>
      <c r="L3258">
        <v>5.89</v>
      </c>
      <c r="M3258">
        <v>6.05</v>
      </c>
      <c r="N3258">
        <v>5.88</v>
      </c>
      <c r="O3258">
        <v>5.88</v>
      </c>
      <c r="P3258">
        <v>58.76</v>
      </c>
      <c r="Q3258">
        <v>15697156</v>
      </c>
      <c r="R3258">
        <v>3.12</v>
      </c>
      <c r="S3258" t="s">
        <v>104</v>
      </c>
      <c r="T3258" t="s">
        <v>146</v>
      </c>
      <c r="U3258">
        <v>2.89</v>
      </c>
      <c r="V3258">
        <v>5.99</v>
      </c>
      <c r="W3258">
        <v>11306</v>
      </c>
      <c r="X3258">
        <v>14914</v>
      </c>
      <c r="Y3258">
        <v>0.76</v>
      </c>
      <c r="Z3258">
        <v>155</v>
      </c>
      <c r="AA3258">
        <v>49</v>
      </c>
      <c r="AB3258" t="s">
        <v>32</v>
      </c>
      <c r="AC3258">
        <v>5.2</v>
      </c>
    </row>
    <row r="3259" spans="1:29">
      <c r="A3259" t="str">
        <f>"603335"</f>
        <v>603335</v>
      </c>
      <c r="B3259" t="s">
        <v>3429</v>
      </c>
      <c r="C3259">
        <v>1.03</v>
      </c>
      <c r="D3259">
        <v>7.84</v>
      </c>
      <c r="E3259">
        <v>0.08</v>
      </c>
      <c r="F3259">
        <v>7.82</v>
      </c>
      <c r="G3259">
        <v>7.83</v>
      </c>
      <c r="H3259">
        <v>71568</v>
      </c>
      <c r="I3259">
        <v>62</v>
      </c>
      <c r="J3259">
        <v>0.13</v>
      </c>
      <c r="K3259">
        <v>4.57</v>
      </c>
      <c r="L3259">
        <v>7.63</v>
      </c>
      <c r="M3259">
        <v>7.86</v>
      </c>
      <c r="N3259">
        <v>7.61</v>
      </c>
      <c r="O3259">
        <v>7.76</v>
      </c>
      <c r="P3259">
        <v>203.97</v>
      </c>
      <c r="Q3259">
        <v>55596824</v>
      </c>
      <c r="R3259">
        <v>0.89</v>
      </c>
      <c r="S3259" t="s">
        <v>80</v>
      </c>
      <c r="T3259" t="s">
        <v>136</v>
      </c>
      <c r="U3259">
        <v>3.22</v>
      </c>
      <c r="V3259">
        <v>7.77</v>
      </c>
      <c r="W3259">
        <v>35977</v>
      </c>
      <c r="X3259">
        <v>35591</v>
      </c>
      <c r="Y3259">
        <v>1.01</v>
      </c>
      <c r="Z3259">
        <v>360</v>
      </c>
      <c r="AA3259">
        <v>113</v>
      </c>
      <c r="AB3259" t="s">
        <v>32</v>
      </c>
      <c r="AC3259">
        <v>1.56</v>
      </c>
    </row>
    <row r="3260" spans="1:29">
      <c r="A3260" t="str">
        <f>"603336"</f>
        <v>603336</v>
      </c>
      <c r="B3260" t="s">
        <v>3430</v>
      </c>
      <c r="C3260">
        <v>0.56</v>
      </c>
      <c r="D3260">
        <v>28.58</v>
      </c>
      <c r="E3260">
        <v>0.16</v>
      </c>
      <c r="F3260">
        <v>28.6</v>
      </c>
      <c r="G3260">
        <v>28.61</v>
      </c>
      <c r="H3260">
        <v>70997</v>
      </c>
      <c r="I3260">
        <v>81</v>
      </c>
      <c r="J3260">
        <v>0.14</v>
      </c>
      <c r="K3260">
        <v>10.34</v>
      </c>
      <c r="L3260">
        <v>28.11</v>
      </c>
      <c r="M3260">
        <v>28.66</v>
      </c>
      <c r="N3260">
        <v>28.11</v>
      </c>
      <c r="O3260">
        <v>28.42</v>
      </c>
      <c r="P3260">
        <v>83.57</v>
      </c>
      <c r="Q3260">
        <v>201818864</v>
      </c>
      <c r="R3260">
        <v>0.65</v>
      </c>
      <c r="S3260" t="s">
        <v>115</v>
      </c>
      <c r="T3260" t="s">
        <v>136</v>
      </c>
      <c r="U3260">
        <v>1.94</v>
      </c>
      <c r="V3260">
        <v>28.43</v>
      </c>
      <c r="W3260">
        <v>36634</v>
      </c>
      <c r="X3260">
        <v>34362</v>
      </c>
      <c r="Y3260">
        <v>1.07</v>
      </c>
      <c r="Z3260">
        <v>10</v>
      </c>
      <c r="AA3260">
        <v>62</v>
      </c>
      <c r="AB3260" t="s">
        <v>32</v>
      </c>
      <c r="AC3260">
        <v>0.69</v>
      </c>
    </row>
    <row r="3261" spans="1:29">
      <c r="A3261" t="str">
        <f>"603337"</f>
        <v>603337</v>
      </c>
      <c r="B3261" t="s">
        <v>3431</v>
      </c>
      <c r="C3261">
        <v>0</v>
      </c>
      <c r="D3261">
        <v>41</v>
      </c>
      <c r="E3261">
        <v>0</v>
      </c>
      <c r="F3261">
        <v>40.99</v>
      </c>
      <c r="G3261">
        <v>41</v>
      </c>
      <c r="H3261">
        <v>6282</v>
      </c>
      <c r="I3261">
        <v>25</v>
      </c>
      <c r="J3261">
        <v>0.15</v>
      </c>
      <c r="K3261">
        <v>0.77</v>
      </c>
      <c r="L3261">
        <v>41</v>
      </c>
      <c r="M3261">
        <v>41.35</v>
      </c>
      <c r="N3261">
        <v>40.33</v>
      </c>
      <c r="O3261">
        <v>41</v>
      </c>
      <c r="P3261">
        <v>26.86</v>
      </c>
      <c r="Q3261">
        <v>25752724</v>
      </c>
      <c r="R3261">
        <v>1.87</v>
      </c>
      <c r="S3261" t="s">
        <v>363</v>
      </c>
      <c r="T3261" t="s">
        <v>149</v>
      </c>
      <c r="U3261">
        <v>2.49</v>
      </c>
      <c r="V3261">
        <v>41</v>
      </c>
      <c r="W3261">
        <v>3639</v>
      </c>
      <c r="X3261">
        <v>2642</v>
      </c>
      <c r="Y3261">
        <v>1.38</v>
      </c>
      <c r="Z3261">
        <v>2</v>
      </c>
      <c r="AA3261">
        <v>0</v>
      </c>
      <c r="AB3261" t="s">
        <v>32</v>
      </c>
      <c r="AC3261">
        <v>0.81</v>
      </c>
    </row>
    <row r="3262" spans="1:29">
      <c r="A3262" t="str">
        <f>"603338"</f>
        <v>603338</v>
      </c>
      <c r="B3262" t="s">
        <v>3432</v>
      </c>
      <c r="C3262">
        <v>0.08</v>
      </c>
      <c r="D3262">
        <v>52.67</v>
      </c>
      <c r="E3262">
        <v>0.04</v>
      </c>
      <c r="F3262">
        <v>52.66</v>
      </c>
      <c r="G3262">
        <v>52.75</v>
      </c>
      <c r="H3262">
        <v>7431</v>
      </c>
      <c r="I3262">
        <v>3</v>
      </c>
      <c r="J3262">
        <v>0.1</v>
      </c>
      <c r="K3262">
        <v>0.33</v>
      </c>
      <c r="L3262">
        <v>52.1</v>
      </c>
      <c r="M3262">
        <v>53.2</v>
      </c>
      <c r="N3262">
        <v>52.05</v>
      </c>
      <c r="O3262">
        <v>52.63</v>
      </c>
      <c r="P3262">
        <v>46.52</v>
      </c>
      <c r="Q3262">
        <v>39127724</v>
      </c>
      <c r="R3262">
        <v>0.5</v>
      </c>
      <c r="S3262" t="s">
        <v>171</v>
      </c>
      <c r="T3262" t="s">
        <v>149</v>
      </c>
      <c r="U3262">
        <v>2.19</v>
      </c>
      <c r="V3262">
        <v>52.66</v>
      </c>
      <c r="W3262">
        <v>3933</v>
      </c>
      <c r="X3262">
        <v>3497</v>
      </c>
      <c r="Y3262">
        <v>1.12</v>
      </c>
      <c r="Z3262">
        <v>14</v>
      </c>
      <c r="AA3262">
        <v>17</v>
      </c>
      <c r="AB3262" t="s">
        <v>32</v>
      </c>
      <c r="AC3262">
        <v>2.27</v>
      </c>
    </row>
    <row r="3263" spans="1:29">
      <c r="A3263" t="str">
        <f>"603339"</f>
        <v>603339</v>
      </c>
      <c r="B3263" t="s">
        <v>3433</v>
      </c>
      <c r="C3263">
        <v>0.73</v>
      </c>
      <c r="D3263">
        <v>19.37</v>
      </c>
      <c r="E3263">
        <v>0.14</v>
      </c>
      <c r="F3263">
        <v>19.35</v>
      </c>
      <c r="G3263">
        <v>19.38</v>
      </c>
      <c r="H3263">
        <v>14774</v>
      </c>
      <c r="I3263">
        <v>40</v>
      </c>
      <c r="J3263">
        <v>0.21</v>
      </c>
      <c r="K3263">
        <v>2.56</v>
      </c>
      <c r="L3263">
        <v>19.18</v>
      </c>
      <c r="M3263">
        <v>19.51</v>
      </c>
      <c r="N3263">
        <v>19.07</v>
      </c>
      <c r="O3263">
        <v>19.23</v>
      </c>
      <c r="P3263">
        <v>36.1</v>
      </c>
      <c r="Q3263">
        <v>28528012</v>
      </c>
      <c r="R3263">
        <v>0.63</v>
      </c>
      <c r="S3263" t="s">
        <v>171</v>
      </c>
      <c r="T3263" t="s">
        <v>87</v>
      </c>
      <c r="U3263">
        <v>2.29</v>
      </c>
      <c r="V3263">
        <v>19.31</v>
      </c>
      <c r="W3263">
        <v>7315</v>
      </c>
      <c r="X3263">
        <v>7458</v>
      </c>
      <c r="Y3263">
        <v>0.98</v>
      </c>
      <c r="Z3263">
        <v>3</v>
      </c>
      <c r="AA3263">
        <v>135</v>
      </c>
      <c r="AB3263" t="s">
        <v>32</v>
      </c>
      <c r="AC3263">
        <v>0.58</v>
      </c>
    </row>
    <row r="3264" spans="1:29">
      <c r="A3264" t="str">
        <f>"603345"</f>
        <v>603345</v>
      </c>
      <c r="B3264" t="s">
        <v>3434</v>
      </c>
      <c r="C3264">
        <v>4.06</v>
      </c>
      <c r="D3264">
        <v>41.49</v>
      </c>
      <c r="E3264">
        <v>1.62</v>
      </c>
      <c r="F3264">
        <v>41.45</v>
      </c>
      <c r="G3264">
        <v>41.46</v>
      </c>
      <c r="H3264">
        <v>25591</v>
      </c>
      <c r="I3264">
        <v>14</v>
      </c>
      <c r="J3264">
        <v>0.02</v>
      </c>
      <c r="K3264">
        <v>2.08</v>
      </c>
      <c r="L3264">
        <v>40.22</v>
      </c>
      <c r="M3264">
        <v>41.78</v>
      </c>
      <c r="N3264">
        <v>39.33</v>
      </c>
      <c r="O3264">
        <v>39.87</v>
      </c>
      <c r="P3264">
        <v>41.31</v>
      </c>
      <c r="Q3264">
        <v>104426152</v>
      </c>
      <c r="R3264">
        <v>0.93</v>
      </c>
      <c r="S3264" t="s">
        <v>213</v>
      </c>
      <c r="T3264" t="s">
        <v>236</v>
      </c>
      <c r="U3264">
        <v>6.14</v>
      </c>
      <c r="V3264">
        <v>40.81</v>
      </c>
      <c r="W3264">
        <v>10761</v>
      </c>
      <c r="X3264">
        <v>14829</v>
      </c>
      <c r="Y3264">
        <v>0.73</v>
      </c>
      <c r="Z3264">
        <v>63</v>
      </c>
      <c r="AA3264">
        <v>11</v>
      </c>
      <c r="AB3264" t="s">
        <v>32</v>
      </c>
      <c r="AC3264">
        <v>1.23</v>
      </c>
    </row>
    <row r="3265" spans="1:29">
      <c r="A3265" t="str">
        <f>"603348"</f>
        <v>603348</v>
      </c>
      <c r="B3265" t="s">
        <v>3435</v>
      </c>
      <c r="C3265">
        <v>0.83</v>
      </c>
      <c r="D3265">
        <v>40.04</v>
      </c>
      <c r="E3265">
        <v>0.33</v>
      </c>
      <c r="F3265">
        <v>40.04</v>
      </c>
      <c r="G3265">
        <v>40.05</v>
      </c>
      <c r="H3265">
        <v>102896</v>
      </c>
      <c r="I3265">
        <v>10</v>
      </c>
      <c r="J3265">
        <v>0.15</v>
      </c>
      <c r="K3265">
        <v>18.71</v>
      </c>
      <c r="L3265">
        <v>39.1</v>
      </c>
      <c r="M3265">
        <v>40.37</v>
      </c>
      <c r="N3265">
        <v>39.03</v>
      </c>
      <c r="O3265">
        <v>39.71</v>
      </c>
      <c r="P3265">
        <v>52.73</v>
      </c>
      <c r="Q3265">
        <v>410043904</v>
      </c>
      <c r="R3265">
        <v>0.79</v>
      </c>
      <c r="S3265" t="s">
        <v>80</v>
      </c>
      <c r="T3265" t="s">
        <v>136</v>
      </c>
      <c r="U3265">
        <v>3.37</v>
      </c>
      <c r="V3265">
        <v>39.85</v>
      </c>
      <c r="W3265">
        <v>49903</v>
      </c>
      <c r="X3265">
        <v>52992</v>
      </c>
      <c r="Y3265">
        <v>0.94</v>
      </c>
      <c r="Z3265">
        <v>48</v>
      </c>
      <c r="AA3265">
        <v>23</v>
      </c>
      <c r="AB3265" t="s">
        <v>32</v>
      </c>
      <c r="AC3265">
        <v>0.55</v>
      </c>
    </row>
    <row r="3266" spans="1:29">
      <c r="A3266" t="str">
        <f>"603355"</f>
        <v>603355</v>
      </c>
      <c r="B3266" t="s">
        <v>3436</v>
      </c>
      <c r="C3266">
        <v>0.86</v>
      </c>
      <c r="D3266">
        <v>30.57</v>
      </c>
      <c r="E3266">
        <v>0.26</v>
      </c>
      <c r="F3266">
        <v>30.55</v>
      </c>
      <c r="G3266">
        <v>30.57</v>
      </c>
      <c r="H3266">
        <v>4451</v>
      </c>
      <c r="I3266">
        <v>32</v>
      </c>
      <c r="J3266">
        <v>-0.09</v>
      </c>
      <c r="K3266">
        <v>0.11</v>
      </c>
      <c r="L3266">
        <v>30.3</v>
      </c>
      <c r="M3266">
        <v>30.88</v>
      </c>
      <c r="N3266">
        <v>30.18</v>
      </c>
      <c r="O3266">
        <v>30.31</v>
      </c>
      <c r="P3266">
        <v>42.22</v>
      </c>
      <c r="Q3266">
        <v>13578649</v>
      </c>
      <c r="R3266">
        <v>0.98</v>
      </c>
      <c r="S3266" t="s">
        <v>55</v>
      </c>
      <c r="T3266" t="s">
        <v>87</v>
      </c>
      <c r="U3266">
        <v>2.31</v>
      </c>
      <c r="V3266">
        <v>30.51</v>
      </c>
      <c r="W3266">
        <v>1503</v>
      </c>
      <c r="X3266">
        <v>2948</v>
      </c>
      <c r="Y3266">
        <v>0.51</v>
      </c>
      <c r="Z3266">
        <v>10</v>
      </c>
      <c r="AA3266">
        <v>11</v>
      </c>
      <c r="AB3266" t="s">
        <v>32</v>
      </c>
      <c r="AC3266">
        <v>4.01</v>
      </c>
    </row>
    <row r="3267" spans="1:29">
      <c r="A3267" t="str">
        <f>"603356"</f>
        <v>603356</v>
      </c>
      <c r="B3267" t="s">
        <v>3437</v>
      </c>
      <c r="C3267">
        <v>3.01</v>
      </c>
      <c r="D3267">
        <v>21.54</v>
      </c>
      <c r="E3267">
        <v>0.63</v>
      </c>
      <c r="F3267">
        <v>21.53</v>
      </c>
      <c r="G3267">
        <v>21.54</v>
      </c>
      <c r="H3267">
        <v>25203</v>
      </c>
      <c r="I3267">
        <v>2</v>
      </c>
      <c r="J3267">
        <v>-0.31</v>
      </c>
      <c r="K3267">
        <v>7.56</v>
      </c>
      <c r="L3267">
        <v>21.01</v>
      </c>
      <c r="M3267">
        <v>21.65</v>
      </c>
      <c r="N3267">
        <v>20.89</v>
      </c>
      <c r="O3267">
        <v>20.91</v>
      </c>
      <c r="P3267">
        <v>63.34</v>
      </c>
      <c r="Q3267">
        <v>53547084</v>
      </c>
      <c r="R3267">
        <v>1.46</v>
      </c>
      <c r="S3267" t="s">
        <v>241</v>
      </c>
      <c r="T3267" t="s">
        <v>143</v>
      </c>
      <c r="U3267">
        <v>3.63</v>
      </c>
      <c r="V3267">
        <v>21.25</v>
      </c>
      <c r="W3267">
        <v>11312</v>
      </c>
      <c r="X3267">
        <v>13891</v>
      </c>
      <c r="Y3267">
        <v>0.81</v>
      </c>
      <c r="Z3267">
        <v>58</v>
      </c>
      <c r="AA3267">
        <v>10</v>
      </c>
      <c r="AB3267" t="s">
        <v>32</v>
      </c>
      <c r="AC3267">
        <v>0.33</v>
      </c>
    </row>
    <row r="3268" spans="1:29">
      <c r="A3268" t="str">
        <f>"603357"</f>
        <v>603357</v>
      </c>
      <c r="B3268" t="s">
        <v>3438</v>
      </c>
      <c r="C3268">
        <v>7.68</v>
      </c>
      <c r="D3268">
        <v>20.33</v>
      </c>
      <c r="E3268">
        <v>1.45</v>
      </c>
      <c r="F3268">
        <v>20.33</v>
      </c>
      <c r="G3268">
        <v>20.35</v>
      </c>
      <c r="H3268">
        <v>86475</v>
      </c>
      <c r="I3268">
        <v>57</v>
      </c>
      <c r="J3268">
        <v>-0.09</v>
      </c>
      <c r="K3268">
        <v>10.65</v>
      </c>
      <c r="L3268">
        <v>18.9</v>
      </c>
      <c r="M3268">
        <v>20.66</v>
      </c>
      <c r="N3268">
        <v>18.9</v>
      </c>
      <c r="O3268">
        <v>18.88</v>
      </c>
      <c r="P3268">
        <v>14.52</v>
      </c>
      <c r="Q3268">
        <v>173370960</v>
      </c>
      <c r="R3268">
        <v>4.29</v>
      </c>
      <c r="S3268" t="s">
        <v>49</v>
      </c>
      <c r="T3268" t="s">
        <v>143</v>
      </c>
      <c r="U3268">
        <v>9.32</v>
      </c>
      <c r="V3268">
        <v>20.05</v>
      </c>
      <c r="W3268">
        <v>36498</v>
      </c>
      <c r="X3268">
        <v>49976</v>
      </c>
      <c r="Y3268">
        <v>0.73</v>
      </c>
      <c r="Z3268">
        <v>34</v>
      </c>
      <c r="AA3268">
        <v>148</v>
      </c>
      <c r="AB3268" t="s">
        <v>32</v>
      </c>
      <c r="AC3268">
        <v>0.81</v>
      </c>
    </row>
    <row r="3269" spans="1:29">
      <c r="A3269" t="str">
        <f>"603358"</f>
        <v>603358</v>
      </c>
      <c r="B3269" t="s">
        <v>3439</v>
      </c>
      <c r="C3269">
        <v>1.3</v>
      </c>
      <c r="D3269">
        <v>20.32</v>
      </c>
      <c r="E3269">
        <v>0.26</v>
      </c>
      <c r="F3269">
        <v>20.32</v>
      </c>
      <c r="G3269">
        <v>20.33</v>
      </c>
      <c r="H3269">
        <v>10791</v>
      </c>
      <c r="I3269">
        <v>2</v>
      </c>
      <c r="J3269">
        <v>0.1</v>
      </c>
      <c r="K3269">
        <v>1.1</v>
      </c>
      <c r="L3269">
        <v>20.18</v>
      </c>
      <c r="M3269">
        <v>20.38</v>
      </c>
      <c r="N3269">
        <v>19.97</v>
      </c>
      <c r="O3269">
        <v>20.06</v>
      </c>
      <c r="P3269">
        <v>13.93</v>
      </c>
      <c r="Q3269">
        <v>21857856</v>
      </c>
      <c r="R3269">
        <v>1.61</v>
      </c>
      <c r="S3269" t="s">
        <v>80</v>
      </c>
      <c r="T3269" t="s">
        <v>87</v>
      </c>
      <c r="U3269">
        <v>2.04</v>
      </c>
      <c r="V3269">
        <v>20.25</v>
      </c>
      <c r="W3269">
        <v>5245</v>
      </c>
      <c r="X3269">
        <v>5546</v>
      </c>
      <c r="Y3269">
        <v>0.95</v>
      </c>
      <c r="Z3269">
        <v>91</v>
      </c>
      <c r="AA3269">
        <v>96</v>
      </c>
      <c r="AB3269" t="s">
        <v>32</v>
      </c>
      <c r="AC3269">
        <v>0.98</v>
      </c>
    </row>
    <row r="3270" spans="1:29">
      <c r="A3270" t="str">
        <f>"603359"</f>
        <v>603359</v>
      </c>
      <c r="B3270" t="s">
        <v>3440</v>
      </c>
      <c r="C3270">
        <v>3.62</v>
      </c>
      <c r="D3270">
        <v>23.73</v>
      </c>
      <c r="E3270">
        <v>0.83</v>
      </c>
      <c r="F3270">
        <v>23.72</v>
      </c>
      <c r="G3270">
        <v>23.74</v>
      </c>
      <c r="H3270">
        <v>44654</v>
      </c>
      <c r="I3270">
        <v>5</v>
      </c>
      <c r="J3270">
        <v>0.04</v>
      </c>
      <c r="K3270">
        <v>5.61</v>
      </c>
      <c r="L3270">
        <v>23.1</v>
      </c>
      <c r="M3270">
        <v>24.55</v>
      </c>
      <c r="N3270">
        <v>23.1</v>
      </c>
      <c r="O3270">
        <v>22.9</v>
      </c>
      <c r="P3270">
        <v>25.8</v>
      </c>
      <c r="Q3270">
        <v>106986488</v>
      </c>
      <c r="R3270">
        <v>2.86</v>
      </c>
      <c r="S3270" t="s">
        <v>49</v>
      </c>
      <c r="T3270" t="s">
        <v>87</v>
      </c>
      <c r="U3270">
        <v>6.33</v>
      </c>
      <c r="V3270">
        <v>23.96</v>
      </c>
      <c r="W3270">
        <v>19790</v>
      </c>
      <c r="X3270">
        <v>24863</v>
      </c>
      <c r="Y3270">
        <v>0.8</v>
      </c>
      <c r="Z3270">
        <v>46</v>
      </c>
      <c r="AA3270">
        <v>95</v>
      </c>
      <c r="AB3270" t="s">
        <v>32</v>
      </c>
      <c r="AC3270">
        <v>0.8</v>
      </c>
    </row>
    <row r="3271" spans="1:29">
      <c r="A3271" t="str">
        <f>"603360"</f>
        <v>603360</v>
      </c>
      <c r="B3271" t="s">
        <v>3441</v>
      </c>
      <c r="C3271">
        <v>0.44</v>
      </c>
      <c r="D3271">
        <v>13.67</v>
      </c>
      <c r="E3271">
        <v>0.06</v>
      </c>
      <c r="F3271">
        <v>13.65</v>
      </c>
      <c r="G3271">
        <v>13.66</v>
      </c>
      <c r="H3271">
        <v>7721</v>
      </c>
      <c r="I3271">
        <v>10</v>
      </c>
      <c r="J3271">
        <v>0.22</v>
      </c>
      <c r="K3271">
        <v>0.98</v>
      </c>
      <c r="L3271">
        <v>13.64</v>
      </c>
      <c r="M3271">
        <v>13.78</v>
      </c>
      <c r="N3271">
        <v>13.51</v>
      </c>
      <c r="O3271">
        <v>13.61</v>
      </c>
      <c r="P3271">
        <v>23.36</v>
      </c>
      <c r="Q3271">
        <v>10565903</v>
      </c>
      <c r="R3271">
        <v>1.07</v>
      </c>
      <c r="S3271" t="s">
        <v>218</v>
      </c>
      <c r="T3271" t="s">
        <v>111</v>
      </c>
      <c r="U3271">
        <v>1.98</v>
      </c>
      <c r="V3271">
        <v>13.68</v>
      </c>
      <c r="W3271">
        <v>4940</v>
      </c>
      <c r="X3271">
        <v>2781</v>
      </c>
      <c r="Y3271">
        <v>1.78</v>
      </c>
      <c r="Z3271">
        <v>9</v>
      </c>
      <c r="AA3271">
        <v>5</v>
      </c>
      <c r="AB3271" t="s">
        <v>32</v>
      </c>
      <c r="AC3271">
        <v>0.78</v>
      </c>
    </row>
    <row r="3272" spans="1:29">
      <c r="A3272" t="str">
        <f>"603363"</f>
        <v>603363</v>
      </c>
      <c r="B3272" t="s">
        <v>3442</v>
      </c>
      <c r="C3272">
        <v>0.07</v>
      </c>
      <c r="D3272">
        <v>14.98</v>
      </c>
      <c r="E3272">
        <v>0.01</v>
      </c>
      <c r="F3272">
        <v>14.96</v>
      </c>
      <c r="G3272">
        <v>14.97</v>
      </c>
      <c r="H3272">
        <v>40392</v>
      </c>
      <c r="I3272">
        <v>30</v>
      </c>
      <c r="J3272">
        <v>0.33</v>
      </c>
      <c r="K3272">
        <v>6.73</v>
      </c>
      <c r="L3272">
        <v>15</v>
      </c>
      <c r="M3272">
        <v>15.08</v>
      </c>
      <c r="N3272">
        <v>14.8</v>
      </c>
      <c r="O3272">
        <v>14.97</v>
      </c>
      <c r="P3272">
        <v>113.3</v>
      </c>
      <c r="Q3272">
        <v>60305804</v>
      </c>
      <c r="R3272">
        <v>1</v>
      </c>
      <c r="S3272" t="s">
        <v>102</v>
      </c>
      <c r="T3272" t="s">
        <v>236</v>
      </c>
      <c r="U3272">
        <v>1.87</v>
      </c>
      <c r="V3272">
        <v>14.93</v>
      </c>
      <c r="W3272">
        <v>22788</v>
      </c>
      <c r="X3272">
        <v>17604</v>
      </c>
      <c r="Y3272">
        <v>1.29</v>
      </c>
      <c r="Z3272">
        <v>30</v>
      </c>
      <c r="AA3272">
        <v>51</v>
      </c>
      <c r="AB3272" t="s">
        <v>32</v>
      </c>
      <c r="AC3272">
        <v>0.6</v>
      </c>
    </row>
    <row r="3273" spans="1:29">
      <c r="A3273" t="str">
        <f>"603365"</f>
        <v>603365</v>
      </c>
      <c r="B3273" t="s">
        <v>3443</v>
      </c>
      <c r="C3273">
        <v>7.73</v>
      </c>
      <c r="D3273">
        <v>23.83</v>
      </c>
      <c r="E3273">
        <v>1.71</v>
      </c>
      <c r="F3273">
        <v>23.82</v>
      </c>
      <c r="G3273">
        <v>23.84</v>
      </c>
      <c r="H3273">
        <v>79024</v>
      </c>
      <c r="I3273">
        <v>33</v>
      </c>
      <c r="J3273">
        <v>0.08</v>
      </c>
      <c r="K3273">
        <v>11.85</v>
      </c>
      <c r="L3273">
        <v>22.11</v>
      </c>
      <c r="M3273">
        <v>24.1</v>
      </c>
      <c r="N3273">
        <v>22.01</v>
      </c>
      <c r="O3273">
        <v>22.12</v>
      </c>
      <c r="P3273">
        <v>21.91</v>
      </c>
      <c r="Q3273">
        <v>184078736</v>
      </c>
      <c r="R3273">
        <v>2.11</v>
      </c>
      <c r="S3273" t="s">
        <v>99</v>
      </c>
      <c r="T3273" t="s">
        <v>366</v>
      </c>
      <c r="U3273">
        <v>9.45</v>
      </c>
      <c r="V3273">
        <v>23.29</v>
      </c>
      <c r="W3273">
        <v>34328</v>
      </c>
      <c r="X3273">
        <v>44696</v>
      </c>
      <c r="Y3273">
        <v>0.77</v>
      </c>
      <c r="Z3273">
        <v>79</v>
      </c>
      <c r="AA3273">
        <v>114</v>
      </c>
      <c r="AB3273" t="s">
        <v>32</v>
      </c>
      <c r="AC3273">
        <v>0.67</v>
      </c>
    </row>
    <row r="3274" spans="1:29">
      <c r="A3274" t="str">
        <f>"603366"</f>
        <v>603366</v>
      </c>
      <c r="B3274" t="s">
        <v>3444</v>
      </c>
      <c r="C3274">
        <v>1.29</v>
      </c>
      <c r="D3274">
        <v>4.72</v>
      </c>
      <c r="E3274">
        <v>0.06</v>
      </c>
      <c r="F3274">
        <v>4.72</v>
      </c>
      <c r="G3274">
        <v>4.73</v>
      </c>
      <c r="H3274">
        <v>41732</v>
      </c>
      <c r="I3274">
        <v>23</v>
      </c>
      <c r="J3274">
        <v>-0.2</v>
      </c>
      <c r="K3274">
        <v>0.52</v>
      </c>
      <c r="L3274">
        <v>4.62</v>
      </c>
      <c r="M3274">
        <v>4.76</v>
      </c>
      <c r="N3274">
        <v>4.53</v>
      </c>
      <c r="O3274">
        <v>4.66</v>
      </c>
      <c r="P3274" t="s">
        <v>32</v>
      </c>
      <c r="Q3274">
        <v>19641440</v>
      </c>
      <c r="R3274">
        <v>1.39</v>
      </c>
      <c r="S3274" t="s">
        <v>55</v>
      </c>
      <c r="T3274" t="s">
        <v>87</v>
      </c>
      <c r="U3274">
        <v>4.94</v>
      </c>
      <c r="V3274">
        <v>4.71</v>
      </c>
      <c r="W3274">
        <v>18105</v>
      </c>
      <c r="X3274">
        <v>23627</v>
      </c>
      <c r="Y3274">
        <v>0.77</v>
      </c>
      <c r="Z3274">
        <v>65</v>
      </c>
      <c r="AA3274">
        <v>929</v>
      </c>
      <c r="AB3274" t="s">
        <v>32</v>
      </c>
      <c r="AC3274">
        <v>8</v>
      </c>
    </row>
    <row r="3275" spans="1:29">
      <c r="A3275" t="str">
        <f>"603367"</f>
        <v>603367</v>
      </c>
      <c r="B3275" t="s">
        <v>3445</v>
      </c>
      <c r="C3275">
        <v>1.47</v>
      </c>
      <c r="D3275">
        <v>22.79</v>
      </c>
      <c r="E3275">
        <v>0.33</v>
      </c>
      <c r="F3275">
        <v>22.77</v>
      </c>
      <c r="G3275">
        <v>22.78</v>
      </c>
      <c r="H3275">
        <v>125127</v>
      </c>
      <c r="I3275">
        <v>41</v>
      </c>
      <c r="J3275">
        <v>-0.12</v>
      </c>
      <c r="K3275">
        <v>12.51</v>
      </c>
      <c r="L3275">
        <v>21.5</v>
      </c>
      <c r="M3275">
        <v>22.99</v>
      </c>
      <c r="N3275">
        <v>21.5</v>
      </c>
      <c r="O3275">
        <v>22.46</v>
      </c>
      <c r="P3275">
        <v>21.54</v>
      </c>
      <c r="Q3275">
        <v>278853184</v>
      </c>
      <c r="R3275">
        <v>1.42</v>
      </c>
      <c r="S3275" t="s">
        <v>142</v>
      </c>
      <c r="T3275" t="s">
        <v>162</v>
      </c>
      <c r="U3275">
        <v>6.63</v>
      </c>
      <c r="V3275">
        <v>22.29</v>
      </c>
      <c r="W3275">
        <v>58448</v>
      </c>
      <c r="X3275">
        <v>66679</v>
      </c>
      <c r="Y3275">
        <v>0.88</v>
      </c>
      <c r="Z3275">
        <v>44</v>
      </c>
      <c r="AA3275">
        <v>25</v>
      </c>
      <c r="AB3275" t="s">
        <v>32</v>
      </c>
      <c r="AC3275">
        <v>1</v>
      </c>
    </row>
    <row r="3276" spans="1:29">
      <c r="A3276" t="str">
        <f>"603368"</f>
        <v>603368</v>
      </c>
      <c r="B3276" t="s">
        <v>3446</v>
      </c>
      <c r="C3276">
        <v>0.03</v>
      </c>
      <c r="D3276">
        <v>35.98</v>
      </c>
      <c r="E3276">
        <v>0.01</v>
      </c>
      <c r="F3276">
        <v>35.98</v>
      </c>
      <c r="G3276">
        <v>35.99</v>
      </c>
      <c r="H3276">
        <v>37894</v>
      </c>
      <c r="I3276">
        <v>3</v>
      </c>
      <c r="J3276">
        <v>-0.49</v>
      </c>
      <c r="K3276">
        <v>1.85</v>
      </c>
      <c r="L3276">
        <v>36.01</v>
      </c>
      <c r="M3276">
        <v>36.79</v>
      </c>
      <c r="N3276">
        <v>34.81</v>
      </c>
      <c r="O3276">
        <v>35.97</v>
      </c>
      <c r="P3276">
        <v>20.58</v>
      </c>
      <c r="Q3276">
        <v>136294512</v>
      </c>
      <c r="R3276">
        <v>1.11</v>
      </c>
      <c r="S3276" t="s">
        <v>77</v>
      </c>
      <c r="T3276" t="s">
        <v>238</v>
      </c>
      <c r="U3276">
        <v>5.5</v>
      </c>
      <c r="V3276">
        <v>35.97</v>
      </c>
      <c r="W3276">
        <v>18871</v>
      </c>
      <c r="X3276">
        <v>19023</v>
      </c>
      <c r="Y3276">
        <v>0.99</v>
      </c>
      <c r="Z3276">
        <v>5</v>
      </c>
      <c r="AA3276">
        <v>55</v>
      </c>
      <c r="AB3276" t="s">
        <v>32</v>
      </c>
      <c r="AC3276">
        <v>2.05</v>
      </c>
    </row>
    <row r="3277" spans="1:29">
      <c r="A3277" t="str">
        <f>"603369"</f>
        <v>603369</v>
      </c>
      <c r="B3277" t="s">
        <v>3447</v>
      </c>
      <c r="C3277">
        <v>4.57</v>
      </c>
      <c r="D3277">
        <v>20.84</v>
      </c>
      <c r="E3277">
        <v>0.91</v>
      </c>
      <c r="F3277">
        <v>20.83</v>
      </c>
      <c r="G3277">
        <v>20.84</v>
      </c>
      <c r="H3277">
        <v>179584</v>
      </c>
      <c r="I3277">
        <v>28</v>
      </c>
      <c r="J3277">
        <v>0.1</v>
      </c>
      <c r="K3277">
        <v>1.43</v>
      </c>
      <c r="L3277">
        <v>20.1</v>
      </c>
      <c r="M3277">
        <v>20.88</v>
      </c>
      <c r="N3277">
        <v>19.88</v>
      </c>
      <c r="O3277">
        <v>19.93</v>
      </c>
      <c r="P3277">
        <v>12.84</v>
      </c>
      <c r="Q3277">
        <v>368562048</v>
      </c>
      <c r="R3277">
        <v>1.24</v>
      </c>
      <c r="S3277" t="s">
        <v>285</v>
      </c>
      <c r="T3277" t="s">
        <v>87</v>
      </c>
      <c r="U3277">
        <v>5.02</v>
      </c>
      <c r="V3277">
        <v>20.52</v>
      </c>
      <c r="W3277">
        <v>69700</v>
      </c>
      <c r="X3277">
        <v>109883</v>
      </c>
      <c r="Y3277">
        <v>0.63</v>
      </c>
      <c r="Z3277">
        <v>77</v>
      </c>
      <c r="AA3277">
        <v>90</v>
      </c>
      <c r="AB3277" t="s">
        <v>32</v>
      </c>
      <c r="AC3277">
        <v>12.55</v>
      </c>
    </row>
    <row r="3278" spans="1:29">
      <c r="A3278" t="str">
        <f>"603377"</f>
        <v>603377</v>
      </c>
      <c r="B3278" t="s">
        <v>3448</v>
      </c>
      <c r="C3278">
        <v>0.35</v>
      </c>
      <c r="D3278">
        <v>14.51</v>
      </c>
      <c r="E3278">
        <v>0.05</v>
      </c>
      <c r="F3278">
        <v>14.5</v>
      </c>
      <c r="G3278">
        <v>14.52</v>
      </c>
      <c r="H3278">
        <v>29546</v>
      </c>
      <c r="I3278">
        <v>2</v>
      </c>
      <c r="J3278">
        <v>0</v>
      </c>
      <c r="K3278">
        <v>1.79</v>
      </c>
      <c r="L3278">
        <v>14.46</v>
      </c>
      <c r="M3278">
        <v>14.77</v>
      </c>
      <c r="N3278">
        <v>14.25</v>
      </c>
      <c r="O3278">
        <v>14.46</v>
      </c>
      <c r="P3278">
        <v>153.01</v>
      </c>
      <c r="Q3278">
        <v>42844496</v>
      </c>
      <c r="R3278">
        <v>0.87</v>
      </c>
      <c r="S3278" t="s">
        <v>71</v>
      </c>
      <c r="T3278" t="s">
        <v>45</v>
      </c>
      <c r="U3278">
        <v>3.6</v>
      </c>
      <c r="V3278">
        <v>14.5</v>
      </c>
      <c r="W3278">
        <v>12404</v>
      </c>
      <c r="X3278">
        <v>17142</v>
      </c>
      <c r="Y3278">
        <v>0.72</v>
      </c>
      <c r="Z3278">
        <v>8</v>
      </c>
      <c r="AA3278">
        <v>70</v>
      </c>
      <c r="AB3278" t="s">
        <v>32</v>
      </c>
      <c r="AC3278">
        <v>1.65</v>
      </c>
    </row>
    <row r="3279" spans="1:29">
      <c r="A3279" t="str">
        <f>"603378"</f>
        <v>603378</v>
      </c>
      <c r="B3279" t="s">
        <v>3449</v>
      </c>
      <c r="C3279">
        <v>-0.13</v>
      </c>
      <c r="D3279">
        <v>15.47</v>
      </c>
      <c r="E3279">
        <v>-0.02</v>
      </c>
      <c r="F3279">
        <v>15.47</v>
      </c>
      <c r="G3279">
        <v>15.48</v>
      </c>
      <c r="H3279">
        <v>25258</v>
      </c>
      <c r="I3279">
        <v>43</v>
      </c>
      <c r="J3279">
        <v>0.45</v>
      </c>
      <c r="K3279">
        <v>5.15</v>
      </c>
      <c r="L3279">
        <v>15.43</v>
      </c>
      <c r="M3279">
        <v>15.56</v>
      </c>
      <c r="N3279">
        <v>15.18</v>
      </c>
      <c r="O3279">
        <v>15.49</v>
      </c>
      <c r="P3279" t="s">
        <v>32</v>
      </c>
      <c r="Q3279">
        <v>38885620</v>
      </c>
      <c r="R3279">
        <v>1.2</v>
      </c>
      <c r="S3279" t="s">
        <v>281</v>
      </c>
      <c r="T3279" t="s">
        <v>366</v>
      </c>
      <c r="U3279">
        <v>2.45</v>
      </c>
      <c r="V3279">
        <v>15.4</v>
      </c>
      <c r="W3279">
        <v>14326</v>
      </c>
      <c r="X3279">
        <v>10932</v>
      </c>
      <c r="Y3279">
        <v>1.31</v>
      </c>
      <c r="Z3279">
        <v>15</v>
      </c>
      <c r="AA3279">
        <v>1</v>
      </c>
      <c r="AB3279" t="s">
        <v>32</v>
      </c>
      <c r="AC3279">
        <v>0.49</v>
      </c>
    </row>
    <row r="3280" spans="1:29">
      <c r="A3280" t="str">
        <f>"603380"</f>
        <v>603380</v>
      </c>
      <c r="B3280" t="s">
        <v>3450</v>
      </c>
      <c r="C3280">
        <v>0.44</v>
      </c>
      <c r="D3280">
        <v>18.15</v>
      </c>
      <c r="E3280">
        <v>0.08</v>
      </c>
      <c r="F3280">
        <v>18.15</v>
      </c>
      <c r="G3280">
        <v>18.19</v>
      </c>
      <c r="H3280">
        <v>18331</v>
      </c>
      <c r="I3280">
        <v>18</v>
      </c>
      <c r="J3280">
        <v>-0.05</v>
      </c>
      <c r="K3280">
        <v>3.83</v>
      </c>
      <c r="L3280">
        <v>18.06</v>
      </c>
      <c r="M3280">
        <v>18.34</v>
      </c>
      <c r="N3280">
        <v>17.94</v>
      </c>
      <c r="O3280">
        <v>18.07</v>
      </c>
      <c r="P3280">
        <v>33.73</v>
      </c>
      <c r="Q3280">
        <v>33270912</v>
      </c>
      <c r="R3280">
        <v>0.99</v>
      </c>
      <c r="S3280" t="s">
        <v>63</v>
      </c>
      <c r="T3280" t="s">
        <v>87</v>
      </c>
      <c r="U3280">
        <v>2.21</v>
      </c>
      <c r="V3280">
        <v>18.15</v>
      </c>
      <c r="W3280">
        <v>9429</v>
      </c>
      <c r="X3280">
        <v>8902</v>
      </c>
      <c r="Y3280">
        <v>1.06</v>
      </c>
      <c r="Z3280">
        <v>14</v>
      </c>
      <c r="AA3280">
        <v>18</v>
      </c>
      <c r="AB3280" t="s">
        <v>32</v>
      </c>
      <c r="AC3280">
        <v>0.48</v>
      </c>
    </row>
    <row r="3281" spans="1:29">
      <c r="A3281" t="str">
        <f>"603383"</f>
        <v>603383</v>
      </c>
      <c r="B3281" t="s">
        <v>3451</v>
      </c>
      <c r="C3281">
        <v>0.61</v>
      </c>
      <c r="D3281">
        <v>34.42</v>
      </c>
      <c r="E3281">
        <v>0.21</v>
      </c>
      <c r="F3281">
        <v>34.45</v>
      </c>
      <c r="G3281">
        <v>34.46</v>
      </c>
      <c r="H3281">
        <v>31642</v>
      </c>
      <c r="I3281">
        <v>68</v>
      </c>
      <c r="J3281">
        <v>-0.02</v>
      </c>
      <c r="K3281">
        <v>5.54</v>
      </c>
      <c r="L3281">
        <v>33.86</v>
      </c>
      <c r="M3281">
        <v>34.75</v>
      </c>
      <c r="N3281">
        <v>33.31</v>
      </c>
      <c r="O3281">
        <v>34.21</v>
      </c>
      <c r="P3281">
        <v>337.8</v>
      </c>
      <c r="Q3281">
        <v>108504864</v>
      </c>
      <c r="R3281">
        <v>1.18</v>
      </c>
      <c r="S3281" t="s">
        <v>270</v>
      </c>
      <c r="T3281" t="s">
        <v>236</v>
      </c>
      <c r="U3281">
        <v>4.21</v>
      </c>
      <c r="V3281">
        <v>34.29</v>
      </c>
      <c r="W3281">
        <v>15512</v>
      </c>
      <c r="X3281">
        <v>16129</v>
      </c>
      <c r="Y3281">
        <v>0.96</v>
      </c>
      <c r="Z3281">
        <v>63</v>
      </c>
      <c r="AA3281">
        <v>16</v>
      </c>
      <c r="AB3281" t="s">
        <v>32</v>
      </c>
      <c r="AC3281">
        <v>0.57</v>
      </c>
    </row>
    <row r="3282" spans="1:29">
      <c r="A3282" t="str">
        <f>"603385"</f>
        <v>603385</v>
      </c>
      <c r="B3282" t="s">
        <v>3452</v>
      </c>
      <c r="C3282">
        <v>2.28</v>
      </c>
      <c r="D3282">
        <v>10.77</v>
      </c>
      <c r="E3282">
        <v>0.24</v>
      </c>
      <c r="F3282">
        <v>10.77</v>
      </c>
      <c r="G3282">
        <v>10.78</v>
      </c>
      <c r="H3282">
        <v>30809</v>
      </c>
      <c r="I3282">
        <v>30</v>
      </c>
      <c r="J3282">
        <v>0</v>
      </c>
      <c r="K3282">
        <v>1.17</v>
      </c>
      <c r="L3282">
        <v>10.53</v>
      </c>
      <c r="M3282">
        <v>10.82</v>
      </c>
      <c r="N3282">
        <v>10.47</v>
      </c>
      <c r="O3282">
        <v>10.53</v>
      </c>
      <c r="P3282">
        <v>22.27</v>
      </c>
      <c r="Q3282">
        <v>32952052</v>
      </c>
      <c r="R3282">
        <v>1.34</v>
      </c>
      <c r="S3282" t="s">
        <v>545</v>
      </c>
      <c r="T3282" t="s">
        <v>154</v>
      </c>
      <c r="U3282">
        <v>3.32</v>
      </c>
      <c r="V3282">
        <v>10.7</v>
      </c>
      <c r="W3282">
        <v>16022</v>
      </c>
      <c r="X3282">
        <v>14786</v>
      </c>
      <c r="Y3282">
        <v>1.08</v>
      </c>
      <c r="Z3282">
        <v>151</v>
      </c>
      <c r="AA3282">
        <v>361</v>
      </c>
      <c r="AB3282" t="s">
        <v>32</v>
      </c>
      <c r="AC3282">
        <v>2.64</v>
      </c>
    </row>
    <row r="3283" spans="1:29">
      <c r="A3283" t="str">
        <f>"603386"</f>
        <v>603386</v>
      </c>
      <c r="B3283" t="s">
        <v>3453</v>
      </c>
      <c r="C3283">
        <v>0</v>
      </c>
      <c r="D3283">
        <v>23.49</v>
      </c>
      <c r="E3283">
        <v>0</v>
      </c>
      <c r="F3283" t="s">
        <v>32</v>
      </c>
      <c r="G3283" t="s">
        <v>32</v>
      </c>
      <c r="H3283">
        <v>0</v>
      </c>
      <c r="I3283">
        <v>0</v>
      </c>
      <c r="J3283">
        <v>0</v>
      </c>
      <c r="K3283">
        <v>0</v>
      </c>
      <c r="L3283" t="s">
        <v>32</v>
      </c>
      <c r="M3283" t="s">
        <v>32</v>
      </c>
      <c r="N3283" t="s">
        <v>32</v>
      </c>
      <c r="O3283">
        <v>23.49</v>
      </c>
      <c r="P3283">
        <v>76.37</v>
      </c>
      <c r="Q3283">
        <v>0</v>
      </c>
      <c r="R3283">
        <v>0</v>
      </c>
      <c r="S3283" t="s">
        <v>63</v>
      </c>
      <c r="T3283" t="s">
        <v>136</v>
      </c>
      <c r="U3283">
        <v>0</v>
      </c>
      <c r="V3283">
        <v>23.49</v>
      </c>
      <c r="W3283">
        <v>0</v>
      </c>
      <c r="X3283">
        <v>0</v>
      </c>
      <c r="Y3283" t="s">
        <v>32</v>
      </c>
      <c r="Z3283">
        <v>0</v>
      </c>
      <c r="AA3283">
        <v>0</v>
      </c>
      <c r="AB3283" t="s">
        <v>32</v>
      </c>
      <c r="AC3283">
        <v>0.51</v>
      </c>
    </row>
    <row r="3284" spans="1:29">
      <c r="A3284" t="str">
        <f>"603387"</f>
        <v>603387</v>
      </c>
      <c r="B3284" t="s">
        <v>3454</v>
      </c>
      <c r="C3284">
        <v>1.56</v>
      </c>
      <c r="D3284">
        <v>51.35</v>
      </c>
      <c r="E3284">
        <v>0.79</v>
      </c>
      <c r="F3284">
        <v>51.36</v>
      </c>
      <c r="G3284">
        <v>51.37</v>
      </c>
      <c r="H3284">
        <v>27256</v>
      </c>
      <c r="I3284">
        <v>5</v>
      </c>
      <c r="J3284">
        <v>-0.16</v>
      </c>
      <c r="K3284">
        <v>2.96</v>
      </c>
      <c r="L3284">
        <v>50.48</v>
      </c>
      <c r="M3284">
        <v>52.19</v>
      </c>
      <c r="N3284">
        <v>49.5</v>
      </c>
      <c r="O3284">
        <v>50.56</v>
      </c>
      <c r="P3284">
        <v>35.9</v>
      </c>
      <c r="Q3284">
        <v>139609920</v>
      </c>
      <c r="R3284">
        <v>0.65</v>
      </c>
      <c r="S3284" t="s">
        <v>36</v>
      </c>
      <c r="T3284" t="s">
        <v>87</v>
      </c>
      <c r="U3284">
        <v>5.32</v>
      </c>
      <c r="V3284">
        <v>51.22</v>
      </c>
      <c r="W3284">
        <v>12918</v>
      </c>
      <c r="X3284">
        <v>14338</v>
      </c>
      <c r="Y3284">
        <v>0.9</v>
      </c>
      <c r="Z3284">
        <v>95</v>
      </c>
      <c r="AA3284">
        <v>5</v>
      </c>
      <c r="AB3284" t="s">
        <v>32</v>
      </c>
      <c r="AC3284">
        <v>0.92</v>
      </c>
    </row>
    <row r="3285" spans="1:29">
      <c r="A3285" t="str">
        <f>"603388"</f>
        <v>603388</v>
      </c>
      <c r="B3285" t="s">
        <v>3455</v>
      </c>
      <c r="C3285">
        <v>0.84</v>
      </c>
      <c r="D3285">
        <v>13.22</v>
      </c>
      <c r="E3285">
        <v>0.11</v>
      </c>
      <c r="F3285">
        <v>13.19</v>
      </c>
      <c r="G3285">
        <v>13.2</v>
      </c>
      <c r="H3285">
        <v>25363</v>
      </c>
      <c r="I3285">
        <v>21</v>
      </c>
      <c r="J3285">
        <v>-0.22</v>
      </c>
      <c r="K3285">
        <v>3.03</v>
      </c>
      <c r="L3285">
        <v>13.02</v>
      </c>
      <c r="M3285">
        <v>13.4</v>
      </c>
      <c r="N3285">
        <v>13.01</v>
      </c>
      <c r="O3285">
        <v>13.11</v>
      </c>
      <c r="P3285">
        <v>129.28</v>
      </c>
      <c r="Q3285">
        <v>33613936</v>
      </c>
      <c r="R3285">
        <v>3.91</v>
      </c>
      <c r="S3285" t="s">
        <v>49</v>
      </c>
      <c r="T3285" t="s">
        <v>149</v>
      </c>
      <c r="U3285">
        <v>2.97</v>
      </c>
      <c r="V3285">
        <v>13.25</v>
      </c>
      <c r="W3285">
        <v>12579</v>
      </c>
      <c r="X3285">
        <v>12784</v>
      </c>
      <c r="Y3285">
        <v>0.98</v>
      </c>
      <c r="Z3285">
        <v>11</v>
      </c>
      <c r="AA3285">
        <v>410</v>
      </c>
      <c r="AB3285" t="s">
        <v>32</v>
      </c>
      <c r="AC3285">
        <v>0.84</v>
      </c>
    </row>
    <row r="3286" spans="1:29">
      <c r="A3286" t="str">
        <f>"603389"</f>
        <v>603389</v>
      </c>
      <c r="B3286" t="s">
        <v>3456</v>
      </c>
      <c r="C3286">
        <v>0.88</v>
      </c>
      <c r="D3286">
        <v>11.45</v>
      </c>
      <c r="E3286">
        <v>0.1</v>
      </c>
      <c r="F3286">
        <v>11.46</v>
      </c>
      <c r="G3286">
        <v>11.47</v>
      </c>
      <c r="H3286">
        <v>11490</v>
      </c>
      <c r="I3286">
        <v>97</v>
      </c>
      <c r="J3286">
        <v>0.53</v>
      </c>
      <c r="K3286">
        <v>1.82</v>
      </c>
      <c r="L3286">
        <v>11.42</v>
      </c>
      <c r="M3286">
        <v>11.52</v>
      </c>
      <c r="N3286">
        <v>11.23</v>
      </c>
      <c r="O3286">
        <v>11.35</v>
      </c>
      <c r="P3286" t="s">
        <v>32</v>
      </c>
      <c r="Q3286">
        <v>13111417</v>
      </c>
      <c r="R3286">
        <v>2.08</v>
      </c>
      <c r="S3286" t="s">
        <v>545</v>
      </c>
      <c r="T3286" t="s">
        <v>87</v>
      </c>
      <c r="U3286">
        <v>2.56</v>
      </c>
      <c r="V3286">
        <v>11.41</v>
      </c>
      <c r="W3286">
        <v>3608</v>
      </c>
      <c r="X3286">
        <v>7882</v>
      </c>
      <c r="Y3286">
        <v>0.46</v>
      </c>
      <c r="Z3286">
        <v>99</v>
      </c>
      <c r="AA3286">
        <v>36</v>
      </c>
      <c r="AB3286" t="s">
        <v>32</v>
      </c>
      <c r="AC3286">
        <v>0.63</v>
      </c>
    </row>
    <row r="3287" spans="1:29">
      <c r="A3287" t="str">
        <f>"603393"</f>
        <v>603393</v>
      </c>
      <c r="B3287" t="s">
        <v>3457</v>
      </c>
      <c r="C3287">
        <v>0.89</v>
      </c>
      <c r="D3287">
        <v>34.18</v>
      </c>
      <c r="E3287">
        <v>0.3</v>
      </c>
      <c r="F3287">
        <v>34.18</v>
      </c>
      <c r="G3287">
        <v>34.19</v>
      </c>
      <c r="H3287">
        <v>19846</v>
      </c>
      <c r="I3287">
        <v>25</v>
      </c>
      <c r="J3287">
        <v>0.03</v>
      </c>
      <c r="K3287">
        <v>2.07</v>
      </c>
      <c r="L3287">
        <v>33.74</v>
      </c>
      <c r="M3287">
        <v>34.34</v>
      </c>
      <c r="N3287">
        <v>33.58</v>
      </c>
      <c r="O3287">
        <v>33.88</v>
      </c>
      <c r="P3287">
        <v>18.55</v>
      </c>
      <c r="Q3287">
        <v>67485232</v>
      </c>
      <c r="R3287">
        <v>1.27</v>
      </c>
      <c r="S3287" t="s">
        <v>174</v>
      </c>
      <c r="T3287" t="s">
        <v>156</v>
      </c>
      <c r="U3287">
        <v>2.24</v>
      </c>
      <c r="V3287">
        <v>34</v>
      </c>
      <c r="W3287">
        <v>9716</v>
      </c>
      <c r="X3287">
        <v>10130</v>
      </c>
      <c r="Y3287">
        <v>0.96</v>
      </c>
      <c r="Z3287">
        <v>14</v>
      </c>
      <c r="AA3287">
        <v>8</v>
      </c>
      <c r="AB3287" t="s">
        <v>32</v>
      </c>
      <c r="AC3287">
        <v>0.96</v>
      </c>
    </row>
    <row r="3288" spans="1:29">
      <c r="A3288" t="str">
        <f>"603396"</f>
        <v>603396</v>
      </c>
      <c r="B3288" t="s">
        <v>3458</v>
      </c>
      <c r="C3288">
        <v>2.02</v>
      </c>
      <c r="D3288">
        <v>34.31</v>
      </c>
      <c r="E3288">
        <v>0.68</v>
      </c>
      <c r="F3288">
        <v>34.28</v>
      </c>
      <c r="G3288">
        <v>34.32</v>
      </c>
      <c r="H3288">
        <v>7947</v>
      </c>
      <c r="I3288">
        <v>5</v>
      </c>
      <c r="J3288">
        <v>-0.11</v>
      </c>
      <c r="K3288">
        <v>4.21</v>
      </c>
      <c r="L3288">
        <v>33.61</v>
      </c>
      <c r="M3288">
        <v>34.43</v>
      </c>
      <c r="N3288">
        <v>33.49</v>
      </c>
      <c r="O3288">
        <v>33.63</v>
      </c>
      <c r="P3288">
        <v>34</v>
      </c>
      <c r="Q3288">
        <v>27112400</v>
      </c>
      <c r="R3288">
        <v>1.23</v>
      </c>
      <c r="S3288" t="s">
        <v>171</v>
      </c>
      <c r="T3288" t="s">
        <v>111</v>
      </c>
      <c r="U3288">
        <v>2.8</v>
      </c>
      <c r="V3288">
        <v>34.12</v>
      </c>
      <c r="W3288">
        <v>3267</v>
      </c>
      <c r="X3288">
        <v>4679</v>
      </c>
      <c r="Y3288">
        <v>0.7</v>
      </c>
      <c r="Z3288">
        <v>4</v>
      </c>
      <c r="AA3288">
        <v>1</v>
      </c>
      <c r="AB3288" t="s">
        <v>32</v>
      </c>
      <c r="AC3288">
        <v>0.19</v>
      </c>
    </row>
    <row r="3289" spans="1:29">
      <c r="A3289" t="str">
        <f>"603398"</f>
        <v>603398</v>
      </c>
      <c r="B3289" t="s">
        <v>3459</v>
      </c>
      <c r="C3289">
        <v>-0.63</v>
      </c>
      <c r="D3289">
        <v>18.94</v>
      </c>
      <c r="E3289">
        <v>-0.12</v>
      </c>
      <c r="F3289">
        <v>18.95</v>
      </c>
      <c r="G3289">
        <v>18.97</v>
      </c>
      <c r="H3289">
        <v>67208</v>
      </c>
      <c r="I3289">
        <v>70</v>
      </c>
      <c r="J3289">
        <v>0</v>
      </c>
      <c r="K3289">
        <v>12.73</v>
      </c>
      <c r="L3289">
        <v>19.1</v>
      </c>
      <c r="M3289">
        <v>19.16</v>
      </c>
      <c r="N3289">
        <v>18.76</v>
      </c>
      <c r="O3289">
        <v>19.06</v>
      </c>
      <c r="P3289">
        <v>149.94</v>
      </c>
      <c r="Q3289">
        <v>127218728</v>
      </c>
      <c r="R3289">
        <v>0.89</v>
      </c>
      <c r="S3289" t="s">
        <v>57</v>
      </c>
      <c r="T3289" t="s">
        <v>136</v>
      </c>
      <c r="U3289">
        <v>2.1</v>
      </c>
      <c r="V3289">
        <v>18.93</v>
      </c>
      <c r="W3289">
        <v>37310</v>
      </c>
      <c r="X3289">
        <v>29898</v>
      </c>
      <c r="Y3289">
        <v>1.25</v>
      </c>
      <c r="Z3289">
        <v>95</v>
      </c>
      <c r="AA3289">
        <v>88</v>
      </c>
      <c r="AB3289" t="s">
        <v>32</v>
      </c>
      <c r="AC3289">
        <v>0.53</v>
      </c>
    </row>
    <row r="3290" spans="1:29">
      <c r="A3290" t="str">
        <f>"603399"</f>
        <v>603399</v>
      </c>
      <c r="B3290" t="s">
        <v>3460</v>
      </c>
      <c r="C3290">
        <v>2.94</v>
      </c>
      <c r="D3290">
        <v>14.01</v>
      </c>
      <c r="E3290">
        <v>0.4</v>
      </c>
      <c r="F3290">
        <v>13.99</v>
      </c>
      <c r="G3290">
        <v>14.02</v>
      </c>
      <c r="H3290">
        <v>51948</v>
      </c>
      <c r="I3290">
        <v>4</v>
      </c>
      <c r="J3290">
        <v>0.07</v>
      </c>
      <c r="K3290">
        <v>1.02</v>
      </c>
      <c r="L3290">
        <v>13.63</v>
      </c>
      <c r="M3290">
        <v>14.07</v>
      </c>
      <c r="N3290">
        <v>13.57</v>
      </c>
      <c r="O3290">
        <v>13.61</v>
      </c>
      <c r="P3290">
        <v>45.55</v>
      </c>
      <c r="Q3290">
        <v>72116680</v>
      </c>
      <c r="R3290">
        <v>1.51</v>
      </c>
      <c r="S3290" t="s">
        <v>356</v>
      </c>
      <c r="T3290" t="s">
        <v>111</v>
      </c>
      <c r="U3290">
        <v>3.67</v>
      </c>
      <c r="V3290">
        <v>13.88</v>
      </c>
      <c r="W3290">
        <v>21198</v>
      </c>
      <c r="X3290">
        <v>30750</v>
      </c>
      <c r="Y3290">
        <v>0.69</v>
      </c>
      <c r="Z3290">
        <v>21</v>
      </c>
      <c r="AA3290">
        <v>879</v>
      </c>
      <c r="AB3290" t="s">
        <v>32</v>
      </c>
      <c r="AC3290">
        <v>5.08</v>
      </c>
    </row>
    <row r="3291" spans="1:29">
      <c r="A3291" t="str">
        <f>"603416"</f>
        <v>603416</v>
      </c>
      <c r="B3291" t="s">
        <v>3461</v>
      </c>
      <c r="C3291">
        <v>2.39</v>
      </c>
      <c r="D3291">
        <v>26.15</v>
      </c>
      <c r="E3291">
        <v>0.61</v>
      </c>
      <c r="F3291">
        <v>26.13</v>
      </c>
      <c r="G3291">
        <v>26.15</v>
      </c>
      <c r="H3291">
        <v>9862</v>
      </c>
      <c r="I3291">
        <v>14</v>
      </c>
      <c r="J3291">
        <v>0.31</v>
      </c>
      <c r="K3291">
        <v>2.81</v>
      </c>
      <c r="L3291">
        <v>25.54</v>
      </c>
      <c r="M3291">
        <v>26.16</v>
      </c>
      <c r="N3291">
        <v>25.3</v>
      </c>
      <c r="O3291">
        <v>25.54</v>
      </c>
      <c r="P3291">
        <v>33.63</v>
      </c>
      <c r="Q3291">
        <v>25442640</v>
      </c>
      <c r="R3291">
        <v>1.52</v>
      </c>
      <c r="S3291" t="s">
        <v>104</v>
      </c>
      <c r="T3291" t="s">
        <v>87</v>
      </c>
      <c r="U3291">
        <v>3.37</v>
      </c>
      <c r="V3291">
        <v>25.8</v>
      </c>
      <c r="W3291">
        <v>3906</v>
      </c>
      <c r="X3291">
        <v>5955</v>
      </c>
      <c r="Y3291">
        <v>0.66</v>
      </c>
      <c r="Z3291">
        <v>16</v>
      </c>
      <c r="AA3291">
        <v>14</v>
      </c>
      <c r="AB3291" t="s">
        <v>32</v>
      </c>
      <c r="AC3291">
        <v>0.35</v>
      </c>
    </row>
    <row r="3292" spans="1:29">
      <c r="A3292" t="str">
        <f>"603421"</f>
        <v>603421</v>
      </c>
      <c r="B3292" t="s">
        <v>3462</v>
      </c>
      <c r="C3292">
        <v>1.42</v>
      </c>
      <c r="D3292">
        <v>20.76</v>
      </c>
      <c r="E3292">
        <v>0.29</v>
      </c>
      <c r="F3292">
        <v>20.73</v>
      </c>
      <c r="G3292">
        <v>20.75</v>
      </c>
      <c r="H3292">
        <v>23100</v>
      </c>
      <c r="I3292">
        <v>5</v>
      </c>
      <c r="J3292">
        <v>0.78</v>
      </c>
      <c r="K3292">
        <v>5.07</v>
      </c>
      <c r="L3292">
        <v>20.6</v>
      </c>
      <c r="M3292">
        <v>20.79</v>
      </c>
      <c r="N3292">
        <v>20.1</v>
      </c>
      <c r="O3292">
        <v>20.47</v>
      </c>
      <c r="P3292">
        <v>75.83</v>
      </c>
      <c r="Q3292">
        <v>47256656</v>
      </c>
      <c r="R3292">
        <v>0.77</v>
      </c>
      <c r="S3292" t="s">
        <v>119</v>
      </c>
      <c r="T3292" t="s">
        <v>162</v>
      </c>
      <c r="U3292">
        <v>3.37</v>
      </c>
      <c r="V3292">
        <v>20.46</v>
      </c>
      <c r="W3292">
        <v>12253</v>
      </c>
      <c r="X3292">
        <v>10847</v>
      </c>
      <c r="Y3292">
        <v>1.13</v>
      </c>
      <c r="Z3292">
        <v>3</v>
      </c>
      <c r="AA3292">
        <v>30</v>
      </c>
      <c r="AB3292" t="s">
        <v>32</v>
      </c>
      <c r="AC3292">
        <v>0.46</v>
      </c>
    </row>
    <row r="3293" spans="1:29">
      <c r="A3293" t="str">
        <f>"603429"</f>
        <v>603429</v>
      </c>
      <c r="B3293" t="s">
        <v>3463</v>
      </c>
      <c r="C3293">
        <v>5.06</v>
      </c>
      <c r="D3293">
        <v>31.13</v>
      </c>
      <c r="E3293">
        <v>1.5</v>
      </c>
      <c r="F3293">
        <v>31.11</v>
      </c>
      <c r="G3293">
        <v>31.14</v>
      </c>
      <c r="H3293">
        <v>24883</v>
      </c>
      <c r="I3293">
        <v>300</v>
      </c>
      <c r="J3293">
        <v>0.35</v>
      </c>
      <c r="K3293">
        <v>2.55</v>
      </c>
      <c r="L3293">
        <v>29.8</v>
      </c>
      <c r="M3293">
        <v>31.35</v>
      </c>
      <c r="N3293">
        <v>29.71</v>
      </c>
      <c r="O3293">
        <v>29.63</v>
      </c>
      <c r="P3293">
        <v>48.56</v>
      </c>
      <c r="Q3293">
        <v>76268080</v>
      </c>
      <c r="R3293">
        <v>1.73</v>
      </c>
      <c r="S3293" t="s">
        <v>91</v>
      </c>
      <c r="T3293" t="s">
        <v>143</v>
      </c>
      <c r="U3293">
        <v>5.53</v>
      </c>
      <c r="V3293">
        <v>30.65</v>
      </c>
      <c r="W3293">
        <v>10600</v>
      </c>
      <c r="X3293">
        <v>14282</v>
      </c>
      <c r="Y3293">
        <v>0.74</v>
      </c>
      <c r="Z3293">
        <v>82</v>
      </c>
      <c r="AA3293">
        <v>50</v>
      </c>
      <c r="AB3293" t="s">
        <v>32</v>
      </c>
      <c r="AC3293">
        <v>0.98</v>
      </c>
    </row>
    <row r="3294" spans="1:29">
      <c r="A3294" t="str">
        <f>"603444"</f>
        <v>603444</v>
      </c>
      <c r="B3294" t="s">
        <v>3464</v>
      </c>
      <c r="C3294">
        <v>1.81</v>
      </c>
      <c r="D3294">
        <v>127.69</v>
      </c>
      <c r="E3294">
        <v>2.27</v>
      </c>
      <c r="F3294">
        <v>127.7</v>
      </c>
      <c r="G3294">
        <v>127.71</v>
      </c>
      <c r="H3294">
        <v>7051</v>
      </c>
      <c r="I3294">
        <v>2</v>
      </c>
      <c r="J3294">
        <v>0.04</v>
      </c>
      <c r="K3294">
        <v>1.71</v>
      </c>
      <c r="L3294">
        <v>125.5</v>
      </c>
      <c r="M3294">
        <v>128.56</v>
      </c>
      <c r="N3294">
        <v>124.61</v>
      </c>
      <c r="O3294">
        <v>125.42</v>
      </c>
      <c r="P3294">
        <v>14.93</v>
      </c>
      <c r="Q3294">
        <v>89483664</v>
      </c>
      <c r="R3294">
        <v>1.47</v>
      </c>
      <c r="S3294" t="s">
        <v>316</v>
      </c>
      <c r="T3294" t="s">
        <v>236</v>
      </c>
      <c r="U3294">
        <v>3.15</v>
      </c>
      <c r="V3294">
        <v>126.91</v>
      </c>
      <c r="W3294">
        <v>3514</v>
      </c>
      <c r="X3294">
        <v>3537</v>
      </c>
      <c r="Y3294">
        <v>0.99</v>
      </c>
      <c r="Z3294">
        <v>47</v>
      </c>
      <c r="AA3294">
        <v>3</v>
      </c>
      <c r="AB3294" t="s">
        <v>32</v>
      </c>
      <c r="AC3294">
        <v>0.41</v>
      </c>
    </row>
    <row r="3295" spans="1:29">
      <c r="A3295" t="str">
        <f>"603456"</f>
        <v>603456</v>
      </c>
      <c r="B3295" t="s">
        <v>3465</v>
      </c>
      <c r="C3295">
        <v>1.29</v>
      </c>
      <c r="D3295">
        <v>7.07</v>
      </c>
      <c r="E3295">
        <v>0.09</v>
      </c>
      <c r="F3295">
        <v>7.07</v>
      </c>
      <c r="G3295">
        <v>7.08</v>
      </c>
      <c r="H3295">
        <v>69001</v>
      </c>
      <c r="I3295">
        <v>18</v>
      </c>
      <c r="J3295">
        <v>0.14</v>
      </c>
      <c r="K3295">
        <v>0.87</v>
      </c>
      <c r="L3295">
        <v>6.98</v>
      </c>
      <c r="M3295">
        <v>7.13</v>
      </c>
      <c r="N3295">
        <v>6.9</v>
      </c>
      <c r="O3295">
        <v>6.98</v>
      </c>
      <c r="P3295">
        <v>27.62</v>
      </c>
      <c r="Q3295">
        <v>48594676</v>
      </c>
      <c r="R3295">
        <v>0.96</v>
      </c>
      <c r="S3295" t="s">
        <v>142</v>
      </c>
      <c r="T3295" t="s">
        <v>149</v>
      </c>
      <c r="U3295">
        <v>3.3</v>
      </c>
      <c r="V3295">
        <v>7.04</v>
      </c>
      <c r="W3295">
        <v>32007</v>
      </c>
      <c r="X3295">
        <v>36994</v>
      </c>
      <c r="Y3295">
        <v>0.87</v>
      </c>
      <c r="Z3295">
        <v>56</v>
      </c>
      <c r="AA3295">
        <v>406</v>
      </c>
      <c r="AB3295" t="s">
        <v>32</v>
      </c>
      <c r="AC3295">
        <v>7.98</v>
      </c>
    </row>
    <row r="3296" spans="1:29">
      <c r="A3296" t="str">
        <f>"603458"</f>
        <v>603458</v>
      </c>
      <c r="B3296" t="s">
        <v>3466</v>
      </c>
      <c r="C3296">
        <v>4.22</v>
      </c>
      <c r="D3296">
        <v>47.94</v>
      </c>
      <c r="E3296">
        <v>1.94</v>
      </c>
      <c r="F3296">
        <v>47.98</v>
      </c>
      <c r="G3296">
        <v>47.99</v>
      </c>
      <c r="H3296">
        <v>25399</v>
      </c>
      <c r="I3296">
        <v>2</v>
      </c>
      <c r="J3296">
        <v>-0.03</v>
      </c>
      <c r="K3296">
        <v>8.18</v>
      </c>
      <c r="L3296">
        <v>46.05</v>
      </c>
      <c r="M3296">
        <v>48.88</v>
      </c>
      <c r="N3296">
        <v>46.05</v>
      </c>
      <c r="O3296">
        <v>46</v>
      </c>
      <c r="P3296">
        <v>26.2</v>
      </c>
      <c r="Q3296">
        <v>121595048</v>
      </c>
      <c r="R3296">
        <v>1.26</v>
      </c>
      <c r="S3296" t="s">
        <v>49</v>
      </c>
      <c r="T3296" t="s">
        <v>253</v>
      </c>
      <c r="U3296">
        <v>6.15</v>
      </c>
      <c r="V3296">
        <v>47.87</v>
      </c>
      <c r="W3296">
        <v>12236</v>
      </c>
      <c r="X3296">
        <v>13163</v>
      </c>
      <c r="Y3296">
        <v>0.93</v>
      </c>
      <c r="Z3296">
        <v>2</v>
      </c>
      <c r="AA3296">
        <v>199</v>
      </c>
      <c r="AB3296" t="s">
        <v>32</v>
      </c>
      <c r="AC3296">
        <v>0.31</v>
      </c>
    </row>
    <row r="3297" spans="1:29">
      <c r="A3297" t="str">
        <f>"603466"</f>
        <v>603466</v>
      </c>
      <c r="B3297" t="s">
        <v>3467</v>
      </c>
      <c r="C3297">
        <v>1.62</v>
      </c>
      <c r="D3297">
        <v>28.26</v>
      </c>
      <c r="E3297">
        <v>0.45</v>
      </c>
      <c r="F3297">
        <v>28.22</v>
      </c>
      <c r="G3297">
        <v>28.23</v>
      </c>
      <c r="H3297">
        <v>54243</v>
      </c>
      <c r="I3297">
        <v>13</v>
      </c>
      <c r="J3297">
        <v>-0.17</v>
      </c>
      <c r="K3297">
        <v>7.53</v>
      </c>
      <c r="L3297">
        <v>27.61</v>
      </c>
      <c r="M3297">
        <v>28.45</v>
      </c>
      <c r="N3297">
        <v>27.54</v>
      </c>
      <c r="O3297">
        <v>27.81</v>
      </c>
      <c r="P3297">
        <v>29.04</v>
      </c>
      <c r="Q3297">
        <v>152496384</v>
      </c>
      <c r="R3297">
        <v>1.58</v>
      </c>
      <c r="S3297" t="s">
        <v>57</v>
      </c>
      <c r="T3297" t="s">
        <v>366</v>
      </c>
      <c r="U3297">
        <v>3.27</v>
      </c>
      <c r="V3297">
        <v>28.11</v>
      </c>
      <c r="W3297">
        <v>27260</v>
      </c>
      <c r="X3297">
        <v>26983</v>
      </c>
      <c r="Y3297">
        <v>1.01</v>
      </c>
      <c r="Z3297">
        <v>45</v>
      </c>
      <c r="AA3297">
        <v>8</v>
      </c>
      <c r="AB3297" t="s">
        <v>32</v>
      </c>
      <c r="AC3297">
        <v>0.72</v>
      </c>
    </row>
    <row r="3298" spans="1:29">
      <c r="A3298" t="str">
        <f>"603477"</f>
        <v>603477</v>
      </c>
      <c r="B3298" t="s">
        <v>3468</v>
      </c>
      <c r="C3298">
        <v>1.09</v>
      </c>
      <c r="D3298">
        <v>14.86</v>
      </c>
      <c r="E3298">
        <v>0.16</v>
      </c>
      <c r="F3298">
        <v>14.86</v>
      </c>
      <c r="G3298">
        <v>14.87</v>
      </c>
      <c r="H3298">
        <v>75845</v>
      </c>
      <c r="I3298">
        <v>14</v>
      </c>
      <c r="J3298">
        <v>0.27</v>
      </c>
      <c r="K3298">
        <v>12.64</v>
      </c>
      <c r="L3298">
        <v>14.87</v>
      </c>
      <c r="M3298">
        <v>14.97</v>
      </c>
      <c r="N3298">
        <v>14.5</v>
      </c>
      <c r="O3298">
        <v>14.7</v>
      </c>
      <c r="P3298">
        <v>72.9</v>
      </c>
      <c r="Q3298">
        <v>111989592</v>
      </c>
      <c r="R3298">
        <v>0.57</v>
      </c>
      <c r="S3298" t="s">
        <v>99</v>
      </c>
      <c r="T3298" t="s">
        <v>146</v>
      </c>
      <c r="U3298">
        <v>3.2</v>
      </c>
      <c r="V3298">
        <v>14.77</v>
      </c>
      <c r="W3298">
        <v>37566</v>
      </c>
      <c r="X3298">
        <v>38279</v>
      </c>
      <c r="Y3298">
        <v>0.98</v>
      </c>
      <c r="Z3298">
        <v>38</v>
      </c>
      <c r="AA3298">
        <v>102</v>
      </c>
      <c r="AB3298" t="s">
        <v>32</v>
      </c>
      <c r="AC3298">
        <v>0.6</v>
      </c>
    </row>
    <row r="3299" spans="1:29">
      <c r="A3299" t="str">
        <f>"603486"</f>
        <v>603486</v>
      </c>
      <c r="B3299" t="s">
        <v>3469</v>
      </c>
      <c r="C3299">
        <v>5.22</v>
      </c>
      <c r="D3299">
        <v>65.67</v>
      </c>
      <c r="E3299">
        <v>3.26</v>
      </c>
      <c r="F3299">
        <v>65.68</v>
      </c>
      <c r="G3299">
        <v>65.69</v>
      </c>
      <c r="H3299">
        <v>98833</v>
      </c>
      <c r="I3299">
        <v>16</v>
      </c>
      <c r="J3299">
        <v>0.24</v>
      </c>
      <c r="K3299">
        <v>24.65</v>
      </c>
      <c r="L3299">
        <v>62.58</v>
      </c>
      <c r="M3299">
        <v>66</v>
      </c>
      <c r="N3299">
        <v>62.3</v>
      </c>
      <c r="O3299">
        <v>62.41</v>
      </c>
      <c r="P3299">
        <v>71.37</v>
      </c>
      <c r="Q3299">
        <v>640104640</v>
      </c>
      <c r="R3299">
        <v>1.07</v>
      </c>
      <c r="S3299" t="s">
        <v>55</v>
      </c>
      <c r="T3299" t="s">
        <v>87</v>
      </c>
      <c r="U3299">
        <v>5.93</v>
      </c>
      <c r="V3299">
        <v>64.77</v>
      </c>
      <c r="W3299">
        <v>45880</v>
      </c>
      <c r="X3299">
        <v>52952</v>
      </c>
      <c r="Y3299">
        <v>0.87</v>
      </c>
      <c r="Z3299">
        <v>4</v>
      </c>
      <c r="AA3299">
        <v>76</v>
      </c>
      <c r="AB3299" t="s">
        <v>32</v>
      </c>
      <c r="AC3299">
        <v>0.4</v>
      </c>
    </row>
    <row r="3300" spans="1:29">
      <c r="A3300" t="str">
        <f>"603488"</f>
        <v>603488</v>
      </c>
      <c r="B3300" t="s">
        <v>3470</v>
      </c>
      <c r="C3300">
        <v>2.25</v>
      </c>
      <c r="D3300">
        <v>9.54</v>
      </c>
      <c r="E3300">
        <v>0.21</v>
      </c>
      <c r="F3300">
        <v>9.54</v>
      </c>
      <c r="G3300">
        <v>9.55</v>
      </c>
      <c r="H3300">
        <v>40977</v>
      </c>
      <c r="I3300">
        <v>25</v>
      </c>
      <c r="J3300">
        <v>0.21</v>
      </c>
      <c r="K3300">
        <v>4.25</v>
      </c>
      <c r="L3300">
        <v>9.39</v>
      </c>
      <c r="M3300">
        <v>9.6</v>
      </c>
      <c r="N3300">
        <v>9.33</v>
      </c>
      <c r="O3300">
        <v>9.33</v>
      </c>
      <c r="P3300">
        <v>60.92</v>
      </c>
      <c r="Q3300">
        <v>38801092</v>
      </c>
      <c r="R3300">
        <v>1.51</v>
      </c>
      <c r="S3300" t="s">
        <v>104</v>
      </c>
      <c r="T3300" t="s">
        <v>87</v>
      </c>
      <c r="U3300">
        <v>2.89</v>
      </c>
      <c r="V3300">
        <v>9.47</v>
      </c>
      <c r="W3300">
        <v>20582</v>
      </c>
      <c r="X3300">
        <v>20394</v>
      </c>
      <c r="Y3300">
        <v>1.01</v>
      </c>
      <c r="Z3300">
        <v>111</v>
      </c>
      <c r="AA3300">
        <v>1</v>
      </c>
      <c r="AB3300" t="s">
        <v>32</v>
      </c>
      <c r="AC3300">
        <v>0.96</v>
      </c>
    </row>
    <row r="3301" spans="1:29">
      <c r="A3301" t="str">
        <f>"603496"</f>
        <v>603496</v>
      </c>
      <c r="B3301" t="s">
        <v>3471</v>
      </c>
      <c r="C3301">
        <v>-0.04</v>
      </c>
      <c r="D3301">
        <v>24.01</v>
      </c>
      <c r="E3301">
        <v>-0.01</v>
      </c>
      <c r="F3301">
        <v>23.98</v>
      </c>
      <c r="G3301">
        <v>24</v>
      </c>
      <c r="H3301">
        <v>15999</v>
      </c>
      <c r="I3301">
        <v>11</v>
      </c>
      <c r="J3301">
        <v>0.21</v>
      </c>
      <c r="K3301">
        <v>2.1</v>
      </c>
      <c r="L3301">
        <v>23.82</v>
      </c>
      <c r="M3301">
        <v>24.31</v>
      </c>
      <c r="N3301">
        <v>23.6</v>
      </c>
      <c r="O3301">
        <v>24.02</v>
      </c>
      <c r="P3301">
        <v>44.96</v>
      </c>
      <c r="Q3301">
        <v>38320556</v>
      </c>
      <c r="R3301">
        <v>0.56</v>
      </c>
      <c r="S3301" t="s">
        <v>65</v>
      </c>
      <c r="T3301" t="s">
        <v>366</v>
      </c>
      <c r="U3301">
        <v>2.96</v>
      </c>
      <c r="V3301">
        <v>23.95</v>
      </c>
      <c r="W3301">
        <v>9516</v>
      </c>
      <c r="X3301">
        <v>6482</v>
      </c>
      <c r="Y3301">
        <v>1.47</v>
      </c>
      <c r="Z3301">
        <v>1</v>
      </c>
      <c r="AA3301">
        <v>3</v>
      </c>
      <c r="AB3301" t="s">
        <v>32</v>
      </c>
      <c r="AC3301">
        <v>0.76</v>
      </c>
    </row>
    <row r="3302" spans="1:29">
      <c r="A3302" t="str">
        <f>"603499"</f>
        <v>603499</v>
      </c>
      <c r="B3302" t="s">
        <v>3472</v>
      </c>
      <c r="C3302">
        <v>3.03</v>
      </c>
      <c r="D3302">
        <v>27.92</v>
      </c>
      <c r="E3302">
        <v>0.82</v>
      </c>
      <c r="F3302">
        <v>27.92</v>
      </c>
      <c r="G3302">
        <v>27.93</v>
      </c>
      <c r="H3302">
        <v>26720</v>
      </c>
      <c r="I3302">
        <v>5</v>
      </c>
      <c r="J3302">
        <v>0.22</v>
      </c>
      <c r="K3302">
        <v>10.69</v>
      </c>
      <c r="L3302">
        <v>27.22</v>
      </c>
      <c r="M3302">
        <v>27.94</v>
      </c>
      <c r="N3302">
        <v>26.2</v>
      </c>
      <c r="O3302">
        <v>27.1</v>
      </c>
      <c r="P3302">
        <v>53.53</v>
      </c>
      <c r="Q3302">
        <v>73438688</v>
      </c>
      <c r="R3302">
        <v>1.03</v>
      </c>
      <c r="S3302" t="s">
        <v>91</v>
      </c>
      <c r="T3302" t="s">
        <v>366</v>
      </c>
      <c r="U3302">
        <v>6.42</v>
      </c>
      <c r="V3302">
        <v>27.48</v>
      </c>
      <c r="W3302">
        <v>11263</v>
      </c>
      <c r="X3302">
        <v>15457</v>
      </c>
      <c r="Y3302">
        <v>0.73</v>
      </c>
      <c r="Z3302">
        <v>9</v>
      </c>
      <c r="AA3302">
        <v>180</v>
      </c>
      <c r="AB3302" t="s">
        <v>32</v>
      </c>
      <c r="AC3302">
        <v>0.25</v>
      </c>
    </row>
    <row r="3303" spans="1:29">
      <c r="A3303" t="str">
        <f>"603500"</f>
        <v>603500</v>
      </c>
      <c r="B3303" t="s">
        <v>3473</v>
      </c>
      <c r="C3303">
        <v>2.72</v>
      </c>
      <c r="D3303">
        <v>14.74</v>
      </c>
      <c r="E3303">
        <v>0.39</v>
      </c>
      <c r="F3303">
        <v>14.72</v>
      </c>
      <c r="G3303">
        <v>14.73</v>
      </c>
      <c r="H3303">
        <v>55701</v>
      </c>
      <c r="I3303">
        <v>4</v>
      </c>
      <c r="J3303">
        <v>-0.19</v>
      </c>
      <c r="K3303">
        <v>12.63</v>
      </c>
      <c r="L3303">
        <v>14.38</v>
      </c>
      <c r="M3303">
        <v>15.2</v>
      </c>
      <c r="N3303">
        <v>14.2</v>
      </c>
      <c r="O3303">
        <v>14.35</v>
      </c>
      <c r="P3303">
        <v>57.42</v>
      </c>
      <c r="Q3303">
        <v>81809280</v>
      </c>
      <c r="R3303">
        <v>2.21</v>
      </c>
      <c r="S3303" t="s">
        <v>44</v>
      </c>
      <c r="T3303" t="s">
        <v>149</v>
      </c>
      <c r="U3303">
        <v>6.97</v>
      </c>
      <c r="V3303">
        <v>14.69</v>
      </c>
      <c r="W3303">
        <v>26568</v>
      </c>
      <c r="X3303">
        <v>29133</v>
      </c>
      <c r="Y3303">
        <v>0.91</v>
      </c>
      <c r="Z3303">
        <v>140</v>
      </c>
      <c r="AA3303">
        <v>54</v>
      </c>
      <c r="AB3303" t="s">
        <v>32</v>
      </c>
      <c r="AC3303">
        <v>0.44</v>
      </c>
    </row>
    <row r="3304" spans="1:29">
      <c r="A3304" t="str">
        <f>"603501"</f>
        <v>603501</v>
      </c>
      <c r="B3304" t="s">
        <v>3474</v>
      </c>
      <c r="C3304">
        <v>0</v>
      </c>
      <c r="D3304">
        <v>37.7</v>
      </c>
      <c r="E3304">
        <v>0</v>
      </c>
      <c r="F3304" t="s">
        <v>32</v>
      </c>
      <c r="G3304" t="s">
        <v>32</v>
      </c>
      <c r="H3304">
        <v>0</v>
      </c>
      <c r="I3304">
        <v>0</v>
      </c>
      <c r="J3304">
        <v>0</v>
      </c>
      <c r="K3304">
        <v>0</v>
      </c>
      <c r="L3304" t="s">
        <v>32</v>
      </c>
      <c r="M3304" t="s">
        <v>32</v>
      </c>
      <c r="N3304" t="s">
        <v>32</v>
      </c>
      <c r="O3304">
        <v>37.7</v>
      </c>
      <c r="P3304">
        <v>100.19</v>
      </c>
      <c r="Q3304">
        <v>0</v>
      </c>
      <c r="R3304">
        <v>0</v>
      </c>
      <c r="S3304" t="s">
        <v>699</v>
      </c>
      <c r="T3304" t="s">
        <v>366</v>
      </c>
      <c r="U3304">
        <v>0</v>
      </c>
      <c r="V3304">
        <v>37.7</v>
      </c>
      <c r="W3304">
        <v>0</v>
      </c>
      <c r="X3304">
        <v>0</v>
      </c>
      <c r="Y3304" t="s">
        <v>32</v>
      </c>
      <c r="Z3304">
        <v>0</v>
      </c>
      <c r="AA3304">
        <v>0</v>
      </c>
      <c r="AB3304" t="s">
        <v>32</v>
      </c>
      <c r="AC3304">
        <v>1.37</v>
      </c>
    </row>
    <row r="3305" spans="1:29">
      <c r="A3305" t="str">
        <f>"603505"</f>
        <v>603505</v>
      </c>
      <c r="B3305" t="s">
        <v>3475</v>
      </c>
      <c r="C3305">
        <v>0.99</v>
      </c>
      <c r="D3305">
        <v>16.29</v>
      </c>
      <c r="E3305">
        <v>0.16</v>
      </c>
      <c r="F3305">
        <v>16.28</v>
      </c>
      <c r="G3305">
        <v>16.3</v>
      </c>
      <c r="H3305">
        <v>39062</v>
      </c>
      <c r="I3305">
        <v>5</v>
      </c>
      <c r="J3305">
        <v>0.12</v>
      </c>
      <c r="K3305">
        <v>3.49</v>
      </c>
      <c r="L3305">
        <v>16.04</v>
      </c>
      <c r="M3305">
        <v>16.47</v>
      </c>
      <c r="N3305">
        <v>16.01</v>
      </c>
      <c r="O3305">
        <v>16.13</v>
      </c>
      <c r="P3305">
        <v>47.82</v>
      </c>
      <c r="Q3305">
        <v>63684788</v>
      </c>
      <c r="R3305">
        <v>1.39</v>
      </c>
      <c r="S3305" t="s">
        <v>227</v>
      </c>
      <c r="T3305" t="s">
        <v>149</v>
      </c>
      <c r="U3305">
        <v>2.85</v>
      </c>
      <c r="V3305">
        <v>16.3</v>
      </c>
      <c r="W3305">
        <v>19471</v>
      </c>
      <c r="X3305">
        <v>19590</v>
      </c>
      <c r="Y3305">
        <v>0.99</v>
      </c>
      <c r="Z3305">
        <v>38</v>
      </c>
      <c r="AA3305">
        <v>3</v>
      </c>
      <c r="AB3305" t="s">
        <v>32</v>
      </c>
      <c r="AC3305">
        <v>1.12</v>
      </c>
    </row>
    <row r="3306" spans="1:29">
      <c r="A3306" t="str">
        <f>"603506"</f>
        <v>603506</v>
      </c>
      <c r="B3306" t="s">
        <v>3476</v>
      </c>
      <c r="C3306">
        <v>1.68</v>
      </c>
      <c r="D3306">
        <v>32.02</v>
      </c>
      <c r="E3306">
        <v>0.53</v>
      </c>
      <c r="F3306">
        <v>32</v>
      </c>
      <c r="G3306">
        <v>32.01</v>
      </c>
      <c r="H3306">
        <v>19995</v>
      </c>
      <c r="I3306">
        <v>20</v>
      </c>
      <c r="J3306">
        <v>0.13</v>
      </c>
      <c r="K3306">
        <v>7.75</v>
      </c>
      <c r="L3306">
        <v>31.59</v>
      </c>
      <c r="M3306">
        <v>32.48</v>
      </c>
      <c r="N3306">
        <v>31.39</v>
      </c>
      <c r="O3306">
        <v>31.49</v>
      </c>
      <c r="P3306">
        <v>38.96</v>
      </c>
      <c r="Q3306">
        <v>64036184</v>
      </c>
      <c r="R3306">
        <v>1.24</v>
      </c>
      <c r="S3306" t="s">
        <v>38</v>
      </c>
      <c r="T3306" t="s">
        <v>149</v>
      </c>
      <c r="U3306">
        <v>3.46</v>
      </c>
      <c r="V3306">
        <v>32.03</v>
      </c>
      <c r="W3306">
        <v>8989</v>
      </c>
      <c r="X3306">
        <v>11005</v>
      </c>
      <c r="Y3306">
        <v>0.82</v>
      </c>
      <c r="Z3306">
        <v>36</v>
      </c>
      <c r="AA3306">
        <v>2</v>
      </c>
      <c r="AB3306" t="s">
        <v>32</v>
      </c>
      <c r="AC3306">
        <v>0.26</v>
      </c>
    </row>
    <row r="3307" spans="1:29">
      <c r="A3307" t="str">
        <f>"603507"</f>
        <v>603507</v>
      </c>
      <c r="B3307" t="s">
        <v>3477</v>
      </c>
      <c r="C3307">
        <v>2.46</v>
      </c>
      <c r="D3307">
        <v>23.32</v>
      </c>
      <c r="E3307">
        <v>0.56</v>
      </c>
      <c r="F3307">
        <v>23.3</v>
      </c>
      <c r="G3307">
        <v>23.32</v>
      </c>
      <c r="H3307">
        <v>13586</v>
      </c>
      <c r="I3307">
        <v>1</v>
      </c>
      <c r="J3307">
        <v>-0.08</v>
      </c>
      <c r="K3307">
        <v>4.33</v>
      </c>
      <c r="L3307">
        <v>22.82</v>
      </c>
      <c r="M3307">
        <v>23.52</v>
      </c>
      <c r="N3307">
        <v>22.76</v>
      </c>
      <c r="O3307">
        <v>22.76</v>
      </c>
      <c r="P3307">
        <v>84.14</v>
      </c>
      <c r="Q3307">
        <v>31595786</v>
      </c>
      <c r="R3307">
        <v>1.62</v>
      </c>
      <c r="S3307" t="s">
        <v>449</v>
      </c>
      <c r="T3307" t="s">
        <v>87</v>
      </c>
      <c r="U3307">
        <v>3.34</v>
      </c>
      <c r="V3307">
        <v>23.26</v>
      </c>
      <c r="W3307">
        <v>6115</v>
      </c>
      <c r="X3307">
        <v>7471</v>
      </c>
      <c r="Y3307">
        <v>0.82</v>
      </c>
      <c r="Z3307">
        <v>107</v>
      </c>
      <c r="AA3307">
        <v>3</v>
      </c>
      <c r="AB3307" t="s">
        <v>32</v>
      </c>
      <c r="AC3307">
        <v>0.31</v>
      </c>
    </row>
    <row r="3308" spans="1:29">
      <c r="A3308" t="str">
        <f>"603508"</f>
        <v>603508</v>
      </c>
      <c r="B3308" t="s">
        <v>3478</v>
      </c>
      <c r="C3308">
        <v>1.69</v>
      </c>
      <c r="D3308">
        <v>41.46</v>
      </c>
      <c r="E3308">
        <v>0.69</v>
      </c>
      <c r="F3308">
        <v>41.44</v>
      </c>
      <c r="G3308">
        <v>41.45</v>
      </c>
      <c r="H3308">
        <v>17552</v>
      </c>
      <c r="I3308">
        <v>4</v>
      </c>
      <c r="J3308">
        <v>-0.09</v>
      </c>
      <c r="K3308">
        <v>2.69</v>
      </c>
      <c r="L3308">
        <v>40.75</v>
      </c>
      <c r="M3308">
        <v>41.96</v>
      </c>
      <c r="N3308">
        <v>40.21</v>
      </c>
      <c r="O3308">
        <v>40.77</v>
      </c>
      <c r="P3308">
        <v>29.03</v>
      </c>
      <c r="Q3308">
        <v>72576176</v>
      </c>
      <c r="R3308">
        <v>0.77</v>
      </c>
      <c r="S3308" t="s">
        <v>270</v>
      </c>
      <c r="T3308" t="s">
        <v>164</v>
      </c>
      <c r="U3308">
        <v>4.29</v>
      </c>
      <c r="V3308">
        <v>41.35</v>
      </c>
      <c r="W3308">
        <v>8687</v>
      </c>
      <c r="X3308">
        <v>8864</v>
      </c>
      <c r="Y3308">
        <v>0.98</v>
      </c>
      <c r="Z3308">
        <v>2</v>
      </c>
      <c r="AA3308">
        <v>13</v>
      </c>
      <c r="AB3308" t="s">
        <v>32</v>
      </c>
      <c r="AC3308">
        <v>0.65</v>
      </c>
    </row>
    <row r="3309" spans="1:29">
      <c r="A3309" t="str">
        <f>"603515"</f>
        <v>603515</v>
      </c>
      <c r="B3309" t="s">
        <v>3479</v>
      </c>
      <c r="C3309">
        <v>7.35</v>
      </c>
      <c r="D3309">
        <v>47.44</v>
      </c>
      <c r="E3309">
        <v>3.25</v>
      </c>
      <c r="F3309">
        <v>47.46</v>
      </c>
      <c r="G3309">
        <v>47.49</v>
      </c>
      <c r="H3309">
        <v>33867</v>
      </c>
      <c r="I3309">
        <v>9</v>
      </c>
      <c r="J3309">
        <v>0.34</v>
      </c>
      <c r="K3309">
        <v>3.46</v>
      </c>
      <c r="L3309">
        <v>44.27</v>
      </c>
      <c r="M3309">
        <v>48.48</v>
      </c>
      <c r="N3309">
        <v>44.05</v>
      </c>
      <c r="O3309">
        <v>44.19</v>
      </c>
      <c r="P3309">
        <v>98.31</v>
      </c>
      <c r="Q3309">
        <v>158276400</v>
      </c>
      <c r="R3309">
        <v>3.07</v>
      </c>
      <c r="S3309" t="s">
        <v>104</v>
      </c>
      <c r="T3309" t="s">
        <v>366</v>
      </c>
      <c r="U3309">
        <v>10.02</v>
      </c>
      <c r="V3309">
        <v>46.74</v>
      </c>
      <c r="W3309">
        <v>13194</v>
      </c>
      <c r="X3309">
        <v>20672</v>
      </c>
      <c r="Y3309">
        <v>0.64</v>
      </c>
      <c r="Z3309">
        <v>1</v>
      </c>
      <c r="AA3309">
        <v>17</v>
      </c>
      <c r="AB3309" t="s">
        <v>32</v>
      </c>
      <c r="AC3309">
        <v>0.98</v>
      </c>
    </row>
    <row r="3310" spans="1:29">
      <c r="A3310" t="str">
        <f>"603516"</f>
        <v>603516</v>
      </c>
      <c r="B3310" t="s">
        <v>3480</v>
      </c>
      <c r="C3310">
        <v>0.3</v>
      </c>
      <c r="D3310">
        <v>36.6</v>
      </c>
      <c r="E3310">
        <v>0.11</v>
      </c>
      <c r="F3310">
        <v>36.62</v>
      </c>
      <c r="G3310">
        <v>36.63</v>
      </c>
      <c r="H3310">
        <v>29544</v>
      </c>
      <c r="I3310">
        <v>22</v>
      </c>
      <c r="J3310">
        <v>0.11</v>
      </c>
      <c r="K3310">
        <v>9.02</v>
      </c>
      <c r="L3310">
        <v>36.59</v>
      </c>
      <c r="M3310">
        <v>36.8</v>
      </c>
      <c r="N3310">
        <v>35.98</v>
      </c>
      <c r="O3310">
        <v>36.49</v>
      </c>
      <c r="P3310">
        <v>52.37</v>
      </c>
      <c r="Q3310">
        <v>107696448</v>
      </c>
      <c r="R3310">
        <v>1.13</v>
      </c>
      <c r="S3310" t="s">
        <v>119</v>
      </c>
      <c r="T3310" t="s">
        <v>45</v>
      </c>
      <c r="U3310">
        <v>2.25</v>
      </c>
      <c r="V3310">
        <v>36.45</v>
      </c>
      <c r="W3310">
        <v>15367</v>
      </c>
      <c r="X3310">
        <v>14177</v>
      </c>
      <c r="Y3310">
        <v>1.08</v>
      </c>
      <c r="Z3310">
        <v>1</v>
      </c>
      <c r="AA3310">
        <v>32</v>
      </c>
      <c r="AB3310" t="s">
        <v>32</v>
      </c>
      <c r="AC3310">
        <v>0.33</v>
      </c>
    </row>
    <row r="3311" spans="1:29">
      <c r="A3311" t="str">
        <f>"603517"</f>
        <v>603517</v>
      </c>
      <c r="B3311" t="s">
        <v>3481</v>
      </c>
      <c r="C3311">
        <v>-0.6</v>
      </c>
      <c r="D3311">
        <v>41.31</v>
      </c>
      <c r="E3311">
        <v>-0.25</v>
      </c>
      <c r="F3311">
        <v>41.29</v>
      </c>
      <c r="G3311">
        <v>41.3</v>
      </c>
      <c r="H3311">
        <v>21637</v>
      </c>
      <c r="I3311">
        <v>2</v>
      </c>
      <c r="J3311">
        <v>0.12</v>
      </c>
      <c r="K3311">
        <v>1.32</v>
      </c>
      <c r="L3311">
        <v>41.04</v>
      </c>
      <c r="M3311">
        <v>41.75</v>
      </c>
      <c r="N3311">
        <v>39.89</v>
      </c>
      <c r="O3311">
        <v>41.56</v>
      </c>
      <c r="P3311">
        <v>28.12</v>
      </c>
      <c r="Q3311">
        <v>88311656</v>
      </c>
      <c r="R3311">
        <v>1.29</v>
      </c>
      <c r="S3311" t="s">
        <v>213</v>
      </c>
      <c r="T3311" t="s">
        <v>152</v>
      </c>
      <c r="U3311">
        <v>4.48</v>
      </c>
      <c r="V3311">
        <v>40.81</v>
      </c>
      <c r="W3311">
        <v>9557</v>
      </c>
      <c r="X3311">
        <v>12080</v>
      </c>
      <c r="Y3311">
        <v>0.79</v>
      </c>
      <c r="Z3311">
        <v>7</v>
      </c>
      <c r="AA3311">
        <v>11</v>
      </c>
      <c r="AB3311" t="s">
        <v>32</v>
      </c>
      <c r="AC3311">
        <v>1.64</v>
      </c>
    </row>
    <row r="3312" spans="1:29">
      <c r="A3312" t="str">
        <f>"603518"</f>
        <v>603518</v>
      </c>
      <c r="B3312" t="s">
        <v>3482</v>
      </c>
      <c r="C3312">
        <v>1.43</v>
      </c>
      <c r="D3312">
        <v>19.89</v>
      </c>
      <c r="E3312">
        <v>0.28</v>
      </c>
      <c r="F3312">
        <v>19.88</v>
      </c>
      <c r="G3312">
        <v>19.89</v>
      </c>
      <c r="H3312">
        <v>12906</v>
      </c>
      <c r="I3312">
        <v>4</v>
      </c>
      <c r="J3312">
        <v>0</v>
      </c>
      <c r="K3312">
        <v>0.87</v>
      </c>
      <c r="L3312">
        <v>19.48</v>
      </c>
      <c r="M3312">
        <v>19.95</v>
      </c>
      <c r="N3312">
        <v>19.48</v>
      </c>
      <c r="O3312">
        <v>19.61</v>
      </c>
      <c r="P3312">
        <v>13.79</v>
      </c>
      <c r="Q3312">
        <v>25533978</v>
      </c>
      <c r="R3312">
        <v>1.22</v>
      </c>
      <c r="S3312" t="s">
        <v>622</v>
      </c>
      <c r="T3312" t="s">
        <v>87</v>
      </c>
      <c r="U3312">
        <v>2.4</v>
      </c>
      <c r="V3312">
        <v>19.78</v>
      </c>
      <c r="W3312">
        <v>6173</v>
      </c>
      <c r="X3312">
        <v>6733</v>
      </c>
      <c r="Y3312">
        <v>0.92</v>
      </c>
      <c r="Z3312">
        <v>65</v>
      </c>
      <c r="AA3312">
        <v>168</v>
      </c>
      <c r="AB3312" t="s">
        <v>32</v>
      </c>
      <c r="AC3312">
        <v>1.48</v>
      </c>
    </row>
    <row r="3313" spans="1:29">
      <c r="A3313" t="str">
        <f>"603519"</f>
        <v>603519</v>
      </c>
      <c r="B3313" t="s">
        <v>3483</v>
      </c>
      <c r="C3313">
        <v>2.86</v>
      </c>
      <c r="D3313">
        <v>8.28</v>
      </c>
      <c r="E3313">
        <v>0.23</v>
      </c>
      <c r="F3313">
        <v>8.28</v>
      </c>
      <c r="G3313">
        <v>8.29</v>
      </c>
      <c r="H3313">
        <v>28028</v>
      </c>
      <c r="I3313">
        <v>36</v>
      </c>
      <c r="J3313">
        <v>0.24</v>
      </c>
      <c r="K3313">
        <v>1.26</v>
      </c>
      <c r="L3313">
        <v>8.08</v>
      </c>
      <c r="M3313">
        <v>8.48</v>
      </c>
      <c r="N3313">
        <v>8.02</v>
      </c>
      <c r="O3313">
        <v>8.05</v>
      </c>
      <c r="P3313">
        <v>27.28</v>
      </c>
      <c r="Q3313">
        <v>23100808</v>
      </c>
      <c r="R3313">
        <v>1.02</v>
      </c>
      <c r="S3313" t="s">
        <v>55</v>
      </c>
      <c r="T3313" t="s">
        <v>87</v>
      </c>
      <c r="U3313">
        <v>5.71</v>
      </c>
      <c r="V3313">
        <v>8.24</v>
      </c>
      <c r="W3313">
        <v>12405</v>
      </c>
      <c r="X3313">
        <v>15622</v>
      </c>
      <c r="Y3313">
        <v>0.79</v>
      </c>
      <c r="Z3313">
        <v>6</v>
      </c>
      <c r="AA3313">
        <v>191</v>
      </c>
      <c r="AB3313" t="s">
        <v>32</v>
      </c>
      <c r="AC3313">
        <v>2.22</v>
      </c>
    </row>
    <row r="3314" spans="1:29">
      <c r="A3314" t="str">
        <f>"603520"</f>
        <v>603520</v>
      </c>
      <c r="B3314" t="s">
        <v>3484</v>
      </c>
      <c r="C3314">
        <v>10.01</v>
      </c>
      <c r="D3314">
        <v>23.51</v>
      </c>
      <c r="E3314">
        <v>2.14</v>
      </c>
      <c r="F3314">
        <v>23.51</v>
      </c>
      <c r="G3314" t="s">
        <v>32</v>
      </c>
      <c r="H3314">
        <v>20293</v>
      </c>
      <c r="I3314">
        <v>12</v>
      </c>
      <c r="J3314">
        <v>0</v>
      </c>
      <c r="K3314">
        <v>3.14</v>
      </c>
      <c r="L3314">
        <v>21.08</v>
      </c>
      <c r="M3314">
        <v>23.51</v>
      </c>
      <c r="N3314">
        <v>21.08</v>
      </c>
      <c r="O3314">
        <v>21.37</v>
      </c>
      <c r="P3314">
        <v>31.83</v>
      </c>
      <c r="Q3314">
        <v>46547536</v>
      </c>
      <c r="R3314">
        <v>1.84</v>
      </c>
      <c r="S3314" t="s">
        <v>142</v>
      </c>
      <c r="T3314" t="s">
        <v>149</v>
      </c>
      <c r="U3314">
        <v>11.37</v>
      </c>
      <c r="V3314">
        <v>22.94</v>
      </c>
      <c r="W3314">
        <v>16154</v>
      </c>
      <c r="X3314">
        <v>4139</v>
      </c>
      <c r="Y3314">
        <v>3.9</v>
      </c>
      <c r="Z3314">
        <v>2645</v>
      </c>
      <c r="AA3314">
        <v>0</v>
      </c>
      <c r="AB3314" t="s">
        <v>32</v>
      </c>
      <c r="AC3314">
        <v>0.65</v>
      </c>
    </row>
    <row r="3315" spans="1:29">
      <c r="A3315" t="str">
        <f>"603527"</f>
        <v>603527</v>
      </c>
      <c r="B3315" t="s">
        <v>3485</v>
      </c>
      <c r="C3315">
        <v>2.03</v>
      </c>
      <c r="D3315">
        <v>16.6</v>
      </c>
      <c r="E3315">
        <v>0.33</v>
      </c>
      <c r="F3315">
        <v>16.61</v>
      </c>
      <c r="G3315">
        <v>16.62</v>
      </c>
      <c r="H3315">
        <v>46804</v>
      </c>
      <c r="I3315">
        <v>22</v>
      </c>
      <c r="J3315">
        <v>0.06</v>
      </c>
      <c r="K3315">
        <v>10.75</v>
      </c>
      <c r="L3315">
        <v>16.1</v>
      </c>
      <c r="M3315">
        <v>16.86</v>
      </c>
      <c r="N3315">
        <v>16.1</v>
      </c>
      <c r="O3315">
        <v>16.27</v>
      </c>
      <c r="P3315">
        <v>33.63</v>
      </c>
      <c r="Q3315">
        <v>77578312</v>
      </c>
      <c r="R3315">
        <v>1.15</v>
      </c>
      <c r="S3315" t="s">
        <v>340</v>
      </c>
      <c r="T3315" t="s">
        <v>143</v>
      </c>
      <c r="U3315">
        <v>4.67</v>
      </c>
      <c r="V3315">
        <v>16.58</v>
      </c>
      <c r="W3315">
        <v>22819</v>
      </c>
      <c r="X3315">
        <v>23984</v>
      </c>
      <c r="Y3315">
        <v>0.95</v>
      </c>
      <c r="Z3315">
        <v>8</v>
      </c>
      <c r="AA3315">
        <v>91</v>
      </c>
      <c r="AB3315" t="s">
        <v>32</v>
      </c>
      <c r="AC3315">
        <v>0.44</v>
      </c>
    </row>
    <row r="3316" spans="1:29">
      <c r="A3316" t="str">
        <f>"603528"</f>
        <v>603528</v>
      </c>
      <c r="B3316" t="s">
        <v>3486</v>
      </c>
      <c r="C3316">
        <v>0.63</v>
      </c>
      <c r="D3316">
        <v>8.01</v>
      </c>
      <c r="E3316">
        <v>0.05</v>
      </c>
      <c r="F3316">
        <v>8.01</v>
      </c>
      <c r="G3316">
        <v>8.02</v>
      </c>
      <c r="H3316">
        <v>47676</v>
      </c>
      <c r="I3316">
        <v>5</v>
      </c>
      <c r="J3316">
        <v>-0.11</v>
      </c>
      <c r="K3316">
        <v>2.54</v>
      </c>
      <c r="L3316">
        <v>7.92</v>
      </c>
      <c r="M3316">
        <v>8.11</v>
      </c>
      <c r="N3316">
        <v>7.88</v>
      </c>
      <c r="O3316">
        <v>7.96</v>
      </c>
      <c r="P3316">
        <v>33.3</v>
      </c>
      <c r="Q3316">
        <v>38300880</v>
      </c>
      <c r="R3316">
        <v>1.42</v>
      </c>
      <c r="S3316" t="s">
        <v>270</v>
      </c>
      <c r="T3316" t="s">
        <v>87</v>
      </c>
      <c r="U3316">
        <v>2.89</v>
      </c>
      <c r="V3316">
        <v>8.03</v>
      </c>
      <c r="W3316">
        <v>23124</v>
      </c>
      <c r="X3316">
        <v>24551</v>
      </c>
      <c r="Y3316">
        <v>0.94</v>
      </c>
      <c r="Z3316">
        <v>19</v>
      </c>
      <c r="AA3316">
        <v>666</v>
      </c>
      <c r="AB3316" t="s">
        <v>32</v>
      </c>
      <c r="AC3316">
        <v>1.88</v>
      </c>
    </row>
    <row r="3317" spans="1:29">
      <c r="A3317" t="str">
        <f>"603533"</f>
        <v>603533</v>
      </c>
      <c r="B3317" t="s">
        <v>3487</v>
      </c>
      <c r="C3317">
        <v>1.67</v>
      </c>
      <c r="D3317">
        <v>31.07</v>
      </c>
      <c r="E3317">
        <v>0.51</v>
      </c>
      <c r="F3317">
        <v>31.05</v>
      </c>
      <c r="G3317">
        <v>31.06</v>
      </c>
      <c r="H3317">
        <v>25070</v>
      </c>
      <c r="I3317">
        <v>35</v>
      </c>
      <c r="J3317">
        <v>-0.02</v>
      </c>
      <c r="K3317">
        <v>6.11</v>
      </c>
      <c r="L3317">
        <v>30.6</v>
      </c>
      <c r="M3317">
        <v>31.2</v>
      </c>
      <c r="N3317">
        <v>29.92</v>
      </c>
      <c r="O3317">
        <v>30.56</v>
      </c>
      <c r="P3317">
        <v>87.18</v>
      </c>
      <c r="Q3317">
        <v>76867504</v>
      </c>
      <c r="R3317">
        <v>1.23</v>
      </c>
      <c r="S3317" t="s">
        <v>316</v>
      </c>
      <c r="T3317" t="s">
        <v>45</v>
      </c>
      <c r="U3317">
        <v>4.19</v>
      </c>
      <c r="V3317">
        <v>30.66</v>
      </c>
      <c r="W3317">
        <v>11562</v>
      </c>
      <c r="X3317">
        <v>13507</v>
      </c>
      <c r="Y3317">
        <v>0.86</v>
      </c>
      <c r="Z3317">
        <v>50</v>
      </c>
      <c r="AA3317">
        <v>3</v>
      </c>
      <c r="AB3317" t="s">
        <v>32</v>
      </c>
      <c r="AC3317">
        <v>0.41</v>
      </c>
    </row>
    <row r="3318" spans="1:29">
      <c r="A3318" t="str">
        <f>"603535"</f>
        <v>603535</v>
      </c>
      <c r="B3318" t="s">
        <v>3488</v>
      </c>
      <c r="C3318">
        <v>2.05</v>
      </c>
      <c r="D3318">
        <v>24.45</v>
      </c>
      <c r="E3318">
        <v>0.49</v>
      </c>
      <c r="F3318">
        <v>24.45</v>
      </c>
      <c r="G3318">
        <v>24.46</v>
      </c>
      <c r="H3318">
        <v>29248</v>
      </c>
      <c r="I3318">
        <v>31</v>
      </c>
      <c r="J3318">
        <v>-0.07</v>
      </c>
      <c r="K3318">
        <v>7.78</v>
      </c>
      <c r="L3318">
        <v>23.86</v>
      </c>
      <c r="M3318">
        <v>24.52</v>
      </c>
      <c r="N3318">
        <v>23.82</v>
      </c>
      <c r="O3318">
        <v>23.96</v>
      </c>
      <c r="P3318">
        <v>34.4</v>
      </c>
      <c r="Q3318">
        <v>71055160</v>
      </c>
      <c r="R3318">
        <v>1.12</v>
      </c>
      <c r="S3318" t="s">
        <v>742</v>
      </c>
      <c r="T3318" t="s">
        <v>136</v>
      </c>
      <c r="U3318">
        <v>2.92</v>
      </c>
      <c r="V3318">
        <v>24.29</v>
      </c>
      <c r="W3318">
        <v>12972</v>
      </c>
      <c r="X3318">
        <v>16276</v>
      </c>
      <c r="Y3318">
        <v>0.8</v>
      </c>
      <c r="Z3318">
        <v>1</v>
      </c>
      <c r="AA3318">
        <v>9</v>
      </c>
      <c r="AB3318" t="s">
        <v>32</v>
      </c>
      <c r="AC3318">
        <v>0.38</v>
      </c>
    </row>
    <row r="3319" spans="1:29">
      <c r="A3319" t="str">
        <f>"603536"</f>
        <v>603536</v>
      </c>
      <c r="B3319" t="s">
        <v>3489</v>
      </c>
      <c r="C3319">
        <v>1.83</v>
      </c>
      <c r="D3319">
        <v>10.03</v>
      </c>
      <c r="E3319">
        <v>0.18</v>
      </c>
      <c r="F3319">
        <v>10.03</v>
      </c>
      <c r="G3319">
        <v>10.04</v>
      </c>
      <c r="H3319">
        <v>28418</v>
      </c>
      <c r="I3319">
        <v>12</v>
      </c>
      <c r="J3319">
        <v>0</v>
      </c>
      <c r="K3319">
        <v>4.72</v>
      </c>
      <c r="L3319">
        <v>9.88</v>
      </c>
      <c r="M3319">
        <v>10.08</v>
      </c>
      <c r="N3319">
        <v>9.81</v>
      </c>
      <c r="O3319">
        <v>9.85</v>
      </c>
      <c r="P3319">
        <v>201.6</v>
      </c>
      <c r="Q3319">
        <v>28341328</v>
      </c>
      <c r="R3319">
        <v>1.16</v>
      </c>
      <c r="S3319" t="s">
        <v>213</v>
      </c>
      <c r="T3319" t="s">
        <v>162</v>
      </c>
      <c r="U3319">
        <v>2.74</v>
      </c>
      <c r="V3319">
        <v>9.97</v>
      </c>
      <c r="W3319">
        <v>13184</v>
      </c>
      <c r="X3319">
        <v>15234</v>
      </c>
      <c r="Y3319">
        <v>0.87</v>
      </c>
      <c r="Z3319">
        <v>115</v>
      </c>
      <c r="AA3319">
        <v>92</v>
      </c>
      <c r="AB3319" t="s">
        <v>32</v>
      </c>
      <c r="AC3319">
        <v>0.6</v>
      </c>
    </row>
    <row r="3320" spans="1:29">
      <c r="A3320" t="str">
        <f>"603538"</f>
        <v>603538</v>
      </c>
      <c r="B3320" t="s">
        <v>3490</v>
      </c>
      <c r="C3320">
        <v>9.98</v>
      </c>
      <c r="D3320">
        <v>16.97</v>
      </c>
      <c r="E3320">
        <v>1.54</v>
      </c>
      <c r="F3320">
        <v>16.97</v>
      </c>
      <c r="G3320" t="s">
        <v>32</v>
      </c>
      <c r="H3320">
        <v>52606</v>
      </c>
      <c r="I3320">
        <v>3</v>
      </c>
      <c r="J3320">
        <v>0</v>
      </c>
      <c r="K3320">
        <v>5.88</v>
      </c>
      <c r="L3320">
        <v>15.88</v>
      </c>
      <c r="M3320">
        <v>16.97</v>
      </c>
      <c r="N3320">
        <v>15.71</v>
      </c>
      <c r="O3320">
        <v>15.43</v>
      </c>
      <c r="P3320">
        <v>77.66</v>
      </c>
      <c r="Q3320">
        <v>88146288</v>
      </c>
      <c r="R3320">
        <v>4.77</v>
      </c>
      <c r="S3320" t="s">
        <v>142</v>
      </c>
      <c r="T3320" t="s">
        <v>149</v>
      </c>
      <c r="U3320">
        <v>8.17</v>
      </c>
      <c r="V3320">
        <v>16.76</v>
      </c>
      <c r="W3320">
        <v>31423</v>
      </c>
      <c r="X3320">
        <v>21182</v>
      </c>
      <c r="Y3320">
        <v>1.48</v>
      </c>
      <c r="Z3320">
        <v>7817</v>
      </c>
      <c r="AA3320">
        <v>0</v>
      </c>
      <c r="AB3320" t="s">
        <v>32</v>
      </c>
      <c r="AC3320">
        <v>0.89</v>
      </c>
    </row>
    <row r="3321" spans="1:29">
      <c r="A3321" t="str">
        <f>"603555"</f>
        <v>603555</v>
      </c>
      <c r="B3321" t="s">
        <v>3491</v>
      </c>
      <c r="C3321">
        <v>2.11</v>
      </c>
      <c r="D3321">
        <v>10.14</v>
      </c>
      <c r="E3321">
        <v>0.21</v>
      </c>
      <c r="F3321">
        <v>10.13</v>
      </c>
      <c r="G3321">
        <v>10.14</v>
      </c>
      <c r="H3321">
        <v>84374</v>
      </c>
      <c r="I3321">
        <v>62</v>
      </c>
      <c r="J3321">
        <v>0.2</v>
      </c>
      <c r="K3321">
        <v>1.34</v>
      </c>
      <c r="L3321">
        <v>10.03</v>
      </c>
      <c r="M3321">
        <v>10.23</v>
      </c>
      <c r="N3321">
        <v>9.81</v>
      </c>
      <c r="O3321">
        <v>9.93</v>
      </c>
      <c r="P3321">
        <v>18.7</v>
      </c>
      <c r="Q3321">
        <v>84815768</v>
      </c>
      <c r="R3321">
        <v>0.67</v>
      </c>
      <c r="S3321" t="s">
        <v>622</v>
      </c>
      <c r="T3321" t="s">
        <v>236</v>
      </c>
      <c r="U3321">
        <v>4.23</v>
      </c>
      <c r="V3321">
        <v>10.05</v>
      </c>
      <c r="W3321">
        <v>39737</v>
      </c>
      <c r="X3321">
        <v>44636</v>
      </c>
      <c r="Y3321">
        <v>0.89</v>
      </c>
      <c r="Z3321">
        <v>243</v>
      </c>
      <c r="AA3321">
        <v>36</v>
      </c>
      <c r="AB3321" t="s">
        <v>32</v>
      </c>
      <c r="AC3321">
        <v>6.29</v>
      </c>
    </row>
    <row r="3322" spans="1:29">
      <c r="A3322" t="str">
        <f>"603556"</f>
        <v>603556</v>
      </c>
      <c r="B3322" t="s">
        <v>3492</v>
      </c>
      <c r="C3322">
        <v>1.78</v>
      </c>
      <c r="D3322">
        <v>17.71</v>
      </c>
      <c r="E3322">
        <v>0.31</v>
      </c>
      <c r="F3322">
        <v>17.71</v>
      </c>
      <c r="G3322">
        <v>17.72</v>
      </c>
      <c r="H3322">
        <v>12840</v>
      </c>
      <c r="I3322">
        <v>51</v>
      </c>
      <c r="J3322">
        <v>0</v>
      </c>
      <c r="K3322">
        <v>0.77</v>
      </c>
      <c r="L3322">
        <v>17.45</v>
      </c>
      <c r="M3322">
        <v>17.77</v>
      </c>
      <c r="N3322">
        <v>17.32</v>
      </c>
      <c r="O3322">
        <v>17.4</v>
      </c>
      <c r="P3322">
        <v>44.41</v>
      </c>
      <c r="Q3322">
        <v>22663408</v>
      </c>
      <c r="R3322">
        <v>1.67</v>
      </c>
      <c r="S3322" t="s">
        <v>606</v>
      </c>
      <c r="T3322" t="s">
        <v>149</v>
      </c>
      <c r="U3322">
        <v>2.59</v>
      </c>
      <c r="V3322">
        <v>17.65</v>
      </c>
      <c r="W3322">
        <v>4894</v>
      </c>
      <c r="X3322">
        <v>7945</v>
      </c>
      <c r="Y3322">
        <v>0.62</v>
      </c>
      <c r="Z3322">
        <v>9</v>
      </c>
      <c r="AA3322">
        <v>25</v>
      </c>
      <c r="AB3322" t="s">
        <v>32</v>
      </c>
      <c r="AC3322">
        <v>1.68</v>
      </c>
    </row>
    <row r="3323" spans="1:29">
      <c r="A3323" t="str">
        <f>"603557"</f>
        <v>603557</v>
      </c>
      <c r="B3323" t="s">
        <v>3493</v>
      </c>
      <c r="C3323">
        <v>2.82</v>
      </c>
      <c r="D3323">
        <v>13.12</v>
      </c>
      <c r="E3323">
        <v>0.36</v>
      </c>
      <c r="F3323">
        <v>13.12</v>
      </c>
      <c r="G3323">
        <v>13.13</v>
      </c>
      <c r="H3323">
        <v>23263</v>
      </c>
      <c r="I3323">
        <v>17</v>
      </c>
      <c r="J3323">
        <v>0.69</v>
      </c>
      <c r="K3323">
        <v>4.95</v>
      </c>
      <c r="L3323">
        <v>12.83</v>
      </c>
      <c r="M3323">
        <v>13.15</v>
      </c>
      <c r="N3323">
        <v>12.71</v>
      </c>
      <c r="O3323">
        <v>12.76</v>
      </c>
      <c r="P3323">
        <v>48.83</v>
      </c>
      <c r="Q3323">
        <v>30173884</v>
      </c>
      <c r="R3323">
        <v>1.28</v>
      </c>
      <c r="S3323" t="s">
        <v>622</v>
      </c>
      <c r="T3323" t="s">
        <v>149</v>
      </c>
      <c r="U3323">
        <v>3.45</v>
      </c>
      <c r="V3323">
        <v>12.97</v>
      </c>
      <c r="W3323">
        <v>9848</v>
      </c>
      <c r="X3323">
        <v>13415</v>
      </c>
      <c r="Y3323">
        <v>0.73</v>
      </c>
      <c r="Z3323">
        <v>217</v>
      </c>
      <c r="AA3323">
        <v>210</v>
      </c>
      <c r="AB3323" t="s">
        <v>32</v>
      </c>
      <c r="AC3323">
        <v>0.47</v>
      </c>
    </row>
    <row r="3324" spans="1:29">
      <c r="A3324" t="str">
        <f>"603558"</f>
        <v>603558</v>
      </c>
      <c r="B3324" t="s">
        <v>3494</v>
      </c>
      <c r="C3324">
        <v>1.01</v>
      </c>
      <c r="D3324">
        <v>8.98</v>
      </c>
      <c r="E3324">
        <v>0.09</v>
      </c>
      <c r="F3324">
        <v>8.97</v>
      </c>
      <c r="G3324">
        <v>8.99</v>
      </c>
      <c r="H3324">
        <v>17209</v>
      </c>
      <c r="I3324">
        <v>38</v>
      </c>
      <c r="J3324">
        <v>0.11</v>
      </c>
      <c r="K3324">
        <v>0.57</v>
      </c>
      <c r="L3324">
        <v>8.89</v>
      </c>
      <c r="M3324">
        <v>9.04</v>
      </c>
      <c r="N3324">
        <v>8.82</v>
      </c>
      <c r="O3324">
        <v>8.89</v>
      </c>
      <c r="P3324">
        <v>21.33</v>
      </c>
      <c r="Q3324">
        <v>15419844</v>
      </c>
      <c r="R3324">
        <v>1.04</v>
      </c>
      <c r="S3324" t="s">
        <v>99</v>
      </c>
      <c r="T3324" t="s">
        <v>149</v>
      </c>
      <c r="U3324">
        <v>2.47</v>
      </c>
      <c r="V3324">
        <v>8.96</v>
      </c>
      <c r="W3324">
        <v>10279</v>
      </c>
      <c r="X3324">
        <v>6930</v>
      </c>
      <c r="Y3324">
        <v>1.48</v>
      </c>
      <c r="Z3324">
        <v>40</v>
      </c>
      <c r="AA3324">
        <v>270</v>
      </c>
      <c r="AB3324" t="s">
        <v>32</v>
      </c>
      <c r="AC3324">
        <v>3</v>
      </c>
    </row>
    <row r="3325" spans="1:29">
      <c r="A3325" t="str">
        <f>"603559"</f>
        <v>603559</v>
      </c>
      <c r="B3325" t="s">
        <v>3495</v>
      </c>
      <c r="C3325">
        <v>1.72</v>
      </c>
      <c r="D3325">
        <v>23.59</v>
      </c>
      <c r="E3325">
        <v>0.4</v>
      </c>
      <c r="F3325">
        <v>23.58</v>
      </c>
      <c r="G3325">
        <v>23.59</v>
      </c>
      <c r="H3325">
        <v>66780</v>
      </c>
      <c r="I3325">
        <v>67</v>
      </c>
      <c r="J3325">
        <v>0.17</v>
      </c>
      <c r="K3325">
        <v>8.4</v>
      </c>
      <c r="L3325">
        <v>23.19</v>
      </c>
      <c r="M3325">
        <v>23.64</v>
      </c>
      <c r="N3325">
        <v>22.8</v>
      </c>
      <c r="O3325">
        <v>23.19</v>
      </c>
      <c r="P3325">
        <v>1435.9</v>
      </c>
      <c r="Q3325">
        <v>156135744</v>
      </c>
      <c r="R3325">
        <v>1.59</v>
      </c>
      <c r="S3325" t="s">
        <v>119</v>
      </c>
      <c r="T3325" t="s">
        <v>81</v>
      </c>
      <c r="U3325">
        <v>3.62</v>
      </c>
      <c r="V3325">
        <v>23.38</v>
      </c>
      <c r="W3325">
        <v>29639</v>
      </c>
      <c r="X3325">
        <v>37140</v>
      </c>
      <c r="Y3325">
        <v>0.8</v>
      </c>
      <c r="Z3325">
        <v>6</v>
      </c>
      <c r="AA3325">
        <v>695</v>
      </c>
      <c r="AB3325" t="s">
        <v>32</v>
      </c>
      <c r="AC3325">
        <v>0.79</v>
      </c>
    </row>
    <row r="3326" spans="1:29">
      <c r="A3326" t="str">
        <f>"603566"</f>
        <v>603566</v>
      </c>
      <c r="B3326" t="s">
        <v>3496</v>
      </c>
      <c r="C3326">
        <v>2.35</v>
      </c>
      <c r="D3326">
        <v>16.56</v>
      </c>
      <c r="E3326">
        <v>0.38</v>
      </c>
      <c r="F3326">
        <v>16.57</v>
      </c>
      <c r="G3326">
        <v>16.58</v>
      </c>
      <c r="H3326">
        <v>6162</v>
      </c>
      <c r="I3326">
        <v>2</v>
      </c>
      <c r="J3326">
        <v>0.12</v>
      </c>
      <c r="K3326">
        <v>0.19</v>
      </c>
      <c r="L3326">
        <v>16.24</v>
      </c>
      <c r="M3326">
        <v>16.57</v>
      </c>
      <c r="N3326">
        <v>16.02</v>
      </c>
      <c r="O3326">
        <v>16.18</v>
      </c>
      <c r="P3326">
        <v>34.77</v>
      </c>
      <c r="Q3326">
        <v>10104018</v>
      </c>
      <c r="R3326">
        <v>1.6</v>
      </c>
      <c r="S3326" t="s">
        <v>36</v>
      </c>
      <c r="T3326" t="s">
        <v>164</v>
      </c>
      <c r="U3326">
        <v>3.4</v>
      </c>
      <c r="V3326">
        <v>16.4</v>
      </c>
      <c r="W3326">
        <v>2508</v>
      </c>
      <c r="X3326">
        <v>3654</v>
      </c>
      <c r="Y3326">
        <v>0.69</v>
      </c>
      <c r="Z3326">
        <v>62</v>
      </c>
      <c r="AA3326">
        <v>13</v>
      </c>
      <c r="AB3326" t="s">
        <v>32</v>
      </c>
      <c r="AC3326">
        <v>3.21</v>
      </c>
    </row>
    <row r="3327" spans="1:29">
      <c r="A3327" t="str">
        <f>"603567"</f>
        <v>603567</v>
      </c>
      <c r="B3327" t="s">
        <v>3497</v>
      </c>
      <c r="C3327">
        <v>2.02</v>
      </c>
      <c r="D3327">
        <v>13.65</v>
      </c>
      <c r="E3327">
        <v>0.27</v>
      </c>
      <c r="F3327">
        <v>13.63</v>
      </c>
      <c r="G3327">
        <v>13.65</v>
      </c>
      <c r="H3327">
        <v>11987</v>
      </c>
      <c r="I3327">
        <v>42</v>
      </c>
      <c r="J3327">
        <v>1.04</v>
      </c>
      <c r="K3327">
        <v>0.14</v>
      </c>
      <c r="L3327">
        <v>13.35</v>
      </c>
      <c r="M3327">
        <v>13.75</v>
      </c>
      <c r="N3327">
        <v>13.28</v>
      </c>
      <c r="O3327">
        <v>13.38</v>
      </c>
      <c r="P3327">
        <v>18.44</v>
      </c>
      <c r="Q3327">
        <v>16171944</v>
      </c>
      <c r="R3327">
        <v>1.28</v>
      </c>
      <c r="S3327" t="s">
        <v>195</v>
      </c>
      <c r="T3327" t="s">
        <v>297</v>
      </c>
      <c r="U3327">
        <v>3.51</v>
      </c>
      <c r="V3327">
        <v>13.49</v>
      </c>
      <c r="W3327">
        <v>5264</v>
      </c>
      <c r="X3327">
        <v>6723</v>
      </c>
      <c r="Y3327">
        <v>0.78</v>
      </c>
      <c r="Z3327">
        <v>10</v>
      </c>
      <c r="AA3327">
        <v>21</v>
      </c>
      <c r="AB3327" t="s">
        <v>32</v>
      </c>
      <c r="AC3327">
        <v>8.49</v>
      </c>
    </row>
    <row r="3328" spans="1:29">
      <c r="A3328" t="str">
        <f>"603568"</f>
        <v>603568</v>
      </c>
      <c r="B3328" t="s">
        <v>3498</v>
      </c>
      <c r="C3328">
        <v>-0.2</v>
      </c>
      <c r="D3328">
        <v>24.4</v>
      </c>
      <c r="E3328">
        <v>-0.05</v>
      </c>
      <c r="F3328">
        <v>24.41</v>
      </c>
      <c r="G3328">
        <v>24.42</v>
      </c>
      <c r="H3328">
        <v>30798</v>
      </c>
      <c r="I3328">
        <v>2</v>
      </c>
      <c r="J3328">
        <v>0.12</v>
      </c>
      <c r="K3328">
        <v>0.45</v>
      </c>
      <c r="L3328">
        <v>24.46</v>
      </c>
      <c r="M3328">
        <v>25.07</v>
      </c>
      <c r="N3328">
        <v>24.33</v>
      </c>
      <c r="O3328">
        <v>24.45</v>
      </c>
      <c r="P3328">
        <v>23.6</v>
      </c>
      <c r="Q3328">
        <v>75835128</v>
      </c>
      <c r="R3328">
        <v>1.39</v>
      </c>
      <c r="S3328" t="s">
        <v>86</v>
      </c>
      <c r="T3328" t="s">
        <v>149</v>
      </c>
      <c r="U3328">
        <v>3.03</v>
      </c>
      <c r="V3328">
        <v>24.62</v>
      </c>
      <c r="W3328">
        <v>15355</v>
      </c>
      <c r="X3328">
        <v>15442</v>
      </c>
      <c r="Y3328">
        <v>0.99</v>
      </c>
      <c r="Z3328">
        <v>57</v>
      </c>
      <c r="AA3328">
        <v>21</v>
      </c>
      <c r="AB3328" t="s">
        <v>32</v>
      </c>
      <c r="AC3328">
        <v>6.83</v>
      </c>
    </row>
    <row r="3329" spans="1:29">
      <c r="A3329" t="str">
        <f>"603569"</f>
        <v>603569</v>
      </c>
      <c r="B3329" t="s">
        <v>3499</v>
      </c>
      <c r="C3329">
        <v>1.36</v>
      </c>
      <c r="D3329">
        <v>14.95</v>
      </c>
      <c r="E3329">
        <v>0.2</v>
      </c>
      <c r="F3329">
        <v>14.96</v>
      </c>
      <c r="G3329">
        <v>14.97</v>
      </c>
      <c r="H3329">
        <v>11883</v>
      </c>
      <c r="I3329">
        <v>11</v>
      </c>
      <c r="J3329">
        <v>0</v>
      </c>
      <c r="K3329">
        <v>1.48</v>
      </c>
      <c r="L3329">
        <v>14.71</v>
      </c>
      <c r="M3329">
        <v>14.99</v>
      </c>
      <c r="N3329">
        <v>14.62</v>
      </c>
      <c r="O3329">
        <v>14.75</v>
      </c>
      <c r="P3329">
        <v>32.2</v>
      </c>
      <c r="Q3329">
        <v>17681264</v>
      </c>
      <c r="R3329">
        <v>1.55</v>
      </c>
      <c r="S3329" t="s">
        <v>742</v>
      </c>
      <c r="T3329" t="s">
        <v>45</v>
      </c>
      <c r="U3329">
        <v>2.51</v>
      </c>
      <c r="V3329">
        <v>14.88</v>
      </c>
      <c r="W3329">
        <v>5305</v>
      </c>
      <c r="X3329">
        <v>6577</v>
      </c>
      <c r="Y3329">
        <v>0.81</v>
      </c>
      <c r="Z3329">
        <v>15</v>
      </c>
      <c r="AA3329">
        <v>110</v>
      </c>
      <c r="AB3329" t="s">
        <v>32</v>
      </c>
      <c r="AC3329">
        <v>0.8</v>
      </c>
    </row>
    <row r="3330" spans="1:29">
      <c r="A3330" t="str">
        <f>"603577"</f>
        <v>603577</v>
      </c>
      <c r="B3330" t="s">
        <v>3500</v>
      </c>
      <c r="C3330">
        <v>1.68</v>
      </c>
      <c r="D3330">
        <v>11.48</v>
      </c>
      <c r="E3330">
        <v>0.19</v>
      </c>
      <c r="F3330">
        <v>11.46</v>
      </c>
      <c r="G3330">
        <v>11.47</v>
      </c>
      <c r="H3330">
        <v>35894</v>
      </c>
      <c r="I3330">
        <v>8</v>
      </c>
      <c r="J3330">
        <v>0.09</v>
      </c>
      <c r="K3330">
        <v>4.63</v>
      </c>
      <c r="L3330">
        <v>11.25</v>
      </c>
      <c r="M3330">
        <v>11.59</v>
      </c>
      <c r="N3330">
        <v>11.25</v>
      </c>
      <c r="O3330">
        <v>11.29</v>
      </c>
      <c r="P3330">
        <v>57.35</v>
      </c>
      <c r="Q3330">
        <v>41168888</v>
      </c>
      <c r="R3330">
        <v>1.51</v>
      </c>
      <c r="S3330" t="s">
        <v>449</v>
      </c>
      <c r="T3330" t="s">
        <v>162</v>
      </c>
      <c r="U3330">
        <v>3.01</v>
      </c>
      <c r="V3330">
        <v>11.47</v>
      </c>
      <c r="W3330">
        <v>16855</v>
      </c>
      <c r="X3330">
        <v>19039</v>
      </c>
      <c r="Y3330">
        <v>0.89</v>
      </c>
      <c r="Z3330">
        <v>11</v>
      </c>
      <c r="AA3330">
        <v>5</v>
      </c>
      <c r="AB3330" t="s">
        <v>32</v>
      </c>
      <c r="AC3330">
        <v>0.78</v>
      </c>
    </row>
    <row r="3331" spans="1:29">
      <c r="A3331" t="str">
        <f>"603578"</f>
        <v>603578</v>
      </c>
      <c r="B3331" t="s">
        <v>3501</v>
      </c>
      <c r="C3331">
        <v>1.94</v>
      </c>
      <c r="D3331">
        <v>23.16</v>
      </c>
      <c r="E3331">
        <v>0.44</v>
      </c>
      <c r="F3331">
        <v>23.17</v>
      </c>
      <c r="G3331">
        <v>23.18</v>
      </c>
      <c r="H3331">
        <v>6540</v>
      </c>
      <c r="I3331">
        <v>5</v>
      </c>
      <c r="J3331">
        <v>0.22</v>
      </c>
      <c r="K3331">
        <v>2.05</v>
      </c>
      <c r="L3331">
        <v>22.73</v>
      </c>
      <c r="M3331">
        <v>23.45</v>
      </c>
      <c r="N3331">
        <v>22.73</v>
      </c>
      <c r="O3331">
        <v>22.72</v>
      </c>
      <c r="P3331">
        <v>29.5</v>
      </c>
      <c r="Q3331">
        <v>15150298</v>
      </c>
      <c r="R3331">
        <v>0.65</v>
      </c>
      <c r="S3331" t="s">
        <v>52</v>
      </c>
      <c r="T3331" t="s">
        <v>149</v>
      </c>
      <c r="U3331">
        <v>3.17</v>
      </c>
      <c r="V3331">
        <v>23.17</v>
      </c>
      <c r="W3331">
        <v>3607</v>
      </c>
      <c r="X3331">
        <v>2932</v>
      </c>
      <c r="Y3331">
        <v>1.23</v>
      </c>
      <c r="Z3331">
        <v>46</v>
      </c>
      <c r="AA3331">
        <v>44</v>
      </c>
      <c r="AB3331" t="s">
        <v>32</v>
      </c>
      <c r="AC3331">
        <v>0.32</v>
      </c>
    </row>
    <row r="3332" spans="1:29">
      <c r="A3332" t="str">
        <f>"603579"</f>
        <v>603579</v>
      </c>
      <c r="B3332" t="s">
        <v>3502</v>
      </c>
      <c r="C3332">
        <v>1.16</v>
      </c>
      <c r="D3332">
        <v>73.35</v>
      </c>
      <c r="E3332">
        <v>0.84</v>
      </c>
      <c r="F3332">
        <v>73.23</v>
      </c>
      <c r="G3332">
        <v>73.46</v>
      </c>
      <c r="H3332">
        <v>2846</v>
      </c>
      <c r="I3332">
        <v>1</v>
      </c>
      <c r="J3332">
        <v>-0.15</v>
      </c>
      <c r="K3332">
        <v>0.55</v>
      </c>
      <c r="L3332">
        <v>72.47</v>
      </c>
      <c r="M3332">
        <v>74</v>
      </c>
      <c r="N3332">
        <v>71.5</v>
      </c>
      <c r="O3332">
        <v>72.51</v>
      </c>
      <c r="P3332">
        <v>44.07</v>
      </c>
      <c r="Q3332">
        <v>20737464</v>
      </c>
      <c r="R3332">
        <v>0.74</v>
      </c>
      <c r="S3332" t="s">
        <v>138</v>
      </c>
      <c r="T3332" t="s">
        <v>366</v>
      </c>
      <c r="U3332">
        <v>3.45</v>
      </c>
      <c r="V3332">
        <v>72.85</v>
      </c>
      <c r="W3332">
        <v>1514</v>
      </c>
      <c r="X3332">
        <v>1332</v>
      </c>
      <c r="Y3332">
        <v>1.14</v>
      </c>
      <c r="Z3332">
        <v>1</v>
      </c>
      <c r="AA3332">
        <v>8</v>
      </c>
      <c r="AB3332" t="s">
        <v>32</v>
      </c>
      <c r="AC3332">
        <v>0.51</v>
      </c>
    </row>
    <row r="3333" spans="1:29">
      <c r="A3333" t="str">
        <f>"603580"</f>
        <v>603580</v>
      </c>
      <c r="B3333" t="s">
        <v>3503</v>
      </c>
      <c r="C3333">
        <v>1.61</v>
      </c>
      <c r="D3333">
        <v>17.63</v>
      </c>
      <c r="E3333">
        <v>0.28</v>
      </c>
      <c r="F3333">
        <v>17.61</v>
      </c>
      <c r="G3333">
        <v>17.63</v>
      </c>
      <c r="H3333">
        <v>9008</v>
      </c>
      <c r="I3333">
        <v>3</v>
      </c>
      <c r="J3333">
        <v>0.17</v>
      </c>
      <c r="K3333">
        <v>2.99</v>
      </c>
      <c r="L3333">
        <v>17.35</v>
      </c>
      <c r="M3333">
        <v>17.63</v>
      </c>
      <c r="N3333">
        <v>17.28</v>
      </c>
      <c r="O3333">
        <v>17.35</v>
      </c>
      <c r="P3333">
        <v>104.37</v>
      </c>
      <c r="Q3333">
        <v>15803540</v>
      </c>
      <c r="R3333">
        <v>2.21</v>
      </c>
      <c r="S3333" t="s">
        <v>218</v>
      </c>
      <c r="T3333" t="s">
        <v>366</v>
      </c>
      <c r="U3333">
        <v>2.02</v>
      </c>
      <c r="V3333">
        <v>17.54</v>
      </c>
      <c r="W3333">
        <v>3673</v>
      </c>
      <c r="X3333">
        <v>5335</v>
      </c>
      <c r="Y3333">
        <v>0.69</v>
      </c>
      <c r="Z3333">
        <v>16</v>
      </c>
      <c r="AA3333">
        <v>135</v>
      </c>
      <c r="AB3333" t="s">
        <v>32</v>
      </c>
      <c r="AC3333">
        <v>0.3</v>
      </c>
    </row>
    <row r="3334" spans="1:29">
      <c r="A3334" t="str">
        <f>"603585"</f>
        <v>603585</v>
      </c>
      <c r="B3334" t="s">
        <v>3504</v>
      </c>
      <c r="C3334">
        <v>0.51</v>
      </c>
      <c r="D3334">
        <v>21.71</v>
      </c>
      <c r="E3334">
        <v>0.11</v>
      </c>
      <c r="F3334">
        <v>21.7</v>
      </c>
      <c r="G3334">
        <v>21.72</v>
      </c>
      <c r="H3334">
        <v>13402</v>
      </c>
      <c r="I3334">
        <v>2</v>
      </c>
      <c r="J3334">
        <v>0</v>
      </c>
      <c r="K3334">
        <v>2.48</v>
      </c>
      <c r="L3334">
        <v>21.54</v>
      </c>
      <c r="M3334">
        <v>21.97</v>
      </c>
      <c r="N3334">
        <v>21.43</v>
      </c>
      <c r="O3334">
        <v>21.6</v>
      </c>
      <c r="P3334">
        <v>16.43</v>
      </c>
      <c r="Q3334">
        <v>29106806</v>
      </c>
      <c r="R3334">
        <v>1.55</v>
      </c>
      <c r="S3334" t="s">
        <v>218</v>
      </c>
      <c r="T3334" t="s">
        <v>87</v>
      </c>
      <c r="U3334">
        <v>2.5</v>
      </c>
      <c r="V3334">
        <v>21.72</v>
      </c>
      <c r="W3334">
        <v>7438</v>
      </c>
      <c r="X3334">
        <v>5964</v>
      </c>
      <c r="Y3334">
        <v>1.25</v>
      </c>
      <c r="Z3334">
        <v>8</v>
      </c>
      <c r="AA3334">
        <v>25</v>
      </c>
      <c r="AB3334" t="s">
        <v>32</v>
      </c>
      <c r="AC3334">
        <v>0.54</v>
      </c>
    </row>
    <row r="3335" spans="1:29">
      <c r="A3335" t="str">
        <f>"603586"</f>
        <v>603586</v>
      </c>
      <c r="B3335" t="s">
        <v>3505</v>
      </c>
      <c r="C3335">
        <v>1.39</v>
      </c>
      <c r="D3335">
        <v>15.3</v>
      </c>
      <c r="E3335">
        <v>0.21</v>
      </c>
      <c r="F3335">
        <v>15.29</v>
      </c>
      <c r="G3335">
        <v>15.3</v>
      </c>
      <c r="H3335">
        <v>11579</v>
      </c>
      <c r="I3335">
        <v>4</v>
      </c>
      <c r="J3335">
        <v>0.13</v>
      </c>
      <c r="K3335">
        <v>1.16</v>
      </c>
      <c r="L3335">
        <v>15.09</v>
      </c>
      <c r="M3335">
        <v>15.31</v>
      </c>
      <c r="N3335">
        <v>15.04</v>
      </c>
      <c r="O3335">
        <v>15.09</v>
      </c>
      <c r="P3335">
        <v>276.42</v>
      </c>
      <c r="Q3335">
        <v>17631498</v>
      </c>
      <c r="R3335">
        <v>1.03</v>
      </c>
      <c r="S3335" t="s">
        <v>80</v>
      </c>
      <c r="T3335" t="s">
        <v>162</v>
      </c>
      <c r="U3335">
        <v>1.79</v>
      </c>
      <c r="V3335">
        <v>15.23</v>
      </c>
      <c r="W3335">
        <v>4949</v>
      </c>
      <c r="X3335">
        <v>6630</v>
      </c>
      <c r="Y3335">
        <v>0.75</v>
      </c>
      <c r="Z3335">
        <v>100</v>
      </c>
      <c r="AA3335">
        <v>253</v>
      </c>
      <c r="AB3335" t="s">
        <v>32</v>
      </c>
      <c r="AC3335">
        <v>1</v>
      </c>
    </row>
    <row r="3336" spans="1:29">
      <c r="A3336" t="str">
        <f>"603587"</f>
        <v>603587</v>
      </c>
      <c r="B3336" t="s">
        <v>3506</v>
      </c>
      <c r="C3336">
        <v>2.61</v>
      </c>
      <c r="D3336">
        <v>37.8</v>
      </c>
      <c r="E3336">
        <v>0.96</v>
      </c>
      <c r="F3336">
        <v>37.8</v>
      </c>
      <c r="G3336">
        <v>37.81</v>
      </c>
      <c r="H3336">
        <v>85586</v>
      </c>
      <c r="I3336">
        <v>12</v>
      </c>
      <c r="J3336">
        <v>0</v>
      </c>
      <c r="K3336">
        <v>14.03</v>
      </c>
      <c r="L3336">
        <v>36.9</v>
      </c>
      <c r="M3336">
        <v>38.15</v>
      </c>
      <c r="N3336">
        <v>36.71</v>
      </c>
      <c r="O3336">
        <v>36.84</v>
      </c>
      <c r="P3336">
        <v>22.59</v>
      </c>
      <c r="Q3336">
        <v>320556608</v>
      </c>
      <c r="R3336">
        <v>0.76</v>
      </c>
      <c r="S3336" t="s">
        <v>622</v>
      </c>
      <c r="T3336" t="s">
        <v>366</v>
      </c>
      <c r="U3336">
        <v>3.91</v>
      </c>
      <c r="V3336">
        <v>37.45</v>
      </c>
      <c r="W3336">
        <v>41059</v>
      </c>
      <c r="X3336">
        <v>44526</v>
      </c>
      <c r="Y3336">
        <v>0.92</v>
      </c>
      <c r="Z3336">
        <v>3</v>
      </c>
      <c r="AA3336">
        <v>27</v>
      </c>
      <c r="AB3336" t="s">
        <v>32</v>
      </c>
      <c r="AC3336">
        <v>0.61</v>
      </c>
    </row>
    <row r="3337" spans="1:29">
      <c r="A3337" t="str">
        <f>"603588"</f>
        <v>603588</v>
      </c>
      <c r="B3337" t="s">
        <v>3507</v>
      </c>
      <c r="C3337">
        <v>3.19</v>
      </c>
      <c r="D3337">
        <v>9.7</v>
      </c>
      <c r="E3337">
        <v>0.3</v>
      </c>
      <c r="F3337">
        <v>9.69</v>
      </c>
      <c r="G3337">
        <v>9.7</v>
      </c>
      <c r="H3337">
        <v>68236</v>
      </c>
      <c r="I3337">
        <v>3</v>
      </c>
      <c r="J3337">
        <v>0.21</v>
      </c>
      <c r="K3337">
        <v>1.04</v>
      </c>
      <c r="L3337">
        <v>9.45</v>
      </c>
      <c r="M3337">
        <v>9.79</v>
      </c>
      <c r="N3337">
        <v>9.4</v>
      </c>
      <c r="O3337">
        <v>9.4</v>
      </c>
      <c r="P3337">
        <v>51.89</v>
      </c>
      <c r="Q3337">
        <v>65647812</v>
      </c>
      <c r="R3337">
        <v>2.26</v>
      </c>
      <c r="S3337" t="s">
        <v>86</v>
      </c>
      <c r="T3337" t="s">
        <v>45</v>
      </c>
      <c r="U3337">
        <v>4.15</v>
      </c>
      <c r="V3337">
        <v>9.62</v>
      </c>
      <c r="W3337">
        <v>31571</v>
      </c>
      <c r="X3337">
        <v>36665</v>
      </c>
      <c r="Y3337">
        <v>0.86</v>
      </c>
      <c r="Z3337">
        <v>58</v>
      </c>
      <c r="AA3337">
        <v>652</v>
      </c>
      <c r="AB3337" t="s">
        <v>32</v>
      </c>
      <c r="AC3337">
        <v>6.54</v>
      </c>
    </row>
    <row r="3338" spans="1:29">
      <c r="A3338" t="str">
        <f>"603589"</f>
        <v>603589</v>
      </c>
      <c r="B3338" t="s">
        <v>3508</v>
      </c>
      <c r="C3338">
        <v>4.36</v>
      </c>
      <c r="D3338">
        <v>59.56</v>
      </c>
      <c r="E3338">
        <v>2.49</v>
      </c>
      <c r="F3338">
        <v>59.57</v>
      </c>
      <c r="G3338">
        <v>59.58</v>
      </c>
      <c r="H3338">
        <v>57910</v>
      </c>
      <c r="I3338">
        <v>22</v>
      </c>
      <c r="J3338">
        <v>0.1</v>
      </c>
      <c r="K3338">
        <v>0.97</v>
      </c>
      <c r="L3338">
        <v>57.19</v>
      </c>
      <c r="M3338">
        <v>59.8</v>
      </c>
      <c r="N3338">
        <v>56.1</v>
      </c>
      <c r="O3338">
        <v>57.07</v>
      </c>
      <c r="P3338">
        <v>19.91</v>
      </c>
      <c r="Q3338">
        <v>339119584</v>
      </c>
      <c r="R3338">
        <v>1.19</v>
      </c>
      <c r="S3338" t="s">
        <v>285</v>
      </c>
      <c r="T3338" t="s">
        <v>143</v>
      </c>
      <c r="U3338">
        <v>6.48</v>
      </c>
      <c r="V3338">
        <v>58.56</v>
      </c>
      <c r="W3338">
        <v>23258</v>
      </c>
      <c r="X3338">
        <v>34651</v>
      </c>
      <c r="Y3338">
        <v>0.67</v>
      </c>
      <c r="Z3338">
        <v>1</v>
      </c>
      <c r="AA3338">
        <v>13</v>
      </c>
      <c r="AB3338" t="s">
        <v>32</v>
      </c>
      <c r="AC3338">
        <v>6</v>
      </c>
    </row>
    <row r="3339" spans="1:29">
      <c r="A3339" t="str">
        <f>"603595"</f>
        <v>603595</v>
      </c>
      <c r="B3339" t="s">
        <v>3509</v>
      </c>
      <c r="C3339">
        <v>-0.62</v>
      </c>
      <c r="D3339">
        <v>72.48</v>
      </c>
      <c r="E3339">
        <v>-0.45</v>
      </c>
      <c r="F3339">
        <v>72.5</v>
      </c>
      <c r="G3339">
        <v>72.55</v>
      </c>
      <c r="H3339">
        <v>13247</v>
      </c>
      <c r="I3339">
        <v>2</v>
      </c>
      <c r="J3339">
        <v>0.12</v>
      </c>
      <c r="K3339">
        <v>3.81</v>
      </c>
      <c r="L3339">
        <v>72.89</v>
      </c>
      <c r="M3339">
        <v>72.92</v>
      </c>
      <c r="N3339">
        <v>71.37</v>
      </c>
      <c r="O3339">
        <v>72.93</v>
      </c>
      <c r="P3339">
        <v>21.02</v>
      </c>
      <c r="Q3339">
        <v>95609792</v>
      </c>
      <c r="R3339">
        <v>0.88</v>
      </c>
      <c r="S3339" t="s">
        <v>63</v>
      </c>
      <c r="T3339" t="s">
        <v>149</v>
      </c>
      <c r="U3339">
        <v>2.13</v>
      </c>
      <c r="V3339">
        <v>72.17</v>
      </c>
      <c r="W3339">
        <v>7395</v>
      </c>
      <c r="X3339">
        <v>5852</v>
      </c>
      <c r="Y3339">
        <v>1.26</v>
      </c>
      <c r="Z3339">
        <v>2</v>
      </c>
      <c r="AA3339">
        <v>15</v>
      </c>
      <c r="AB3339" t="s">
        <v>32</v>
      </c>
      <c r="AC3339">
        <v>0.35</v>
      </c>
    </row>
    <row r="3340" spans="1:29">
      <c r="A3340" t="str">
        <f>"603596"</f>
        <v>603596</v>
      </c>
      <c r="B3340" t="s">
        <v>3510</v>
      </c>
      <c r="C3340">
        <v>2.83</v>
      </c>
      <c r="D3340">
        <v>33.47</v>
      </c>
      <c r="E3340">
        <v>0.92</v>
      </c>
      <c r="F3340">
        <v>33.46</v>
      </c>
      <c r="G3340">
        <v>33.49</v>
      </c>
      <c r="H3340">
        <v>38413</v>
      </c>
      <c r="I3340">
        <v>9</v>
      </c>
      <c r="J3340">
        <v>0.54</v>
      </c>
      <c r="K3340">
        <v>9.4</v>
      </c>
      <c r="L3340">
        <v>32.55</v>
      </c>
      <c r="M3340">
        <v>33.49</v>
      </c>
      <c r="N3340">
        <v>32.46</v>
      </c>
      <c r="O3340">
        <v>32.55</v>
      </c>
      <c r="P3340">
        <v>39.34</v>
      </c>
      <c r="Q3340">
        <v>126814904</v>
      </c>
      <c r="R3340">
        <v>0.77</v>
      </c>
      <c r="S3340" t="s">
        <v>80</v>
      </c>
      <c r="T3340" t="s">
        <v>143</v>
      </c>
      <c r="U3340">
        <v>3.16</v>
      </c>
      <c r="V3340">
        <v>33.01</v>
      </c>
      <c r="W3340">
        <v>18092</v>
      </c>
      <c r="X3340">
        <v>20320</v>
      </c>
      <c r="Y3340">
        <v>0.89</v>
      </c>
      <c r="Z3340">
        <v>3</v>
      </c>
      <c r="AA3340">
        <v>18</v>
      </c>
      <c r="AB3340" t="s">
        <v>32</v>
      </c>
      <c r="AC3340">
        <v>0.41</v>
      </c>
    </row>
    <row r="3341" spans="1:29">
      <c r="A3341" t="str">
        <f>"603598"</f>
        <v>603598</v>
      </c>
      <c r="B3341" t="s">
        <v>3511</v>
      </c>
      <c r="C3341">
        <v>-1.15</v>
      </c>
      <c r="D3341">
        <v>12.06</v>
      </c>
      <c r="E3341">
        <v>-0.14</v>
      </c>
      <c r="F3341">
        <v>12.06</v>
      </c>
      <c r="G3341">
        <v>12.07</v>
      </c>
      <c r="H3341">
        <v>71280</v>
      </c>
      <c r="I3341">
        <v>31</v>
      </c>
      <c r="J3341">
        <v>0.08</v>
      </c>
      <c r="K3341">
        <v>2.66</v>
      </c>
      <c r="L3341">
        <v>12.1</v>
      </c>
      <c r="M3341">
        <v>12.25</v>
      </c>
      <c r="N3341">
        <v>11.94</v>
      </c>
      <c r="O3341">
        <v>12.2</v>
      </c>
      <c r="P3341">
        <v>56.98</v>
      </c>
      <c r="Q3341">
        <v>86139392</v>
      </c>
      <c r="R3341">
        <v>0.65</v>
      </c>
      <c r="S3341" t="s">
        <v>148</v>
      </c>
      <c r="T3341" t="s">
        <v>45</v>
      </c>
      <c r="U3341">
        <v>2.54</v>
      </c>
      <c r="V3341">
        <v>12.08</v>
      </c>
      <c r="W3341">
        <v>43192</v>
      </c>
      <c r="X3341">
        <v>28087</v>
      </c>
      <c r="Y3341">
        <v>1.54</v>
      </c>
      <c r="Z3341">
        <v>58</v>
      </c>
      <c r="AA3341">
        <v>79</v>
      </c>
      <c r="AB3341" t="s">
        <v>32</v>
      </c>
      <c r="AC3341">
        <v>2.68</v>
      </c>
    </row>
    <row r="3342" spans="1:29">
      <c r="A3342" t="str">
        <f>"603599"</f>
        <v>603599</v>
      </c>
      <c r="B3342" t="s">
        <v>3512</v>
      </c>
      <c r="C3342">
        <v>0.71</v>
      </c>
      <c r="D3342">
        <v>14.25</v>
      </c>
      <c r="E3342">
        <v>0.1</v>
      </c>
      <c r="F3342">
        <v>14.25</v>
      </c>
      <c r="G3342">
        <v>14.26</v>
      </c>
      <c r="H3342">
        <v>23586</v>
      </c>
      <c r="I3342">
        <v>10</v>
      </c>
      <c r="J3342">
        <v>-0.06</v>
      </c>
      <c r="K3342">
        <v>0.63</v>
      </c>
      <c r="L3342">
        <v>14.14</v>
      </c>
      <c r="M3342">
        <v>14.36</v>
      </c>
      <c r="N3342">
        <v>14.04</v>
      </c>
      <c r="O3342">
        <v>14.15</v>
      </c>
      <c r="P3342">
        <v>14.72</v>
      </c>
      <c r="Q3342">
        <v>33521012</v>
      </c>
      <c r="R3342">
        <v>2.29</v>
      </c>
      <c r="S3342" t="s">
        <v>145</v>
      </c>
      <c r="T3342" t="s">
        <v>143</v>
      </c>
      <c r="U3342">
        <v>2.26</v>
      </c>
      <c r="V3342">
        <v>14.21</v>
      </c>
      <c r="W3342">
        <v>10099</v>
      </c>
      <c r="X3342">
        <v>13487</v>
      </c>
      <c r="Y3342">
        <v>0.75</v>
      </c>
      <c r="Z3342">
        <v>223</v>
      </c>
      <c r="AA3342">
        <v>44</v>
      </c>
      <c r="AB3342" t="s">
        <v>32</v>
      </c>
      <c r="AC3342">
        <v>3.72</v>
      </c>
    </row>
    <row r="3343" spans="1:29">
      <c r="A3343" t="str">
        <f>"603600"</f>
        <v>603600</v>
      </c>
      <c r="B3343" t="s">
        <v>3513</v>
      </c>
      <c r="C3343">
        <v>2.05</v>
      </c>
      <c r="D3343">
        <v>8.47</v>
      </c>
      <c r="E3343">
        <v>0.17</v>
      </c>
      <c r="F3343">
        <v>8.47</v>
      </c>
      <c r="G3343">
        <v>8.48</v>
      </c>
      <c r="H3343">
        <v>23421</v>
      </c>
      <c r="I3343">
        <v>22</v>
      </c>
      <c r="J3343">
        <v>0</v>
      </c>
      <c r="K3343">
        <v>0.94</v>
      </c>
      <c r="L3343">
        <v>8.26</v>
      </c>
      <c r="M3343">
        <v>8.6</v>
      </c>
      <c r="N3343">
        <v>8.21</v>
      </c>
      <c r="O3343">
        <v>8.3</v>
      </c>
      <c r="P3343">
        <v>24.66</v>
      </c>
      <c r="Q3343">
        <v>19666652</v>
      </c>
      <c r="R3343">
        <v>2.44</v>
      </c>
      <c r="S3343" t="s">
        <v>545</v>
      </c>
      <c r="T3343" t="s">
        <v>149</v>
      </c>
      <c r="U3343">
        <v>4.7</v>
      </c>
      <c r="V3343">
        <v>8.4</v>
      </c>
      <c r="W3343">
        <v>10928</v>
      </c>
      <c r="X3343">
        <v>12493</v>
      </c>
      <c r="Y3343">
        <v>0.87</v>
      </c>
      <c r="Z3343">
        <v>29</v>
      </c>
      <c r="AA3343">
        <v>268</v>
      </c>
      <c r="AB3343" t="s">
        <v>32</v>
      </c>
      <c r="AC3343">
        <v>2.5</v>
      </c>
    </row>
    <row r="3344" spans="1:29">
      <c r="A3344" t="str">
        <f>"603601"</f>
        <v>603601</v>
      </c>
      <c r="B3344" t="s">
        <v>3514</v>
      </c>
      <c r="C3344">
        <v>0.44</v>
      </c>
      <c r="D3344">
        <v>9.19</v>
      </c>
      <c r="E3344">
        <v>0.04</v>
      </c>
      <c r="F3344">
        <v>9.18</v>
      </c>
      <c r="G3344">
        <v>9.2</v>
      </c>
      <c r="H3344">
        <v>34613</v>
      </c>
      <c r="I3344">
        <v>5</v>
      </c>
      <c r="J3344">
        <v>0.33</v>
      </c>
      <c r="K3344">
        <v>0.64</v>
      </c>
      <c r="L3344">
        <v>9.15</v>
      </c>
      <c r="M3344">
        <v>9.23</v>
      </c>
      <c r="N3344">
        <v>9.07</v>
      </c>
      <c r="O3344">
        <v>9.15</v>
      </c>
      <c r="P3344">
        <v>39.05</v>
      </c>
      <c r="Q3344">
        <v>31705454</v>
      </c>
      <c r="R3344">
        <v>2.25</v>
      </c>
      <c r="S3344" t="s">
        <v>52</v>
      </c>
      <c r="T3344" t="s">
        <v>221</v>
      </c>
      <c r="U3344">
        <v>1.75</v>
      </c>
      <c r="V3344">
        <v>9.16</v>
      </c>
      <c r="W3344">
        <v>20291</v>
      </c>
      <c r="X3344">
        <v>14322</v>
      </c>
      <c r="Y3344">
        <v>1.42</v>
      </c>
      <c r="Z3344">
        <v>5</v>
      </c>
      <c r="AA3344">
        <v>79</v>
      </c>
      <c r="AB3344" t="s">
        <v>32</v>
      </c>
      <c r="AC3344">
        <v>5.41</v>
      </c>
    </row>
    <row r="3345" spans="1:29">
      <c r="A3345" t="str">
        <f>"603602"</f>
        <v>603602</v>
      </c>
      <c r="B3345" t="s">
        <v>3515</v>
      </c>
      <c r="C3345">
        <v>1.39</v>
      </c>
      <c r="D3345">
        <v>33.54</v>
      </c>
      <c r="E3345">
        <v>0.46</v>
      </c>
      <c r="F3345">
        <v>33.55</v>
      </c>
      <c r="G3345">
        <v>33.58</v>
      </c>
      <c r="H3345">
        <v>49052</v>
      </c>
      <c r="I3345">
        <v>20</v>
      </c>
      <c r="J3345">
        <v>0.48</v>
      </c>
      <c r="K3345">
        <v>17.52</v>
      </c>
      <c r="L3345">
        <v>33.08</v>
      </c>
      <c r="M3345">
        <v>33.81</v>
      </c>
      <c r="N3345">
        <v>32.06</v>
      </c>
      <c r="O3345">
        <v>33.08</v>
      </c>
      <c r="P3345" t="s">
        <v>32</v>
      </c>
      <c r="Q3345">
        <v>161834640</v>
      </c>
      <c r="R3345">
        <v>0.51</v>
      </c>
      <c r="S3345" t="s">
        <v>119</v>
      </c>
      <c r="T3345" t="s">
        <v>149</v>
      </c>
      <c r="U3345">
        <v>5.29</v>
      </c>
      <c r="V3345">
        <v>32.99</v>
      </c>
      <c r="W3345">
        <v>23669</v>
      </c>
      <c r="X3345">
        <v>25382</v>
      </c>
      <c r="Y3345">
        <v>0.93</v>
      </c>
      <c r="Z3345">
        <v>22</v>
      </c>
      <c r="AA3345">
        <v>5</v>
      </c>
      <c r="AB3345" t="s">
        <v>32</v>
      </c>
      <c r="AC3345">
        <v>0.28</v>
      </c>
    </row>
    <row r="3346" spans="1:29">
      <c r="A3346" t="str">
        <f>"603603"</f>
        <v>603603</v>
      </c>
      <c r="B3346" t="s">
        <v>3516</v>
      </c>
      <c r="C3346">
        <v>2.1</v>
      </c>
      <c r="D3346">
        <v>20.38</v>
      </c>
      <c r="E3346">
        <v>0.42</v>
      </c>
      <c r="F3346">
        <v>20.39</v>
      </c>
      <c r="G3346">
        <v>20.4</v>
      </c>
      <c r="H3346">
        <v>31949</v>
      </c>
      <c r="I3346">
        <v>36</v>
      </c>
      <c r="J3346">
        <v>0.1</v>
      </c>
      <c r="K3346">
        <v>1.36</v>
      </c>
      <c r="L3346">
        <v>19.83</v>
      </c>
      <c r="M3346">
        <v>20.5</v>
      </c>
      <c r="N3346">
        <v>19.61</v>
      </c>
      <c r="O3346">
        <v>19.96</v>
      </c>
      <c r="P3346">
        <v>52.54</v>
      </c>
      <c r="Q3346">
        <v>64387176</v>
      </c>
      <c r="R3346">
        <v>1.31</v>
      </c>
      <c r="S3346" t="s">
        <v>86</v>
      </c>
      <c r="T3346" t="s">
        <v>45</v>
      </c>
      <c r="U3346">
        <v>4.46</v>
      </c>
      <c r="V3346">
        <v>20.15</v>
      </c>
      <c r="W3346">
        <v>14686</v>
      </c>
      <c r="X3346">
        <v>17262</v>
      </c>
      <c r="Y3346">
        <v>0.85</v>
      </c>
      <c r="Z3346">
        <v>10</v>
      </c>
      <c r="AA3346">
        <v>2</v>
      </c>
      <c r="AB3346" t="s">
        <v>32</v>
      </c>
      <c r="AC3346">
        <v>2.35</v>
      </c>
    </row>
    <row r="3347" spans="1:29">
      <c r="A3347" t="str">
        <f>"603605"</f>
        <v>603605</v>
      </c>
      <c r="B3347" t="s">
        <v>3517</v>
      </c>
      <c r="C3347">
        <v>-0.78</v>
      </c>
      <c r="D3347">
        <v>48.65</v>
      </c>
      <c r="E3347">
        <v>-0.38</v>
      </c>
      <c r="F3347">
        <v>48.66</v>
      </c>
      <c r="G3347">
        <v>48.67</v>
      </c>
      <c r="H3347">
        <v>35461</v>
      </c>
      <c r="I3347">
        <v>13</v>
      </c>
      <c r="J3347">
        <v>-0.22</v>
      </c>
      <c r="K3347">
        <v>7.09</v>
      </c>
      <c r="L3347">
        <v>48.31</v>
      </c>
      <c r="M3347">
        <v>49.05</v>
      </c>
      <c r="N3347">
        <v>47.01</v>
      </c>
      <c r="O3347">
        <v>49.03</v>
      </c>
      <c r="P3347">
        <v>34.79</v>
      </c>
      <c r="Q3347">
        <v>171167824</v>
      </c>
      <c r="R3347">
        <v>0.97</v>
      </c>
      <c r="S3347" t="s">
        <v>232</v>
      </c>
      <c r="T3347" t="s">
        <v>149</v>
      </c>
      <c r="U3347">
        <v>4.16</v>
      </c>
      <c r="V3347">
        <v>48.27</v>
      </c>
      <c r="W3347">
        <v>17404</v>
      </c>
      <c r="X3347">
        <v>18056</v>
      </c>
      <c r="Y3347">
        <v>0.96</v>
      </c>
      <c r="Z3347">
        <v>1</v>
      </c>
      <c r="AA3347">
        <v>8</v>
      </c>
      <c r="AB3347" t="s">
        <v>32</v>
      </c>
      <c r="AC3347">
        <v>0.5</v>
      </c>
    </row>
    <row r="3348" spans="1:29">
      <c r="A3348" t="str">
        <f>"603606"</f>
        <v>603606</v>
      </c>
      <c r="B3348" t="s">
        <v>3518</v>
      </c>
      <c r="C3348">
        <v>0.34</v>
      </c>
      <c r="D3348">
        <v>8.92</v>
      </c>
      <c r="E3348">
        <v>0.03</v>
      </c>
      <c r="F3348">
        <v>8.92</v>
      </c>
      <c r="G3348">
        <v>8.93</v>
      </c>
      <c r="H3348">
        <v>44519</v>
      </c>
      <c r="I3348">
        <v>2</v>
      </c>
      <c r="J3348">
        <v>0.22</v>
      </c>
      <c r="K3348">
        <v>1.06</v>
      </c>
      <c r="L3348">
        <v>8.8</v>
      </c>
      <c r="M3348">
        <v>8.93</v>
      </c>
      <c r="N3348">
        <v>8.62</v>
      </c>
      <c r="O3348">
        <v>8.89</v>
      </c>
      <c r="P3348">
        <v>55.34</v>
      </c>
      <c r="Q3348">
        <v>39229668</v>
      </c>
      <c r="R3348">
        <v>1.22</v>
      </c>
      <c r="S3348" t="s">
        <v>104</v>
      </c>
      <c r="T3348" t="s">
        <v>149</v>
      </c>
      <c r="U3348">
        <v>3.49</v>
      </c>
      <c r="V3348">
        <v>8.81</v>
      </c>
      <c r="W3348">
        <v>23966</v>
      </c>
      <c r="X3348">
        <v>20552</v>
      </c>
      <c r="Y3348">
        <v>1.17</v>
      </c>
      <c r="Z3348">
        <v>3</v>
      </c>
      <c r="AA3348">
        <v>1212</v>
      </c>
      <c r="AB3348" t="s">
        <v>32</v>
      </c>
      <c r="AC3348">
        <v>4.2</v>
      </c>
    </row>
    <row r="3349" spans="1:29">
      <c r="A3349" t="str">
        <f>"603607"</f>
        <v>603607</v>
      </c>
      <c r="B3349" t="s">
        <v>3519</v>
      </c>
      <c r="C3349">
        <v>0.39</v>
      </c>
      <c r="D3349">
        <v>28.04</v>
      </c>
      <c r="E3349">
        <v>0.11</v>
      </c>
      <c r="F3349">
        <v>28.02</v>
      </c>
      <c r="G3349">
        <v>28.03</v>
      </c>
      <c r="H3349">
        <v>41894</v>
      </c>
      <c r="I3349">
        <v>2</v>
      </c>
      <c r="J3349">
        <v>0.11</v>
      </c>
      <c r="K3349">
        <v>13.14</v>
      </c>
      <c r="L3349">
        <v>27.81</v>
      </c>
      <c r="M3349">
        <v>28.19</v>
      </c>
      <c r="N3349">
        <v>27.42</v>
      </c>
      <c r="O3349">
        <v>27.93</v>
      </c>
      <c r="P3349">
        <v>36.45</v>
      </c>
      <c r="Q3349">
        <v>116807472</v>
      </c>
      <c r="R3349">
        <v>1.32</v>
      </c>
      <c r="S3349" t="s">
        <v>204</v>
      </c>
      <c r="T3349" t="s">
        <v>149</v>
      </c>
      <c r="U3349">
        <v>2.76</v>
      </c>
      <c r="V3349">
        <v>27.88</v>
      </c>
      <c r="W3349">
        <v>20752</v>
      </c>
      <c r="X3349">
        <v>21142</v>
      </c>
      <c r="Y3349">
        <v>0.98</v>
      </c>
      <c r="Z3349">
        <v>53</v>
      </c>
      <c r="AA3349">
        <v>11</v>
      </c>
      <c r="AB3349" t="s">
        <v>32</v>
      </c>
      <c r="AC3349">
        <v>0.32</v>
      </c>
    </row>
    <row r="3350" spans="1:29">
      <c r="A3350" t="str">
        <f>"603608"</f>
        <v>603608</v>
      </c>
      <c r="B3350" t="s">
        <v>3520</v>
      </c>
      <c r="C3350">
        <v>0.65</v>
      </c>
      <c r="D3350">
        <v>9.32</v>
      </c>
      <c r="E3350">
        <v>0.06</v>
      </c>
      <c r="F3350">
        <v>9.31</v>
      </c>
      <c r="G3350">
        <v>9.32</v>
      </c>
      <c r="H3350">
        <v>14514</v>
      </c>
      <c r="I3350">
        <v>57</v>
      </c>
      <c r="J3350">
        <v>0</v>
      </c>
      <c r="K3350">
        <v>1.14</v>
      </c>
      <c r="L3350">
        <v>9.26</v>
      </c>
      <c r="M3350">
        <v>9.35</v>
      </c>
      <c r="N3350">
        <v>9.19</v>
      </c>
      <c r="O3350">
        <v>9.26</v>
      </c>
      <c r="P3350">
        <v>13.4</v>
      </c>
      <c r="Q3350">
        <v>13468174</v>
      </c>
      <c r="R3350">
        <v>1.59</v>
      </c>
      <c r="S3350" t="s">
        <v>622</v>
      </c>
      <c r="T3350" t="s">
        <v>136</v>
      </c>
      <c r="U3350">
        <v>1.73</v>
      </c>
      <c r="V3350">
        <v>9.28</v>
      </c>
      <c r="W3350">
        <v>8117</v>
      </c>
      <c r="X3350">
        <v>6397</v>
      </c>
      <c r="Y3350">
        <v>1.27</v>
      </c>
      <c r="Z3350">
        <v>16</v>
      </c>
      <c r="AA3350">
        <v>67</v>
      </c>
      <c r="AB3350" t="s">
        <v>32</v>
      </c>
      <c r="AC3350">
        <v>1.27</v>
      </c>
    </row>
    <row r="3351" spans="1:29">
      <c r="A3351" t="str">
        <f>"603609"</f>
        <v>603609</v>
      </c>
      <c r="B3351" t="s">
        <v>3521</v>
      </c>
      <c r="C3351">
        <v>0.43</v>
      </c>
      <c r="D3351">
        <v>9.33</v>
      </c>
      <c r="E3351">
        <v>0.04</v>
      </c>
      <c r="F3351">
        <v>9.32</v>
      </c>
      <c r="G3351">
        <v>9.33</v>
      </c>
      <c r="H3351">
        <v>25868</v>
      </c>
      <c r="I3351">
        <v>3</v>
      </c>
      <c r="J3351">
        <v>0.21</v>
      </c>
      <c r="K3351">
        <v>0.31</v>
      </c>
      <c r="L3351">
        <v>9.31</v>
      </c>
      <c r="M3351">
        <v>9.44</v>
      </c>
      <c r="N3351">
        <v>9.22</v>
      </c>
      <c r="O3351">
        <v>9.29</v>
      </c>
      <c r="P3351">
        <v>21.13</v>
      </c>
      <c r="Q3351">
        <v>24138118</v>
      </c>
      <c r="R3351">
        <v>1.24</v>
      </c>
      <c r="S3351" t="s">
        <v>102</v>
      </c>
      <c r="T3351" t="s">
        <v>111</v>
      </c>
      <c r="U3351">
        <v>2.37</v>
      </c>
      <c r="V3351">
        <v>9.33</v>
      </c>
      <c r="W3351">
        <v>12416</v>
      </c>
      <c r="X3351">
        <v>13452</v>
      </c>
      <c r="Y3351">
        <v>0.92</v>
      </c>
      <c r="Z3351">
        <v>21</v>
      </c>
      <c r="AA3351">
        <v>103</v>
      </c>
      <c r="AB3351" t="s">
        <v>32</v>
      </c>
      <c r="AC3351">
        <v>8.31</v>
      </c>
    </row>
    <row r="3352" spans="1:29">
      <c r="A3352" t="str">
        <f>"603611"</f>
        <v>603611</v>
      </c>
      <c r="B3352" t="s">
        <v>3522</v>
      </c>
      <c r="C3352">
        <v>1.79</v>
      </c>
      <c r="D3352">
        <v>14.18</v>
      </c>
      <c r="E3352">
        <v>0.25</v>
      </c>
      <c r="F3352">
        <v>14.17</v>
      </c>
      <c r="G3352">
        <v>14.18</v>
      </c>
      <c r="H3352">
        <v>12146</v>
      </c>
      <c r="I3352">
        <v>36</v>
      </c>
      <c r="J3352">
        <v>-0.06</v>
      </c>
      <c r="K3352">
        <v>0.54</v>
      </c>
      <c r="L3352">
        <v>13.84</v>
      </c>
      <c r="M3352">
        <v>14.3</v>
      </c>
      <c r="N3352">
        <v>13.84</v>
      </c>
      <c r="O3352">
        <v>13.93</v>
      </c>
      <c r="P3352">
        <v>24.31</v>
      </c>
      <c r="Q3352">
        <v>17189068</v>
      </c>
      <c r="R3352">
        <v>1.37</v>
      </c>
      <c r="S3352" t="s">
        <v>44</v>
      </c>
      <c r="T3352" t="s">
        <v>149</v>
      </c>
      <c r="U3352">
        <v>3.3</v>
      </c>
      <c r="V3352">
        <v>14.15</v>
      </c>
      <c r="W3352">
        <v>5697</v>
      </c>
      <c r="X3352">
        <v>6448</v>
      </c>
      <c r="Y3352">
        <v>0.88</v>
      </c>
      <c r="Z3352">
        <v>57</v>
      </c>
      <c r="AA3352">
        <v>58</v>
      </c>
      <c r="AB3352" t="s">
        <v>32</v>
      </c>
      <c r="AC3352">
        <v>2.24</v>
      </c>
    </row>
    <row r="3353" spans="1:29">
      <c r="A3353" t="str">
        <f>"603612"</f>
        <v>603612</v>
      </c>
      <c r="B3353" t="s">
        <v>3523</v>
      </c>
      <c r="C3353">
        <v>0.7</v>
      </c>
      <c r="D3353">
        <v>18.81</v>
      </c>
      <c r="E3353">
        <v>0.13</v>
      </c>
      <c r="F3353">
        <v>18.79</v>
      </c>
      <c r="G3353">
        <v>18.8</v>
      </c>
      <c r="H3353">
        <v>55028</v>
      </c>
      <c r="I3353">
        <v>45</v>
      </c>
      <c r="J3353">
        <v>0.21</v>
      </c>
      <c r="K3353">
        <v>3.08</v>
      </c>
      <c r="L3353">
        <v>18.28</v>
      </c>
      <c r="M3353">
        <v>19.14</v>
      </c>
      <c r="N3353">
        <v>18.18</v>
      </c>
      <c r="O3353">
        <v>18.68</v>
      </c>
      <c r="P3353">
        <v>16.67</v>
      </c>
      <c r="Q3353">
        <v>103372144</v>
      </c>
      <c r="R3353">
        <v>1.29</v>
      </c>
      <c r="S3353" t="s">
        <v>227</v>
      </c>
      <c r="T3353" t="s">
        <v>162</v>
      </c>
      <c r="U3353">
        <v>5.14</v>
      </c>
      <c r="V3353">
        <v>18.79</v>
      </c>
      <c r="W3353">
        <v>28497</v>
      </c>
      <c r="X3353">
        <v>26530</v>
      </c>
      <c r="Y3353">
        <v>1.07</v>
      </c>
      <c r="Z3353">
        <v>68</v>
      </c>
      <c r="AA3353">
        <v>4</v>
      </c>
      <c r="AB3353" t="s">
        <v>32</v>
      </c>
      <c r="AC3353">
        <v>1.79</v>
      </c>
    </row>
    <row r="3354" spans="1:29">
      <c r="A3354" t="str">
        <f>"603615"</f>
        <v>603615</v>
      </c>
      <c r="B3354" t="s">
        <v>3524</v>
      </c>
      <c r="C3354">
        <v>1.79</v>
      </c>
      <c r="D3354">
        <v>12.49</v>
      </c>
      <c r="E3354">
        <v>0.22</v>
      </c>
      <c r="F3354">
        <v>12.48</v>
      </c>
      <c r="G3354">
        <v>12.49</v>
      </c>
      <c r="H3354">
        <v>38050</v>
      </c>
      <c r="I3354">
        <v>41</v>
      </c>
      <c r="J3354">
        <v>-0.15</v>
      </c>
      <c r="K3354">
        <v>5.08</v>
      </c>
      <c r="L3354">
        <v>12.25</v>
      </c>
      <c r="M3354">
        <v>12.6</v>
      </c>
      <c r="N3354">
        <v>12.2</v>
      </c>
      <c r="O3354">
        <v>12.27</v>
      </c>
      <c r="P3354">
        <v>33.7</v>
      </c>
      <c r="Q3354">
        <v>47191212</v>
      </c>
      <c r="R3354">
        <v>1.47</v>
      </c>
      <c r="S3354" t="s">
        <v>545</v>
      </c>
      <c r="T3354" t="s">
        <v>236</v>
      </c>
      <c r="U3354">
        <v>3.26</v>
      </c>
      <c r="V3354">
        <v>12.4</v>
      </c>
      <c r="W3354">
        <v>17121</v>
      </c>
      <c r="X3354">
        <v>20928</v>
      </c>
      <c r="Y3354">
        <v>0.82</v>
      </c>
      <c r="Z3354">
        <v>85</v>
      </c>
      <c r="AA3354">
        <v>16</v>
      </c>
      <c r="AB3354" t="s">
        <v>32</v>
      </c>
      <c r="AC3354">
        <v>0.75</v>
      </c>
    </row>
    <row r="3355" spans="1:29">
      <c r="A3355" t="str">
        <f>"603616"</f>
        <v>603616</v>
      </c>
      <c r="B3355" t="s">
        <v>3525</v>
      </c>
      <c r="C3355">
        <v>4.53</v>
      </c>
      <c r="D3355">
        <v>13.16</v>
      </c>
      <c r="E3355">
        <v>0.57</v>
      </c>
      <c r="F3355">
        <v>13.16</v>
      </c>
      <c r="G3355">
        <v>13.17</v>
      </c>
      <c r="H3355">
        <v>142381</v>
      </c>
      <c r="I3355">
        <v>37</v>
      </c>
      <c r="J3355">
        <v>0.23</v>
      </c>
      <c r="K3355">
        <v>4.85</v>
      </c>
      <c r="L3355">
        <v>12.6</v>
      </c>
      <c r="M3355">
        <v>13.26</v>
      </c>
      <c r="N3355">
        <v>12.6</v>
      </c>
      <c r="O3355">
        <v>12.59</v>
      </c>
      <c r="P3355">
        <v>404.76</v>
      </c>
      <c r="Q3355">
        <v>186134720</v>
      </c>
      <c r="R3355">
        <v>3.3</v>
      </c>
      <c r="S3355" t="s">
        <v>69</v>
      </c>
      <c r="T3355" t="s">
        <v>45</v>
      </c>
      <c r="U3355">
        <v>5.24</v>
      </c>
      <c r="V3355">
        <v>13.07</v>
      </c>
      <c r="W3355">
        <v>68867</v>
      </c>
      <c r="X3355">
        <v>73513</v>
      </c>
      <c r="Y3355">
        <v>0.94</v>
      </c>
      <c r="Z3355">
        <v>4</v>
      </c>
      <c r="AA3355">
        <v>274</v>
      </c>
      <c r="AB3355" t="s">
        <v>32</v>
      </c>
      <c r="AC3355">
        <v>2.93</v>
      </c>
    </row>
    <row r="3356" spans="1:29">
      <c r="A3356" t="str">
        <f>"603617"</f>
        <v>603617</v>
      </c>
      <c r="B3356" t="s">
        <v>3526</v>
      </c>
      <c r="C3356">
        <v>0.48</v>
      </c>
      <c r="D3356">
        <v>21.01</v>
      </c>
      <c r="E3356">
        <v>0.1</v>
      </c>
      <c r="F3356">
        <v>21.01</v>
      </c>
      <c r="G3356">
        <v>21.02</v>
      </c>
      <c r="H3356">
        <v>28560</v>
      </c>
      <c r="I3356">
        <v>14</v>
      </c>
      <c r="J3356">
        <v>0.19</v>
      </c>
      <c r="K3356">
        <v>11.42</v>
      </c>
      <c r="L3356">
        <v>21</v>
      </c>
      <c r="M3356">
        <v>21.19</v>
      </c>
      <c r="N3356">
        <v>20.73</v>
      </c>
      <c r="O3356">
        <v>20.91</v>
      </c>
      <c r="P3356">
        <v>26.39</v>
      </c>
      <c r="Q3356">
        <v>59843552</v>
      </c>
      <c r="R3356">
        <v>0.74</v>
      </c>
      <c r="S3356" t="s">
        <v>171</v>
      </c>
      <c r="T3356" t="s">
        <v>149</v>
      </c>
      <c r="U3356">
        <v>2.2</v>
      </c>
      <c r="V3356">
        <v>20.95</v>
      </c>
      <c r="W3356">
        <v>14936</v>
      </c>
      <c r="X3356">
        <v>13624</v>
      </c>
      <c r="Y3356">
        <v>1.1</v>
      </c>
      <c r="Z3356">
        <v>38</v>
      </c>
      <c r="AA3356">
        <v>3</v>
      </c>
      <c r="AB3356" t="s">
        <v>32</v>
      </c>
      <c r="AC3356">
        <v>0.25</v>
      </c>
    </row>
    <row r="3357" spans="1:29">
      <c r="A3357" t="str">
        <f>"603618"</f>
        <v>603618</v>
      </c>
      <c r="B3357" t="s">
        <v>3527</v>
      </c>
      <c r="C3357">
        <v>0.16</v>
      </c>
      <c r="D3357">
        <v>6.42</v>
      </c>
      <c r="E3357">
        <v>0.01</v>
      </c>
      <c r="F3357">
        <v>6.42</v>
      </c>
      <c r="G3357">
        <v>6.43</v>
      </c>
      <c r="H3357">
        <v>69692</v>
      </c>
      <c r="I3357">
        <v>100</v>
      </c>
      <c r="J3357">
        <v>0</v>
      </c>
      <c r="K3357">
        <v>1.01</v>
      </c>
      <c r="L3357">
        <v>6.35</v>
      </c>
      <c r="M3357">
        <v>6.48</v>
      </c>
      <c r="N3357">
        <v>6.22</v>
      </c>
      <c r="O3357">
        <v>6.41</v>
      </c>
      <c r="P3357">
        <v>24.65</v>
      </c>
      <c r="Q3357">
        <v>44391244</v>
      </c>
      <c r="R3357">
        <v>0.59</v>
      </c>
      <c r="S3357" t="s">
        <v>104</v>
      </c>
      <c r="T3357" t="s">
        <v>149</v>
      </c>
      <c r="U3357">
        <v>4.06</v>
      </c>
      <c r="V3357">
        <v>6.37</v>
      </c>
      <c r="W3357">
        <v>38032</v>
      </c>
      <c r="X3357">
        <v>31659</v>
      </c>
      <c r="Y3357">
        <v>1.2</v>
      </c>
      <c r="Z3357">
        <v>134</v>
      </c>
      <c r="AA3357">
        <v>251</v>
      </c>
      <c r="AB3357" t="s">
        <v>32</v>
      </c>
      <c r="AC3357">
        <v>6.87</v>
      </c>
    </row>
    <row r="3358" spans="1:29">
      <c r="A3358" t="str">
        <f>"603619"</f>
        <v>603619</v>
      </c>
      <c r="B3358" t="s">
        <v>3528</v>
      </c>
      <c r="C3358">
        <v>1.98</v>
      </c>
      <c r="D3358">
        <v>30.37</v>
      </c>
      <c r="E3358">
        <v>0.59</v>
      </c>
      <c r="F3358">
        <v>30.38</v>
      </c>
      <c r="G3358">
        <v>30.39</v>
      </c>
      <c r="H3358">
        <v>31104</v>
      </c>
      <c r="I3358">
        <v>6</v>
      </c>
      <c r="J3358">
        <v>0.13</v>
      </c>
      <c r="K3358">
        <v>7.78</v>
      </c>
      <c r="L3358">
        <v>29.62</v>
      </c>
      <c r="M3358">
        <v>30.44</v>
      </c>
      <c r="N3358">
        <v>29.5</v>
      </c>
      <c r="O3358">
        <v>29.78</v>
      </c>
      <c r="P3358">
        <v>37.42</v>
      </c>
      <c r="Q3358">
        <v>93982720</v>
      </c>
      <c r="R3358">
        <v>1.68</v>
      </c>
      <c r="S3358" t="s">
        <v>831</v>
      </c>
      <c r="T3358" t="s">
        <v>366</v>
      </c>
      <c r="U3358">
        <v>3.16</v>
      </c>
      <c r="V3358">
        <v>30.22</v>
      </c>
      <c r="W3358">
        <v>14192</v>
      </c>
      <c r="X3358">
        <v>16911</v>
      </c>
      <c r="Y3358">
        <v>0.84</v>
      </c>
      <c r="Z3358">
        <v>3</v>
      </c>
      <c r="AA3358">
        <v>53</v>
      </c>
      <c r="AB3358" t="s">
        <v>32</v>
      </c>
      <c r="AC3358">
        <v>0.4</v>
      </c>
    </row>
    <row r="3359" spans="1:29">
      <c r="A3359" t="str">
        <f>"603626"</f>
        <v>603626</v>
      </c>
      <c r="B3359" t="s">
        <v>3529</v>
      </c>
      <c r="C3359">
        <v>0.83</v>
      </c>
      <c r="D3359">
        <v>14.64</v>
      </c>
      <c r="E3359">
        <v>0.12</v>
      </c>
      <c r="F3359">
        <v>14.64</v>
      </c>
      <c r="G3359">
        <v>14.65</v>
      </c>
      <c r="H3359">
        <v>48817</v>
      </c>
      <c r="I3359">
        <v>16</v>
      </c>
      <c r="J3359">
        <v>0</v>
      </c>
      <c r="K3359">
        <v>3.09</v>
      </c>
      <c r="L3359">
        <v>14.59</v>
      </c>
      <c r="M3359">
        <v>14.73</v>
      </c>
      <c r="N3359">
        <v>14.4</v>
      </c>
      <c r="O3359">
        <v>14.52</v>
      </c>
      <c r="P3359">
        <v>29.34</v>
      </c>
      <c r="Q3359">
        <v>71260144</v>
      </c>
      <c r="R3359">
        <v>1.5</v>
      </c>
      <c r="S3359" t="s">
        <v>171</v>
      </c>
      <c r="T3359" t="s">
        <v>87</v>
      </c>
      <c r="U3359">
        <v>2.27</v>
      </c>
      <c r="V3359">
        <v>14.6</v>
      </c>
      <c r="W3359">
        <v>23267</v>
      </c>
      <c r="X3359">
        <v>25550</v>
      </c>
      <c r="Y3359">
        <v>0.91</v>
      </c>
      <c r="Z3359">
        <v>111</v>
      </c>
      <c r="AA3359">
        <v>40</v>
      </c>
      <c r="AB3359" t="s">
        <v>32</v>
      </c>
      <c r="AC3359">
        <v>1.58</v>
      </c>
    </row>
    <row r="3360" spans="1:29">
      <c r="A3360" t="str">
        <f>"603628"</f>
        <v>603628</v>
      </c>
      <c r="B3360" t="s">
        <v>3530</v>
      </c>
      <c r="C3360">
        <v>1.83</v>
      </c>
      <c r="D3360">
        <v>10.02</v>
      </c>
      <c r="E3360">
        <v>0.18</v>
      </c>
      <c r="F3360">
        <v>10.03</v>
      </c>
      <c r="G3360">
        <v>10.04</v>
      </c>
      <c r="H3360">
        <v>24554</v>
      </c>
      <c r="I3360">
        <v>30</v>
      </c>
      <c r="J3360">
        <v>0.2</v>
      </c>
      <c r="K3360">
        <v>2.77</v>
      </c>
      <c r="L3360">
        <v>9.83</v>
      </c>
      <c r="M3360">
        <v>10.17</v>
      </c>
      <c r="N3360">
        <v>9.77</v>
      </c>
      <c r="O3360">
        <v>9.84</v>
      </c>
      <c r="P3360">
        <v>250.9</v>
      </c>
      <c r="Q3360">
        <v>24519300</v>
      </c>
      <c r="R3360">
        <v>1.44</v>
      </c>
      <c r="S3360" t="s">
        <v>104</v>
      </c>
      <c r="T3360" t="s">
        <v>236</v>
      </c>
      <c r="U3360">
        <v>4.07</v>
      </c>
      <c r="V3360">
        <v>9.99</v>
      </c>
      <c r="W3360">
        <v>12198</v>
      </c>
      <c r="X3360">
        <v>12355</v>
      </c>
      <c r="Y3360">
        <v>0.99</v>
      </c>
      <c r="Z3360">
        <v>51</v>
      </c>
      <c r="AA3360">
        <v>85</v>
      </c>
      <c r="AB3360" t="s">
        <v>32</v>
      </c>
      <c r="AC3360">
        <v>0.89</v>
      </c>
    </row>
    <row r="3361" spans="1:29">
      <c r="A3361" t="str">
        <f>"603630"</f>
        <v>603630</v>
      </c>
      <c r="B3361" t="s">
        <v>3531</v>
      </c>
      <c r="C3361">
        <v>-0.2</v>
      </c>
      <c r="D3361">
        <v>20.26</v>
      </c>
      <c r="E3361">
        <v>-0.04</v>
      </c>
      <c r="F3361">
        <v>20.25</v>
      </c>
      <c r="G3361">
        <v>20.26</v>
      </c>
      <c r="H3361">
        <v>32716</v>
      </c>
      <c r="I3361">
        <v>2</v>
      </c>
      <c r="J3361">
        <v>0.05</v>
      </c>
      <c r="K3361">
        <v>4.02</v>
      </c>
      <c r="L3361">
        <v>20.41</v>
      </c>
      <c r="M3361">
        <v>20.57</v>
      </c>
      <c r="N3361">
        <v>20.05</v>
      </c>
      <c r="O3361">
        <v>20.3</v>
      </c>
      <c r="P3361">
        <v>25.55</v>
      </c>
      <c r="Q3361">
        <v>66083404</v>
      </c>
      <c r="R3361">
        <v>0.5</v>
      </c>
      <c r="S3361" t="s">
        <v>232</v>
      </c>
      <c r="T3361" t="s">
        <v>136</v>
      </c>
      <c r="U3361">
        <v>2.56</v>
      </c>
      <c r="V3361">
        <v>20.2</v>
      </c>
      <c r="W3361">
        <v>17056</v>
      </c>
      <c r="X3361">
        <v>15660</v>
      </c>
      <c r="Y3361">
        <v>1.09</v>
      </c>
      <c r="Z3361">
        <v>69</v>
      </c>
      <c r="AA3361">
        <v>48</v>
      </c>
      <c r="AB3361" t="s">
        <v>32</v>
      </c>
      <c r="AC3361">
        <v>0.81</v>
      </c>
    </row>
    <row r="3362" spans="1:29">
      <c r="A3362" t="str">
        <f>"603633"</f>
        <v>603633</v>
      </c>
      <c r="B3362" t="s">
        <v>3532</v>
      </c>
      <c r="C3362">
        <v>0.48</v>
      </c>
      <c r="D3362">
        <v>16.66</v>
      </c>
      <c r="E3362">
        <v>0.08</v>
      </c>
      <c r="F3362">
        <v>16.64</v>
      </c>
      <c r="G3362">
        <v>16.65</v>
      </c>
      <c r="H3362">
        <v>8589</v>
      </c>
      <c r="I3362">
        <v>8</v>
      </c>
      <c r="J3362">
        <v>0</v>
      </c>
      <c r="K3362">
        <v>1.03</v>
      </c>
      <c r="L3362">
        <v>16.53</v>
      </c>
      <c r="M3362">
        <v>16.77</v>
      </c>
      <c r="N3362">
        <v>16.35</v>
      </c>
      <c r="O3362">
        <v>16.58</v>
      </c>
      <c r="P3362">
        <v>49.55</v>
      </c>
      <c r="Q3362">
        <v>14246430</v>
      </c>
      <c r="R3362">
        <v>1.28</v>
      </c>
      <c r="S3362" t="s">
        <v>63</v>
      </c>
      <c r="T3362" t="s">
        <v>366</v>
      </c>
      <c r="U3362">
        <v>2.53</v>
      </c>
      <c r="V3362">
        <v>16.59</v>
      </c>
      <c r="W3362">
        <v>4453</v>
      </c>
      <c r="X3362">
        <v>4135</v>
      </c>
      <c r="Y3362">
        <v>1.08</v>
      </c>
      <c r="Z3362">
        <v>29</v>
      </c>
      <c r="AA3362">
        <v>5</v>
      </c>
      <c r="AB3362" t="s">
        <v>32</v>
      </c>
      <c r="AC3362">
        <v>0.83</v>
      </c>
    </row>
    <row r="3363" spans="1:29">
      <c r="A3363" t="str">
        <f>"603636"</f>
        <v>603636</v>
      </c>
      <c r="B3363" t="s">
        <v>3533</v>
      </c>
      <c r="C3363">
        <v>0</v>
      </c>
      <c r="D3363">
        <v>10</v>
      </c>
      <c r="E3363">
        <v>0</v>
      </c>
      <c r="F3363" t="s">
        <v>32</v>
      </c>
      <c r="G3363" t="s">
        <v>32</v>
      </c>
      <c r="H3363">
        <v>0</v>
      </c>
      <c r="I3363">
        <v>0</v>
      </c>
      <c r="J3363">
        <v>0</v>
      </c>
      <c r="K3363">
        <v>0</v>
      </c>
      <c r="L3363" t="s">
        <v>32</v>
      </c>
      <c r="M3363" t="s">
        <v>32</v>
      </c>
      <c r="N3363" t="s">
        <v>32</v>
      </c>
      <c r="O3363">
        <v>10</v>
      </c>
      <c r="P3363">
        <v>1061.82</v>
      </c>
      <c r="Q3363">
        <v>0</v>
      </c>
      <c r="R3363">
        <v>0</v>
      </c>
      <c r="S3363" t="s">
        <v>270</v>
      </c>
      <c r="T3363" t="s">
        <v>236</v>
      </c>
      <c r="U3363">
        <v>0</v>
      </c>
      <c r="V3363">
        <v>10</v>
      </c>
      <c r="W3363">
        <v>0</v>
      </c>
      <c r="X3363">
        <v>0</v>
      </c>
      <c r="Y3363" t="s">
        <v>32</v>
      </c>
      <c r="Z3363">
        <v>0</v>
      </c>
      <c r="AA3363">
        <v>0</v>
      </c>
      <c r="AB3363" t="s">
        <v>32</v>
      </c>
      <c r="AC3363">
        <v>5.23</v>
      </c>
    </row>
    <row r="3364" spans="1:29">
      <c r="A3364" t="str">
        <f>"603637"</f>
        <v>603637</v>
      </c>
      <c r="B3364" t="s">
        <v>3534</v>
      </c>
      <c r="C3364">
        <v>2.67</v>
      </c>
      <c r="D3364">
        <v>14.22</v>
      </c>
      <c r="E3364">
        <v>0.37</v>
      </c>
      <c r="F3364">
        <v>14.23</v>
      </c>
      <c r="G3364">
        <v>14.24</v>
      </c>
      <c r="H3364">
        <v>85676</v>
      </c>
      <c r="I3364">
        <v>7</v>
      </c>
      <c r="J3364">
        <v>-0.34</v>
      </c>
      <c r="K3364">
        <v>19.82</v>
      </c>
      <c r="L3364">
        <v>13.68</v>
      </c>
      <c r="M3364">
        <v>14.59</v>
      </c>
      <c r="N3364">
        <v>13.63</v>
      </c>
      <c r="O3364">
        <v>13.85</v>
      </c>
      <c r="P3364">
        <v>122.71</v>
      </c>
      <c r="Q3364">
        <v>121097472</v>
      </c>
      <c r="R3364">
        <v>0.93</v>
      </c>
      <c r="S3364" t="s">
        <v>49</v>
      </c>
      <c r="T3364" t="s">
        <v>149</v>
      </c>
      <c r="U3364">
        <v>6.93</v>
      </c>
      <c r="V3364">
        <v>14.13</v>
      </c>
      <c r="W3364">
        <v>42653</v>
      </c>
      <c r="X3364">
        <v>43022</v>
      </c>
      <c r="Y3364">
        <v>0.99</v>
      </c>
      <c r="Z3364">
        <v>72</v>
      </c>
      <c r="AA3364">
        <v>99</v>
      </c>
      <c r="AB3364" t="s">
        <v>32</v>
      </c>
      <c r="AC3364">
        <v>0.43</v>
      </c>
    </row>
    <row r="3365" spans="1:29">
      <c r="A3365" t="str">
        <f>"603638"</f>
        <v>603638</v>
      </c>
      <c r="B3365" t="s">
        <v>3535</v>
      </c>
      <c r="C3365">
        <v>-0.44</v>
      </c>
      <c r="D3365">
        <v>29.34</v>
      </c>
      <c r="E3365">
        <v>-0.13</v>
      </c>
      <c r="F3365">
        <v>29.34</v>
      </c>
      <c r="G3365">
        <v>29.35</v>
      </c>
      <c r="H3365">
        <v>19556</v>
      </c>
      <c r="I3365">
        <v>1</v>
      </c>
      <c r="J3365">
        <v>0.03</v>
      </c>
      <c r="K3365">
        <v>2.3</v>
      </c>
      <c r="L3365">
        <v>30</v>
      </c>
      <c r="M3365">
        <v>30</v>
      </c>
      <c r="N3365">
        <v>29</v>
      </c>
      <c r="O3365">
        <v>29.47</v>
      </c>
      <c r="P3365">
        <v>37.42</v>
      </c>
      <c r="Q3365">
        <v>57480644</v>
      </c>
      <c r="R3365">
        <v>1.03</v>
      </c>
      <c r="S3365" t="s">
        <v>171</v>
      </c>
      <c r="T3365" t="s">
        <v>162</v>
      </c>
      <c r="U3365">
        <v>3.39</v>
      </c>
      <c r="V3365">
        <v>29.39</v>
      </c>
      <c r="W3365">
        <v>11286</v>
      </c>
      <c r="X3365">
        <v>8270</v>
      </c>
      <c r="Y3365">
        <v>1.36</v>
      </c>
      <c r="Z3365">
        <v>88</v>
      </c>
      <c r="AA3365">
        <v>19</v>
      </c>
      <c r="AB3365" t="s">
        <v>32</v>
      </c>
      <c r="AC3365">
        <v>0.85</v>
      </c>
    </row>
    <row r="3366" spans="1:29">
      <c r="A3366" t="str">
        <f>"603639"</f>
        <v>603639</v>
      </c>
      <c r="B3366" t="s">
        <v>3536</v>
      </c>
      <c r="C3366">
        <v>0.76</v>
      </c>
      <c r="D3366">
        <v>27.8</v>
      </c>
      <c r="E3366">
        <v>0.21</v>
      </c>
      <c r="F3366">
        <v>27.79</v>
      </c>
      <c r="G3366">
        <v>27.8</v>
      </c>
      <c r="H3366">
        <v>11291</v>
      </c>
      <c r="I3366">
        <v>22</v>
      </c>
      <c r="J3366">
        <v>-0.1</v>
      </c>
      <c r="K3366">
        <v>2.08</v>
      </c>
      <c r="L3366">
        <v>27.41</v>
      </c>
      <c r="M3366">
        <v>27.98</v>
      </c>
      <c r="N3366">
        <v>27.36</v>
      </c>
      <c r="O3366">
        <v>27.59</v>
      </c>
      <c r="P3366">
        <v>13.02</v>
      </c>
      <c r="Q3366">
        <v>31289560</v>
      </c>
      <c r="R3366">
        <v>1.34</v>
      </c>
      <c r="S3366" t="s">
        <v>145</v>
      </c>
      <c r="T3366" t="s">
        <v>162</v>
      </c>
      <c r="U3366">
        <v>2.25</v>
      </c>
      <c r="V3366">
        <v>27.71</v>
      </c>
      <c r="W3366">
        <v>5511</v>
      </c>
      <c r="X3366">
        <v>5779</v>
      </c>
      <c r="Y3366">
        <v>0.95</v>
      </c>
      <c r="Z3366">
        <v>0</v>
      </c>
      <c r="AA3366">
        <v>24</v>
      </c>
      <c r="AB3366" t="s">
        <v>32</v>
      </c>
      <c r="AC3366">
        <v>0.54</v>
      </c>
    </row>
    <row r="3367" spans="1:29">
      <c r="A3367" t="str">
        <f>"603648"</f>
        <v>603648</v>
      </c>
      <c r="B3367" t="s">
        <v>3537</v>
      </c>
      <c r="C3367">
        <v>2.75</v>
      </c>
      <c r="D3367">
        <v>17.53</v>
      </c>
      <c r="E3367">
        <v>0.47</v>
      </c>
      <c r="F3367">
        <v>17.53</v>
      </c>
      <c r="G3367">
        <v>17.54</v>
      </c>
      <c r="H3367">
        <v>77282</v>
      </c>
      <c r="I3367">
        <v>38</v>
      </c>
      <c r="J3367">
        <v>0.11</v>
      </c>
      <c r="K3367">
        <v>8.39</v>
      </c>
      <c r="L3367">
        <v>17</v>
      </c>
      <c r="M3367">
        <v>17.6</v>
      </c>
      <c r="N3367">
        <v>16.91</v>
      </c>
      <c r="O3367">
        <v>17.06</v>
      </c>
      <c r="P3367">
        <v>30.9</v>
      </c>
      <c r="Q3367">
        <v>133849952</v>
      </c>
      <c r="R3367">
        <v>1.63</v>
      </c>
      <c r="S3367" t="s">
        <v>742</v>
      </c>
      <c r="T3367" t="s">
        <v>366</v>
      </c>
      <c r="U3367">
        <v>4.04</v>
      </c>
      <c r="V3367">
        <v>17.32</v>
      </c>
      <c r="W3367">
        <v>34486</v>
      </c>
      <c r="X3367">
        <v>42795</v>
      </c>
      <c r="Y3367">
        <v>0.81</v>
      </c>
      <c r="Z3367">
        <v>30</v>
      </c>
      <c r="AA3367">
        <v>138</v>
      </c>
      <c r="AB3367" t="s">
        <v>32</v>
      </c>
      <c r="AC3367">
        <v>0.92</v>
      </c>
    </row>
    <row r="3368" spans="1:29">
      <c r="A3368" t="str">
        <f>"603650"</f>
        <v>603650</v>
      </c>
      <c r="B3368" t="s">
        <v>3538</v>
      </c>
      <c r="C3368">
        <v>-1.33</v>
      </c>
      <c r="D3368">
        <v>46.59</v>
      </c>
      <c r="E3368">
        <v>-0.63</v>
      </c>
      <c r="F3368">
        <v>46.64</v>
      </c>
      <c r="G3368">
        <v>46.65</v>
      </c>
      <c r="H3368">
        <v>354987</v>
      </c>
      <c r="I3368">
        <v>64</v>
      </c>
      <c r="J3368">
        <v>0.09</v>
      </c>
      <c r="K3368">
        <v>60.37</v>
      </c>
      <c r="L3368">
        <v>48.03</v>
      </c>
      <c r="M3368">
        <v>50.88</v>
      </c>
      <c r="N3368">
        <v>46.19</v>
      </c>
      <c r="O3368">
        <v>47.22</v>
      </c>
      <c r="P3368">
        <v>61.92</v>
      </c>
      <c r="Q3368">
        <v>1722073728</v>
      </c>
      <c r="R3368">
        <v>1.19</v>
      </c>
      <c r="S3368" t="s">
        <v>218</v>
      </c>
      <c r="T3368" t="s">
        <v>366</v>
      </c>
      <c r="U3368">
        <v>9.93</v>
      </c>
      <c r="V3368">
        <v>48.51</v>
      </c>
      <c r="W3368">
        <v>181349</v>
      </c>
      <c r="X3368">
        <v>173637</v>
      </c>
      <c r="Y3368">
        <v>1.04</v>
      </c>
      <c r="Z3368">
        <v>3</v>
      </c>
      <c r="AA3368">
        <v>11</v>
      </c>
      <c r="AB3368" t="s">
        <v>32</v>
      </c>
      <c r="AC3368">
        <v>0.59</v>
      </c>
    </row>
    <row r="3369" spans="1:29">
      <c r="A3369" t="str">
        <f>"603655"</f>
        <v>603655</v>
      </c>
      <c r="B3369" t="s">
        <v>3539</v>
      </c>
      <c r="C3369">
        <v>3.66</v>
      </c>
      <c r="D3369">
        <v>22.38</v>
      </c>
      <c r="E3369">
        <v>0.79</v>
      </c>
      <c r="F3369">
        <v>22.37</v>
      </c>
      <c r="G3369">
        <v>22.38</v>
      </c>
      <c r="H3369">
        <v>29520</v>
      </c>
      <c r="I3369">
        <v>3</v>
      </c>
      <c r="J3369">
        <v>-0.08</v>
      </c>
      <c r="K3369">
        <v>11.14</v>
      </c>
      <c r="L3369">
        <v>21.79</v>
      </c>
      <c r="M3369">
        <v>22.53</v>
      </c>
      <c r="N3369">
        <v>21.66</v>
      </c>
      <c r="O3369">
        <v>21.59</v>
      </c>
      <c r="P3369">
        <v>46.76</v>
      </c>
      <c r="Q3369">
        <v>65446852</v>
      </c>
      <c r="R3369">
        <v>1.54</v>
      </c>
      <c r="S3369" t="s">
        <v>80</v>
      </c>
      <c r="T3369" t="s">
        <v>87</v>
      </c>
      <c r="U3369">
        <v>4.03</v>
      </c>
      <c r="V3369">
        <v>22.17</v>
      </c>
      <c r="W3369">
        <v>12630</v>
      </c>
      <c r="X3369">
        <v>16890</v>
      </c>
      <c r="Y3369">
        <v>0.75</v>
      </c>
      <c r="Z3369">
        <v>6</v>
      </c>
      <c r="AA3369">
        <v>8</v>
      </c>
      <c r="AB3369" t="s">
        <v>32</v>
      </c>
      <c r="AC3369">
        <v>0.27</v>
      </c>
    </row>
    <row r="3370" spans="1:29">
      <c r="A3370" t="str">
        <f>"603656"</f>
        <v>603656</v>
      </c>
      <c r="B3370" t="s">
        <v>3540</v>
      </c>
      <c r="C3370">
        <v>1.85</v>
      </c>
      <c r="D3370">
        <v>17.62</v>
      </c>
      <c r="E3370">
        <v>0.32</v>
      </c>
      <c r="F3370">
        <v>17.56</v>
      </c>
      <c r="G3370">
        <v>17.6</v>
      </c>
      <c r="H3370">
        <v>6230</v>
      </c>
      <c r="I3370">
        <v>21</v>
      </c>
      <c r="J3370">
        <v>0.23</v>
      </c>
      <c r="K3370">
        <v>0.98</v>
      </c>
      <c r="L3370">
        <v>17.39</v>
      </c>
      <c r="M3370">
        <v>17.66</v>
      </c>
      <c r="N3370">
        <v>17.23</v>
      </c>
      <c r="O3370">
        <v>17.3</v>
      </c>
      <c r="P3370">
        <v>52.11</v>
      </c>
      <c r="Q3370">
        <v>10900858</v>
      </c>
      <c r="R3370">
        <v>1.08</v>
      </c>
      <c r="S3370" t="s">
        <v>171</v>
      </c>
      <c r="T3370" t="s">
        <v>143</v>
      </c>
      <c r="U3370">
        <v>2.49</v>
      </c>
      <c r="V3370">
        <v>17.5</v>
      </c>
      <c r="W3370">
        <v>2731</v>
      </c>
      <c r="X3370">
        <v>3498</v>
      </c>
      <c r="Y3370">
        <v>0.78</v>
      </c>
      <c r="Z3370">
        <v>15</v>
      </c>
      <c r="AA3370">
        <v>45</v>
      </c>
      <c r="AB3370" t="s">
        <v>32</v>
      </c>
      <c r="AC3370">
        <v>0.63</v>
      </c>
    </row>
    <row r="3371" spans="1:29">
      <c r="A3371" t="str">
        <f>"603658"</f>
        <v>603658</v>
      </c>
      <c r="B3371" t="s">
        <v>3541</v>
      </c>
      <c r="C3371">
        <v>1.77</v>
      </c>
      <c r="D3371">
        <v>76.9</v>
      </c>
      <c r="E3371">
        <v>1.34</v>
      </c>
      <c r="F3371">
        <v>76.7</v>
      </c>
      <c r="G3371">
        <v>76.71</v>
      </c>
      <c r="H3371">
        <v>23602</v>
      </c>
      <c r="I3371">
        <v>3</v>
      </c>
      <c r="J3371">
        <v>-0.12</v>
      </c>
      <c r="K3371">
        <v>1.73</v>
      </c>
      <c r="L3371">
        <v>74.84</v>
      </c>
      <c r="M3371">
        <v>77.19</v>
      </c>
      <c r="N3371">
        <v>72.53</v>
      </c>
      <c r="O3371">
        <v>75.56</v>
      </c>
      <c r="P3371">
        <v>84.1</v>
      </c>
      <c r="Q3371">
        <v>178362112</v>
      </c>
      <c r="R3371">
        <v>1.18</v>
      </c>
      <c r="S3371" t="s">
        <v>138</v>
      </c>
      <c r="T3371" t="s">
        <v>164</v>
      </c>
      <c r="U3371">
        <v>6.17</v>
      </c>
      <c r="V3371">
        <v>75.57</v>
      </c>
      <c r="W3371">
        <v>11504</v>
      </c>
      <c r="X3371">
        <v>12098</v>
      </c>
      <c r="Y3371">
        <v>0.95</v>
      </c>
      <c r="Z3371">
        <v>5</v>
      </c>
      <c r="AA3371">
        <v>75</v>
      </c>
      <c r="AB3371" t="s">
        <v>32</v>
      </c>
      <c r="AC3371">
        <v>1.37</v>
      </c>
    </row>
    <row r="3372" spans="1:29">
      <c r="A3372" t="str">
        <f>"603659"</f>
        <v>603659</v>
      </c>
      <c r="B3372" t="s">
        <v>3542</v>
      </c>
      <c r="C3372">
        <v>-0.82</v>
      </c>
      <c r="D3372">
        <v>58.26</v>
      </c>
      <c r="E3372">
        <v>-0.48</v>
      </c>
      <c r="F3372">
        <v>58.25</v>
      </c>
      <c r="G3372">
        <v>58.3</v>
      </c>
      <c r="H3372">
        <v>18960</v>
      </c>
      <c r="I3372">
        <v>1</v>
      </c>
      <c r="J3372">
        <v>0.09</v>
      </c>
      <c r="K3372">
        <v>2.98</v>
      </c>
      <c r="L3372">
        <v>58.6</v>
      </c>
      <c r="M3372">
        <v>59.29</v>
      </c>
      <c r="N3372">
        <v>57.7</v>
      </c>
      <c r="O3372">
        <v>58.74</v>
      </c>
      <c r="P3372">
        <v>49.11</v>
      </c>
      <c r="Q3372">
        <v>110685912</v>
      </c>
      <c r="R3372">
        <v>0.71</v>
      </c>
      <c r="S3372" t="s">
        <v>218</v>
      </c>
      <c r="T3372" t="s">
        <v>366</v>
      </c>
      <c r="U3372">
        <v>2.71</v>
      </c>
      <c r="V3372">
        <v>58.38</v>
      </c>
      <c r="W3372">
        <v>9478</v>
      </c>
      <c r="X3372">
        <v>9481</v>
      </c>
      <c r="Y3372">
        <v>1</v>
      </c>
      <c r="Z3372">
        <v>4</v>
      </c>
      <c r="AA3372">
        <v>2</v>
      </c>
      <c r="AB3372" t="s">
        <v>32</v>
      </c>
      <c r="AC3372">
        <v>0.64</v>
      </c>
    </row>
    <row r="3373" spans="1:29">
      <c r="A3373" t="str">
        <f>"603660"</f>
        <v>603660</v>
      </c>
      <c r="B3373" t="s">
        <v>3543</v>
      </c>
      <c r="C3373">
        <v>1.6</v>
      </c>
      <c r="D3373">
        <v>22.2</v>
      </c>
      <c r="E3373">
        <v>0.35</v>
      </c>
      <c r="F3373">
        <v>22.17</v>
      </c>
      <c r="G3373">
        <v>22.19</v>
      </c>
      <c r="H3373">
        <v>16513</v>
      </c>
      <c r="I3373">
        <v>67</v>
      </c>
      <c r="J3373">
        <v>-0.08</v>
      </c>
      <c r="K3373">
        <v>0.7</v>
      </c>
      <c r="L3373">
        <v>21.81</v>
      </c>
      <c r="M3373">
        <v>22.3</v>
      </c>
      <c r="N3373">
        <v>21.81</v>
      </c>
      <c r="O3373">
        <v>21.85</v>
      </c>
      <c r="P3373">
        <v>51.01</v>
      </c>
      <c r="Q3373">
        <v>36474784</v>
      </c>
      <c r="R3373">
        <v>0.86</v>
      </c>
      <c r="S3373" t="s">
        <v>119</v>
      </c>
      <c r="T3373" t="s">
        <v>87</v>
      </c>
      <c r="U3373">
        <v>2.24</v>
      </c>
      <c r="V3373">
        <v>22.09</v>
      </c>
      <c r="W3373">
        <v>6940</v>
      </c>
      <c r="X3373">
        <v>9573</v>
      </c>
      <c r="Y3373">
        <v>0.72</v>
      </c>
      <c r="Z3373">
        <v>24</v>
      </c>
      <c r="AA3373">
        <v>7</v>
      </c>
      <c r="AB3373" t="s">
        <v>32</v>
      </c>
      <c r="AC3373">
        <v>2.38</v>
      </c>
    </row>
    <row r="3374" spans="1:29">
      <c r="A3374" t="str">
        <f>"603661"</f>
        <v>603661</v>
      </c>
      <c r="B3374" t="s">
        <v>3544</v>
      </c>
      <c r="C3374">
        <v>1.96</v>
      </c>
      <c r="D3374">
        <v>40.62</v>
      </c>
      <c r="E3374">
        <v>0.78</v>
      </c>
      <c r="F3374">
        <v>40.61</v>
      </c>
      <c r="G3374">
        <v>40.63</v>
      </c>
      <c r="H3374">
        <v>8079</v>
      </c>
      <c r="I3374">
        <v>15</v>
      </c>
      <c r="J3374">
        <v>-0.04</v>
      </c>
      <c r="K3374">
        <v>3.23</v>
      </c>
      <c r="L3374">
        <v>40</v>
      </c>
      <c r="M3374">
        <v>40.7</v>
      </c>
      <c r="N3374">
        <v>39.99</v>
      </c>
      <c r="O3374">
        <v>39.84</v>
      </c>
      <c r="P3374">
        <v>50.66</v>
      </c>
      <c r="Q3374">
        <v>32662116</v>
      </c>
      <c r="R3374">
        <v>1.4</v>
      </c>
      <c r="S3374" t="s">
        <v>545</v>
      </c>
      <c r="T3374" t="s">
        <v>149</v>
      </c>
      <c r="U3374">
        <v>1.78</v>
      </c>
      <c r="V3374">
        <v>40.43</v>
      </c>
      <c r="W3374">
        <v>3722</v>
      </c>
      <c r="X3374">
        <v>4356</v>
      </c>
      <c r="Y3374">
        <v>0.85</v>
      </c>
      <c r="Z3374">
        <v>3</v>
      </c>
      <c r="AA3374">
        <v>9</v>
      </c>
      <c r="AB3374" t="s">
        <v>32</v>
      </c>
      <c r="AC3374">
        <v>0.25</v>
      </c>
    </row>
    <row r="3375" spans="1:29">
      <c r="A3375" t="str">
        <f>"603663"</f>
        <v>603663</v>
      </c>
      <c r="B3375" t="s">
        <v>3545</v>
      </c>
      <c r="C3375">
        <v>0.59</v>
      </c>
      <c r="D3375">
        <v>18.73</v>
      </c>
      <c r="E3375">
        <v>0.11</v>
      </c>
      <c r="F3375">
        <v>18.73</v>
      </c>
      <c r="G3375">
        <v>18.74</v>
      </c>
      <c r="H3375">
        <v>6018</v>
      </c>
      <c r="I3375">
        <v>11</v>
      </c>
      <c r="J3375">
        <v>0</v>
      </c>
      <c r="K3375">
        <v>1.23</v>
      </c>
      <c r="L3375">
        <v>18.65</v>
      </c>
      <c r="M3375">
        <v>18.84</v>
      </c>
      <c r="N3375">
        <v>18.51</v>
      </c>
      <c r="O3375">
        <v>18.62</v>
      </c>
      <c r="P3375">
        <v>29.98</v>
      </c>
      <c r="Q3375">
        <v>11266984</v>
      </c>
      <c r="R3375">
        <v>0.93</v>
      </c>
      <c r="S3375" t="s">
        <v>227</v>
      </c>
      <c r="T3375" t="s">
        <v>236</v>
      </c>
      <c r="U3375">
        <v>1.77</v>
      </c>
      <c r="V3375">
        <v>18.72</v>
      </c>
      <c r="W3375">
        <v>2851</v>
      </c>
      <c r="X3375">
        <v>3167</v>
      </c>
      <c r="Y3375">
        <v>0.9</v>
      </c>
      <c r="Z3375">
        <v>1</v>
      </c>
      <c r="AA3375">
        <v>25</v>
      </c>
      <c r="AB3375" t="s">
        <v>32</v>
      </c>
      <c r="AC3375">
        <v>0.49</v>
      </c>
    </row>
    <row r="3376" spans="1:29">
      <c r="A3376" t="str">
        <f>"603665"</f>
        <v>603665</v>
      </c>
      <c r="B3376" t="s">
        <v>3546</v>
      </c>
      <c r="C3376">
        <v>1.49</v>
      </c>
      <c r="D3376">
        <v>23.85</v>
      </c>
      <c r="E3376">
        <v>0.35</v>
      </c>
      <c r="F3376">
        <v>23.84</v>
      </c>
      <c r="G3376">
        <v>23.9</v>
      </c>
      <c r="H3376">
        <v>3692</v>
      </c>
      <c r="I3376">
        <v>18</v>
      </c>
      <c r="J3376">
        <v>-0.24</v>
      </c>
      <c r="K3376">
        <v>0.99</v>
      </c>
      <c r="L3376">
        <v>23.59</v>
      </c>
      <c r="M3376">
        <v>23.96</v>
      </c>
      <c r="N3376">
        <v>23.39</v>
      </c>
      <c r="O3376">
        <v>23.5</v>
      </c>
      <c r="P3376">
        <v>36.47</v>
      </c>
      <c r="Q3376">
        <v>8775926</v>
      </c>
      <c r="R3376">
        <v>2.56</v>
      </c>
      <c r="S3376" t="s">
        <v>99</v>
      </c>
      <c r="T3376" t="s">
        <v>149</v>
      </c>
      <c r="U3376">
        <v>2.43</v>
      </c>
      <c r="V3376">
        <v>23.77</v>
      </c>
      <c r="W3376">
        <v>1717</v>
      </c>
      <c r="X3376">
        <v>1975</v>
      </c>
      <c r="Y3376">
        <v>0.87</v>
      </c>
      <c r="Z3376">
        <v>191</v>
      </c>
      <c r="AA3376">
        <v>26</v>
      </c>
      <c r="AB3376" t="s">
        <v>32</v>
      </c>
      <c r="AC3376">
        <v>0.37</v>
      </c>
    </row>
    <row r="3377" spans="1:29">
      <c r="A3377" t="str">
        <f>"603666"</f>
        <v>603666</v>
      </c>
      <c r="B3377" t="s">
        <v>3547</v>
      </c>
      <c r="C3377">
        <v>1.92</v>
      </c>
      <c r="D3377">
        <v>108.97</v>
      </c>
      <c r="E3377">
        <v>2.05</v>
      </c>
      <c r="F3377">
        <v>108.97</v>
      </c>
      <c r="G3377">
        <v>108.99</v>
      </c>
      <c r="H3377">
        <v>34140</v>
      </c>
      <c r="I3377">
        <v>7</v>
      </c>
      <c r="J3377">
        <v>0.06</v>
      </c>
      <c r="K3377">
        <v>19.46</v>
      </c>
      <c r="L3377">
        <v>106.21</v>
      </c>
      <c r="M3377">
        <v>110</v>
      </c>
      <c r="N3377">
        <v>106.04</v>
      </c>
      <c r="O3377">
        <v>106.92</v>
      </c>
      <c r="P3377">
        <v>55.99</v>
      </c>
      <c r="Q3377">
        <v>370956320</v>
      </c>
      <c r="R3377">
        <v>0.79</v>
      </c>
      <c r="S3377" t="s">
        <v>171</v>
      </c>
      <c r="T3377" t="s">
        <v>87</v>
      </c>
      <c r="U3377">
        <v>3.7</v>
      </c>
      <c r="V3377">
        <v>108.66</v>
      </c>
      <c r="W3377">
        <v>15112</v>
      </c>
      <c r="X3377">
        <v>19028</v>
      </c>
      <c r="Y3377">
        <v>0.79</v>
      </c>
      <c r="Z3377">
        <v>2</v>
      </c>
      <c r="AA3377">
        <v>17</v>
      </c>
      <c r="AB3377" t="s">
        <v>32</v>
      </c>
      <c r="AC3377">
        <v>0.18</v>
      </c>
    </row>
    <row r="3378" spans="1:29">
      <c r="A3378" t="str">
        <f>"603667"</f>
        <v>603667</v>
      </c>
      <c r="B3378" t="s">
        <v>3548</v>
      </c>
      <c r="C3378">
        <v>1.9</v>
      </c>
      <c r="D3378">
        <v>10.72</v>
      </c>
      <c r="E3378">
        <v>0.2</v>
      </c>
      <c r="F3378">
        <v>10.72</v>
      </c>
      <c r="G3378">
        <v>10.73</v>
      </c>
      <c r="H3378">
        <v>45010</v>
      </c>
      <c r="I3378">
        <v>20</v>
      </c>
      <c r="J3378">
        <v>0</v>
      </c>
      <c r="K3378">
        <v>3.97</v>
      </c>
      <c r="L3378">
        <v>10.49</v>
      </c>
      <c r="M3378">
        <v>10.76</v>
      </c>
      <c r="N3378">
        <v>10.39</v>
      </c>
      <c r="O3378">
        <v>10.52</v>
      </c>
      <c r="P3378">
        <v>31.7</v>
      </c>
      <c r="Q3378">
        <v>47797048</v>
      </c>
      <c r="R3378">
        <v>1.05</v>
      </c>
      <c r="S3378" t="s">
        <v>241</v>
      </c>
      <c r="T3378" t="s">
        <v>149</v>
      </c>
      <c r="U3378">
        <v>3.52</v>
      </c>
      <c r="V3378">
        <v>10.62</v>
      </c>
      <c r="W3378">
        <v>21455</v>
      </c>
      <c r="X3378">
        <v>23554</v>
      </c>
      <c r="Y3378">
        <v>0.91</v>
      </c>
      <c r="Z3378">
        <v>6</v>
      </c>
      <c r="AA3378">
        <v>89</v>
      </c>
      <c r="AB3378" t="s">
        <v>32</v>
      </c>
      <c r="AC3378">
        <v>1.13</v>
      </c>
    </row>
    <row r="3379" spans="1:29">
      <c r="A3379" t="str">
        <f>"603668"</f>
        <v>603668</v>
      </c>
      <c r="B3379" t="s">
        <v>3549</v>
      </c>
      <c r="C3379">
        <v>0.74</v>
      </c>
      <c r="D3379">
        <v>9.54</v>
      </c>
      <c r="E3379">
        <v>0.07</v>
      </c>
      <c r="F3379">
        <v>9.54</v>
      </c>
      <c r="G3379">
        <v>9.55</v>
      </c>
      <c r="H3379">
        <v>13187</v>
      </c>
      <c r="I3379">
        <v>4</v>
      </c>
      <c r="J3379">
        <v>0</v>
      </c>
      <c r="K3379">
        <v>0.71</v>
      </c>
      <c r="L3379">
        <v>9.47</v>
      </c>
      <c r="M3379">
        <v>9.55</v>
      </c>
      <c r="N3379">
        <v>9.45</v>
      </c>
      <c r="O3379">
        <v>9.47</v>
      </c>
      <c r="P3379">
        <v>41.5</v>
      </c>
      <c r="Q3379">
        <v>12551136</v>
      </c>
      <c r="R3379">
        <v>1.14</v>
      </c>
      <c r="S3379" t="s">
        <v>102</v>
      </c>
      <c r="T3379" t="s">
        <v>236</v>
      </c>
      <c r="U3379">
        <v>1.06</v>
      </c>
      <c r="V3379">
        <v>9.52</v>
      </c>
      <c r="W3379">
        <v>7280</v>
      </c>
      <c r="X3379">
        <v>5907</v>
      </c>
      <c r="Y3379">
        <v>1.23</v>
      </c>
      <c r="Z3379">
        <v>5</v>
      </c>
      <c r="AA3379">
        <v>223</v>
      </c>
      <c r="AB3379" t="s">
        <v>32</v>
      </c>
      <c r="AC3379">
        <v>1.86</v>
      </c>
    </row>
    <row r="3380" spans="1:29">
      <c r="A3380" t="str">
        <f>"603669"</f>
        <v>603669</v>
      </c>
      <c r="B3380" t="s">
        <v>3550</v>
      </c>
      <c r="C3380">
        <v>1.31</v>
      </c>
      <c r="D3380">
        <v>11.62</v>
      </c>
      <c r="E3380">
        <v>0.15</v>
      </c>
      <c r="F3380">
        <v>11.61</v>
      </c>
      <c r="G3380">
        <v>11.62</v>
      </c>
      <c r="H3380">
        <v>16506</v>
      </c>
      <c r="I3380">
        <v>13</v>
      </c>
      <c r="J3380">
        <v>0.17</v>
      </c>
      <c r="K3380">
        <v>0.45</v>
      </c>
      <c r="L3380">
        <v>11.36</v>
      </c>
      <c r="M3380">
        <v>11.66</v>
      </c>
      <c r="N3380">
        <v>11.18</v>
      </c>
      <c r="O3380">
        <v>11.47</v>
      </c>
      <c r="P3380">
        <v>32.39</v>
      </c>
      <c r="Q3380">
        <v>18966156</v>
      </c>
      <c r="R3380">
        <v>0.83</v>
      </c>
      <c r="S3380" t="s">
        <v>142</v>
      </c>
      <c r="T3380" t="s">
        <v>432</v>
      </c>
      <c r="U3380">
        <v>4.18</v>
      </c>
      <c r="V3380">
        <v>11.49</v>
      </c>
      <c r="W3380">
        <v>8956</v>
      </c>
      <c r="X3380">
        <v>7549</v>
      </c>
      <c r="Y3380">
        <v>1.19</v>
      </c>
      <c r="Z3380">
        <v>47</v>
      </c>
      <c r="AA3380">
        <v>195</v>
      </c>
      <c r="AB3380" t="s">
        <v>32</v>
      </c>
      <c r="AC3380">
        <v>3.64</v>
      </c>
    </row>
    <row r="3381" spans="1:29">
      <c r="A3381" t="str">
        <f>"603676"</f>
        <v>603676</v>
      </c>
      <c r="B3381" t="s">
        <v>3551</v>
      </c>
      <c r="C3381">
        <v>1.11</v>
      </c>
      <c r="D3381">
        <v>16.33</v>
      </c>
      <c r="E3381">
        <v>0.18</v>
      </c>
      <c r="F3381">
        <v>16.33</v>
      </c>
      <c r="G3381">
        <v>16.34</v>
      </c>
      <c r="H3381">
        <v>51034</v>
      </c>
      <c r="I3381">
        <v>39</v>
      </c>
      <c r="J3381">
        <v>0.06</v>
      </c>
      <c r="K3381">
        <v>7.66</v>
      </c>
      <c r="L3381">
        <v>16.1</v>
      </c>
      <c r="M3381">
        <v>16.43</v>
      </c>
      <c r="N3381">
        <v>16.01</v>
      </c>
      <c r="O3381">
        <v>16.15</v>
      </c>
      <c r="P3381">
        <v>51.43</v>
      </c>
      <c r="Q3381">
        <v>83175816</v>
      </c>
      <c r="R3381">
        <v>0.77</v>
      </c>
      <c r="S3381" t="s">
        <v>142</v>
      </c>
      <c r="T3381" t="s">
        <v>432</v>
      </c>
      <c r="U3381">
        <v>2.6</v>
      </c>
      <c r="V3381">
        <v>16.3</v>
      </c>
      <c r="W3381">
        <v>25755</v>
      </c>
      <c r="X3381">
        <v>25279</v>
      </c>
      <c r="Y3381">
        <v>1.02</v>
      </c>
      <c r="Z3381">
        <v>69</v>
      </c>
      <c r="AA3381">
        <v>353</v>
      </c>
      <c r="AB3381" t="s">
        <v>32</v>
      </c>
      <c r="AC3381">
        <v>0.67</v>
      </c>
    </row>
    <row r="3382" spans="1:29">
      <c r="A3382" t="str">
        <f>"603677"</f>
        <v>603677</v>
      </c>
      <c r="B3382" t="s">
        <v>3552</v>
      </c>
      <c r="C3382">
        <v>1.08</v>
      </c>
      <c r="D3382">
        <v>16.9</v>
      </c>
      <c r="E3382">
        <v>0.18</v>
      </c>
      <c r="F3382">
        <v>16.86</v>
      </c>
      <c r="G3382">
        <v>16.9</v>
      </c>
      <c r="H3382">
        <v>3126</v>
      </c>
      <c r="I3382">
        <v>21</v>
      </c>
      <c r="J3382">
        <v>0.12</v>
      </c>
      <c r="K3382">
        <v>0.56</v>
      </c>
      <c r="L3382">
        <v>16.71</v>
      </c>
      <c r="M3382">
        <v>16.95</v>
      </c>
      <c r="N3382">
        <v>16.46</v>
      </c>
      <c r="O3382">
        <v>16.72</v>
      </c>
      <c r="P3382">
        <v>44.55</v>
      </c>
      <c r="Q3382">
        <v>5255415</v>
      </c>
      <c r="R3382">
        <v>1</v>
      </c>
      <c r="S3382" t="s">
        <v>241</v>
      </c>
      <c r="T3382" t="s">
        <v>149</v>
      </c>
      <c r="U3382">
        <v>2.93</v>
      </c>
      <c r="V3382">
        <v>16.81</v>
      </c>
      <c r="W3382">
        <v>1486</v>
      </c>
      <c r="X3382">
        <v>1639</v>
      </c>
      <c r="Y3382">
        <v>0.91</v>
      </c>
      <c r="Z3382">
        <v>20</v>
      </c>
      <c r="AA3382">
        <v>21</v>
      </c>
      <c r="AB3382" t="s">
        <v>32</v>
      </c>
      <c r="AC3382">
        <v>0.55</v>
      </c>
    </row>
    <row r="3383" spans="1:29">
      <c r="A3383" t="str">
        <f>"603678"</f>
        <v>603678</v>
      </c>
      <c r="B3383" t="s">
        <v>3553</v>
      </c>
      <c r="C3383">
        <v>-3.11</v>
      </c>
      <c r="D3383">
        <v>25.87</v>
      </c>
      <c r="E3383">
        <v>-0.83</v>
      </c>
      <c r="F3383">
        <v>25.85</v>
      </c>
      <c r="G3383">
        <v>25.86</v>
      </c>
      <c r="H3383">
        <v>48747</v>
      </c>
      <c r="I3383">
        <v>1</v>
      </c>
      <c r="J3383">
        <v>-0.18</v>
      </c>
      <c r="K3383">
        <v>1.08</v>
      </c>
      <c r="L3383">
        <v>26.65</v>
      </c>
      <c r="M3383">
        <v>26.65</v>
      </c>
      <c r="N3383">
        <v>25.65</v>
      </c>
      <c r="O3383">
        <v>26.7</v>
      </c>
      <c r="P3383">
        <v>53.31</v>
      </c>
      <c r="Q3383">
        <v>127105048</v>
      </c>
      <c r="R3383">
        <v>1.32</v>
      </c>
      <c r="S3383" t="s">
        <v>63</v>
      </c>
      <c r="T3383" t="s">
        <v>236</v>
      </c>
      <c r="U3383">
        <v>3.75</v>
      </c>
      <c r="V3383">
        <v>26.07</v>
      </c>
      <c r="W3383">
        <v>28506</v>
      </c>
      <c r="X3383">
        <v>20240</v>
      </c>
      <c r="Y3383">
        <v>1.41</v>
      </c>
      <c r="Z3383">
        <v>78</v>
      </c>
      <c r="AA3383">
        <v>247</v>
      </c>
      <c r="AB3383" t="s">
        <v>32</v>
      </c>
      <c r="AC3383">
        <v>4.51</v>
      </c>
    </row>
    <row r="3384" spans="1:29">
      <c r="A3384" t="str">
        <f>"603679"</f>
        <v>603679</v>
      </c>
      <c r="B3384" t="s">
        <v>3554</v>
      </c>
      <c r="C3384">
        <v>0.98</v>
      </c>
      <c r="D3384">
        <v>24.66</v>
      </c>
      <c r="E3384">
        <v>0.24</v>
      </c>
      <c r="F3384">
        <v>24.65</v>
      </c>
      <c r="G3384">
        <v>24.68</v>
      </c>
      <c r="H3384">
        <v>11460</v>
      </c>
      <c r="I3384">
        <v>2</v>
      </c>
      <c r="J3384">
        <v>-0.03</v>
      </c>
      <c r="K3384">
        <v>3.27</v>
      </c>
      <c r="L3384">
        <v>25.47</v>
      </c>
      <c r="M3384">
        <v>26.2</v>
      </c>
      <c r="N3384">
        <v>24.52</v>
      </c>
      <c r="O3384">
        <v>24.42</v>
      </c>
      <c r="P3384">
        <v>53.59</v>
      </c>
      <c r="Q3384">
        <v>28708024</v>
      </c>
      <c r="R3384">
        <v>1.26</v>
      </c>
      <c r="S3384" t="s">
        <v>104</v>
      </c>
      <c r="T3384" t="s">
        <v>146</v>
      </c>
      <c r="U3384">
        <v>6.88</v>
      </c>
      <c r="V3384">
        <v>25.05</v>
      </c>
      <c r="W3384">
        <v>6599</v>
      </c>
      <c r="X3384">
        <v>4861</v>
      </c>
      <c r="Y3384">
        <v>1.36</v>
      </c>
      <c r="Z3384">
        <v>56</v>
      </c>
      <c r="AA3384">
        <v>57</v>
      </c>
      <c r="AB3384" t="s">
        <v>32</v>
      </c>
      <c r="AC3384">
        <v>0.35</v>
      </c>
    </row>
    <row r="3385" spans="1:29">
      <c r="A3385" t="str">
        <f>"603680"</f>
        <v>603680</v>
      </c>
      <c r="B3385" t="s">
        <v>3555</v>
      </c>
      <c r="C3385">
        <v>3.98</v>
      </c>
      <c r="D3385">
        <v>30.81</v>
      </c>
      <c r="E3385">
        <v>1.18</v>
      </c>
      <c r="F3385">
        <v>30.81</v>
      </c>
      <c r="G3385">
        <v>30.82</v>
      </c>
      <c r="H3385">
        <v>34193</v>
      </c>
      <c r="I3385">
        <v>30</v>
      </c>
      <c r="J3385">
        <v>0.06</v>
      </c>
      <c r="K3385">
        <v>8.14</v>
      </c>
      <c r="L3385">
        <v>29.73</v>
      </c>
      <c r="M3385">
        <v>31.17</v>
      </c>
      <c r="N3385">
        <v>29.55</v>
      </c>
      <c r="O3385">
        <v>29.63</v>
      </c>
      <c r="P3385">
        <v>36.96</v>
      </c>
      <c r="Q3385">
        <v>104469752</v>
      </c>
      <c r="R3385">
        <v>2.46</v>
      </c>
      <c r="S3385" t="s">
        <v>44</v>
      </c>
      <c r="T3385" t="s">
        <v>87</v>
      </c>
      <c r="U3385">
        <v>5.47</v>
      </c>
      <c r="V3385">
        <v>30.55</v>
      </c>
      <c r="W3385">
        <v>14502</v>
      </c>
      <c r="X3385">
        <v>19691</v>
      </c>
      <c r="Y3385">
        <v>0.74</v>
      </c>
      <c r="Z3385">
        <v>32</v>
      </c>
      <c r="AA3385">
        <v>23</v>
      </c>
      <c r="AB3385" t="s">
        <v>32</v>
      </c>
      <c r="AC3385">
        <v>0.42</v>
      </c>
    </row>
    <row r="3386" spans="1:29">
      <c r="A3386" t="str">
        <f>"603683"</f>
        <v>603683</v>
      </c>
      <c r="B3386" t="s">
        <v>3556</v>
      </c>
      <c r="C3386">
        <v>-0.56</v>
      </c>
      <c r="D3386">
        <v>24.74</v>
      </c>
      <c r="E3386">
        <v>-0.14</v>
      </c>
      <c r="F3386">
        <v>24.74</v>
      </c>
      <c r="G3386">
        <v>24.75</v>
      </c>
      <c r="H3386">
        <v>50495</v>
      </c>
      <c r="I3386">
        <v>52</v>
      </c>
      <c r="J3386">
        <v>-0.07</v>
      </c>
      <c r="K3386">
        <v>15.94</v>
      </c>
      <c r="L3386">
        <v>24.9</v>
      </c>
      <c r="M3386">
        <v>24.94</v>
      </c>
      <c r="N3386">
        <v>23.8</v>
      </c>
      <c r="O3386">
        <v>24.88</v>
      </c>
      <c r="P3386">
        <v>169.8</v>
      </c>
      <c r="Q3386">
        <v>123754648</v>
      </c>
      <c r="R3386">
        <v>0.91</v>
      </c>
      <c r="S3386" t="s">
        <v>218</v>
      </c>
      <c r="T3386" t="s">
        <v>366</v>
      </c>
      <c r="U3386">
        <v>4.58</v>
      </c>
      <c r="V3386">
        <v>24.51</v>
      </c>
      <c r="W3386">
        <v>27350</v>
      </c>
      <c r="X3386">
        <v>23145</v>
      </c>
      <c r="Y3386">
        <v>1.18</v>
      </c>
      <c r="Z3386">
        <v>2</v>
      </c>
      <c r="AA3386">
        <v>59</v>
      </c>
      <c r="AB3386" t="s">
        <v>32</v>
      </c>
      <c r="AC3386">
        <v>0.32</v>
      </c>
    </row>
    <row r="3387" spans="1:29">
      <c r="A3387" t="str">
        <f>"603685"</f>
        <v>603685</v>
      </c>
      <c r="B3387" t="s">
        <v>3557</v>
      </c>
      <c r="C3387">
        <v>1.13</v>
      </c>
      <c r="D3387">
        <v>18.87</v>
      </c>
      <c r="E3387">
        <v>0.21</v>
      </c>
      <c r="F3387">
        <v>18.88</v>
      </c>
      <c r="G3387">
        <v>18.89</v>
      </c>
      <c r="H3387">
        <v>21086</v>
      </c>
      <c r="I3387">
        <v>9</v>
      </c>
      <c r="J3387">
        <v>-0.1</v>
      </c>
      <c r="K3387">
        <v>6.49</v>
      </c>
      <c r="L3387">
        <v>18.53</v>
      </c>
      <c r="M3387">
        <v>18.93</v>
      </c>
      <c r="N3387">
        <v>18.53</v>
      </c>
      <c r="O3387">
        <v>18.66</v>
      </c>
      <c r="P3387">
        <v>33.16</v>
      </c>
      <c r="Q3387">
        <v>39695280</v>
      </c>
      <c r="R3387">
        <v>1.6</v>
      </c>
      <c r="S3387" t="s">
        <v>104</v>
      </c>
      <c r="T3387" t="s">
        <v>149</v>
      </c>
      <c r="U3387">
        <v>2.14</v>
      </c>
      <c r="V3387">
        <v>18.83</v>
      </c>
      <c r="W3387">
        <v>8836</v>
      </c>
      <c r="X3387">
        <v>12249</v>
      </c>
      <c r="Y3387">
        <v>0.72</v>
      </c>
      <c r="Z3387">
        <v>111</v>
      </c>
      <c r="AA3387">
        <v>110</v>
      </c>
      <c r="AB3387" t="s">
        <v>32</v>
      </c>
      <c r="AC3387">
        <v>0.33</v>
      </c>
    </row>
    <row r="3388" spans="1:29">
      <c r="A3388" t="str">
        <f>"603686"</f>
        <v>603686</v>
      </c>
      <c r="B3388" t="s">
        <v>3558</v>
      </c>
      <c r="C3388">
        <v>1.72</v>
      </c>
      <c r="D3388">
        <v>24.87</v>
      </c>
      <c r="E3388">
        <v>0.42</v>
      </c>
      <c r="F3388">
        <v>24.86</v>
      </c>
      <c r="G3388">
        <v>24.87</v>
      </c>
      <c r="H3388">
        <v>48604</v>
      </c>
      <c r="I3388">
        <v>14</v>
      </c>
      <c r="J3388">
        <v>-0.15</v>
      </c>
      <c r="K3388">
        <v>1.8</v>
      </c>
      <c r="L3388">
        <v>24.69</v>
      </c>
      <c r="M3388">
        <v>25.6</v>
      </c>
      <c r="N3388">
        <v>24.69</v>
      </c>
      <c r="O3388">
        <v>24.45</v>
      </c>
      <c r="P3388">
        <v>24.07</v>
      </c>
      <c r="Q3388">
        <v>122069592</v>
      </c>
      <c r="R3388">
        <v>1.99</v>
      </c>
      <c r="S3388" t="s">
        <v>171</v>
      </c>
      <c r="T3388" t="s">
        <v>236</v>
      </c>
      <c r="U3388">
        <v>3.72</v>
      </c>
      <c r="V3388">
        <v>25.12</v>
      </c>
      <c r="W3388">
        <v>26497</v>
      </c>
      <c r="X3388">
        <v>22107</v>
      </c>
      <c r="Y3388">
        <v>1.2</v>
      </c>
      <c r="Z3388">
        <v>5</v>
      </c>
      <c r="AA3388">
        <v>16</v>
      </c>
      <c r="AB3388" t="s">
        <v>32</v>
      </c>
      <c r="AC3388">
        <v>2.7</v>
      </c>
    </row>
    <row r="3389" spans="1:29">
      <c r="A3389" t="str">
        <f>"603688"</f>
        <v>603688</v>
      </c>
      <c r="B3389" t="s">
        <v>3559</v>
      </c>
      <c r="C3389">
        <v>0.76</v>
      </c>
      <c r="D3389">
        <v>13.31</v>
      </c>
      <c r="E3389">
        <v>0.1</v>
      </c>
      <c r="F3389">
        <v>13.3</v>
      </c>
      <c r="G3389">
        <v>13.31</v>
      </c>
      <c r="H3389">
        <v>33900</v>
      </c>
      <c r="I3389">
        <v>10</v>
      </c>
      <c r="J3389">
        <v>0.15</v>
      </c>
      <c r="K3389">
        <v>1.01</v>
      </c>
      <c r="L3389">
        <v>13.23</v>
      </c>
      <c r="M3389">
        <v>13.4</v>
      </c>
      <c r="N3389">
        <v>13.06</v>
      </c>
      <c r="O3389">
        <v>13.21</v>
      </c>
      <c r="P3389">
        <v>46.64</v>
      </c>
      <c r="Q3389">
        <v>44934144</v>
      </c>
      <c r="R3389">
        <v>0.62</v>
      </c>
      <c r="S3389" t="s">
        <v>227</v>
      </c>
      <c r="T3389" t="s">
        <v>87</v>
      </c>
      <c r="U3389">
        <v>2.57</v>
      </c>
      <c r="V3389">
        <v>13.25</v>
      </c>
      <c r="W3389">
        <v>18439</v>
      </c>
      <c r="X3389">
        <v>15461</v>
      </c>
      <c r="Y3389">
        <v>1.19</v>
      </c>
      <c r="Z3389">
        <v>18</v>
      </c>
      <c r="AA3389">
        <v>108</v>
      </c>
      <c r="AB3389" t="s">
        <v>32</v>
      </c>
      <c r="AC3389">
        <v>3.36</v>
      </c>
    </row>
    <row r="3390" spans="1:29">
      <c r="A3390" t="str">
        <f>"603689"</f>
        <v>603689</v>
      </c>
      <c r="B3390" t="s">
        <v>3560</v>
      </c>
      <c r="C3390">
        <v>1.24</v>
      </c>
      <c r="D3390">
        <v>11.41</v>
      </c>
      <c r="E3390">
        <v>0.14</v>
      </c>
      <c r="F3390">
        <v>11.42</v>
      </c>
      <c r="G3390">
        <v>11.43</v>
      </c>
      <c r="H3390">
        <v>65762</v>
      </c>
      <c r="I3390">
        <v>45</v>
      </c>
      <c r="J3390">
        <v>-0.08</v>
      </c>
      <c r="K3390">
        <v>3.93</v>
      </c>
      <c r="L3390">
        <v>11.24</v>
      </c>
      <c r="M3390">
        <v>11.44</v>
      </c>
      <c r="N3390">
        <v>11.09</v>
      </c>
      <c r="O3390">
        <v>11.27</v>
      </c>
      <c r="P3390">
        <v>22.25</v>
      </c>
      <c r="Q3390">
        <v>74327288</v>
      </c>
      <c r="R3390">
        <v>1.56</v>
      </c>
      <c r="S3390" t="s">
        <v>174</v>
      </c>
      <c r="T3390" t="s">
        <v>143</v>
      </c>
      <c r="U3390">
        <v>3.11</v>
      </c>
      <c r="V3390">
        <v>11.3</v>
      </c>
      <c r="W3390">
        <v>31673</v>
      </c>
      <c r="X3390">
        <v>34089</v>
      </c>
      <c r="Y3390">
        <v>0.93</v>
      </c>
      <c r="Z3390">
        <v>244</v>
      </c>
      <c r="AA3390">
        <v>268</v>
      </c>
      <c r="AB3390" t="s">
        <v>32</v>
      </c>
      <c r="AC3390">
        <v>1.67</v>
      </c>
    </row>
    <row r="3391" spans="1:29">
      <c r="A3391" t="str">
        <f>"603690"</f>
        <v>603690</v>
      </c>
      <c r="B3391" t="s">
        <v>3561</v>
      </c>
      <c r="C3391">
        <v>-3.51</v>
      </c>
      <c r="D3391">
        <v>26.92</v>
      </c>
      <c r="E3391">
        <v>-0.98</v>
      </c>
      <c r="F3391">
        <v>26.81</v>
      </c>
      <c r="G3391">
        <v>26.82</v>
      </c>
      <c r="H3391">
        <v>112595</v>
      </c>
      <c r="I3391">
        <v>226</v>
      </c>
      <c r="J3391">
        <v>-0.84</v>
      </c>
      <c r="K3391">
        <v>12.22</v>
      </c>
      <c r="L3391">
        <v>27.86</v>
      </c>
      <c r="M3391">
        <v>28</v>
      </c>
      <c r="N3391">
        <v>26.52</v>
      </c>
      <c r="O3391">
        <v>27.9</v>
      </c>
      <c r="P3391">
        <v>633.21</v>
      </c>
      <c r="Q3391">
        <v>306253696</v>
      </c>
      <c r="R3391">
        <v>0.63</v>
      </c>
      <c r="S3391" t="s">
        <v>171</v>
      </c>
      <c r="T3391" t="s">
        <v>366</v>
      </c>
      <c r="U3391">
        <v>5.3</v>
      </c>
      <c r="V3391">
        <v>27.2</v>
      </c>
      <c r="W3391">
        <v>67743</v>
      </c>
      <c r="X3391">
        <v>44851</v>
      </c>
      <c r="Y3391">
        <v>1.51</v>
      </c>
      <c r="Z3391">
        <v>61</v>
      </c>
      <c r="AA3391">
        <v>260</v>
      </c>
      <c r="AB3391" t="s">
        <v>32</v>
      </c>
      <c r="AC3391">
        <v>0.92</v>
      </c>
    </row>
    <row r="3392" spans="1:29">
      <c r="A3392" t="str">
        <f>"603693"</f>
        <v>603693</v>
      </c>
      <c r="B3392" t="s">
        <v>3562</v>
      </c>
      <c r="C3392">
        <v>-0.13</v>
      </c>
      <c r="D3392">
        <v>31.95</v>
      </c>
      <c r="E3392">
        <v>-0.04</v>
      </c>
      <c r="F3392">
        <v>31.92</v>
      </c>
      <c r="G3392">
        <v>31.94</v>
      </c>
      <c r="H3392">
        <v>399876</v>
      </c>
      <c r="I3392">
        <v>44</v>
      </c>
      <c r="J3392">
        <v>-0.27</v>
      </c>
      <c r="K3392">
        <v>33.89</v>
      </c>
      <c r="L3392">
        <v>31.7</v>
      </c>
      <c r="M3392">
        <v>32.65</v>
      </c>
      <c r="N3392">
        <v>31.18</v>
      </c>
      <c r="O3392">
        <v>31.99</v>
      </c>
      <c r="P3392">
        <v>47.75</v>
      </c>
      <c r="Q3392">
        <v>1275056000</v>
      </c>
      <c r="R3392">
        <v>0.89</v>
      </c>
      <c r="S3392" t="s">
        <v>95</v>
      </c>
      <c r="T3392" t="s">
        <v>87</v>
      </c>
      <c r="U3392">
        <v>4.6</v>
      </c>
      <c r="V3392">
        <v>31.89</v>
      </c>
      <c r="W3392">
        <v>200653</v>
      </c>
      <c r="X3392">
        <v>199222</v>
      </c>
      <c r="Y3392">
        <v>1.01</v>
      </c>
      <c r="Z3392">
        <v>36</v>
      </c>
      <c r="AA3392">
        <v>136</v>
      </c>
      <c r="AB3392" t="s">
        <v>32</v>
      </c>
      <c r="AC3392">
        <v>1.18</v>
      </c>
    </row>
    <row r="3393" spans="1:29">
      <c r="A3393" t="str">
        <f>"603696"</f>
        <v>603696</v>
      </c>
      <c r="B3393" t="s">
        <v>3563</v>
      </c>
      <c r="C3393">
        <v>0.6</v>
      </c>
      <c r="D3393">
        <v>15.09</v>
      </c>
      <c r="E3393">
        <v>0.09</v>
      </c>
      <c r="F3393">
        <v>15.09</v>
      </c>
      <c r="G3393">
        <v>15.13</v>
      </c>
      <c r="H3393">
        <v>25910</v>
      </c>
      <c r="I3393">
        <v>9</v>
      </c>
      <c r="J3393">
        <v>0</v>
      </c>
      <c r="K3393">
        <v>5.36</v>
      </c>
      <c r="L3393">
        <v>14.93</v>
      </c>
      <c r="M3393">
        <v>15.27</v>
      </c>
      <c r="N3393">
        <v>14.93</v>
      </c>
      <c r="O3393">
        <v>15</v>
      </c>
      <c r="P3393">
        <v>57.96</v>
      </c>
      <c r="Q3393">
        <v>39061532</v>
      </c>
      <c r="R3393">
        <v>0.86</v>
      </c>
      <c r="S3393" t="s">
        <v>213</v>
      </c>
      <c r="T3393" t="s">
        <v>236</v>
      </c>
      <c r="U3393">
        <v>2.27</v>
      </c>
      <c r="V3393">
        <v>15.08</v>
      </c>
      <c r="W3393">
        <v>14301</v>
      </c>
      <c r="X3393">
        <v>11608</v>
      </c>
      <c r="Y3393">
        <v>1.23</v>
      </c>
      <c r="Z3393">
        <v>18</v>
      </c>
      <c r="AA3393">
        <v>3</v>
      </c>
      <c r="AB3393" t="s">
        <v>32</v>
      </c>
      <c r="AC3393">
        <v>0.48</v>
      </c>
    </row>
    <row r="3394" spans="1:29">
      <c r="A3394" t="str">
        <f>"603698"</f>
        <v>603698</v>
      </c>
      <c r="B3394" t="s">
        <v>3564</v>
      </c>
      <c r="C3394">
        <v>1.66</v>
      </c>
      <c r="D3394">
        <v>15.88</v>
      </c>
      <c r="E3394">
        <v>0.26</v>
      </c>
      <c r="F3394">
        <v>15.88</v>
      </c>
      <c r="G3394">
        <v>15.89</v>
      </c>
      <c r="H3394">
        <v>8871</v>
      </c>
      <c r="I3394">
        <v>2</v>
      </c>
      <c r="J3394">
        <v>0.06</v>
      </c>
      <c r="K3394">
        <v>0.22</v>
      </c>
      <c r="L3394">
        <v>15.55</v>
      </c>
      <c r="M3394">
        <v>15.96</v>
      </c>
      <c r="N3394">
        <v>15.55</v>
      </c>
      <c r="O3394">
        <v>15.62</v>
      </c>
      <c r="P3394">
        <v>36.44</v>
      </c>
      <c r="Q3394">
        <v>14071820</v>
      </c>
      <c r="R3394">
        <v>2.05</v>
      </c>
      <c r="S3394" t="s">
        <v>171</v>
      </c>
      <c r="T3394" t="s">
        <v>45</v>
      </c>
      <c r="U3394">
        <v>2.62</v>
      </c>
      <c r="V3394">
        <v>15.86</v>
      </c>
      <c r="W3394">
        <v>4578</v>
      </c>
      <c r="X3394">
        <v>4292</v>
      </c>
      <c r="Y3394">
        <v>1.07</v>
      </c>
      <c r="Z3394">
        <v>98</v>
      </c>
      <c r="AA3394">
        <v>266</v>
      </c>
      <c r="AB3394" t="s">
        <v>32</v>
      </c>
      <c r="AC3394">
        <v>4.12</v>
      </c>
    </row>
    <row r="3395" spans="1:29">
      <c r="A3395" t="str">
        <f>"603699"</f>
        <v>603699</v>
      </c>
      <c r="B3395" t="s">
        <v>3565</v>
      </c>
      <c r="C3395">
        <v>4.39</v>
      </c>
      <c r="D3395">
        <v>12.61</v>
      </c>
      <c r="E3395">
        <v>0.53</v>
      </c>
      <c r="F3395">
        <v>12.61</v>
      </c>
      <c r="G3395">
        <v>12.62</v>
      </c>
      <c r="H3395">
        <v>44090</v>
      </c>
      <c r="I3395">
        <v>2</v>
      </c>
      <c r="J3395">
        <v>-0.07</v>
      </c>
      <c r="K3395">
        <v>0.59</v>
      </c>
      <c r="L3395">
        <v>12.11</v>
      </c>
      <c r="M3395">
        <v>12.69</v>
      </c>
      <c r="N3395">
        <v>11.89</v>
      </c>
      <c r="O3395">
        <v>12.08</v>
      </c>
      <c r="P3395">
        <v>56.06</v>
      </c>
      <c r="Q3395">
        <v>54561544</v>
      </c>
      <c r="R3395">
        <v>0.97</v>
      </c>
      <c r="S3395" t="s">
        <v>171</v>
      </c>
      <c r="T3395" t="s">
        <v>87</v>
      </c>
      <c r="U3395">
        <v>6.62</v>
      </c>
      <c r="V3395">
        <v>12.37</v>
      </c>
      <c r="W3395">
        <v>15367</v>
      </c>
      <c r="X3395">
        <v>28723</v>
      </c>
      <c r="Y3395">
        <v>0.54</v>
      </c>
      <c r="Z3395">
        <v>91</v>
      </c>
      <c r="AA3395">
        <v>245</v>
      </c>
      <c r="AB3395" t="s">
        <v>32</v>
      </c>
      <c r="AC3395">
        <v>7.5</v>
      </c>
    </row>
    <row r="3396" spans="1:29">
      <c r="A3396" t="str">
        <f>"603701"</f>
        <v>603701</v>
      </c>
      <c r="B3396" t="s">
        <v>3566</v>
      </c>
      <c r="C3396">
        <v>1.49</v>
      </c>
      <c r="D3396">
        <v>13.65</v>
      </c>
      <c r="E3396">
        <v>0.2</v>
      </c>
      <c r="F3396">
        <v>13.62</v>
      </c>
      <c r="G3396">
        <v>13.65</v>
      </c>
      <c r="H3396">
        <v>8999</v>
      </c>
      <c r="I3396">
        <v>1</v>
      </c>
      <c r="J3396">
        <v>0.15</v>
      </c>
      <c r="K3396">
        <v>1.27</v>
      </c>
      <c r="L3396">
        <v>13.45</v>
      </c>
      <c r="M3396">
        <v>13.72</v>
      </c>
      <c r="N3396">
        <v>13.38</v>
      </c>
      <c r="O3396">
        <v>13.45</v>
      </c>
      <c r="P3396">
        <v>25.63</v>
      </c>
      <c r="Q3396">
        <v>12237559</v>
      </c>
      <c r="R3396">
        <v>1.44</v>
      </c>
      <c r="S3396" t="s">
        <v>80</v>
      </c>
      <c r="T3396" t="s">
        <v>149</v>
      </c>
      <c r="U3396">
        <v>2.53</v>
      </c>
      <c r="V3396">
        <v>13.6</v>
      </c>
      <c r="W3396">
        <v>3700</v>
      </c>
      <c r="X3396">
        <v>5298</v>
      </c>
      <c r="Y3396">
        <v>0.7</v>
      </c>
      <c r="Z3396">
        <v>51</v>
      </c>
      <c r="AA3396">
        <v>57</v>
      </c>
      <c r="AB3396" t="s">
        <v>32</v>
      </c>
      <c r="AC3396">
        <v>0.71</v>
      </c>
    </row>
    <row r="3397" spans="1:29">
      <c r="A3397" t="str">
        <f>"603703"</f>
        <v>603703</v>
      </c>
      <c r="B3397" t="s">
        <v>3567</v>
      </c>
      <c r="C3397">
        <v>1.53</v>
      </c>
      <c r="D3397">
        <v>9.3</v>
      </c>
      <c r="E3397">
        <v>0.14</v>
      </c>
      <c r="F3397">
        <v>9.28</v>
      </c>
      <c r="G3397">
        <v>9.3</v>
      </c>
      <c r="H3397">
        <v>40521</v>
      </c>
      <c r="I3397">
        <v>2</v>
      </c>
      <c r="J3397">
        <v>0.43</v>
      </c>
      <c r="K3397">
        <v>3.72</v>
      </c>
      <c r="L3397">
        <v>9.18</v>
      </c>
      <c r="M3397">
        <v>9.35</v>
      </c>
      <c r="N3397">
        <v>9.1</v>
      </c>
      <c r="O3397">
        <v>9.16</v>
      </c>
      <c r="P3397" t="s">
        <v>32</v>
      </c>
      <c r="Q3397">
        <v>37432092</v>
      </c>
      <c r="R3397">
        <v>0.49</v>
      </c>
      <c r="S3397" t="s">
        <v>119</v>
      </c>
      <c r="T3397" t="s">
        <v>149</v>
      </c>
      <c r="U3397">
        <v>2.73</v>
      </c>
      <c r="V3397">
        <v>9.24</v>
      </c>
      <c r="W3397">
        <v>21159</v>
      </c>
      <c r="X3397">
        <v>19361</v>
      </c>
      <c r="Y3397">
        <v>1.09</v>
      </c>
      <c r="Z3397">
        <v>174</v>
      </c>
      <c r="AA3397">
        <v>436</v>
      </c>
      <c r="AB3397" t="s">
        <v>32</v>
      </c>
      <c r="AC3397">
        <v>1.09</v>
      </c>
    </row>
    <row r="3398" spans="1:29">
      <c r="A3398" t="str">
        <f>"603706"</f>
        <v>603706</v>
      </c>
      <c r="B3398" t="s">
        <v>3568</v>
      </c>
      <c r="C3398">
        <v>6.4</v>
      </c>
      <c r="D3398">
        <v>52.03</v>
      </c>
      <c r="E3398">
        <v>3.13</v>
      </c>
      <c r="F3398">
        <v>51.99</v>
      </c>
      <c r="G3398">
        <v>52</v>
      </c>
      <c r="H3398">
        <v>320269</v>
      </c>
      <c r="I3398">
        <v>29</v>
      </c>
      <c r="J3398">
        <v>0.64</v>
      </c>
      <c r="K3398">
        <v>80.07</v>
      </c>
      <c r="L3398">
        <v>51</v>
      </c>
      <c r="M3398">
        <v>53.79</v>
      </c>
      <c r="N3398">
        <v>48.2</v>
      </c>
      <c r="O3398">
        <v>48.9</v>
      </c>
      <c r="P3398">
        <v>108.52</v>
      </c>
      <c r="Q3398">
        <v>1634935808</v>
      </c>
      <c r="R3398">
        <v>6.45</v>
      </c>
      <c r="S3398" t="s">
        <v>174</v>
      </c>
      <c r="T3398" t="s">
        <v>156</v>
      </c>
      <c r="U3398">
        <v>11.43</v>
      </c>
      <c r="V3398">
        <v>51.05</v>
      </c>
      <c r="W3398">
        <v>161085</v>
      </c>
      <c r="X3398">
        <v>159184</v>
      </c>
      <c r="Y3398">
        <v>1.01</v>
      </c>
      <c r="Z3398">
        <v>6</v>
      </c>
      <c r="AA3398">
        <v>6</v>
      </c>
      <c r="AB3398" t="s">
        <v>32</v>
      </c>
      <c r="AC3398">
        <v>0.4</v>
      </c>
    </row>
    <row r="3399" spans="1:29">
      <c r="A3399" t="str">
        <f>"603707"</f>
        <v>603707</v>
      </c>
      <c r="B3399" t="s">
        <v>3569</v>
      </c>
      <c r="C3399">
        <v>3.41</v>
      </c>
      <c r="D3399">
        <v>25.15</v>
      </c>
      <c r="E3399">
        <v>0.83</v>
      </c>
      <c r="F3399">
        <v>25.13</v>
      </c>
      <c r="G3399">
        <v>25.14</v>
      </c>
      <c r="H3399">
        <v>42326</v>
      </c>
      <c r="I3399">
        <v>4</v>
      </c>
      <c r="J3399">
        <v>-0.03</v>
      </c>
      <c r="K3399">
        <v>1.49</v>
      </c>
      <c r="L3399">
        <v>24.31</v>
      </c>
      <c r="M3399">
        <v>25.46</v>
      </c>
      <c r="N3399">
        <v>24.02</v>
      </c>
      <c r="O3399">
        <v>24.32</v>
      </c>
      <c r="P3399">
        <v>30.59</v>
      </c>
      <c r="Q3399">
        <v>105353624</v>
      </c>
      <c r="R3399">
        <v>0.87</v>
      </c>
      <c r="S3399" t="s">
        <v>142</v>
      </c>
      <c r="T3399" t="s">
        <v>87</v>
      </c>
      <c r="U3399">
        <v>5.92</v>
      </c>
      <c r="V3399">
        <v>24.89</v>
      </c>
      <c r="W3399">
        <v>22963</v>
      </c>
      <c r="X3399">
        <v>19362</v>
      </c>
      <c r="Y3399">
        <v>1.19</v>
      </c>
      <c r="Z3399">
        <v>5</v>
      </c>
      <c r="AA3399">
        <v>2</v>
      </c>
      <c r="AB3399" t="s">
        <v>32</v>
      </c>
      <c r="AC3399">
        <v>2.85</v>
      </c>
    </row>
    <row r="3400" spans="1:29">
      <c r="A3400" t="str">
        <f>"603708"</f>
        <v>603708</v>
      </c>
      <c r="B3400" t="s">
        <v>3570</v>
      </c>
      <c r="C3400">
        <v>1.68</v>
      </c>
      <c r="D3400">
        <v>22.38</v>
      </c>
      <c r="E3400">
        <v>0.37</v>
      </c>
      <c r="F3400">
        <v>22.38</v>
      </c>
      <c r="G3400">
        <v>22.39</v>
      </c>
      <c r="H3400">
        <v>34510</v>
      </c>
      <c r="I3400">
        <v>3</v>
      </c>
      <c r="J3400">
        <v>0.09</v>
      </c>
      <c r="K3400">
        <v>2.2</v>
      </c>
      <c r="L3400">
        <v>22.18</v>
      </c>
      <c r="M3400">
        <v>22.4</v>
      </c>
      <c r="N3400">
        <v>21.9</v>
      </c>
      <c r="O3400">
        <v>22.01</v>
      </c>
      <c r="P3400">
        <v>21.55</v>
      </c>
      <c r="Q3400">
        <v>76712680</v>
      </c>
      <c r="R3400">
        <v>1.1</v>
      </c>
      <c r="S3400" t="s">
        <v>439</v>
      </c>
      <c r="T3400" t="s">
        <v>162</v>
      </c>
      <c r="U3400">
        <v>2.27</v>
      </c>
      <c r="V3400">
        <v>22.23</v>
      </c>
      <c r="W3400">
        <v>17045</v>
      </c>
      <c r="X3400">
        <v>17465</v>
      </c>
      <c r="Y3400">
        <v>0.98</v>
      </c>
      <c r="Z3400">
        <v>67</v>
      </c>
      <c r="AA3400">
        <v>65</v>
      </c>
      <c r="AB3400" t="s">
        <v>32</v>
      </c>
      <c r="AC3400">
        <v>1.57</v>
      </c>
    </row>
    <row r="3401" spans="1:29">
      <c r="A3401" t="str">
        <f>"603709"</f>
        <v>603709</v>
      </c>
      <c r="B3401" t="s">
        <v>3571</v>
      </c>
      <c r="C3401">
        <v>3.13</v>
      </c>
      <c r="D3401">
        <v>29.98</v>
      </c>
      <c r="E3401">
        <v>0.91</v>
      </c>
      <c r="F3401">
        <v>30</v>
      </c>
      <c r="G3401">
        <v>30.01</v>
      </c>
      <c r="H3401">
        <v>45696</v>
      </c>
      <c r="I3401">
        <v>27</v>
      </c>
      <c r="J3401">
        <v>-0.49</v>
      </c>
      <c r="K3401">
        <v>22.85</v>
      </c>
      <c r="L3401">
        <v>29.24</v>
      </c>
      <c r="M3401">
        <v>30.88</v>
      </c>
      <c r="N3401">
        <v>28.78</v>
      </c>
      <c r="O3401">
        <v>29.07</v>
      </c>
      <c r="P3401">
        <v>108.15</v>
      </c>
      <c r="Q3401">
        <v>134078680</v>
      </c>
      <c r="R3401">
        <v>1.21</v>
      </c>
      <c r="S3401" t="s">
        <v>545</v>
      </c>
      <c r="T3401" t="s">
        <v>149</v>
      </c>
      <c r="U3401">
        <v>7.22</v>
      </c>
      <c r="V3401">
        <v>29.34</v>
      </c>
      <c r="W3401">
        <v>23768</v>
      </c>
      <c r="X3401">
        <v>21928</v>
      </c>
      <c r="Y3401">
        <v>1.08</v>
      </c>
      <c r="Z3401">
        <v>14</v>
      </c>
      <c r="AA3401">
        <v>11</v>
      </c>
      <c r="AB3401" t="s">
        <v>32</v>
      </c>
      <c r="AC3401">
        <v>0.2</v>
      </c>
    </row>
    <row r="3402" spans="1:29">
      <c r="A3402" t="str">
        <f>"603711"</f>
        <v>603711</v>
      </c>
      <c r="B3402" t="s">
        <v>3572</v>
      </c>
      <c r="C3402">
        <v>1.34</v>
      </c>
      <c r="D3402">
        <v>24.18</v>
      </c>
      <c r="E3402">
        <v>0.32</v>
      </c>
      <c r="F3402">
        <v>24.19</v>
      </c>
      <c r="G3402">
        <v>24.2</v>
      </c>
      <c r="H3402">
        <v>65425</v>
      </c>
      <c r="I3402">
        <v>14</v>
      </c>
      <c r="J3402">
        <v>-0.16</v>
      </c>
      <c r="K3402">
        <v>16.35</v>
      </c>
      <c r="L3402">
        <v>23.69</v>
      </c>
      <c r="M3402">
        <v>24.49</v>
      </c>
      <c r="N3402">
        <v>23.2</v>
      </c>
      <c r="O3402">
        <v>23.86</v>
      </c>
      <c r="P3402">
        <v>85.44</v>
      </c>
      <c r="Q3402">
        <v>155968976</v>
      </c>
      <c r="R3402">
        <v>1.09</v>
      </c>
      <c r="S3402" t="s">
        <v>61</v>
      </c>
      <c r="T3402" t="s">
        <v>149</v>
      </c>
      <c r="U3402">
        <v>5.41</v>
      </c>
      <c r="V3402">
        <v>23.84</v>
      </c>
      <c r="W3402">
        <v>31654</v>
      </c>
      <c r="X3402">
        <v>33771</v>
      </c>
      <c r="Y3402">
        <v>0.94</v>
      </c>
      <c r="Z3402">
        <v>20</v>
      </c>
      <c r="AA3402">
        <v>46</v>
      </c>
      <c r="AB3402" t="s">
        <v>32</v>
      </c>
      <c r="AC3402">
        <v>0.4</v>
      </c>
    </row>
    <row r="3403" spans="1:29">
      <c r="A3403" t="str">
        <f>"603712"</f>
        <v>603712</v>
      </c>
      <c r="B3403" t="s">
        <v>3573</v>
      </c>
      <c r="C3403">
        <v>1.04</v>
      </c>
      <c r="D3403">
        <v>27.16</v>
      </c>
      <c r="E3403">
        <v>0.28</v>
      </c>
      <c r="F3403">
        <v>27.17</v>
      </c>
      <c r="G3403">
        <v>27.18</v>
      </c>
      <c r="H3403">
        <v>95860</v>
      </c>
      <c r="I3403">
        <v>6</v>
      </c>
      <c r="J3403">
        <v>-0.1</v>
      </c>
      <c r="K3403">
        <v>9.59</v>
      </c>
      <c r="L3403">
        <v>27.12</v>
      </c>
      <c r="M3403">
        <v>27.35</v>
      </c>
      <c r="N3403">
        <v>26.7</v>
      </c>
      <c r="O3403">
        <v>26.88</v>
      </c>
      <c r="P3403">
        <v>1663.19</v>
      </c>
      <c r="Q3403">
        <v>259465872</v>
      </c>
      <c r="R3403">
        <v>0.98</v>
      </c>
      <c r="S3403" t="s">
        <v>119</v>
      </c>
      <c r="T3403" t="s">
        <v>248</v>
      </c>
      <c r="U3403">
        <v>2.42</v>
      </c>
      <c r="V3403">
        <v>27.07</v>
      </c>
      <c r="W3403">
        <v>47388</v>
      </c>
      <c r="X3403">
        <v>48472</v>
      </c>
      <c r="Y3403">
        <v>0.98</v>
      </c>
      <c r="Z3403">
        <v>43</v>
      </c>
      <c r="AA3403">
        <v>64</v>
      </c>
      <c r="AB3403" t="s">
        <v>32</v>
      </c>
      <c r="AC3403">
        <v>1</v>
      </c>
    </row>
    <row r="3404" spans="1:29">
      <c r="A3404" t="str">
        <f>"603713"</f>
        <v>603713</v>
      </c>
      <c r="B3404" t="s">
        <v>3574</v>
      </c>
      <c r="C3404">
        <v>10.02</v>
      </c>
      <c r="D3404">
        <v>31.63</v>
      </c>
      <c r="E3404">
        <v>2.88</v>
      </c>
      <c r="F3404">
        <v>31.63</v>
      </c>
      <c r="G3404" t="s">
        <v>32</v>
      </c>
      <c r="H3404">
        <v>1067</v>
      </c>
      <c r="I3404">
        <v>10</v>
      </c>
      <c r="J3404">
        <v>0</v>
      </c>
      <c r="K3404">
        <v>0.28</v>
      </c>
      <c r="L3404">
        <v>31.63</v>
      </c>
      <c r="M3404">
        <v>31.63</v>
      </c>
      <c r="N3404">
        <v>31.63</v>
      </c>
      <c r="O3404">
        <v>28.75</v>
      </c>
      <c r="P3404">
        <v>36.01</v>
      </c>
      <c r="Q3404">
        <v>3375965</v>
      </c>
      <c r="R3404">
        <v>1.48</v>
      </c>
      <c r="S3404" t="s">
        <v>742</v>
      </c>
      <c r="T3404" t="s">
        <v>366</v>
      </c>
      <c r="U3404">
        <v>0</v>
      </c>
      <c r="V3404">
        <v>31.63</v>
      </c>
      <c r="W3404">
        <v>986</v>
      </c>
      <c r="X3404">
        <v>81</v>
      </c>
      <c r="Y3404">
        <v>12.17</v>
      </c>
      <c r="Z3404">
        <v>36601</v>
      </c>
      <c r="AA3404">
        <v>0</v>
      </c>
      <c r="AB3404" t="s">
        <v>32</v>
      </c>
      <c r="AC3404">
        <v>0.38</v>
      </c>
    </row>
    <row r="3405" spans="1:29">
      <c r="A3405" t="str">
        <f>"603716"</f>
        <v>603716</v>
      </c>
      <c r="B3405" t="s">
        <v>3575</v>
      </c>
      <c r="C3405">
        <v>2.17</v>
      </c>
      <c r="D3405">
        <v>19.76</v>
      </c>
      <c r="E3405">
        <v>0.42</v>
      </c>
      <c r="F3405">
        <v>19.8</v>
      </c>
      <c r="G3405">
        <v>19.82</v>
      </c>
      <c r="H3405">
        <v>19514</v>
      </c>
      <c r="I3405">
        <v>6</v>
      </c>
      <c r="J3405">
        <v>0.3</v>
      </c>
      <c r="K3405">
        <v>2.03</v>
      </c>
      <c r="L3405">
        <v>19.5</v>
      </c>
      <c r="M3405">
        <v>19.9</v>
      </c>
      <c r="N3405">
        <v>19.22</v>
      </c>
      <c r="O3405">
        <v>19.34</v>
      </c>
      <c r="P3405">
        <v>54.35</v>
      </c>
      <c r="Q3405">
        <v>38156348</v>
      </c>
      <c r="R3405">
        <v>2.03</v>
      </c>
      <c r="S3405" t="s">
        <v>77</v>
      </c>
      <c r="T3405" t="s">
        <v>193</v>
      </c>
      <c r="U3405">
        <v>3.52</v>
      </c>
      <c r="V3405">
        <v>19.55</v>
      </c>
      <c r="W3405">
        <v>7703</v>
      </c>
      <c r="X3405">
        <v>11810</v>
      </c>
      <c r="Y3405">
        <v>0.65</v>
      </c>
      <c r="Z3405">
        <v>6</v>
      </c>
      <c r="AA3405">
        <v>56</v>
      </c>
      <c r="AB3405" t="s">
        <v>32</v>
      </c>
      <c r="AC3405">
        <v>0.96</v>
      </c>
    </row>
    <row r="3406" spans="1:29">
      <c r="A3406" t="str">
        <f>"603717"</f>
        <v>603717</v>
      </c>
      <c r="B3406" t="s">
        <v>3576</v>
      </c>
      <c r="C3406">
        <v>5.29</v>
      </c>
      <c r="D3406">
        <v>10.75</v>
      </c>
      <c r="E3406">
        <v>0.54</v>
      </c>
      <c r="F3406">
        <v>10.77</v>
      </c>
      <c r="G3406">
        <v>10.78</v>
      </c>
      <c r="H3406">
        <v>50645</v>
      </c>
      <c r="I3406">
        <v>14</v>
      </c>
      <c r="J3406">
        <v>0.09</v>
      </c>
      <c r="K3406">
        <v>4.15</v>
      </c>
      <c r="L3406">
        <v>10.24</v>
      </c>
      <c r="M3406">
        <v>10.77</v>
      </c>
      <c r="N3406">
        <v>10.16</v>
      </c>
      <c r="O3406">
        <v>10.21</v>
      </c>
      <c r="P3406" t="s">
        <v>32</v>
      </c>
      <c r="Q3406">
        <v>53436264</v>
      </c>
      <c r="R3406">
        <v>2.29</v>
      </c>
      <c r="S3406" t="s">
        <v>86</v>
      </c>
      <c r="T3406" t="s">
        <v>221</v>
      </c>
      <c r="U3406">
        <v>5.97</v>
      </c>
      <c r="V3406">
        <v>10.55</v>
      </c>
      <c r="W3406">
        <v>18382</v>
      </c>
      <c r="X3406">
        <v>32262</v>
      </c>
      <c r="Y3406">
        <v>0.57</v>
      </c>
      <c r="Z3406">
        <v>44</v>
      </c>
      <c r="AA3406">
        <v>660</v>
      </c>
      <c r="AB3406" t="s">
        <v>32</v>
      </c>
      <c r="AC3406">
        <v>1.22</v>
      </c>
    </row>
    <row r="3407" spans="1:29">
      <c r="A3407" t="str">
        <f>"603718"</f>
        <v>603718</v>
      </c>
      <c r="B3407" t="s">
        <v>3577</v>
      </c>
      <c r="C3407">
        <v>-0.37</v>
      </c>
      <c r="D3407">
        <v>13.53</v>
      </c>
      <c r="E3407">
        <v>-0.05</v>
      </c>
      <c r="F3407">
        <v>13.5</v>
      </c>
      <c r="G3407">
        <v>13.51</v>
      </c>
      <c r="H3407">
        <v>87320</v>
      </c>
      <c r="I3407">
        <v>267</v>
      </c>
      <c r="J3407">
        <v>-0.5</v>
      </c>
      <c r="K3407">
        <v>1.36</v>
      </c>
      <c r="L3407">
        <v>13.01</v>
      </c>
      <c r="M3407">
        <v>13.75</v>
      </c>
      <c r="N3407">
        <v>12.91</v>
      </c>
      <c r="O3407">
        <v>13.58</v>
      </c>
      <c r="P3407">
        <v>105.67</v>
      </c>
      <c r="Q3407">
        <v>116696008</v>
      </c>
      <c r="R3407">
        <v>1.16</v>
      </c>
      <c r="S3407" t="s">
        <v>36</v>
      </c>
      <c r="T3407" t="s">
        <v>366</v>
      </c>
      <c r="U3407">
        <v>6.19</v>
      </c>
      <c r="V3407">
        <v>13.36</v>
      </c>
      <c r="W3407">
        <v>49528</v>
      </c>
      <c r="X3407">
        <v>37792</v>
      </c>
      <c r="Y3407">
        <v>1.31</v>
      </c>
      <c r="Z3407">
        <v>32</v>
      </c>
      <c r="AA3407">
        <v>53</v>
      </c>
      <c r="AB3407" t="s">
        <v>32</v>
      </c>
      <c r="AC3407">
        <v>6.44</v>
      </c>
    </row>
    <row r="3408" spans="1:29">
      <c r="A3408" t="str">
        <f>"603721"</f>
        <v>603721</v>
      </c>
      <c r="B3408" t="s">
        <v>3578</v>
      </c>
      <c r="C3408">
        <v>1.56</v>
      </c>
      <c r="D3408">
        <v>23.41</v>
      </c>
      <c r="E3408">
        <v>0.36</v>
      </c>
      <c r="F3408">
        <v>23.41</v>
      </c>
      <c r="G3408">
        <v>23.42</v>
      </c>
      <c r="H3408">
        <v>21019</v>
      </c>
      <c r="I3408">
        <v>16</v>
      </c>
      <c r="J3408">
        <v>0.04</v>
      </c>
      <c r="K3408">
        <v>8.41</v>
      </c>
      <c r="L3408">
        <v>23.09</v>
      </c>
      <c r="M3408">
        <v>23.65</v>
      </c>
      <c r="N3408">
        <v>23.04</v>
      </c>
      <c r="O3408">
        <v>23.05</v>
      </c>
      <c r="P3408">
        <v>70.51</v>
      </c>
      <c r="Q3408">
        <v>49256776</v>
      </c>
      <c r="R3408">
        <v>1.07</v>
      </c>
      <c r="S3408" t="s">
        <v>148</v>
      </c>
      <c r="T3408" t="s">
        <v>152</v>
      </c>
      <c r="U3408">
        <v>2.65</v>
      </c>
      <c r="V3408">
        <v>23.43</v>
      </c>
      <c r="W3408">
        <v>9878</v>
      </c>
      <c r="X3408">
        <v>11140</v>
      </c>
      <c r="Y3408">
        <v>0.89</v>
      </c>
      <c r="Z3408">
        <v>22</v>
      </c>
      <c r="AA3408">
        <v>6</v>
      </c>
      <c r="AB3408" t="s">
        <v>32</v>
      </c>
      <c r="AC3408">
        <v>0.25</v>
      </c>
    </row>
    <row r="3409" spans="1:29">
      <c r="A3409" t="str">
        <f>"603722"</f>
        <v>603722</v>
      </c>
      <c r="B3409" t="s">
        <v>3579</v>
      </c>
      <c r="C3409">
        <v>0.7</v>
      </c>
      <c r="D3409">
        <v>46.01</v>
      </c>
      <c r="E3409">
        <v>0.32</v>
      </c>
      <c r="F3409">
        <v>46.01</v>
      </c>
      <c r="G3409">
        <v>46.02</v>
      </c>
      <c r="H3409">
        <v>21190</v>
      </c>
      <c r="I3409">
        <v>37</v>
      </c>
      <c r="J3409">
        <v>-0.14</v>
      </c>
      <c r="K3409">
        <v>9.76</v>
      </c>
      <c r="L3409">
        <v>45.93</v>
      </c>
      <c r="M3409">
        <v>46.5</v>
      </c>
      <c r="N3409">
        <v>45.83</v>
      </c>
      <c r="O3409">
        <v>45.69</v>
      </c>
      <c r="P3409">
        <v>117.04</v>
      </c>
      <c r="Q3409">
        <v>97713944</v>
      </c>
      <c r="R3409">
        <v>0.68</v>
      </c>
      <c r="S3409" t="s">
        <v>218</v>
      </c>
      <c r="T3409" t="s">
        <v>87</v>
      </c>
      <c r="U3409">
        <v>1.47</v>
      </c>
      <c r="V3409">
        <v>46.11</v>
      </c>
      <c r="W3409">
        <v>10980</v>
      </c>
      <c r="X3409">
        <v>10209</v>
      </c>
      <c r="Y3409">
        <v>1.08</v>
      </c>
      <c r="Z3409">
        <v>33</v>
      </c>
      <c r="AA3409">
        <v>64</v>
      </c>
      <c r="AB3409" t="s">
        <v>32</v>
      </c>
      <c r="AC3409">
        <v>0.22</v>
      </c>
    </row>
    <row r="3410" spans="1:29">
      <c r="A3410" t="str">
        <f>"603725"</f>
        <v>603725</v>
      </c>
      <c r="B3410" t="s">
        <v>3580</v>
      </c>
      <c r="C3410">
        <v>1.89</v>
      </c>
      <c r="D3410">
        <v>17.26</v>
      </c>
      <c r="E3410">
        <v>0.32</v>
      </c>
      <c r="F3410">
        <v>17.25</v>
      </c>
      <c r="G3410">
        <v>17.26</v>
      </c>
      <c r="H3410">
        <v>25087</v>
      </c>
      <c r="I3410">
        <v>38</v>
      </c>
      <c r="J3410">
        <v>0</v>
      </c>
      <c r="K3410">
        <v>6.84</v>
      </c>
      <c r="L3410">
        <v>16.87</v>
      </c>
      <c r="M3410">
        <v>17.37</v>
      </c>
      <c r="N3410">
        <v>16.72</v>
      </c>
      <c r="O3410">
        <v>16.94</v>
      </c>
      <c r="P3410">
        <v>41.22</v>
      </c>
      <c r="Q3410">
        <v>43117700</v>
      </c>
      <c r="R3410">
        <v>1.87</v>
      </c>
      <c r="S3410" t="s">
        <v>508</v>
      </c>
      <c r="T3410" t="s">
        <v>136</v>
      </c>
      <c r="U3410">
        <v>3.84</v>
      </c>
      <c r="V3410">
        <v>17.19</v>
      </c>
      <c r="W3410">
        <v>10392</v>
      </c>
      <c r="X3410">
        <v>14694</v>
      </c>
      <c r="Y3410">
        <v>0.71</v>
      </c>
      <c r="Z3410">
        <v>75</v>
      </c>
      <c r="AA3410">
        <v>5</v>
      </c>
      <c r="AB3410" t="s">
        <v>32</v>
      </c>
      <c r="AC3410">
        <v>0.37</v>
      </c>
    </row>
    <row r="3411" spans="1:29">
      <c r="A3411" t="str">
        <f>"603726"</f>
        <v>603726</v>
      </c>
      <c r="B3411" t="s">
        <v>3581</v>
      </c>
      <c r="C3411">
        <v>-0.83</v>
      </c>
      <c r="D3411">
        <v>20.23</v>
      </c>
      <c r="E3411">
        <v>-0.17</v>
      </c>
      <c r="F3411">
        <v>20.18</v>
      </c>
      <c r="G3411">
        <v>20.2</v>
      </c>
      <c r="H3411">
        <v>13116</v>
      </c>
      <c r="I3411">
        <v>2</v>
      </c>
      <c r="J3411">
        <v>-0.19</v>
      </c>
      <c r="K3411">
        <v>3.96</v>
      </c>
      <c r="L3411">
        <v>20.45</v>
      </c>
      <c r="M3411">
        <v>20.46</v>
      </c>
      <c r="N3411">
        <v>19.95</v>
      </c>
      <c r="O3411">
        <v>20.4</v>
      </c>
      <c r="P3411">
        <v>21.62</v>
      </c>
      <c r="Q3411">
        <v>26496112</v>
      </c>
      <c r="R3411">
        <v>1.71</v>
      </c>
      <c r="S3411" t="s">
        <v>241</v>
      </c>
      <c r="T3411" t="s">
        <v>149</v>
      </c>
      <c r="U3411">
        <v>2.5</v>
      </c>
      <c r="V3411">
        <v>20.2</v>
      </c>
      <c r="W3411">
        <v>6135</v>
      </c>
      <c r="X3411">
        <v>6980</v>
      </c>
      <c r="Y3411">
        <v>0.88</v>
      </c>
      <c r="Z3411">
        <v>2</v>
      </c>
      <c r="AA3411">
        <v>49</v>
      </c>
      <c r="AB3411" t="s">
        <v>32</v>
      </c>
      <c r="AC3411">
        <v>0.33</v>
      </c>
    </row>
    <row r="3412" spans="1:29">
      <c r="A3412" t="str">
        <f>"603727"</f>
        <v>603727</v>
      </c>
      <c r="B3412" t="s">
        <v>3582</v>
      </c>
      <c r="C3412">
        <v>2.91</v>
      </c>
      <c r="D3412">
        <v>14.86</v>
      </c>
      <c r="E3412">
        <v>0.42</v>
      </c>
      <c r="F3412">
        <v>14.87</v>
      </c>
      <c r="G3412">
        <v>14.88</v>
      </c>
      <c r="H3412">
        <v>15280</v>
      </c>
      <c r="I3412">
        <v>13</v>
      </c>
      <c r="J3412">
        <v>0.13</v>
      </c>
      <c r="K3412">
        <v>1.61</v>
      </c>
      <c r="L3412">
        <v>14.36</v>
      </c>
      <c r="M3412">
        <v>14.88</v>
      </c>
      <c r="N3412">
        <v>14.36</v>
      </c>
      <c r="O3412">
        <v>14.44</v>
      </c>
      <c r="P3412" t="s">
        <v>32</v>
      </c>
      <c r="Q3412">
        <v>22429000</v>
      </c>
      <c r="R3412">
        <v>2.2</v>
      </c>
      <c r="S3412" t="s">
        <v>831</v>
      </c>
      <c r="T3412" t="s">
        <v>248</v>
      </c>
      <c r="U3412">
        <v>3.6</v>
      </c>
      <c r="V3412">
        <v>14.68</v>
      </c>
      <c r="W3412">
        <v>5812</v>
      </c>
      <c r="X3412">
        <v>9467</v>
      </c>
      <c r="Y3412">
        <v>0.61</v>
      </c>
      <c r="Z3412">
        <v>49</v>
      </c>
      <c r="AA3412">
        <v>76</v>
      </c>
      <c r="AB3412" t="s">
        <v>32</v>
      </c>
      <c r="AC3412">
        <v>0.95</v>
      </c>
    </row>
    <row r="3413" spans="1:29">
      <c r="A3413" t="str">
        <f>"603728"</f>
        <v>603728</v>
      </c>
      <c r="B3413" t="s">
        <v>3583</v>
      </c>
      <c r="C3413">
        <v>2.1</v>
      </c>
      <c r="D3413">
        <v>14.57</v>
      </c>
      <c r="E3413">
        <v>0.3</v>
      </c>
      <c r="F3413">
        <v>14.56</v>
      </c>
      <c r="G3413">
        <v>14.6</v>
      </c>
      <c r="H3413">
        <v>6841</v>
      </c>
      <c r="I3413">
        <v>35</v>
      </c>
      <c r="J3413">
        <v>0.21</v>
      </c>
      <c r="K3413">
        <v>0.39</v>
      </c>
      <c r="L3413">
        <v>14.27</v>
      </c>
      <c r="M3413">
        <v>14.65</v>
      </c>
      <c r="N3413">
        <v>14.2</v>
      </c>
      <c r="O3413">
        <v>14.27</v>
      </c>
      <c r="P3413">
        <v>66.92</v>
      </c>
      <c r="Q3413">
        <v>9896055</v>
      </c>
      <c r="R3413">
        <v>1.43</v>
      </c>
      <c r="S3413" t="s">
        <v>104</v>
      </c>
      <c r="T3413" t="s">
        <v>366</v>
      </c>
      <c r="U3413">
        <v>3.15</v>
      </c>
      <c r="V3413">
        <v>14.47</v>
      </c>
      <c r="W3413">
        <v>3120</v>
      </c>
      <c r="X3413">
        <v>3721</v>
      </c>
      <c r="Y3413">
        <v>0.84</v>
      </c>
      <c r="Z3413">
        <v>156</v>
      </c>
      <c r="AA3413">
        <v>33</v>
      </c>
      <c r="AB3413" t="s">
        <v>32</v>
      </c>
      <c r="AC3413">
        <v>1.76</v>
      </c>
    </row>
    <row r="3414" spans="1:29">
      <c r="A3414" t="str">
        <f>"603729"</f>
        <v>603729</v>
      </c>
      <c r="B3414" t="s">
        <v>3584</v>
      </c>
      <c r="C3414">
        <v>1.41</v>
      </c>
      <c r="D3414">
        <v>25.9</v>
      </c>
      <c r="E3414">
        <v>0.36</v>
      </c>
      <c r="F3414">
        <v>25.89</v>
      </c>
      <c r="G3414">
        <v>25.9</v>
      </c>
      <c r="H3414">
        <v>12343</v>
      </c>
      <c r="I3414">
        <v>2</v>
      </c>
      <c r="J3414">
        <v>0.12</v>
      </c>
      <c r="K3414">
        <v>1.32</v>
      </c>
      <c r="L3414">
        <v>25.45</v>
      </c>
      <c r="M3414">
        <v>26.15</v>
      </c>
      <c r="N3414">
        <v>25.45</v>
      </c>
      <c r="O3414">
        <v>25.54</v>
      </c>
      <c r="P3414">
        <v>59.75</v>
      </c>
      <c r="Q3414">
        <v>31910730</v>
      </c>
      <c r="R3414">
        <v>1.07</v>
      </c>
      <c r="S3414" t="s">
        <v>91</v>
      </c>
      <c r="T3414" t="s">
        <v>366</v>
      </c>
      <c r="U3414">
        <v>2.74</v>
      </c>
      <c r="V3414">
        <v>25.85</v>
      </c>
      <c r="W3414">
        <v>6542</v>
      </c>
      <c r="X3414">
        <v>5801</v>
      </c>
      <c r="Y3414">
        <v>1.13</v>
      </c>
      <c r="Z3414">
        <v>1</v>
      </c>
      <c r="AA3414">
        <v>37</v>
      </c>
      <c r="AB3414" t="s">
        <v>32</v>
      </c>
      <c r="AC3414">
        <v>0.93</v>
      </c>
    </row>
    <row r="3415" spans="1:29">
      <c r="A3415" t="str">
        <f>"603730"</f>
        <v>603730</v>
      </c>
      <c r="B3415" t="s">
        <v>3585</v>
      </c>
      <c r="C3415">
        <v>0.79</v>
      </c>
      <c r="D3415">
        <v>26.95</v>
      </c>
      <c r="E3415">
        <v>0.21</v>
      </c>
      <c r="F3415">
        <v>26.95</v>
      </c>
      <c r="G3415">
        <v>26.96</v>
      </c>
      <c r="H3415">
        <v>5761</v>
      </c>
      <c r="I3415">
        <v>15</v>
      </c>
      <c r="J3415">
        <v>-0.21</v>
      </c>
      <c r="K3415">
        <v>1.2</v>
      </c>
      <c r="L3415">
        <v>26.79</v>
      </c>
      <c r="M3415">
        <v>27.28</v>
      </c>
      <c r="N3415">
        <v>26.55</v>
      </c>
      <c r="O3415">
        <v>26.74</v>
      </c>
      <c r="P3415">
        <v>18.5</v>
      </c>
      <c r="Q3415">
        <v>15540767</v>
      </c>
      <c r="R3415">
        <v>1.26</v>
      </c>
      <c r="S3415" t="s">
        <v>80</v>
      </c>
      <c r="T3415" t="s">
        <v>366</v>
      </c>
      <c r="U3415">
        <v>2.73</v>
      </c>
      <c r="V3415">
        <v>26.98</v>
      </c>
      <c r="W3415">
        <v>2679</v>
      </c>
      <c r="X3415">
        <v>3082</v>
      </c>
      <c r="Y3415">
        <v>0.87</v>
      </c>
      <c r="Z3415">
        <v>46</v>
      </c>
      <c r="AA3415">
        <v>8</v>
      </c>
      <c r="AB3415" t="s">
        <v>32</v>
      </c>
      <c r="AC3415">
        <v>0.48</v>
      </c>
    </row>
    <row r="3416" spans="1:29">
      <c r="A3416" t="str">
        <f>"603733"</f>
        <v>603733</v>
      </c>
      <c r="B3416" t="s">
        <v>3586</v>
      </c>
      <c r="C3416">
        <v>3.64</v>
      </c>
      <c r="D3416">
        <v>25.33</v>
      </c>
      <c r="E3416">
        <v>0.89</v>
      </c>
      <c r="F3416">
        <v>25.31</v>
      </c>
      <c r="G3416">
        <v>25.32</v>
      </c>
      <c r="H3416">
        <v>72385</v>
      </c>
      <c r="I3416">
        <v>53</v>
      </c>
      <c r="J3416">
        <v>0.52</v>
      </c>
      <c r="K3416">
        <v>11.68</v>
      </c>
      <c r="L3416">
        <v>24.33</v>
      </c>
      <c r="M3416">
        <v>25.35</v>
      </c>
      <c r="N3416">
        <v>24.3</v>
      </c>
      <c r="O3416">
        <v>24.44</v>
      </c>
      <c r="P3416">
        <v>39.92</v>
      </c>
      <c r="Q3416">
        <v>180525056</v>
      </c>
      <c r="R3416">
        <v>1.37</v>
      </c>
      <c r="S3416" t="s">
        <v>204</v>
      </c>
      <c r="T3416" t="s">
        <v>149</v>
      </c>
      <c r="U3416">
        <v>4.3</v>
      </c>
      <c r="V3416">
        <v>24.94</v>
      </c>
      <c r="W3416">
        <v>31305</v>
      </c>
      <c r="X3416">
        <v>41080</v>
      </c>
      <c r="Y3416">
        <v>0.76</v>
      </c>
      <c r="Z3416">
        <v>33</v>
      </c>
      <c r="AA3416">
        <v>10</v>
      </c>
      <c r="AB3416" t="s">
        <v>32</v>
      </c>
      <c r="AC3416">
        <v>0.62</v>
      </c>
    </row>
    <row r="3417" spans="1:29">
      <c r="A3417" t="str">
        <f>"603737"</f>
        <v>603737</v>
      </c>
      <c r="B3417" t="s">
        <v>3587</v>
      </c>
      <c r="C3417">
        <v>0.9</v>
      </c>
      <c r="D3417">
        <v>49.14</v>
      </c>
      <c r="E3417">
        <v>0.44</v>
      </c>
      <c r="F3417">
        <v>49.13</v>
      </c>
      <c r="G3417">
        <v>49.22</v>
      </c>
      <c r="H3417">
        <v>2128</v>
      </c>
      <c r="I3417">
        <v>3</v>
      </c>
      <c r="J3417">
        <v>-0.11</v>
      </c>
      <c r="K3417">
        <v>0.5</v>
      </c>
      <c r="L3417">
        <v>48.69</v>
      </c>
      <c r="M3417">
        <v>49.7</v>
      </c>
      <c r="N3417">
        <v>48.1</v>
      </c>
      <c r="O3417">
        <v>48.7</v>
      </c>
      <c r="P3417" t="s">
        <v>32</v>
      </c>
      <c r="Q3417">
        <v>10484081</v>
      </c>
      <c r="R3417">
        <v>1.27</v>
      </c>
      <c r="S3417" t="s">
        <v>281</v>
      </c>
      <c r="T3417" t="s">
        <v>236</v>
      </c>
      <c r="U3417">
        <v>3.29</v>
      </c>
      <c r="V3417">
        <v>49.26</v>
      </c>
      <c r="W3417">
        <v>974</v>
      </c>
      <c r="X3417">
        <v>1154</v>
      </c>
      <c r="Y3417">
        <v>0.84</v>
      </c>
      <c r="Z3417">
        <v>36</v>
      </c>
      <c r="AA3417">
        <v>9</v>
      </c>
      <c r="AB3417" t="s">
        <v>32</v>
      </c>
      <c r="AC3417">
        <v>0.42</v>
      </c>
    </row>
    <row r="3418" spans="1:29">
      <c r="A3418" t="str">
        <f>"603738"</f>
        <v>603738</v>
      </c>
      <c r="B3418" t="s">
        <v>3588</v>
      </c>
      <c r="C3418">
        <v>-0.6</v>
      </c>
      <c r="D3418">
        <v>18.16</v>
      </c>
      <c r="E3418">
        <v>-0.11</v>
      </c>
      <c r="F3418">
        <v>18.16</v>
      </c>
      <c r="G3418">
        <v>18.18</v>
      </c>
      <c r="H3418">
        <v>26464</v>
      </c>
      <c r="I3418">
        <v>3</v>
      </c>
      <c r="J3418">
        <v>-0.21</v>
      </c>
      <c r="K3418">
        <v>4.51</v>
      </c>
      <c r="L3418">
        <v>18.1</v>
      </c>
      <c r="M3418">
        <v>18.5</v>
      </c>
      <c r="N3418">
        <v>17.82</v>
      </c>
      <c r="O3418">
        <v>18.27</v>
      </c>
      <c r="P3418">
        <v>57</v>
      </c>
      <c r="Q3418">
        <v>48049668</v>
      </c>
      <c r="R3418">
        <v>0.75</v>
      </c>
      <c r="S3418" t="s">
        <v>63</v>
      </c>
      <c r="T3418" t="s">
        <v>193</v>
      </c>
      <c r="U3418">
        <v>3.72</v>
      </c>
      <c r="V3418">
        <v>18.16</v>
      </c>
      <c r="W3418">
        <v>15464</v>
      </c>
      <c r="X3418">
        <v>11000</v>
      </c>
      <c r="Y3418">
        <v>1.41</v>
      </c>
      <c r="Z3418">
        <v>38</v>
      </c>
      <c r="AA3418">
        <v>7</v>
      </c>
      <c r="AB3418" t="s">
        <v>32</v>
      </c>
      <c r="AC3418">
        <v>0.59</v>
      </c>
    </row>
    <row r="3419" spans="1:29">
      <c r="A3419" t="str">
        <f>"603757"</f>
        <v>603757</v>
      </c>
      <c r="B3419" t="s">
        <v>3589</v>
      </c>
      <c r="C3419">
        <v>0.42</v>
      </c>
      <c r="D3419">
        <v>28.89</v>
      </c>
      <c r="E3419">
        <v>0.12</v>
      </c>
      <c r="F3419">
        <v>28.83</v>
      </c>
      <c r="G3419">
        <v>28.98</v>
      </c>
      <c r="H3419">
        <v>8891</v>
      </c>
      <c r="I3419">
        <v>100</v>
      </c>
      <c r="J3419">
        <v>0.21</v>
      </c>
      <c r="K3419">
        <v>2.54</v>
      </c>
      <c r="L3419">
        <v>28.95</v>
      </c>
      <c r="M3419">
        <v>29.15</v>
      </c>
      <c r="N3419">
        <v>28.61</v>
      </c>
      <c r="O3419">
        <v>28.77</v>
      </c>
      <c r="P3419">
        <v>22.86</v>
      </c>
      <c r="Q3419">
        <v>25631120</v>
      </c>
      <c r="R3419">
        <v>1.2</v>
      </c>
      <c r="S3419" t="s">
        <v>171</v>
      </c>
      <c r="T3419" t="s">
        <v>149</v>
      </c>
      <c r="U3419">
        <v>1.88</v>
      </c>
      <c r="V3419">
        <v>28.83</v>
      </c>
      <c r="W3419">
        <v>4582</v>
      </c>
      <c r="X3419">
        <v>4309</v>
      </c>
      <c r="Y3419">
        <v>1.06</v>
      </c>
      <c r="Z3419">
        <v>3</v>
      </c>
      <c r="AA3419">
        <v>67</v>
      </c>
      <c r="AB3419" t="s">
        <v>32</v>
      </c>
      <c r="AC3419">
        <v>0.35</v>
      </c>
    </row>
    <row r="3420" spans="1:29">
      <c r="A3420" t="str">
        <f>"603758"</f>
        <v>603758</v>
      </c>
      <c r="B3420" t="s">
        <v>3590</v>
      </c>
      <c r="C3420">
        <v>1.79</v>
      </c>
      <c r="D3420">
        <v>8.55</v>
      </c>
      <c r="E3420">
        <v>0.15</v>
      </c>
      <c r="F3420">
        <v>8.54</v>
      </c>
      <c r="G3420">
        <v>8.55</v>
      </c>
      <c r="H3420">
        <v>11923</v>
      </c>
      <c r="I3420">
        <v>1</v>
      </c>
      <c r="J3420">
        <v>0</v>
      </c>
      <c r="K3420">
        <v>0.89</v>
      </c>
      <c r="L3420">
        <v>8.41</v>
      </c>
      <c r="M3420">
        <v>8.57</v>
      </c>
      <c r="N3420">
        <v>8.38</v>
      </c>
      <c r="O3420">
        <v>8.4</v>
      </c>
      <c r="P3420">
        <v>405.24</v>
      </c>
      <c r="Q3420">
        <v>10141956</v>
      </c>
      <c r="R3420">
        <v>1.13</v>
      </c>
      <c r="S3420" t="s">
        <v>80</v>
      </c>
      <c r="T3420" t="s">
        <v>221</v>
      </c>
      <c r="U3420">
        <v>2.26</v>
      </c>
      <c r="V3420">
        <v>8.51</v>
      </c>
      <c r="W3420">
        <v>5342</v>
      </c>
      <c r="X3420">
        <v>6581</v>
      </c>
      <c r="Y3420">
        <v>0.81</v>
      </c>
      <c r="Z3420">
        <v>82</v>
      </c>
      <c r="AA3420">
        <v>174</v>
      </c>
      <c r="AB3420" t="s">
        <v>32</v>
      </c>
      <c r="AC3420">
        <v>1.33</v>
      </c>
    </row>
    <row r="3421" spans="1:29">
      <c r="A3421" t="str">
        <f>"603766"</f>
        <v>603766</v>
      </c>
      <c r="B3421" t="s">
        <v>3591</v>
      </c>
      <c r="C3421">
        <v>1.06</v>
      </c>
      <c r="D3421">
        <v>5.72</v>
      </c>
      <c r="E3421">
        <v>0.06</v>
      </c>
      <c r="F3421">
        <v>5.71</v>
      </c>
      <c r="G3421">
        <v>5.73</v>
      </c>
      <c r="H3421">
        <v>155257</v>
      </c>
      <c r="I3421">
        <v>10</v>
      </c>
      <c r="J3421">
        <v>0.88</v>
      </c>
      <c r="K3421">
        <v>0.74</v>
      </c>
      <c r="L3421">
        <v>5.68</v>
      </c>
      <c r="M3421">
        <v>5.83</v>
      </c>
      <c r="N3421">
        <v>5.62</v>
      </c>
      <c r="O3421">
        <v>5.66</v>
      </c>
      <c r="P3421">
        <v>14.34</v>
      </c>
      <c r="Q3421">
        <v>88630928</v>
      </c>
      <c r="R3421">
        <v>1.75</v>
      </c>
      <c r="S3421" t="s">
        <v>549</v>
      </c>
      <c r="T3421" t="s">
        <v>221</v>
      </c>
      <c r="U3421">
        <v>3.71</v>
      </c>
      <c r="V3421">
        <v>5.71</v>
      </c>
      <c r="W3421">
        <v>68299</v>
      </c>
      <c r="X3421">
        <v>86958</v>
      </c>
      <c r="Y3421">
        <v>0.79</v>
      </c>
      <c r="Z3421">
        <v>92</v>
      </c>
      <c r="AA3421">
        <v>328</v>
      </c>
      <c r="AB3421" t="s">
        <v>32</v>
      </c>
      <c r="AC3421">
        <v>20.94</v>
      </c>
    </row>
    <row r="3422" spans="1:29">
      <c r="A3422" t="str">
        <f>"603767"</f>
        <v>603767</v>
      </c>
      <c r="B3422" t="s">
        <v>3592</v>
      </c>
      <c r="C3422">
        <v>2.32</v>
      </c>
      <c r="D3422">
        <v>8.83</v>
      </c>
      <c r="E3422">
        <v>0.2</v>
      </c>
      <c r="F3422">
        <v>8.82</v>
      </c>
      <c r="G3422">
        <v>8.83</v>
      </c>
      <c r="H3422">
        <v>37129</v>
      </c>
      <c r="I3422">
        <v>9</v>
      </c>
      <c r="J3422">
        <v>-0.1</v>
      </c>
      <c r="K3422">
        <v>3.92</v>
      </c>
      <c r="L3422">
        <v>8.63</v>
      </c>
      <c r="M3422">
        <v>8.87</v>
      </c>
      <c r="N3422">
        <v>8.61</v>
      </c>
      <c r="O3422">
        <v>8.63</v>
      </c>
      <c r="P3422">
        <v>37.32</v>
      </c>
      <c r="Q3422">
        <v>32567300</v>
      </c>
      <c r="R3422">
        <v>1.74</v>
      </c>
      <c r="S3422" t="s">
        <v>80</v>
      </c>
      <c r="T3422" t="s">
        <v>149</v>
      </c>
      <c r="U3422">
        <v>3.01</v>
      </c>
      <c r="V3422">
        <v>8.77</v>
      </c>
      <c r="W3422">
        <v>15604</v>
      </c>
      <c r="X3422">
        <v>21524</v>
      </c>
      <c r="Y3422">
        <v>0.72</v>
      </c>
      <c r="Z3422">
        <v>299</v>
      </c>
      <c r="AA3422">
        <v>11</v>
      </c>
      <c r="AB3422" t="s">
        <v>32</v>
      </c>
      <c r="AC3422">
        <v>0.95</v>
      </c>
    </row>
    <row r="3423" spans="1:29">
      <c r="A3423" t="str">
        <f>"603768"</f>
        <v>603768</v>
      </c>
      <c r="B3423" t="s">
        <v>3593</v>
      </c>
      <c r="C3423">
        <v>1.41</v>
      </c>
      <c r="D3423">
        <v>14.42</v>
      </c>
      <c r="E3423">
        <v>0.2</v>
      </c>
      <c r="F3423">
        <v>14.43</v>
      </c>
      <c r="G3423">
        <v>14.44</v>
      </c>
      <c r="H3423">
        <v>13978</v>
      </c>
      <c r="I3423">
        <v>16</v>
      </c>
      <c r="J3423">
        <v>0</v>
      </c>
      <c r="K3423">
        <v>1.99</v>
      </c>
      <c r="L3423">
        <v>14.19</v>
      </c>
      <c r="M3423">
        <v>14.47</v>
      </c>
      <c r="N3423">
        <v>14.16</v>
      </c>
      <c r="O3423">
        <v>14.22</v>
      </c>
      <c r="P3423">
        <v>17.24</v>
      </c>
      <c r="Q3423">
        <v>20054616</v>
      </c>
      <c r="R3423">
        <v>0.58</v>
      </c>
      <c r="S3423" t="s">
        <v>80</v>
      </c>
      <c r="T3423" t="s">
        <v>143</v>
      </c>
      <c r="U3423">
        <v>2.18</v>
      </c>
      <c r="V3423">
        <v>14.35</v>
      </c>
      <c r="W3423">
        <v>7618</v>
      </c>
      <c r="X3423">
        <v>6359</v>
      </c>
      <c r="Y3423">
        <v>1.2</v>
      </c>
      <c r="Z3423">
        <v>30</v>
      </c>
      <c r="AA3423">
        <v>62</v>
      </c>
      <c r="AB3423" t="s">
        <v>32</v>
      </c>
      <c r="AC3423">
        <v>0.7</v>
      </c>
    </row>
    <row r="3424" spans="1:29">
      <c r="A3424" t="str">
        <f>"603773"</f>
        <v>603773</v>
      </c>
      <c r="B3424" t="s">
        <v>3594</v>
      </c>
      <c r="C3424">
        <v>2.03</v>
      </c>
      <c r="D3424">
        <v>70.23</v>
      </c>
      <c r="E3424">
        <v>1.4</v>
      </c>
      <c r="F3424">
        <v>70.15</v>
      </c>
      <c r="G3424">
        <v>70.22</v>
      </c>
      <c r="H3424">
        <v>20584</v>
      </c>
      <c r="I3424">
        <v>10</v>
      </c>
      <c r="J3424">
        <v>0.11</v>
      </c>
      <c r="K3424">
        <v>8.7</v>
      </c>
      <c r="L3424">
        <v>68.82</v>
      </c>
      <c r="M3424">
        <v>70.5</v>
      </c>
      <c r="N3424">
        <v>68.11</v>
      </c>
      <c r="O3424">
        <v>68.83</v>
      </c>
      <c r="P3424">
        <v>29.89</v>
      </c>
      <c r="Q3424">
        <v>143105952</v>
      </c>
      <c r="R3424">
        <v>0.86</v>
      </c>
      <c r="S3424" t="s">
        <v>63</v>
      </c>
      <c r="T3424" t="s">
        <v>172</v>
      </c>
      <c r="U3424">
        <v>3.47</v>
      </c>
      <c r="V3424">
        <v>69.52</v>
      </c>
      <c r="W3424">
        <v>10202</v>
      </c>
      <c r="X3424">
        <v>10381</v>
      </c>
      <c r="Y3424">
        <v>0.98</v>
      </c>
      <c r="Z3424">
        <v>3</v>
      </c>
      <c r="AA3424">
        <v>5</v>
      </c>
      <c r="AB3424" t="s">
        <v>32</v>
      </c>
      <c r="AC3424">
        <v>0.24</v>
      </c>
    </row>
    <row r="3425" spans="1:29">
      <c r="A3425" t="str">
        <f>"603776"</f>
        <v>603776</v>
      </c>
      <c r="B3425" t="s">
        <v>3595</v>
      </c>
      <c r="C3425">
        <v>0.16</v>
      </c>
      <c r="D3425">
        <v>36.87</v>
      </c>
      <c r="E3425">
        <v>0.06</v>
      </c>
      <c r="F3425">
        <v>36.87</v>
      </c>
      <c r="G3425">
        <v>36.88</v>
      </c>
      <c r="H3425">
        <v>27194</v>
      </c>
      <c r="I3425">
        <v>7</v>
      </c>
      <c r="J3425">
        <v>0.19</v>
      </c>
      <c r="K3425">
        <v>8.09</v>
      </c>
      <c r="L3425">
        <v>36.65</v>
      </c>
      <c r="M3425">
        <v>36.97</v>
      </c>
      <c r="N3425">
        <v>36.25</v>
      </c>
      <c r="O3425">
        <v>36.81</v>
      </c>
      <c r="P3425">
        <v>45.76</v>
      </c>
      <c r="Q3425">
        <v>99828600</v>
      </c>
      <c r="R3425">
        <v>1.37</v>
      </c>
      <c r="S3425" t="s">
        <v>1253</v>
      </c>
      <c r="T3425" t="s">
        <v>87</v>
      </c>
      <c r="U3425">
        <v>1.96</v>
      </c>
      <c r="V3425">
        <v>36.71</v>
      </c>
      <c r="W3425">
        <v>14399</v>
      </c>
      <c r="X3425">
        <v>12795</v>
      </c>
      <c r="Y3425">
        <v>1.13</v>
      </c>
      <c r="Z3425">
        <v>16</v>
      </c>
      <c r="AA3425">
        <v>72</v>
      </c>
      <c r="AB3425" t="s">
        <v>32</v>
      </c>
      <c r="AC3425">
        <v>0.34</v>
      </c>
    </row>
    <row r="3426" spans="1:29">
      <c r="A3426" t="str">
        <f>"603777"</f>
        <v>603777</v>
      </c>
      <c r="B3426" t="s">
        <v>3596</v>
      </c>
      <c r="C3426">
        <v>2.35</v>
      </c>
      <c r="D3426">
        <v>16.57</v>
      </c>
      <c r="E3426">
        <v>0.38</v>
      </c>
      <c r="F3426">
        <v>16.58</v>
      </c>
      <c r="G3426">
        <v>16.59</v>
      </c>
      <c r="H3426">
        <v>64638</v>
      </c>
      <c r="I3426">
        <v>1</v>
      </c>
      <c r="J3426">
        <v>0.06</v>
      </c>
      <c r="K3426">
        <v>5.92</v>
      </c>
      <c r="L3426">
        <v>16.17</v>
      </c>
      <c r="M3426">
        <v>16.85</v>
      </c>
      <c r="N3426">
        <v>16.05</v>
      </c>
      <c r="O3426">
        <v>16.19</v>
      </c>
      <c r="P3426">
        <v>33.4</v>
      </c>
      <c r="Q3426">
        <v>106283336</v>
      </c>
      <c r="R3426">
        <v>1.21</v>
      </c>
      <c r="S3426" t="s">
        <v>213</v>
      </c>
      <c r="T3426" t="s">
        <v>366</v>
      </c>
      <c r="U3426">
        <v>4.94</v>
      </c>
      <c r="V3426">
        <v>16.44</v>
      </c>
      <c r="W3426">
        <v>30561</v>
      </c>
      <c r="X3426">
        <v>34077</v>
      </c>
      <c r="Y3426">
        <v>0.9</v>
      </c>
      <c r="Z3426">
        <v>33</v>
      </c>
      <c r="AA3426">
        <v>83</v>
      </c>
      <c r="AB3426" t="s">
        <v>32</v>
      </c>
      <c r="AC3426">
        <v>1.09</v>
      </c>
    </row>
    <row r="3427" spans="1:29">
      <c r="A3427" t="str">
        <f>"603778"</f>
        <v>603778</v>
      </c>
      <c r="B3427" t="s">
        <v>3597</v>
      </c>
      <c r="C3427">
        <v>1.81</v>
      </c>
      <c r="D3427">
        <v>5.64</v>
      </c>
      <c r="E3427">
        <v>0.1</v>
      </c>
      <c r="F3427">
        <v>5.62</v>
      </c>
      <c r="G3427">
        <v>5.65</v>
      </c>
      <c r="H3427">
        <v>57527</v>
      </c>
      <c r="I3427">
        <v>504</v>
      </c>
      <c r="J3427">
        <v>-0.34</v>
      </c>
      <c r="K3427">
        <v>2.54</v>
      </c>
      <c r="L3427">
        <v>5.52</v>
      </c>
      <c r="M3427">
        <v>5.75</v>
      </c>
      <c r="N3427">
        <v>5.52</v>
      </c>
      <c r="O3427">
        <v>5.54</v>
      </c>
      <c r="P3427">
        <v>270.27</v>
      </c>
      <c r="Q3427">
        <v>32323568</v>
      </c>
      <c r="R3427">
        <v>0.9</v>
      </c>
      <c r="S3427" t="s">
        <v>49</v>
      </c>
      <c r="T3427" t="s">
        <v>45</v>
      </c>
      <c r="U3427">
        <v>4.15</v>
      </c>
      <c r="V3427">
        <v>5.62</v>
      </c>
      <c r="W3427">
        <v>24977</v>
      </c>
      <c r="X3427">
        <v>32549</v>
      </c>
      <c r="Y3427">
        <v>0.77</v>
      </c>
      <c r="Z3427">
        <v>151</v>
      </c>
      <c r="AA3427">
        <v>39</v>
      </c>
      <c r="AB3427" t="s">
        <v>32</v>
      </c>
      <c r="AC3427">
        <v>2.26</v>
      </c>
    </row>
    <row r="3428" spans="1:29">
      <c r="A3428" t="str">
        <f>"603779"</f>
        <v>603779</v>
      </c>
      <c r="B3428" t="s">
        <v>3598</v>
      </c>
      <c r="C3428">
        <v>1.75</v>
      </c>
      <c r="D3428">
        <v>14.51</v>
      </c>
      <c r="E3428">
        <v>0.25</v>
      </c>
      <c r="F3428">
        <v>14.5</v>
      </c>
      <c r="G3428">
        <v>14.51</v>
      </c>
      <c r="H3428">
        <v>19772</v>
      </c>
      <c r="I3428">
        <v>10</v>
      </c>
      <c r="J3428">
        <v>-0.06</v>
      </c>
      <c r="K3428">
        <v>2.14</v>
      </c>
      <c r="L3428">
        <v>14.28</v>
      </c>
      <c r="M3428">
        <v>14.65</v>
      </c>
      <c r="N3428">
        <v>14.19</v>
      </c>
      <c r="O3428">
        <v>14.26</v>
      </c>
      <c r="P3428">
        <v>44.4</v>
      </c>
      <c r="Q3428">
        <v>28511758</v>
      </c>
      <c r="R3428">
        <v>1.87</v>
      </c>
      <c r="S3428" t="s">
        <v>272</v>
      </c>
      <c r="T3428" t="s">
        <v>162</v>
      </c>
      <c r="U3428">
        <v>3.23</v>
      </c>
      <c r="V3428">
        <v>14.42</v>
      </c>
      <c r="W3428">
        <v>10440</v>
      </c>
      <c r="X3428">
        <v>9332</v>
      </c>
      <c r="Y3428">
        <v>1.12</v>
      </c>
      <c r="Z3428">
        <v>386</v>
      </c>
      <c r="AA3428">
        <v>1</v>
      </c>
      <c r="AB3428" t="s">
        <v>32</v>
      </c>
      <c r="AC3428">
        <v>0.93</v>
      </c>
    </row>
    <row r="3429" spans="1:29">
      <c r="A3429" t="str">
        <f>"603787"</f>
        <v>603787</v>
      </c>
      <c r="B3429" t="s">
        <v>3599</v>
      </c>
      <c r="C3429">
        <v>0.79</v>
      </c>
      <c r="D3429">
        <v>10.26</v>
      </c>
      <c r="E3429">
        <v>0.08</v>
      </c>
      <c r="F3429">
        <v>10.26</v>
      </c>
      <c r="G3429">
        <v>10.27</v>
      </c>
      <c r="H3429">
        <v>46105</v>
      </c>
      <c r="I3429">
        <v>259</v>
      </c>
      <c r="J3429">
        <v>0</v>
      </c>
      <c r="K3429">
        <v>6.5</v>
      </c>
      <c r="L3429">
        <v>10.27</v>
      </c>
      <c r="M3429">
        <v>10.31</v>
      </c>
      <c r="N3429">
        <v>10.17</v>
      </c>
      <c r="O3429">
        <v>10.18</v>
      </c>
      <c r="P3429">
        <v>32.65</v>
      </c>
      <c r="Q3429">
        <v>47298768</v>
      </c>
      <c r="R3429">
        <v>1.61</v>
      </c>
      <c r="S3429" t="s">
        <v>549</v>
      </c>
      <c r="T3429" t="s">
        <v>87</v>
      </c>
      <c r="U3429">
        <v>1.38</v>
      </c>
      <c r="V3429">
        <v>10.26</v>
      </c>
      <c r="W3429">
        <v>17880</v>
      </c>
      <c r="X3429">
        <v>28225</v>
      </c>
      <c r="Y3429">
        <v>0.63</v>
      </c>
      <c r="Z3429">
        <v>15</v>
      </c>
      <c r="AA3429">
        <v>1127</v>
      </c>
      <c r="AB3429" t="s">
        <v>32</v>
      </c>
      <c r="AC3429">
        <v>0.71</v>
      </c>
    </row>
    <row r="3430" spans="1:29">
      <c r="A3430" t="str">
        <f>"603788"</f>
        <v>603788</v>
      </c>
      <c r="B3430" t="s">
        <v>3600</v>
      </c>
      <c r="C3430">
        <v>1.32</v>
      </c>
      <c r="D3430">
        <v>25.29</v>
      </c>
      <c r="E3430">
        <v>0.33</v>
      </c>
      <c r="F3430">
        <v>25.29</v>
      </c>
      <c r="G3430">
        <v>25.32</v>
      </c>
      <c r="H3430">
        <v>9559</v>
      </c>
      <c r="I3430">
        <v>1</v>
      </c>
      <c r="J3430">
        <v>0</v>
      </c>
      <c r="K3430">
        <v>0.49</v>
      </c>
      <c r="L3430">
        <v>24.66</v>
      </c>
      <c r="M3430">
        <v>25.37</v>
      </c>
      <c r="N3430">
        <v>24.66</v>
      </c>
      <c r="O3430">
        <v>24.96</v>
      </c>
      <c r="P3430">
        <v>17.72</v>
      </c>
      <c r="Q3430">
        <v>24049932</v>
      </c>
      <c r="R3430">
        <v>1.21</v>
      </c>
      <c r="S3430" t="s">
        <v>80</v>
      </c>
      <c r="T3430" t="s">
        <v>149</v>
      </c>
      <c r="U3430">
        <v>2.84</v>
      </c>
      <c r="V3430">
        <v>25.16</v>
      </c>
      <c r="W3430">
        <v>4361</v>
      </c>
      <c r="X3430">
        <v>5197</v>
      </c>
      <c r="Y3430">
        <v>0.84</v>
      </c>
      <c r="Z3430">
        <v>32</v>
      </c>
      <c r="AA3430">
        <v>2</v>
      </c>
      <c r="AB3430" t="s">
        <v>32</v>
      </c>
      <c r="AC3430">
        <v>1.96</v>
      </c>
    </row>
    <row r="3431" spans="1:29">
      <c r="A3431" t="str">
        <f>"603789"</f>
        <v>603789</v>
      </c>
      <c r="B3431" t="s">
        <v>3601</v>
      </c>
      <c r="C3431">
        <v>0.72</v>
      </c>
      <c r="D3431">
        <v>12.65</v>
      </c>
      <c r="E3431">
        <v>0.09</v>
      </c>
      <c r="F3431">
        <v>12.64</v>
      </c>
      <c r="G3431">
        <v>12.66</v>
      </c>
      <c r="H3431">
        <v>20642</v>
      </c>
      <c r="I3431">
        <v>54</v>
      </c>
      <c r="J3431">
        <v>-0.07</v>
      </c>
      <c r="K3431">
        <v>0.79</v>
      </c>
      <c r="L3431">
        <v>12.53</v>
      </c>
      <c r="M3431">
        <v>12.76</v>
      </c>
      <c r="N3431">
        <v>12.5</v>
      </c>
      <c r="O3431">
        <v>12.56</v>
      </c>
      <c r="P3431" t="s">
        <v>32</v>
      </c>
      <c r="Q3431">
        <v>26068548</v>
      </c>
      <c r="R3431">
        <v>1.12</v>
      </c>
      <c r="S3431" t="s">
        <v>481</v>
      </c>
      <c r="T3431" t="s">
        <v>149</v>
      </c>
      <c r="U3431">
        <v>2.07</v>
      </c>
      <c r="V3431">
        <v>12.63</v>
      </c>
      <c r="W3431">
        <v>7463</v>
      </c>
      <c r="X3431">
        <v>13178</v>
      </c>
      <c r="Y3431">
        <v>0.57</v>
      </c>
      <c r="Z3431">
        <v>32</v>
      </c>
      <c r="AA3431">
        <v>104</v>
      </c>
      <c r="AB3431" t="s">
        <v>32</v>
      </c>
      <c r="AC3431">
        <v>2.6</v>
      </c>
    </row>
    <row r="3432" spans="1:29">
      <c r="A3432" t="str">
        <f>"603797"</f>
        <v>603797</v>
      </c>
      <c r="B3432" t="s">
        <v>3602</v>
      </c>
      <c r="C3432">
        <v>1.28</v>
      </c>
      <c r="D3432">
        <v>15.03</v>
      </c>
      <c r="E3432">
        <v>0.19</v>
      </c>
      <c r="F3432">
        <v>15.04</v>
      </c>
      <c r="G3432">
        <v>15.05</v>
      </c>
      <c r="H3432">
        <v>10164</v>
      </c>
      <c r="I3432">
        <v>5</v>
      </c>
      <c r="J3432">
        <v>0.07</v>
      </c>
      <c r="K3432">
        <v>1.91</v>
      </c>
      <c r="L3432">
        <v>14.84</v>
      </c>
      <c r="M3432">
        <v>15.1</v>
      </c>
      <c r="N3432">
        <v>14.81</v>
      </c>
      <c r="O3432">
        <v>14.84</v>
      </c>
      <c r="P3432">
        <v>42.28</v>
      </c>
      <c r="Q3432">
        <v>15226266</v>
      </c>
      <c r="R3432">
        <v>1.25</v>
      </c>
      <c r="S3432" t="s">
        <v>86</v>
      </c>
      <c r="T3432" t="s">
        <v>136</v>
      </c>
      <c r="U3432">
        <v>1.95</v>
      </c>
      <c r="V3432">
        <v>14.98</v>
      </c>
      <c r="W3432">
        <v>5328</v>
      </c>
      <c r="X3432">
        <v>4836</v>
      </c>
      <c r="Y3432">
        <v>1.1</v>
      </c>
      <c r="Z3432">
        <v>73</v>
      </c>
      <c r="AA3432">
        <v>212</v>
      </c>
      <c r="AB3432" t="s">
        <v>32</v>
      </c>
      <c r="AC3432">
        <v>0.53</v>
      </c>
    </row>
    <row r="3433" spans="1:29">
      <c r="A3433" t="str">
        <f>"603798"</f>
        <v>603798</v>
      </c>
      <c r="B3433" t="s">
        <v>3603</v>
      </c>
      <c r="C3433">
        <v>1.58</v>
      </c>
      <c r="D3433">
        <v>14.12</v>
      </c>
      <c r="E3433">
        <v>0.22</v>
      </c>
      <c r="F3433">
        <v>14.11</v>
      </c>
      <c r="G3433">
        <v>14.13</v>
      </c>
      <c r="H3433">
        <v>30166</v>
      </c>
      <c r="I3433">
        <v>3</v>
      </c>
      <c r="J3433">
        <v>0.21</v>
      </c>
      <c r="K3433">
        <v>3.53</v>
      </c>
      <c r="L3433">
        <v>13.88</v>
      </c>
      <c r="M3433">
        <v>14.14</v>
      </c>
      <c r="N3433">
        <v>13.8</v>
      </c>
      <c r="O3433">
        <v>13.9</v>
      </c>
      <c r="P3433">
        <v>14.49</v>
      </c>
      <c r="Q3433">
        <v>42269016</v>
      </c>
      <c r="R3433">
        <v>0.68</v>
      </c>
      <c r="S3433" t="s">
        <v>110</v>
      </c>
      <c r="T3433" t="s">
        <v>162</v>
      </c>
      <c r="U3433">
        <v>2.45</v>
      </c>
      <c r="V3433">
        <v>14.01</v>
      </c>
      <c r="W3433">
        <v>14447</v>
      </c>
      <c r="X3433">
        <v>15719</v>
      </c>
      <c r="Y3433">
        <v>0.92</v>
      </c>
      <c r="Z3433">
        <v>61</v>
      </c>
      <c r="AA3433">
        <v>138</v>
      </c>
      <c r="AB3433" t="s">
        <v>32</v>
      </c>
      <c r="AC3433">
        <v>0.85</v>
      </c>
    </row>
    <row r="3434" spans="1:29">
      <c r="A3434" t="str">
        <f>"603799"</f>
        <v>603799</v>
      </c>
      <c r="B3434" t="s">
        <v>3604</v>
      </c>
      <c r="C3434">
        <v>0.4</v>
      </c>
      <c r="D3434">
        <v>77.08</v>
      </c>
      <c r="E3434">
        <v>0.31</v>
      </c>
      <c r="F3434">
        <v>77.08</v>
      </c>
      <c r="G3434">
        <v>77.09</v>
      </c>
      <c r="H3434">
        <v>193563</v>
      </c>
      <c r="I3434">
        <v>8</v>
      </c>
      <c r="J3434">
        <v>-0.03</v>
      </c>
      <c r="K3434">
        <v>2.36</v>
      </c>
      <c r="L3434">
        <v>76.67</v>
      </c>
      <c r="M3434">
        <v>78.83</v>
      </c>
      <c r="N3434">
        <v>75.9</v>
      </c>
      <c r="O3434">
        <v>76.77</v>
      </c>
      <c r="P3434">
        <v>18.8</v>
      </c>
      <c r="Q3434">
        <v>1497392512</v>
      </c>
      <c r="R3434">
        <v>1.18</v>
      </c>
      <c r="S3434" t="s">
        <v>356</v>
      </c>
      <c r="T3434" t="s">
        <v>149</v>
      </c>
      <c r="U3434">
        <v>3.82</v>
      </c>
      <c r="V3434">
        <v>77.36</v>
      </c>
      <c r="W3434">
        <v>96765</v>
      </c>
      <c r="X3434">
        <v>96797</v>
      </c>
      <c r="Y3434">
        <v>1</v>
      </c>
      <c r="Z3434">
        <v>18</v>
      </c>
      <c r="AA3434">
        <v>6</v>
      </c>
      <c r="AB3434" t="s">
        <v>32</v>
      </c>
      <c r="AC3434">
        <v>8.2</v>
      </c>
    </row>
    <row r="3435" spans="1:29">
      <c r="A3435" t="str">
        <f>"603800"</f>
        <v>603800</v>
      </c>
      <c r="B3435" t="s">
        <v>3605</v>
      </c>
      <c r="C3435">
        <v>1.91</v>
      </c>
      <c r="D3435">
        <v>15.46</v>
      </c>
      <c r="E3435">
        <v>0.29</v>
      </c>
      <c r="F3435">
        <v>15.45</v>
      </c>
      <c r="G3435">
        <v>15.46</v>
      </c>
      <c r="H3435">
        <v>80014</v>
      </c>
      <c r="I3435">
        <v>22</v>
      </c>
      <c r="J3435">
        <v>0.26</v>
      </c>
      <c r="K3435">
        <v>11.84</v>
      </c>
      <c r="L3435">
        <v>15.16</v>
      </c>
      <c r="M3435">
        <v>15.48</v>
      </c>
      <c r="N3435">
        <v>14.7</v>
      </c>
      <c r="O3435">
        <v>15.17</v>
      </c>
      <c r="P3435" t="s">
        <v>32</v>
      </c>
      <c r="Q3435">
        <v>121033760</v>
      </c>
      <c r="R3435">
        <v>0.78</v>
      </c>
      <c r="S3435" t="s">
        <v>171</v>
      </c>
      <c r="T3435" t="s">
        <v>87</v>
      </c>
      <c r="U3435">
        <v>5.14</v>
      </c>
      <c r="V3435">
        <v>15.13</v>
      </c>
      <c r="W3435">
        <v>39063</v>
      </c>
      <c r="X3435">
        <v>40950</v>
      </c>
      <c r="Y3435">
        <v>0.95</v>
      </c>
      <c r="Z3435">
        <v>223</v>
      </c>
      <c r="AA3435">
        <v>23</v>
      </c>
      <c r="AB3435" t="s">
        <v>32</v>
      </c>
      <c r="AC3435">
        <v>0.68</v>
      </c>
    </row>
    <row r="3436" spans="1:29">
      <c r="A3436" t="str">
        <f>"603801"</f>
        <v>603801</v>
      </c>
      <c r="B3436" t="s">
        <v>3606</v>
      </c>
      <c r="C3436">
        <v>3.04</v>
      </c>
      <c r="D3436">
        <v>42.36</v>
      </c>
      <c r="E3436">
        <v>1.25</v>
      </c>
      <c r="F3436">
        <v>42.28</v>
      </c>
      <c r="G3436">
        <v>42.35</v>
      </c>
      <c r="H3436">
        <v>6849</v>
      </c>
      <c r="I3436">
        <v>12</v>
      </c>
      <c r="J3436">
        <v>0.07</v>
      </c>
      <c r="K3436">
        <v>0.82</v>
      </c>
      <c r="L3436">
        <v>41.19</v>
      </c>
      <c r="M3436">
        <v>42.69</v>
      </c>
      <c r="N3436">
        <v>41.19</v>
      </c>
      <c r="O3436">
        <v>41.11</v>
      </c>
      <c r="P3436">
        <v>56.19</v>
      </c>
      <c r="Q3436">
        <v>28823072</v>
      </c>
      <c r="R3436">
        <v>1.5</v>
      </c>
      <c r="S3436" t="s">
        <v>545</v>
      </c>
      <c r="T3436" t="s">
        <v>143</v>
      </c>
      <c r="U3436">
        <v>3.65</v>
      </c>
      <c r="V3436">
        <v>42.08</v>
      </c>
      <c r="W3436">
        <v>3620</v>
      </c>
      <c r="X3436">
        <v>3229</v>
      </c>
      <c r="Y3436">
        <v>1.12</v>
      </c>
      <c r="Z3436">
        <v>1</v>
      </c>
      <c r="AA3436">
        <v>45</v>
      </c>
      <c r="AB3436" t="s">
        <v>32</v>
      </c>
      <c r="AC3436">
        <v>0.83</v>
      </c>
    </row>
    <row r="3437" spans="1:29">
      <c r="A3437" t="str">
        <f>"603803"</f>
        <v>603803</v>
      </c>
      <c r="B3437" t="s">
        <v>3607</v>
      </c>
      <c r="C3437">
        <v>1.78</v>
      </c>
      <c r="D3437">
        <v>13.13</v>
      </c>
      <c r="E3437">
        <v>0.23</v>
      </c>
      <c r="F3437">
        <v>13.13</v>
      </c>
      <c r="G3437">
        <v>13.14</v>
      </c>
      <c r="H3437">
        <v>88992</v>
      </c>
      <c r="I3437">
        <v>10</v>
      </c>
      <c r="J3437">
        <v>-0.07</v>
      </c>
      <c r="K3437">
        <v>4.05</v>
      </c>
      <c r="L3437">
        <v>13</v>
      </c>
      <c r="M3437">
        <v>13.16</v>
      </c>
      <c r="N3437">
        <v>12.83</v>
      </c>
      <c r="O3437">
        <v>12.9</v>
      </c>
      <c r="P3437">
        <v>38.57</v>
      </c>
      <c r="Q3437">
        <v>115875544</v>
      </c>
      <c r="R3437">
        <v>1.98</v>
      </c>
      <c r="S3437" t="s">
        <v>119</v>
      </c>
      <c r="T3437" t="s">
        <v>45</v>
      </c>
      <c r="U3437">
        <v>2.56</v>
      </c>
      <c r="V3437">
        <v>13.02</v>
      </c>
      <c r="W3437">
        <v>33087</v>
      </c>
      <c r="X3437">
        <v>55905</v>
      </c>
      <c r="Y3437">
        <v>0.59</v>
      </c>
      <c r="Z3437">
        <v>160</v>
      </c>
      <c r="AA3437">
        <v>212</v>
      </c>
      <c r="AB3437" t="s">
        <v>32</v>
      </c>
      <c r="AC3437">
        <v>2.2</v>
      </c>
    </row>
    <row r="3438" spans="1:29">
      <c r="A3438" t="str">
        <f>"603806"</f>
        <v>603806</v>
      </c>
      <c r="B3438" t="s">
        <v>3608</v>
      </c>
      <c r="C3438">
        <v>2.35</v>
      </c>
      <c r="D3438">
        <v>22.61</v>
      </c>
      <c r="E3438">
        <v>0.52</v>
      </c>
      <c r="F3438">
        <v>22.6</v>
      </c>
      <c r="G3438">
        <v>22.62</v>
      </c>
      <c r="H3438">
        <v>8992</v>
      </c>
      <c r="I3438">
        <v>20</v>
      </c>
      <c r="J3438">
        <v>0.18</v>
      </c>
      <c r="K3438">
        <v>0.17</v>
      </c>
      <c r="L3438">
        <v>22.2</v>
      </c>
      <c r="M3438">
        <v>22.8</v>
      </c>
      <c r="N3438">
        <v>22</v>
      </c>
      <c r="O3438">
        <v>22.09</v>
      </c>
      <c r="P3438">
        <v>29.07</v>
      </c>
      <c r="Q3438">
        <v>20288332</v>
      </c>
      <c r="R3438">
        <v>1.7</v>
      </c>
      <c r="S3438" t="s">
        <v>508</v>
      </c>
      <c r="T3438" t="s">
        <v>149</v>
      </c>
      <c r="U3438">
        <v>3.62</v>
      </c>
      <c r="V3438">
        <v>22.56</v>
      </c>
      <c r="W3438">
        <v>3065</v>
      </c>
      <c r="X3438">
        <v>5926</v>
      </c>
      <c r="Y3438">
        <v>0.52</v>
      </c>
      <c r="Z3438">
        <v>159</v>
      </c>
      <c r="AA3438">
        <v>15</v>
      </c>
      <c r="AB3438" t="s">
        <v>32</v>
      </c>
      <c r="AC3438">
        <v>5.23</v>
      </c>
    </row>
    <row r="3439" spans="1:29">
      <c r="A3439" t="str">
        <f>"603808"</f>
        <v>603808</v>
      </c>
      <c r="B3439" t="s">
        <v>3609</v>
      </c>
      <c r="C3439">
        <v>0.09</v>
      </c>
      <c r="D3439">
        <v>22.04</v>
      </c>
      <c r="E3439">
        <v>0.02</v>
      </c>
      <c r="F3439">
        <v>22.04</v>
      </c>
      <c r="G3439">
        <v>22.07</v>
      </c>
      <c r="H3439">
        <v>20106</v>
      </c>
      <c r="I3439">
        <v>76</v>
      </c>
      <c r="J3439">
        <v>-0.04</v>
      </c>
      <c r="K3439">
        <v>0.61</v>
      </c>
      <c r="L3439">
        <v>22.17</v>
      </c>
      <c r="M3439">
        <v>22.38</v>
      </c>
      <c r="N3439">
        <v>21.55</v>
      </c>
      <c r="O3439">
        <v>22.02</v>
      </c>
      <c r="P3439">
        <v>23.12</v>
      </c>
      <c r="Q3439">
        <v>44077200</v>
      </c>
      <c r="R3439">
        <v>0.87</v>
      </c>
      <c r="S3439" t="s">
        <v>622</v>
      </c>
      <c r="T3439" t="s">
        <v>31</v>
      </c>
      <c r="U3439">
        <v>3.77</v>
      </c>
      <c r="V3439">
        <v>21.92</v>
      </c>
      <c r="W3439">
        <v>10081</v>
      </c>
      <c r="X3439">
        <v>10024</v>
      </c>
      <c r="Y3439">
        <v>1.01</v>
      </c>
      <c r="Z3439">
        <v>63</v>
      </c>
      <c r="AA3439">
        <v>45</v>
      </c>
      <c r="AB3439" t="s">
        <v>32</v>
      </c>
      <c r="AC3439">
        <v>3.3</v>
      </c>
    </row>
    <row r="3440" spans="1:29">
      <c r="A3440" t="str">
        <f>"603809"</f>
        <v>603809</v>
      </c>
      <c r="B3440" t="s">
        <v>3610</v>
      </c>
      <c r="C3440">
        <v>1.03</v>
      </c>
      <c r="D3440">
        <v>20.69</v>
      </c>
      <c r="E3440">
        <v>0.21</v>
      </c>
      <c r="F3440">
        <v>20.67</v>
      </c>
      <c r="G3440">
        <v>20.7</v>
      </c>
      <c r="H3440">
        <v>15035</v>
      </c>
      <c r="I3440">
        <v>100</v>
      </c>
      <c r="J3440">
        <v>-0.04</v>
      </c>
      <c r="K3440">
        <v>4.03</v>
      </c>
      <c r="L3440">
        <v>20.48</v>
      </c>
      <c r="M3440">
        <v>20.75</v>
      </c>
      <c r="N3440">
        <v>20.33</v>
      </c>
      <c r="O3440">
        <v>20.48</v>
      </c>
      <c r="P3440">
        <v>16.51</v>
      </c>
      <c r="Q3440">
        <v>31005668</v>
      </c>
      <c r="R3440">
        <v>1.25</v>
      </c>
      <c r="S3440" t="s">
        <v>80</v>
      </c>
      <c r="T3440" t="s">
        <v>146</v>
      </c>
      <c r="U3440">
        <v>2.05</v>
      </c>
      <c r="V3440">
        <v>20.62</v>
      </c>
      <c r="W3440">
        <v>7772</v>
      </c>
      <c r="X3440">
        <v>7263</v>
      </c>
      <c r="Y3440">
        <v>1.07</v>
      </c>
      <c r="Z3440">
        <v>16</v>
      </c>
      <c r="AA3440">
        <v>17</v>
      </c>
      <c r="AB3440" t="s">
        <v>32</v>
      </c>
      <c r="AC3440">
        <v>0.37</v>
      </c>
    </row>
    <row r="3441" spans="1:29">
      <c r="A3441" t="str">
        <f>"603811"</f>
        <v>603811</v>
      </c>
      <c r="B3441" t="s">
        <v>3611</v>
      </c>
      <c r="C3441">
        <v>1.06</v>
      </c>
      <c r="D3441">
        <v>31.46</v>
      </c>
      <c r="E3441">
        <v>0.33</v>
      </c>
      <c r="F3441">
        <v>31.38</v>
      </c>
      <c r="G3441">
        <v>31.46</v>
      </c>
      <c r="H3441">
        <v>11754</v>
      </c>
      <c r="I3441">
        <v>9</v>
      </c>
      <c r="J3441">
        <v>0.25</v>
      </c>
      <c r="K3441">
        <v>2.05</v>
      </c>
      <c r="L3441">
        <v>31.07</v>
      </c>
      <c r="M3441">
        <v>31.72</v>
      </c>
      <c r="N3441">
        <v>30.97</v>
      </c>
      <c r="O3441">
        <v>31.13</v>
      </c>
      <c r="P3441">
        <v>37.59</v>
      </c>
      <c r="Q3441">
        <v>36918280</v>
      </c>
      <c r="R3441">
        <v>0.79</v>
      </c>
      <c r="S3441" t="s">
        <v>142</v>
      </c>
      <c r="T3441" t="s">
        <v>149</v>
      </c>
      <c r="U3441">
        <v>2.41</v>
      </c>
      <c r="V3441">
        <v>31.41</v>
      </c>
      <c r="W3441">
        <v>4814</v>
      </c>
      <c r="X3441">
        <v>6940</v>
      </c>
      <c r="Y3441">
        <v>0.69</v>
      </c>
      <c r="Z3441">
        <v>18</v>
      </c>
      <c r="AA3441">
        <v>3</v>
      </c>
      <c r="AB3441" t="s">
        <v>32</v>
      </c>
      <c r="AC3441">
        <v>0.57</v>
      </c>
    </row>
    <row r="3442" spans="1:29">
      <c r="A3442" t="str">
        <f>"603813"</f>
        <v>603813</v>
      </c>
      <c r="B3442" t="s">
        <v>3612</v>
      </c>
      <c r="C3442">
        <v>2.54</v>
      </c>
      <c r="D3442">
        <v>29.09</v>
      </c>
      <c r="E3442">
        <v>0.72</v>
      </c>
      <c r="F3442">
        <v>29.08</v>
      </c>
      <c r="G3442">
        <v>29.09</v>
      </c>
      <c r="H3442">
        <v>19229</v>
      </c>
      <c r="I3442">
        <v>17</v>
      </c>
      <c r="J3442">
        <v>-0.02</v>
      </c>
      <c r="K3442">
        <v>8.71</v>
      </c>
      <c r="L3442">
        <v>28.35</v>
      </c>
      <c r="M3442">
        <v>29.27</v>
      </c>
      <c r="N3442">
        <v>28.28</v>
      </c>
      <c r="O3442">
        <v>28.37</v>
      </c>
      <c r="P3442">
        <v>63.5</v>
      </c>
      <c r="Q3442">
        <v>55485800</v>
      </c>
      <c r="R3442">
        <v>0.92</v>
      </c>
      <c r="S3442" t="s">
        <v>742</v>
      </c>
      <c r="T3442" t="s">
        <v>136</v>
      </c>
      <c r="U3442">
        <v>3.49</v>
      </c>
      <c r="V3442">
        <v>28.86</v>
      </c>
      <c r="W3442">
        <v>7945</v>
      </c>
      <c r="X3442">
        <v>11284</v>
      </c>
      <c r="Y3442">
        <v>0.7</v>
      </c>
      <c r="Z3442">
        <v>26</v>
      </c>
      <c r="AA3442">
        <v>1</v>
      </c>
      <c r="AB3442" t="s">
        <v>32</v>
      </c>
      <c r="AC3442">
        <v>0.22</v>
      </c>
    </row>
    <row r="3443" spans="1:29">
      <c r="A3443" t="str">
        <f>"603816"</f>
        <v>603816</v>
      </c>
      <c r="B3443" t="s">
        <v>3613</v>
      </c>
      <c r="C3443">
        <v>7.28</v>
      </c>
      <c r="D3443">
        <v>67.93</v>
      </c>
      <c r="E3443">
        <v>4.61</v>
      </c>
      <c r="F3443">
        <v>67.87</v>
      </c>
      <c r="G3443">
        <v>67.95</v>
      </c>
      <c r="H3443">
        <v>21483</v>
      </c>
      <c r="I3443">
        <v>22</v>
      </c>
      <c r="J3443">
        <v>-0.08</v>
      </c>
      <c r="K3443">
        <v>2.41</v>
      </c>
      <c r="L3443">
        <v>63.3</v>
      </c>
      <c r="M3443">
        <v>68.68</v>
      </c>
      <c r="N3443">
        <v>63.3</v>
      </c>
      <c r="O3443">
        <v>63.32</v>
      </c>
      <c r="P3443">
        <v>27.09</v>
      </c>
      <c r="Q3443">
        <v>142844688</v>
      </c>
      <c r="R3443">
        <v>1.83</v>
      </c>
      <c r="S3443" t="s">
        <v>545</v>
      </c>
      <c r="T3443" t="s">
        <v>149</v>
      </c>
      <c r="U3443">
        <v>8.5</v>
      </c>
      <c r="V3443">
        <v>66.49</v>
      </c>
      <c r="W3443">
        <v>6903</v>
      </c>
      <c r="X3443">
        <v>14580</v>
      </c>
      <c r="Y3443">
        <v>0.47</v>
      </c>
      <c r="Z3443">
        <v>2</v>
      </c>
      <c r="AA3443">
        <v>8</v>
      </c>
      <c r="AB3443" t="s">
        <v>32</v>
      </c>
      <c r="AC3443">
        <v>0.89</v>
      </c>
    </row>
    <row r="3444" spans="1:29">
      <c r="A3444" t="str">
        <f>"603817"</f>
        <v>603817</v>
      </c>
      <c r="B3444" t="s">
        <v>3614</v>
      </c>
      <c r="C3444">
        <v>1.71</v>
      </c>
      <c r="D3444">
        <v>8.34</v>
      </c>
      <c r="E3444">
        <v>0.14</v>
      </c>
      <c r="F3444">
        <v>8.33</v>
      </c>
      <c r="G3444">
        <v>8.34</v>
      </c>
      <c r="H3444">
        <v>22379</v>
      </c>
      <c r="I3444">
        <v>4</v>
      </c>
      <c r="J3444">
        <v>0.12</v>
      </c>
      <c r="K3444">
        <v>1.24</v>
      </c>
      <c r="L3444">
        <v>8.2</v>
      </c>
      <c r="M3444">
        <v>8.35</v>
      </c>
      <c r="N3444">
        <v>8.16</v>
      </c>
      <c r="O3444">
        <v>8.2</v>
      </c>
      <c r="P3444">
        <v>38.63</v>
      </c>
      <c r="Q3444">
        <v>18556556</v>
      </c>
      <c r="R3444">
        <v>0.89</v>
      </c>
      <c r="S3444" t="s">
        <v>86</v>
      </c>
      <c r="T3444" t="s">
        <v>236</v>
      </c>
      <c r="U3444">
        <v>2.32</v>
      </c>
      <c r="V3444">
        <v>8.29</v>
      </c>
      <c r="W3444">
        <v>10114</v>
      </c>
      <c r="X3444">
        <v>12265</v>
      </c>
      <c r="Y3444">
        <v>0.82</v>
      </c>
      <c r="Z3444">
        <v>371</v>
      </c>
      <c r="AA3444">
        <v>78</v>
      </c>
      <c r="AB3444" t="s">
        <v>32</v>
      </c>
      <c r="AC3444">
        <v>1.8</v>
      </c>
    </row>
    <row r="3445" spans="1:29">
      <c r="A3445" t="str">
        <f>"603818"</f>
        <v>603818</v>
      </c>
      <c r="B3445" t="s">
        <v>3615</v>
      </c>
      <c r="C3445">
        <v>2.6</v>
      </c>
      <c r="D3445">
        <v>10.27</v>
      </c>
      <c r="E3445">
        <v>0.26</v>
      </c>
      <c r="F3445">
        <v>10.26</v>
      </c>
      <c r="G3445">
        <v>10.27</v>
      </c>
      <c r="H3445">
        <v>33641</v>
      </c>
      <c r="I3445">
        <v>26</v>
      </c>
      <c r="J3445">
        <v>0.2</v>
      </c>
      <c r="K3445">
        <v>0.69</v>
      </c>
      <c r="L3445">
        <v>10.01</v>
      </c>
      <c r="M3445">
        <v>10.32</v>
      </c>
      <c r="N3445">
        <v>9.92</v>
      </c>
      <c r="O3445">
        <v>10.01</v>
      </c>
      <c r="P3445">
        <v>45.03</v>
      </c>
      <c r="Q3445">
        <v>34147564</v>
      </c>
      <c r="R3445">
        <v>1.73</v>
      </c>
      <c r="S3445" t="s">
        <v>545</v>
      </c>
      <c r="T3445" t="s">
        <v>45</v>
      </c>
      <c r="U3445">
        <v>4</v>
      </c>
      <c r="V3445">
        <v>10.15</v>
      </c>
      <c r="W3445">
        <v>15385</v>
      </c>
      <c r="X3445">
        <v>18256</v>
      </c>
      <c r="Y3445">
        <v>0.84</v>
      </c>
      <c r="Z3445">
        <v>327</v>
      </c>
      <c r="AA3445">
        <v>76</v>
      </c>
      <c r="AB3445" t="s">
        <v>32</v>
      </c>
      <c r="AC3445">
        <v>4.84</v>
      </c>
    </row>
    <row r="3446" spans="1:29">
      <c r="A3446" t="str">
        <f>"603819"</f>
        <v>603819</v>
      </c>
      <c r="B3446" t="s">
        <v>3616</v>
      </c>
      <c r="C3446">
        <v>1.97</v>
      </c>
      <c r="D3446">
        <v>18.61</v>
      </c>
      <c r="E3446">
        <v>0.36</v>
      </c>
      <c r="F3446">
        <v>18.61</v>
      </c>
      <c r="G3446">
        <v>18.62</v>
      </c>
      <c r="H3446">
        <v>27635</v>
      </c>
      <c r="I3446">
        <v>28</v>
      </c>
      <c r="J3446">
        <v>0.16</v>
      </c>
      <c r="K3446">
        <v>4.93</v>
      </c>
      <c r="L3446">
        <v>18.23</v>
      </c>
      <c r="M3446">
        <v>18.63</v>
      </c>
      <c r="N3446">
        <v>17.92</v>
      </c>
      <c r="O3446">
        <v>18.25</v>
      </c>
      <c r="P3446">
        <v>117.54</v>
      </c>
      <c r="Q3446">
        <v>50723336</v>
      </c>
      <c r="R3446">
        <v>0.89</v>
      </c>
      <c r="S3446" t="s">
        <v>104</v>
      </c>
      <c r="T3446" t="s">
        <v>87</v>
      </c>
      <c r="U3446">
        <v>3.89</v>
      </c>
      <c r="V3446">
        <v>18.36</v>
      </c>
      <c r="W3446">
        <v>12065</v>
      </c>
      <c r="X3446">
        <v>15569</v>
      </c>
      <c r="Y3446">
        <v>0.77</v>
      </c>
      <c r="Z3446">
        <v>58</v>
      </c>
      <c r="AA3446">
        <v>2</v>
      </c>
      <c r="AB3446" t="s">
        <v>32</v>
      </c>
      <c r="AC3446">
        <v>0.56</v>
      </c>
    </row>
    <row r="3447" spans="1:29">
      <c r="A3447" t="str">
        <f>"603822"</f>
        <v>603822</v>
      </c>
      <c r="B3447" t="s">
        <v>3617</v>
      </c>
      <c r="C3447">
        <v>2.13</v>
      </c>
      <c r="D3447">
        <v>28.79</v>
      </c>
      <c r="E3447">
        <v>0.6</v>
      </c>
      <c r="F3447">
        <v>28.76</v>
      </c>
      <c r="G3447">
        <v>28.77</v>
      </c>
      <c r="H3447">
        <v>6856</v>
      </c>
      <c r="I3447">
        <v>1</v>
      </c>
      <c r="J3447">
        <v>0.21</v>
      </c>
      <c r="K3447">
        <v>1.69</v>
      </c>
      <c r="L3447">
        <v>27.9</v>
      </c>
      <c r="M3447">
        <v>28.88</v>
      </c>
      <c r="N3447">
        <v>27.88</v>
      </c>
      <c r="O3447">
        <v>28.19</v>
      </c>
      <c r="P3447">
        <v>60.79</v>
      </c>
      <c r="Q3447">
        <v>19572192</v>
      </c>
      <c r="R3447">
        <v>1.24</v>
      </c>
      <c r="S3447" t="s">
        <v>86</v>
      </c>
      <c r="T3447" t="s">
        <v>149</v>
      </c>
      <c r="U3447">
        <v>3.55</v>
      </c>
      <c r="V3447">
        <v>28.55</v>
      </c>
      <c r="W3447">
        <v>2872</v>
      </c>
      <c r="X3447">
        <v>3984</v>
      </c>
      <c r="Y3447">
        <v>0.72</v>
      </c>
      <c r="Z3447">
        <v>50</v>
      </c>
      <c r="AA3447">
        <v>17</v>
      </c>
      <c r="AB3447" t="s">
        <v>32</v>
      </c>
      <c r="AC3447">
        <v>0.41</v>
      </c>
    </row>
    <row r="3448" spans="1:29">
      <c r="A3448" t="str">
        <f>"603823"</f>
        <v>603823</v>
      </c>
      <c r="B3448" t="s">
        <v>3618</v>
      </c>
      <c r="C3448">
        <v>0.06</v>
      </c>
      <c r="D3448">
        <v>16.65</v>
      </c>
      <c r="E3448">
        <v>0.01</v>
      </c>
      <c r="F3448">
        <v>16.64</v>
      </c>
      <c r="G3448">
        <v>16.66</v>
      </c>
      <c r="H3448">
        <v>22426</v>
      </c>
      <c r="I3448">
        <v>2</v>
      </c>
      <c r="J3448">
        <v>0.24</v>
      </c>
      <c r="K3448">
        <v>3.19</v>
      </c>
      <c r="L3448">
        <v>16.66</v>
      </c>
      <c r="M3448">
        <v>16.69</v>
      </c>
      <c r="N3448">
        <v>16.46</v>
      </c>
      <c r="O3448">
        <v>16.64</v>
      </c>
      <c r="P3448">
        <v>25.21</v>
      </c>
      <c r="Q3448">
        <v>37231636</v>
      </c>
      <c r="R3448">
        <v>1.2</v>
      </c>
      <c r="S3448" t="s">
        <v>281</v>
      </c>
      <c r="T3448" t="s">
        <v>149</v>
      </c>
      <c r="U3448">
        <v>1.38</v>
      </c>
      <c r="V3448">
        <v>16.6</v>
      </c>
      <c r="W3448">
        <v>12654</v>
      </c>
      <c r="X3448">
        <v>9772</v>
      </c>
      <c r="Y3448">
        <v>1.29</v>
      </c>
      <c r="Z3448">
        <v>3</v>
      </c>
      <c r="AA3448">
        <v>48</v>
      </c>
      <c r="AB3448" t="s">
        <v>32</v>
      </c>
      <c r="AC3448">
        <v>0.7</v>
      </c>
    </row>
    <row r="3449" spans="1:29">
      <c r="A3449" t="str">
        <f>"603825"</f>
        <v>603825</v>
      </c>
      <c r="B3449" t="s">
        <v>3619</v>
      </c>
      <c r="C3449">
        <v>0</v>
      </c>
      <c r="D3449">
        <v>25.08</v>
      </c>
      <c r="E3449">
        <v>0</v>
      </c>
      <c r="F3449" t="s">
        <v>32</v>
      </c>
      <c r="G3449" t="s">
        <v>32</v>
      </c>
      <c r="H3449">
        <v>0</v>
      </c>
      <c r="I3449">
        <v>0</v>
      </c>
      <c r="J3449">
        <v>0</v>
      </c>
      <c r="K3449">
        <v>0</v>
      </c>
      <c r="L3449" t="s">
        <v>32</v>
      </c>
      <c r="M3449" t="s">
        <v>32</v>
      </c>
      <c r="N3449" t="s">
        <v>32</v>
      </c>
      <c r="O3449">
        <v>25.08</v>
      </c>
      <c r="P3449">
        <v>328.49</v>
      </c>
      <c r="Q3449">
        <v>0</v>
      </c>
      <c r="R3449">
        <v>0</v>
      </c>
      <c r="S3449" t="s">
        <v>316</v>
      </c>
      <c r="T3449" t="s">
        <v>45</v>
      </c>
      <c r="U3449">
        <v>0</v>
      </c>
      <c r="V3449">
        <v>25.08</v>
      </c>
      <c r="W3449">
        <v>0</v>
      </c>
      <c r="X3449">
        <v>0</v>
      </c>
      <c r="Y3449" t="s">
        <v>32</v>
      </c>
      <c r="Z3449">
        <v>0</v>
      </c>
      <c r="AA3449">
        <v>0</v>
      </c>
      <c r="AB3449" t="s">
        <v>32</v>
      </c>
      <c r="AC3449">
        <v>0.56</v>
      </c>
    </row>
    <row r="3450" spans="1:29">
      <c r="A3450" t="str">
        <f>"603826"</f>
        <v>603826</v>
      </c>
      <c r="B3450" t="s">
        <v>3620</v>
      </c>
      <c r="C3450">
        <v>0</v>
      </c>
      <c r="D3450">
        <v>11.6</v>
      </c>
      <c r="E3450">
        <v>0</v>
      </c>
      <c r="F3450">
        <v>11.59</v>
      </c>
      <c r="G3450">
        <v>11.6</v>
      </c>
      <c r="H3450">
        <v>44498</v>
      </c>
      <c r="I3450">
        <v>30</v>
      </c>
      <c r="J3450">
        <v>0.09</v>
      </c>
      <c r="K3450">
        <v>2.35</v>
      </c>
      <c r="L3450">
        <v>11.53</v>
      </c>
      <c r="M3450">
        <v>11.88</v>
      </c>
      <c r="N3450">
        <v>11.53</v>
      </c>
      <c r="O3450">
        <v>11.6</v>
      </c>
      <c r="P3450">
        <v>37.09</v>
      </c>
      <c r="Q3450">
        <v>52011160</v>
      </c>
      <c r="R3450">
        <v>1.24</v>
      </c>
      <c r="S3450" t="s">
        <v>281</v>
      </c>
      <c r="T3450" t="s">
        <v>236</v>
      </c>
      <c r="U3450">
        <v>3.02</v>
      </c>
      <c r="V3450">
        <v>11.69</v>
      </c>
      <c r="W3450">
        <v>25854</v>
      </c>
      <c r="X3450">
        <v>18644</v>
      </c>
      <c r="Y3450">
        <v>1.39</v>
      </c>
      <c r="Z3450">
        <v>402</v>
      </c>
      <c r="AA3450">
        <v>292</v>
      </c>
      <c r="AB3450" t="s">
        <v>32</v>
      </c>
      <c r="AC3450">
        <v>1.89</v>
      </c>
    </row>
    <row r="3451" spans="1:29">
      <c r="A3451" t="str">
        <f>"603828"</f>
        <v>603828</v>
      </c>
      <c r="B3451" t="s">
        <v>3621</v>
      </c>
      <c r="C3451">
        <v>-2.79</v>
      </c>
      <c r="D3451">
        <v>7.33</v>
      </c>
      <c r="E3451">
        <v>-0.21</v>
      </c>
      <c r="F3451">
        <v>7.32</v>
      </c>
      <c r="G3451">
        <v>7.33</v>
      </c>
      <c r="H3451">
        <v>61667</v>
      </c>
      <c r="I3451">
        <v>30</v>
      </c>
      <c r="J3451">
        <v>-0.53</v>
      </c>
      <c r="K3451">
        <v>1.46</v>
      </c>
      <c r="L3451">
        <v>7.42</v>
      </c>
      <c r="M3451">
        <v>7.59</v>
      </c>
      <c r="N3451">
        <v>7.29</v>
      </c>
      <c r="O3451">
        <v>7.54</v>
      </c>
      <c r="P3451">
        <v>22.95</v>
      </c>
      <c r="Q3451">
        <v>45520524</v>
      </c>
      <c r="R3451">
        <v>1.37</v>
      </c>
      <c r="S3451" t="s">
        <v>59</v>
      </c>
      <c r="T3451" t="s">
        <v>87</v>
      </c>
      <c r="U3451">
        <v>3.98</v>
      </c>
      <c r="V3451">
        <v>7.38</v>
      </c>
      <c r="W3451">
        <v>36067</v>
      </c>
      <c r="X3451">
        <v>25600</v>
      </c>
      <c r="Y3451">
        <v>1.41</v>
      </c>
      <c r="Z3451">
        <v>125</v>
      </c>
      <c r="AA3451">
        <v>1</v>
      </c>
      <c r="AB3451" t="s">
        <v>32</v>
      </c>
      <c r="AC3451">
        <v>4.21</v>
      </c>
    </row>
    <row r="3452" spans="1:29">
      <c r="A3452" t="str">
        <f>"603829"</f>
        <v>603829</v>
      </c>
      <c r="B3452" t="s">
        <v>3622</v>
      </c>
      <c r="C3452">
        <v>1.86</v>
      </c>
      <c r="D3452">
        <v>14.81</v>
      </c>
      <c r="E3452">
        <v>0.27</v>
      </c>
      <c r="F3452">
        <v>14.8</v>
      </c>
      <c r="G3452">
        <v>14.82</v>
      </c>
      <c r="H3452">
        <v>31024</v>
      </c>
      <c r="I3452">
        <v>30</v>
      </c>
      <c r="J3452">
        <v>0</v>
      </c>
      <c r="K3452">
        <v>7.76</v>
      </c>
      <c r="L3452">
        <v>14.57</v>
      </c>
      <c r="M3452">
        <v>14.85</v>
      </c>
      <c r="N3452">
        <v>14.45</v>
      </c>
      <c r="O3452">
        <v>14.54</v>
      </c>
      <c r="P3452">
        <v>86.01</v>
      </c>
      <c r="Q3452">
        <v>45528008</v>
      </c>
      <c r="R3452">
        <v>0.8</v>
      </c>
      <c r="S3452" t="s">
        <v>104</v>
      </c>
      <c r="T3452" t="s">
        <v>87</v>
      </c>
      <c r="U3452">
        <v>2.75</v>
      </c>
      <c r="V3452">
        <v>14.68</v>
      </c>
      <c r="W3452">
        <v>12825</v>
      </c>
      <c r="X3452">
        <v>18198</v>
      </c>
      <c r="Y3452">
        <v>0.7</v>
      </c>
      <c r="Z3452">
        <v>599</v>
      </c>
      <c r="AA3452">
        <v>69</v>
      </c>
      <c r="AB3452" t="s">
        <v>32</v>
      </c>
      <c r="AC3452">
        <v>0.4</v>
      </c>
    </row>
    <row r="3453" spans="1:29">
      <c r="A3453" t="str">
        <f>"603833"</f>
        <v>603833</v>
      </c>
      <c r="B3453" t="s">
        <v>3623</v>
      </c>
      <c r="C3453">
        <v>4.67</v>
      </c>
      <c r="D3453">
        <v>118.38</v>
      </c>
      <c r="E3453">
        <v>5.28</v>
      </c>
      <c r="F3453">
        <v>118.4</v>
      </c>
      <c r="G3453">
        <v>118.68</v>
      </c>
      <c r="H3453">
        <v>10834</v>
      </c>
      <c r="I3453">
        <v>3</v>
      </c>
      <c r="J3453">
        <v>-0.34</v>
      </c>
      <c r="K3453">
        <v>1.21</v>
      </c>
      <c r="L3453">
        <v>112.05</v>
      </c>
      <c r="M3453">
        <v>121.2</v>
      </c>
      <c r="N3453">
        <v>111.2</v>
      </c>
      <c r="O3453">
        <v>113.1</v>
      </c>
      <c r="P3453">
        <v>169.1</v>
      </c>
      <c r="Q3453">
        <v>128205712</v>
      </c>
      <c r="R3453">
        <v>1.74</v>
      </c>
      <c r="S3453" t="s">
        <v>545</v>
      </c>
      <c r="T3453" t="s">
        <v>136</v>
      </c>
      <c r="U3453">
        <v>8.84</v>
      </c>
      <c r="V3453">
        <v>118.33</v>
      </c>
      <c r="W3453">
        <v>4452</v>
      </c>
      <c r="X3453">
        <v>6382</v>
      </c>
      <c r="Y3453">
        <v>0.7</v>
      </c>
      <c r="Z3453">
        <v>3</v>
      </c>
      <c r="AA3453">
        <v>3</v>
      </c>
      <c r="AB3453" t="s">
        <v>32</v>
      </c>
      <c r="AC3453">
        <v>0.9</v>
      </c>
    </row>
    <row r="3454" spans="1:29">
      <c r="A3454" t="str">
        <f>"603838"</f>
        <v>603838</v>
      </c>
      <c r="B3454" t="s">
        <v>3624</v>
      </c>
      <c r="C3454">
        <v>0</v>
      </c>
      <c r="D3454">
        <v>10.03</v>
      </c>
      <c r="E3454">
        <v>0</v>
      </c>
      <c r="F3454" t="s">
        <v>32</v>
      </c>
      <c r="G3454" t="s">
        <v>32</v>
      </c>
      <c r="H3454">
        <v>0</v>
      </c>
      <c r="I3454">
        <v>0</v>
      </c>
      <c r="J3454">
        <v>0</v>
      </c>
      <c r="K3454">
        <v>0</v>
      </c>
      <c r="L3454" t="s">
        <v>32</v>
      </c>
      <c r="M3454" t="s">
        <v>32</v>
      </c>
      <c r="N3454" t="s">
        <v>32</v>
      </c>
      <c r="O3454">
        <v>10.03</v>
      </c>
      <c r="P3454">
        <v>32.21</v>
      </c>
      <c r="Q3454">
        <v>0</v>
      </c>
      <c r="R3454">
        <v>0</v>
      </c>
      <c r="S3454" t="s">
        <v>1630</v>
      </c>
      <c r="T3454" t="s">
        <v>136</v>
      </c>
      <c r="U3454">
        <v>0</v>
      </c>
      <c r="V3454">
        <v>10.03</v>
      </c>
      <c r="W3454">
        <v>0</v>
      </c>
      <c r="X3454">
        <v>0</v>
      </c>
      <c r="Y3454" t="s">
        <v>32</v>
      </c>
      <c r="Z3454">
        <v>0</v>
      </c>
      <c r="AA3454">
        <v>0</v>
      </c>
      <c r="AB3454" t="s">
        <v>32</v>
      </c>
      <c r="AC3454">
        <v>2.67</v>
      </c>
    </row>
    <row r="3455" spans="1:29">
      <c r="A3455" t="str">
        <f>"603839"</f>
        <v>603839</v>
      </c>
      <c r="B3455" t="s">
        <v>3625</v>
      </c>
      <c r="C3455">
        <v>0.46</v>
      </c>
      <c r="D3455">
        <v>17.51</v>
      </c>
      <c r="E3455">
        <v>0.08</v>
      </c>
      <c r="F3455">
        <v>17.5</v>
      </c>
      <c r="G3455">
        <v>17.53</v>
      </c>
      <c r="H3455">
        <v>14097</v>
      </c>
      <c r="I3455">
        <v>44</v>
      </c>
      <c r="J3455">
        <v>0.23</v>
      </c>
      <c r="K3455">
        <v>1.35</v>
      </c>
      <c r="L3455">
        <v>17.41</v>
      </c>
      <c r="M3455">
        <v>17.74</v>
      </c>
      <c r="N3455">
        <v>17.29</v>
      </c>
      <c r="O3455">
        <v>17.43</v>
      </c>
      <c r="P3455">
        <v>19.27</v>
      </c>
      <c r="Q3455">
        <v>24617318</v>
      </c>
      <c r="R3455">
        <v>1.96</v>
      </c>
      <c r="S3455" t="s">
        <v>622</v>
      </c>
      <c r="T3455" t="s">
        <v>149</v>
      </c>
      <c r="U3455">
        <v>2.58</v>
      </c>
      <c r="V3455">
        <v>17.46</v>
      </c>
      <c r="W3455">
        <v>8956</v>
      </c>
      <c r="X3455">
        <v>5140</v>
      </c>
      <c r="Y3455">
        <v>1.74</v>
      </c>
      <c r="Z3455">
        <v>49</v>
      </c>
      <c r="AA3455">
        <v>9</v>
      </c>
      <c r="AB3455" t="s">
        <v>32</v>
      </c>
      <c r="AC3455">
        <v>1.04</v>
      </c>
    </row>
    <row r="3456" spans="1:29">
      <c r="A3456" t="str">
        <f>"603843"</f>
        <v>603843</v>
      </c>
      <c r="B3456" t="s">
        <v>3626</v>
      </c>
      <c r="C3456">
        <v>10.01</v>
      </c>
      <c r="D3456">
        <v>8.68</v>
      </c>
      <c r="E3456">
        <v>0.79</v>
      </c>
      <c r="F3456">
        <v>8.68</v>
      </c>
      <c r="G3456" t="s">
        <v>32</v>
      </c>
      <c r="H3456">
        <v>77886</v>
      </c>
      <c r="I3456">
        <v>5</v>
      </c>
      <c r="J3456">
        <v>0</v>
      </c>
      <c r="K3456">
        <v>4.04</v>
      </c>
      <c r="L3456">
        <v>7.97</v>
      </c>
      <c r="M3456">
        <v>8.68</v>
      </c>
      <c r="N3456">
        <v>7.97</v>
      </c>
      <c r="O3456">
        <v>7.89</v>
      </c>
      <c r="P3456">
        <v>42.72</v>
      </c>
      <c r="Q3456">
        <v>66174088</v>
      </c>
      <c r="R3456">
        <v>0.71</v>
      </c>
      <c r="S3456" t="s">
        <v>49</v>
      </c>
      <c r="T3456" t="s">
        <v>176</v>
      </c>
      <c r="U3456">
        <v>9</v>
      </c>
      <c r="V3456">
        <v>8.5</v>
      </c>
      <c r="W3456">
        <v>47536</v>
      </c>
      <c r="X3456">
        <v>30350</v>
      </c>
      <c r="Y3456">
        <v>1.57</v>
      </c>
      <c r="Z3456">
        <v>40821</v>
      </c>
      <c r="AA3456">
        <v>0</v>
      </c>
      <c r="AB3456" t="s">
        <v>32</v>
      </c>
      <c r="AC3456">
        <v>1.93</v>
      </c>
    </row>
    <row r="3457" spans="1:29">
      <c r="A3457" t="str">
        <f>"603848"</f>
        <v>603848</v>
      </c>
      <c r="B3457" t="s">
        <v>3627</v>
      </c>
      <c r="C3457">
        <v>1.88</v>
      </c>
      <c r="D3457">
        <v>23.33</v>
      </c>
      <c r="E3457">
        <v>0.43</v>
      </c>
      <c r="F3457">
        <v>23.32</v>
      </c>
      <c r="G3457">
        <v>23.33</v>
      </c>
      <c r="H3457">
        <v>22336</v>
      </c>
      <c r="I3457">
        <v>15</v>
      </c>
      <c r="J3457">
        <v>0</v>
      </c>
      <c r="K3457">
        <v>5.45</v>
      </c>
      <c r="L3457">
        <v>22.89</v>
      </c>
      <c r="M3457">
        <v>23.6</v>
      </c>
      <c r="N3457">
        <v>22.72</v>
      </c>
      <c r="O3457">
        <v>22.9</v>
      </c>
      <c r="P3457">
        <v>49.07</v>
      </c>
      <c r="Q3457">
        <v>51867892</v>
      </c>
      <c r="R3457">
        <v>1.09</v>
      </c>
      <c r="S3457" t="s">
        <v>545</v>
      </c>
      <c r="T3457" t="s">
        <v>136</v>
      </c>
      <c r="U3457">
        <v>3.84</v>
      </c>
      <c r="V3457">
        <v>23.22</v>
      </c>
      <c r="W3457">
        <v>9875</v>
      </c>
      <c r="X3457">
        <v>12461</v>
      </c>
      <c r="Y3457">
        <v>0.79</v>
      </c>
      <c r="Z3457">
        <v>14</v>
      </c>
      <c r="AA3457">
        <v>55</v>
      </c>
      <c r="AB3457" t="s">
        <v>32</v>
      </c>
      <c r="AC3457">
        <v>0.41</v>
      </c>
    </row>
    <row r="3458" spans="1:29">
      <c r="A3458" t="str">
        <f>"603855"</f>
        <v>603855</v>
      </c>
      <c r="B3458" t="s">
        <v>3628</v>
      </c>
      <c r="C3458">
        <v>1.29</v>
      </c>
      <c r="D3458">
        <v>9.44</v>
      </c>
      <c r="E3458">
        <v>0.12</v>
      </c>
      <c r="F3458">
        <v>9.43</v>
      </c>
      <c r="G3458">
        <v>9.44</v>
      </c>
      <c r="H3458">
        <v>11826</v>
      </c>
      <c r="I3458">
        <v>5</v>
      </c>
      <c r="J3458">
        <v>0.11</v>
      </c>
      <c r="K3458">
        <v>0.59</v>
      </c>
      <c r="L3458">
        <v>9.38</v>
      </c>
      <c r="M3458">
        <v>9.46</v>
      </c>
      <c r="N3458">
        <v>9.28</v>
      </c>
      <c r="O3458">
        <v>9.32</v>
      </c>
      <c r="P3458">
        <v>36.93</v>
      </c>
      <c r="Q3458">
        <v>11113106</v>
      </c>
      <c r="R3458">
        <v>1.64</v>
      </c>
      <c r="S3458" t="s">
        <v>171</v>
      </c>
      <c r="T3458" t="s">
        <v>366</v>
      </c>
      <c r="U3458">
        <v>1.93</v>
      </c>
      <c r="V3458">
        <v>9.4</v>
      </c>
      <c r="W3458">
        <v>5729</v>
      </c>
      <c r="X3458">
        <v>6097</v>
      </c>
      <c r="Y3458">
        <v>0.94</v>
      </c>
      <c r="Z3458">
        <v>137</v>
      </c>
      <c r="AA3458">
        <v>2</v>
      </c>
      <c r="AB3458" t="s">
        <v>32</v>
      </c>
      <c r="AC3458">
        <v>2.02</v>
      </c>
    </row>
    <row r="3459" spans="1:29">
      <c r="A3459" t="str">
        <f>"603856"</f>
        <v>603856</v>
      </c>
      <c r="B3459" t="s">
        <v>3629</v>
      </c>
      <c r="C3459">
        <v>-1.39</v>
      </c>
      <c r="D3459">
        <v>16.28</v>
      </c>
      <c r="E3459">
        <v>-0.23</v>
      </c>
      <c r="F3459">
        <v>16.26</v>
      </c>
      <c r="G3459">
        <v>16.27</v>
      </c>
      <c r="H3459">
        <v>73627</v>
      </c>
      <c r="I3459">
        <v>21</v>
      </c>
      <c r="J3459">
        <v>0.43</v>
      </c>
      <c r="K3459">
        <v>11.48</v>
      </c>
      <c r="L3459">
        <v>16.4</v>
      </c>
      <c r="M3459">
        <v>16.67</v>
      </c>
      <c r="N3459">
        <v>16.03</v>
      </c>
      <c r="O3459">
        <v>16.51</v>
      </c>
      <c r="P3459">
        <v>28.3</v>
      </c>
      <c r="Q3459">
        <v>120168720</v>
      </c>
      <c r="R3459">
        <v>0.61</v>
      </c>
      <c r="S3459" t="s">
        <v>508</v>
      </c>
      <c r="T3459" t="s">
        <v>162</v>
      </c>
      <c r="U3459">
        <v>3.88</v>
      </c>
      <c r="V3459">
        <v>16.32</v>
      </c>
      <c r="W3459">
        <v>39768</v>
      </c>
      <c r="X3459">
        <v>33859</v>
      </c>
      <c r="Y3459">
        <v>1.17</v>
      </c>
      <c r="Z3459">
        <v>120</v>
      </c>
      <c r="AA3459">
        <v>38</v>
      </c>
      <c r="AB3459" t="s">
        <v>32</v>
      </c>
      <c r="AC3459">
        <v>0.64</v>
      </c>
    </row>
    <row r="3460" spans="1:29">
      <c r="A3460" t="str">
        <f>"603858"</f>
        <v>603858</v>
      </c>
      <c r="B3460" t="s">
        <v>3630</v>
      </c>
      <c r="C3460">
        <v>1.56</v>
      </c>
      <c r="D3460">
        <v>42.9</v>
      </c>
      <c r="E3460">
        <v>0.66</v>
      </c>
      <c r="F3460">
        <v>42.89</v>
      </c>
      <c r="G3460">
        <v>42.9</v>
      </c>
      <c r="H3460">
        <v>51885</v>
      </c>
      <c r="I3460">
        <v>2</v>
      </c>
      <c r="J3460">
        <v>-0.04</v>
      </c>
      <c r="K3460">
        <v>1.58</v>
      </c>
      <c r="L3460">
        <v>41.9</v>
      </c>
      <c r="M3460">
        <v>42.94</v>
      </c>
      <c r="N3460">
        <v>41.83</v>
      </c>
      <c r="O3460">
        <v>42.24</v>
      </c>
      <c r="P3460">
        <v>35.46</v>
      </c>
      <c r="Q3460">
        <v>220400160</v>
      </c>
      <c r="R3460">
        <v>1.5</v>
      </c>
      <c r="S3460" t="s">
        <v>195</v>
      </c>
      <c r="T3460" t="s">
        <v>162</v>
      </c>
      <c r="U3460">
        <v>2.63</v>
      </c>
      <c r="V3460">
        <v>42.48</v>
      </c>
      <c r="W3460">
        <v>25081</v>
      </c>
      <c r="X3460">
        <v>26803</v>
      </c>
      <c r="Y3460">
        <v>0.94</v>
      </c>
      <c r="Z3460">
        <v>21</v>
      </c>
      <c r="AA3460">
        <v>355</v>
      </c>
      <c r="AB3460" t="s">
        <v>32</v>
      </c>
      <c r="AC3460">
        <v>3.28</v>
      </c>
    </row>
    <row r="3461" spans="1:29">
      <c r="A3461" t="str">
        <f>"603859"</f>
        <v>603859</v>
      </c>
      <c r="B3461" t="s">
        <v>3631</v>
      </c>
      <c r="C3461">
        <v>0.85</v>
      </c>
      <c r="D3461">
        <v>18.89</v>
      </c>
      <c r="E3461">
        <v>0.16</v>
      </c>
      <c r="F3461">
        <v>18.88</v>
      </c>
      <c r="G3461">
        <v>18.89</v>
      </c>
      <c r="H3461">
        <v>10752</v>
      </c>
      <c r="I3461">
        <v>6</v>
      </c>
      <c r="J3461">
        <v>0</v>
      </c>
      <c r="K3461">
        <v>2.16</v>
      </c>
      <c r="L3461">
        <v>18.77</v>
      </c>
      <c r="M3461">
        <v>18.99</v>
      </c>
      <c r="N3461">
        <v>18.56</v>
      </c>
      <c r="O3461">
        <v>18.73</v>
      </c>
      <c r="P3461">
        <v>93.8</v>
      </c>
      <c r="Q3461">
        <v>20272748</v>
      </c>
      <c r="R3461">
        <v>1.54</v>
      </c>
      <c r="S3461" t="s">
        <v>270</v>
      </c>
      <c r="T3461" t="s">
        <v>45</v>
      </c>
      <c r="U3461">
        <v>2.3</v>
      </c>
      <c r="V3461">
        <v>18.86</v>
      </c>
      <c r="W3461">
        <v>5490</v>
      </c>
      <c r="X3461">
        <v>5261</v>
      </c>
      <c r="Y3461">
        <v>1.04</v>
      </c>
      <c r="Z3461">
        <v>23</v>
      </c>
      <c r="AA3461">
        <v>5</v>
      </c>
      <c r="AB3461" t="s">
        <v>32</v>
      </c>
      <c r="AC3461">
        <v>0.5</v>
      </c>
    </row>
    <row r="3462" spans="1:29">
      <c r="A3462" t="str">
        <f>"603860"</f>
        <v>603860</v>
      </c>
      <c r="B3462" t="s">
        <v>3632</v>
      </c>
      <c r="C3462">
        <v>3.83</v>
      </c>
      <c r="D3462">
        <v>31.43</v>
      </c>
      <c r="E3462">
        <v>1.16</v>
      </c>
      <c r="F3462">
        <v>31.42</v>
      </c>
      <c r="G3462">
        <v>31.45</v>
      </c>
      <c r="H3462">
        <v>8067</v>
      </c>
      <c r="I3462">
        <v>1</v>
      </c>
      <c r="J3462">
        <v>0.29</v>
      </c>
      <c r="K3462">
        <v>4.84</v>
      </c>
      <c r="L3462">
        <v>30.67</v>
      </c>
      <c r="M3462">
        <v>32.3</v>
      </c>
      <c r="N3462">
        <v>30.58</v>
      </c>
      <c r="O3462">
        <v>30.27</v>
      </c>
      <c r="P3462">
        <v>245.9</v>
      </c>
      <c r="Q3462">
        <v>25343210</v>
      </c>
      <c r="R3462">
        <v>2.1</v>
      </c>
      <c r="S3462" t="s">
        <v>983</v>
      </c>
      <c r="T3462" t="s">
        <v>45</v>
      </c>
      <c r="U3462">
        <v>5.68</v>
      </c>
      <c r="V3462">
        <v>31.42</v>
      </c>
      <c r="W3462">
        <v>3481</v>
      </c>
      <c r="X3462">
        <v>4586</v>
      </c>
      <c r="Y3462">
        <v>0.76</v>
      </c>
      <c r="Z3462">
        <v>4</v>
      </c>
      <c r="AA3462">
        <v>7</v>
      </c>
      <c r="AB3462" t="s">
        <v>32</v>
      </c>
      <c r="AC3462">
        <v>0.17</v>
      </c>
    </row>
    <row r="3463" spans="1:29">
      <c r="A3463" t="str">
        <f>"603861"</f>
        <v>603861</v>
      </c>
      <c r="B3463" t="s">
        <v>3633</v>
      </c>
      <c r="C3463">
        <v>3.02</v>
      </c>
      <c r="D3463">
        <v>11.27</v>
      </c>
      <c r="E3463">
        <v>0.33</v>
      </c>
      <c r="F3463">
        <v>11.26</v>
      </c>
      <c r="G3463">
        <v>11.28</v>
      </c>
      <c r="H3463">
        <v>17013</v>
      </c>
      <c r="I3463">
        <v>42</v>
      </c>
      <c r="J3463">
        <v>-0.08</v>
      </c>
      <c r="K3463">
        <v>1.41</v>
      </c>
      <c r="L3463">
        <v>10.94</v>
      </c>
      <c r="M3463">
        <v>11.29</v>
      </c>
      <c r="N3463">
        <v>10.9</v>
      </c>
      <c r="O3463">
        <v>10.94</v>
      </c>
      <c r="P3463">
        <v>46.22</v>
      </c>
      <c r="Q3463">
        <v>18962628</v>
      </c>
      <c r="R3463">
        <v>2.53</v>
      </c>
      <c r="S3463" t="s">
        <v>104</v>
      </c>
      <c r="T3463" t="s">
        <v>136</v>
      </c>
      <c r="U3463">
        <v>3.56</v>
      </c>
      <c r="V3463">
        <v>11.15</v>
      </c>
      <c r="W3463">
        <v>8224</v>
      </c>
      <c r="X3463">
        <v>8788</v>
      </c>
      <c r="Y3463">
        <v>0.94</v>
      </c>
      <c r="Z3463">
        <v>259</v>
      </c>
      <c r="AA3463">
        <v>155</v>
      </c>
      <c r="AB3463" t="s">
        <v>32</v>
      </c>
      <c r="AC3463">
        <v>1.21</v>
      </c>
    </row>
    <row r="3464" spans="1:29">
      <c r="A3464" t="str">
        <f>"603866"</f>
        <v>603866</v>
      </c>
      <c r="B3464" t="s">
        <v>3634</v>
      </c>
      <c r="C3464">
        <v>-0.65</v>
      </c>
      <c r="D3464">
        <v>56.6</v>
      </c>
      <c r="E3464">
        <v>-0.37</v>
      </c>
      <c r="F3464">
        <v>56.6</v>
      </c>
      <c r="G3464">
        <v>56.7</v>
      </c>
      <c r="H3464">
        <v>11926</v>
      </c>
      <c r="I3464">
        <v>6</v>
      </c>
      <c r="J3464">
        <v>0.12</v>
      </c>
      <c r="K3464">
        <v>2.02</v>
      </c>
      <c r="L3464">
        <v>56.3</v>
      </c>
      <c r="M3464">
        <v>58.3</v>
      </c>
      <c r="N3464">
        <v>55.8</v>
      </c>
      <c r="O3464">
        <v>56.97</v>
      </c>
      <c r="P3464">
        <v>61.63</v>
      </c>
      <c r="Q3464">
        <v>67606672</v>
      </c>
      <c r="R3464">
        <v>1.34</v>
      </c>
      <c r="S3464" t="s">
        <v>213</v>
      </c>
      <c r="T3464" t="s">
        <v>111</v>
      </c>
      <c r="U3464">
        <v>4.39</v>
      </c>
      <c r="V3464">
        <v>56.69</v>
      </c>
      <c r="W3464">
        <v>7726</v>
      </c>
      <c r="X3464">
        <v>4199</v>
      </c>
      <c r="Y3464">
        <v>1.84</v>
      </c>
      <c r="Z3464">
        <v>40</v>
      </c>
      <c r="AA3464">
        <v>52</v>
      </c>
      <c r="AB3464" t="s">
        <v>32</v>
      </c>
      <c r="AC3464">
        <v>0.59</v>
      </c>
    </row>
    <row r="3465" spans="1:29">
      <c r="A3465" t="str">
        <f>"603868"</f>
        <v>603868</v>
      </c>
      <c r="B3465" t="s">
        <v>3635</v>
      </c>
      <c r="C3465">
        <v>1.18</v>
      </c>
      <c r="D3465">
        <v>52.19</v>
      </c>
      <c r="E3465">
        <v>0.61</v>
      </c>
      <c r="F3465">
        <v>52.19</v>
      </c>
      <c r="G3465">
        <v>52.2</v>
      </c>
      <c r="H3465">
        <v>5849</v>
      </c>
      <c r="I3465">
        <v>54</v>
      </c>
      <c r="J3465">
        <v>0.02</v>
      </c>
      <c r="K3465">
        <v>1.34</v>
      </c>
      <c r="L3465">
        <v>51.8</v>
      </c>
      <c r="M3465">
        <v>53.13</v>
      </c>
      <c r="N3465">
        <v>51.2</v>
      </c>
      <c r="O3465">
        <v>51.58</v>
      </c>
      <c r="P3465">
        <v>32.59</v>
      </c>
      <c r="Q3465">
        <v>30802112</v>
      </c>
      <c r="R3465">
        <v>1.74</v>
      </c>
      <c r="S3465" t="s">
        <v>55</v>
      </c>
      <c r="T3465" t="s">
        <v>366</v>
      </c>
      <c r="U3465">
        <v>3.74</v>
      </c>
      <c r="V3465">
        <v>52.66</v>
      </c>
      <c r="W3465">
        <v>2680</v>
      </c>
      <c r="X3465">
        <v>3168</v>
      </c>
      <c r="Y3465">
        <v>0.85</v>
      </c>
      <c r="Z3465">
        <v>104</v>
      </c>
      <c r="AA3465">
        <v>82</v>
      </c>
      <c r="AB3465" t="s">
        <v>32</v>
      </c>
      <c r="AC3465">
        <v>0.44</v>
      </c>
    </row>
    <row r="3466" spans="1:29">
      <c r="A3466" t="str">
        <f>"603869"</f>
        <v>603869</v>
      </c>
      <c r="B3466" t="s">
        <v>3636</v>
      </c>
      <c r="C3466">
        <v>4.17</v>
      </c>
      <c r="D3466">
        <v>18.75</v>
      </c>
      <c r="E3466">
        <v>0.75</v>
      </c>
      <c r="F3466">
        <v>18.75</v>
      </c>
      <c r="G3466">
        <v>18.76</v>
      </c>
      <c r="H3466">
        <v>14301</v>
      </c>
      <c r="I3466">
        <v>5</v>
      </c>
      <c r="J3466">
        <v>-0.1</v>
      </c>
      <c r="K3466">
        <v>0.53</v>
      </c>
      <c r="L3466">
        <v>18.01</v>
      </c>
      <c r="M3466">
        <v>18.88</v>
      </c>
      <c r="N3466">
        <v>18.01</v>
      </c>
      <c r="O3466">
        <v>18</v>
      </c>
      <c r="P3466" t="s">
        <v>32</v>
      </c>
      <c r="Q3466">
        <v>26519956</v>
      </c>
      <c r="R3466">
        <v>1.45</v>
      </c>
      <c r="S3466" t="s">
        <v>321</v>
      </c>
      <c r="T3466" t="s">
        <v>238</v>
      </c>
      <c r="U3466">
        <v>4.83</v>
      </c>
      <c r="V3466">
        <v>18.54</v>
      </c>
      <c r="W3466">
        <v>5101</v>
      </c>
      <c r="X3466">
        <v>9200</v>
      </c>
      <c r="Y3466">
        <v>0.55</v>
      </c>
      <c r="Z3466">
        <v>14</v>
      </c>
      <c r="AA3466">
        <v>29</v>
      </c>
      <c r="AB3466" t="s">
        <v>32</v>
      </c>
      <c r="AC3466">
        <v>2.68</v>
      </c>
    </row>
    <row r="3467" spans="1:29">
      <c r="A3467" t="str">
        <f>"603871"</f>
        <v>603871</v>
      </c>
      <c r="B3467" t="s">
        <v>3637</v>
      </c>
      <c r="C3467">
        <v>4</v>
      </c>
      <c r="D3467">
        <v>45.71</v>
      </c>
      <c r="E3467">
        <v>1.76</v>
      </c>
      <c r="F3467">
        <v>45.7</v>
      </c>
      <c r="G3467">
        <v>45.74</v>
      </c>
      <c r="H3467">
        <v>22598</v>
      </c>
      <c r="I3467">
        <v>61</v>
      </c>
      <c r="J3467">
        <v>0.24</v>
      </c>
      <c r="K3467">
        <v>8.07</v>
      </c>
      <c r="L3467">
        <v>43.82</v>
      </c>
      <c r="M3467">
        <v>45.85</v>
      </c>
      <c r="N3467">
        <v>43.78</v>
      </c>
      <c r="O3467">
        <v>43.95</v>
      </c>
      <c r="P3467">
        <v>22.49</v>
      </c>
      <c r="Q3467">
        <v>101979928</v>
      </c>
      <c r="R3467">
        <v>1.62</v>
      </c>
      <c r="S3467" t="s">
        <v>742</v>
      </c>
      <c r="T3467" t="s">
        <v>45</v>
      </c>
      <c r="U3467">
        <v>4.71</v>
      </c>
      <c r="V3467">
        <v>45.13</v>
      </c>
      <c r="W3467">
        <v>9065</v>
      </c>
      <c r="X3467">
        <v>13532</v>
      </c>
      <c r="Y3467">
        <v>0.67</v>
      </c>
      <c r="Z3467">
        <v>3</v>
      </c>
      <c r="AA3467">
        <v>25</v>
      </c>
      <c r="AB3467" t="s">
        <v>32</v>
      </c>
      <c r="AC3467">
        <v>0.28</v>
      </c>
    </row>
    <row r="3468" spans="1:29">
      <c r="A3468" t="str">
        <f>"603876"</f>
        <v>603876</v>
      </c>
      <c r="B3468" t="s">
        <v>3638</v>
      </c>
      <c r="C3468">
        <v>8.01</v>
      </c>
      <c r="D3468">
        <v>31.54</v>
      </c>
      <c r="E3468">
        <v>2.34</v>
      </c>
      <c r="F3468">
        <v>31.54</v>
      </c>
      <c r="G3468">
        <v>31.55</v>
      </c>
      <c r="H3468">
        <v>150673</v>
      </c>
      <c r="I3468">
        <v>6</v>
      </c>
      <c r="J3468">
        <v>0.41</v>
      </c>
      <c r="K3468">
        <v>23.18</v>
      </c>
      <c r="L3468">
        <v>29.21</v>
      </c>
      <c r="M3468">
        <v>32</v>
      </c>
      <c r="N3468">
        <v>29.03</v>
      </c>
      <c r="O3468">
        <v>29.2</v>
      </c>
      <c r="P3468">
        <v>57.41</v>
      </c>
      <c r="Q3468">
        <v>462100544</v>
      </c>
      <c r="R3468">
        <v>1.88</v>
      </c>
      <c r="S3468" t="s">
        <v>324</v>
      </c>
      <c r="T3468" t="s">
        <v>87</v>
      </c>
      <c r="U3468">
        <v>10.17</v>
      </c>
      <c r="V3468">
        <v>30.67</v>
      </c>
      <c r="W3468">
        <v>65703</v>
      </c>
      <c r="X3468">
        <v>84969</v>
      </c>
      <c r="Y3468">
        <v>0.77</v>
      </c>
      <c r="Z3468">
        <v>173</v>
      </c>
      <c r="AA3468">
        <v>21</v>
      </c>
      <c r="AB3468" t="s">
        <v>32</v>
      </c>
      <c r="AC3468">
        <v>0.65</v>
      </c>
    </row>
    <row r="3469" spans="1:29">
      <c r="A3469" t="str">
        <f>"603877"</f>
        <v>603877</v>
      </c>
      <c r="B3469" t="s">
        <v>3639</v>
      </c>
      <c r="C3469">
        <v>0.03</v>
      </c>
      <c r="D3469">
        <v>30.92</v>
      </c>
      <c r="E3469">
        <v>0.01</v>
      </c>
      <c r="F3469">
        <v>30.94</v>
      </c>
      <c r="G3469">
        <v>30.99</v>
      </c>
      <c r="H3469">
        <v>11127</v>
      </c>
      <c r="I3469">
        <v>48</v>
      </c>
      <c r="J3469">
        <v>0.49</v>
      </c>
      <c r="K3469">
        <v>0.56</v>
      </c>
      <c r="L3469">
        <v>30.5</v>
      </c>
      <c r="M3469">
        <v>31.26</v>
      </c>
      <c r="N3469">
        <v>30.5</v>
      </c>
      <c r="O3469">
        <v>30.91</v>
      </c>
      <c r="P3469">
        <v>27.95</v>
      </c>
      <c r="Q3469">
        <v>34324436</v>
      </c>
      <c r="R3469">
        <v>1.05</v>
      </c>
      <c r="S3469" t="s">
        <v>622</v>
      </c>
      <c r="T3469" t="s">
        <v>149</v>
      </c>
      <c r="U3469">
        <v>2.46</v>
      </c>
      <c r="V3469">
        <v>30.85</v>
      </c>
      <c r="W3469">
        <v>5059</v>
      </c>
      <c r="X3469">
        <v>6067</v>
      </c>
      <c r="Y3469">
        <v>0.83</v>
      </c>
      <c r="Z3469">
        <v>2</v>
      </c>
      <c r="AA3469">
        <v>45</v>
      </c>
      <c r="AB3469" t="s">
        <v>32</v>
      </c>
      <c r="AC3469">
        <v>1.99</v>
      </c>
    </row>
    <row r="3470" spans="1:29">
      <c r="A3470" t="str">
        <f>"603878"</f>
        <v>603878</v>
      </c>
      <c r="B3470" t="s">
        <v>3640</v>
      </c>
      <c r="C3470">
        <v>1.42</v>
      </c>
      <c r="D3470">
        <v>14.25</v>
      </c>
      <c r="E3470">
        <v>0.2</v>
      </c>
      <c r="F3470">
        <v>14.25</v>
      </c>
      <c r="G3470">
        <v>14.26</v>
      </c>
      <c r="H3470">
        <v>36390</v>
      </c>
      <c r="I3470">
        <v>18</v>
      </c>
      <c r="J3470">
        <v>0.21</v>
      </c>
      <c r="K3470">
        <v>3.6</v>
      </c>
      <c r="L3470">
        <v>14.09</v>
      </c>
      <c r="M3470">
        <v>14.49</v>
      </c>
      <c r="N3470">
        <v>14.01</v>
      </c>
      <c r="O3470">
        <v>14.05</v>
      </c>
      <c r="P3470">
        <v>22.24</v>
      </c>
      <c r="Q3470">
        <v>51980812</v>
      </c>
      <c r="R3470">
        <v>2.26</v>
      </c>
      <c r="S3470" t="s">
        <v>449</v>
      </c>
      <c r="T3470" t="s">
        <v>87</v>
      </c>
      <c r="U3470">
        <v>3.42</v>
      </c>
      <c r="V3470">
        <v>14.28</v>
      </c>
      <c r="W3470">
        <v>18818</v>
      </c>
      <c r="X3470">
        <v>17571</v>
      </c>
      <c r="Y3470">
        <v>1.07</v>
      </c>
      <c r="Z3470">
        <v>6</v>
      </c>
      <c r="AA3470">
        <v>101</v>
      </c>
      <c r="AB3470" t="s">
        <v>32</v>
      </c>
      <c r="AC3470">
        <v>1.01</v>
      </c>
    </row>
    <row r="3471" spans="1:29">
      <c r="A3471" t="str">
        <f>"603879"</f>
        <v>603879</v>
      </c>
      <c r="B3471" t="s">
        <v>3641</v>
      </c>
      <c r="C3471">
        <v>1.47</v>
      </c>
      <c r="D3471">
        <v>12.4</v>
      </c>
      <c r="E3471">
        <v>0.18</v>
      </c>
      <c r="F3471">
        <v>12.4</v>
      </c>
      <c r="G3471">
        <v>12.41</v>
      </c>
      <c r="H3471">
        <v>15365</v>
      </c>
      <c r="I3471">
        <v>10</v>
      </c>
      <c r="J3471">
        <v>0.08</v>
      </c>
      <c r="K3471">
        <v>1.9</v>
      </c>
      <c r="L3471">
        <v>12.25</v>
      </c>
      <c r="M3471">
        <v>12.45</v>
      </c>
      <c r="N3471">
        <v>12.2</v>
      </c>
      <c r="O3471">
        <v>12.22</v>
      </c>
      <c r="P3471">
        <v>47.04</v>
      </c>
      <c r="Q3471">
        <v>18958496</v>
      </c>
      <c r="R3471">
        <v>1.14</v>
      </c>
      <c r="S3471" t="s">
        <v>218</v>
      </c>
      <c r="T3471" t="s">
        <v>236</v>
      </c>
      <c r="U3471">
        <v>2.05</v>
      </c>
      <c r="V3471">
        <v>12.34</v>
      </c>
      <c r="W3471">
        <v>7059</v>
      </c>
      <c r="X3471">
        <v>8306</v>
      </c>
      <c r="Y3471">
        <v>0.85</v>
      </c>
      <c r="Z3471">
        <v>48</v>
      </c>
      <c r="AA3471">
        <v>142</v>
      </c>
      <c r="AB3471" t="s">
        <v>32</v>
      </c>
      <c r="AC3471">
        <v>0.81</v>
      </c>
    </row>
    <row r="3472" spans="1:29">
      <c r="A3472" t="str">
        <f>"603880"</f>
        <v>603880</v>
      </c>
      <c r="B3472" t="s">
        <v>3642</v>
      </c>
      <c r="C3472">
        <v>0</v>
      </c>
      <c r="D3472">
        <v>18.85</v>
      </c>
      <c r="E3472">
        <v>0</v>
      </c>
      <c r="F3472" t="s">
        <v>32</v>
      </c>
      <c r="G3472" t="s">
        <v>32</v>
      </c>
      <c r="H3472">
        <v>0</v>
      </c>
      <c r="I3472">
        <v>0</v>
      </c>
      <c r="J3472">
        <v>0</v>
      </c>
      <c r="K3472">
        <v>0</v>
      </c>
      <c r="L3472" t="s">
        <v>32</v>
      </c>
      <c r="M3472" t="s">
        <v>32</v>
      </c>
      <c r="N3472" t="s">
        <v>32</v>
      </c>
      <c r="O3472">
        <v>18.85</v>
      </c>
      <c r="P3472">
        <v>50.2</v>
      </c>
      <c r="Q3472">
        <v>0</v>
      </c>
      <c r="R3472">
        <v>0</v>
      </c>
      <c r="S3472" t="s">
        <v>138</v>
      </c>
      <c r="T3472" t="s">
        <v>87</v>
      </c>
      <c r="U3472">
        <v>0</v>
      </c>
      <c r="V3472">
        <v>18.85</v>
      </c>
      <c r="W3472">
        <v>0</v>
      </c>
      <c r="X3472">
        <v>0</v>
      </c>
      <c r="Y3472" t="s">
        <v>32</v>
      </c>
      <c r="Z3472">
        <v>0</v>
      </c>
      <c r="AA3472">
        <v>0</v>
      </c>
      <c r="AB3472" t="s">
        <v>32</v>
      </c>
      <c r="AC3472">
        <v>0.33</v>
      </c>
    </row>
    <row r="3473" spans="1:29">
      <c r="A3473" t="str">
        <f>"603881"</f>
        <v>603881</v>
      </c>
      <c r="B3473" t="s">
        <v>3643</v>
      </c>
      <c r="C3473">
        <v>1.17</v>
      </c>
      <c r="D3473">
        <v>38.99</v>
      </c>
      <c r="E3473">
        <v>0.45</v>
      </c>
      <c r="F3473">
        <v>38.99</v>
      </c>
      <c r="G3473">
        <v>39</v>
      </c>
      <c r="H3473">
        <v>21388</v>
      </c>
      <c r="I3473">
        <v>2</v>
      </c>
      <c r="J3473">
        <v>0.18</v>
      </c>
      <c r="K3473">
        <v>1.67</v>
      </c>
      <c r="L3473">
        <v>38.45</v>
      </c>
      <c r="M3473">
        <v>39.28</v>
      </c>
      <c r="N3473">
        <v>38.35</v>
      </c>
      <c r="O3473">
        <v>38.54</v>
      </c>
      <c r="P3473">
        <v>60.96</v>
      </c>
      <c r="Q3473">
        <v>83126288</v>
      </c>
      <c r="R3473">
        <v>0.86</v>
      </c>
      <c r="S3473" t="s">
        <v>714</v>
      </c>
      <c r="T3473" t="s">
        <v>366</v>
      </c>
      <c r="U3473">
        <v>2.41</v>
      </c>
      <c r="V3473">
        <v>38.87</v>
      </c>
      <c r="W3473">
        <v>10394</v>
      </c>
      <c r="X3473">
        <v>10993</v>
      </c>
      <c r="Y3473">
        <v>0.95</v>
      </c>
      <c r="Z3473">
        <v>59</v>
      </c>
      <c r="AA3473">
        <v>65</v>
      </c>
      <c r="AB3473" t="s">
        <v>32</v>
      </c>
      <c r="AC3473">
        <v>1.28</v>
      </c>
    </row>
    <row r="3474" spans="1:29">
      <c r="A3474" t="str">
        <f>"603882"</f>
        <v>603882</v>
      </c>
      <c r="B3474" t="s">
        <v>3644</v>
      </c>
      <c r="C3474">
        <v>1.9</v>
      </c>
      <c r="D3474">
        <v>25.24</v>
      </c>
      <c r="E3474">
        <v>0.47</v>
      </c>
      <c r="F3474">
        <v>25.28</v>
      </c>
      <c r="G3474">
        <v>25.29</v>
      </c>
      <c r="H3474">
        <v>21103</v>
      </c>
      <c r="I3474">
        <v>17</v>
      </c>
      <c r="J3474">
        <v>-0.15</v>
      </c>
      <c r="K3474">
        <v>3.07</v>
      </c>
      <c r="L3474">
        <v>24.3</v>
      </c>
      <c r="M3474">
        <v>25.5</v>
      </c>
      <c r="N3474">
        <v>24.28</v>
      </c>
      <c r="O3474">
        <v>24.77</v>
      </c>
      <c r="P3474">
        <v>306.5</v>
      </c>
      <c r="Q3474">
        <v>52970480</v>
      </c>
      <c r="R3474">
        <v>2.09</v>
      </c>
      <c r="S3474" t="s">
        <v>138</v>
      </c>
      <c r="T3474" t="s">
        <v>136</v>
      </c>
      <c r="U3474">
        <v>4.93</v>
      </c>
      <c r="V3474">
        <v>25.1</v>
      </c>
      <c r="W3474">
        <v>10844</v>
      </c>
      <c r="X3474">
        <v>10258</v>
      </c>
      <c r="Y3474">
        <v>1.06</v>
      </c>
      <c r="Z3474">
        <v>33</v>
      </c>
      <c r="AA3474">
        <v>46</v>
      </c>
      <c r="AB3474" t="s">
        <v>32</v>
      </c>
      <c r="AC3474">
        <v>0.69</v>
      </c>
    </row>
    <row r="3475" spans="1:29">
      <c r="A3475" t="str">
        <f>"603883"</f>
        <v>603883</v>
      </c>
      <c r="B3475" t="s">
        <v>3645</v>
      </c>
      <c r="C3475">
        <v>1.73</v>
      </c>
      <c r="D3475">
        <v>78.41</v>
      </c>
      <c r="E3475">
        <v>1.33</v>
      </c>
      <c r="F3475">
        <v>78.4</v>
      </c>
      <c r="G3475">
        <v>78.41</v>
      </c>
      <c r="H3475">
        <v>20877</v>
      </c>
      <c r="I3475">
        <v>12</v>
      </c>
      <c r="J3475">
        <v>-0.67</v>
      </c>
      <c r="K3475">
        <v>0.78</v>
      </c>
      <c r="L3475">
        <v>76.02</v>
      </c>
      <c r="M3475">
        <v>79.44</v>
      </c>
      <c r="N3475">
        <v>75.2</v>
      </c>
      <c r="O3475">
        <v>77.08</v>
      </c>
      <c r="P3475">
        <v>42.79</v>
      </c>
      <c r="Q3475">
        <v>161846448</v>
      </c>
      <c r="R3475">
        <v>1.4</v>
      </c>
      <c r="S3475" t="s">
        <v>77</v>
      </c>
      <c r="T3475" t="s">
        <v>152</v>
      </c>
      <c r="U3475">
        <v>5.5</v>
      </c>
      <c r="V3475">
        <v>77.52</v>
      </c>
      <c r="W3475">
        <v>11763</v>
      </c>
      <c r="X3475">
        <v>9114</v>
      </c>
      <c r="Y3475">
        <v>1.29</v>
      </c>
      <c r="Z3475">
        <v>435</v>
      </c>
      <c r="AA3475">
        <v>12</v>
      </c>
      <c r="AB3475" t="s">
        <v>32</v>
      </c>
      <c r="AC3475">
        <v>2.67</v>
      </c>
    </row>
    <row r="3476" spans="1:29">
      <c r="A3476" t="str">
        <f>"603885"</f>
        <v>603885</v>
      </c>
      <c r="B3476" t="s">
        <v>3646</v>
      </c>
      <c r="C3476">
        <v>1.15</v>
      </c>
      <c r="D3476">
        <v>15.78</v>
      </c>
      <c r="E3476">
        <v>0.18</v>
      </c>
      <c r="F3476">
        <v>15.77</v>
      </c>
      <c r="G3476">
        <v>15.78</v>
      </c>
      <c r="H3476">
        <v>72563</v>
      </c>
      <c r="I3476">
        <v>2</v>
      </c>
      <c r="J3476">
        <v>-0.37</v>
      </c>
      <c r="K3476">
        <v>0.4</v>
      </c>
      <c r="L3476">
        <v>15.4</v>
      </c>
      <c r="M3476">
        <v>15.94</v>
      </c>
      <c r="N3476">
        <v>15.21</v>
      </c>
      <c r="O3476">
        <v>15.6</v>
      </c>
      <c r="P3476">
        <v>16.39</v>
      </c>
      <c r="Q3476">
        <v>113506960</v>
      </c>
      <c r="R3476">
        <v>0.89</v>
      </c>
      <c r="S3476" t="s">
        <v>134</v>
      </c>
      <c r="T3476" t="s">
        <v>366</v>
      </c>
      <c r="U3476">
        <v>4.68</v>
      </c>
      <c r="V3476">
        <v>15.64</v>
      </c>
      <c r="W3476">
        <v>33573</v>
      </c>
      <c r="X3476">
        <v>38989</v>
      </c>
      <c r="Y3476">
        <v>0.86</v>
      </c>
      <c r="Z3476">
        <v>60</v>
      </c>
      <c r="AA3476">
        <v>3</v>
      </c>
      <c r="AB3476" t="s">
        <v>32</v>
      </c>
      <c r="AC3476">
        <v>17.97</v>
      </c>
    </row>
    <row r="3477" spans="1:29">
      <c r="A3477" t="str">
        <f>"603886"</f>
        <v>603886</v>
      </c>
      <c r="B3477" t="s">
        <v>3647</v>
      </c>
      <c r="C3477">
        <v>3.51</v>
      </c>
      <c r="D3477">
        <v>20.92</v>
      </c>
      <c r="E3477">
        <v>0.71</v>
      </c>
      <c r="F3477">
        <v>20.88</v>
      </c>
      <c r="G3477">
        <v>20.89</v>
      </c>
      <c r="H3477">
        <v>53654</v>
      </c>
      <c r="I3477">
        <v>1</v>
      </c>
      <c r="J3477">
        <v>-0.23</v>
      </c>
      <c r="K3477">
        <v>4.43</v>
      </c>
      <c r="L3477">
        <v>19.63</v>
      </c>
      <c r="M3477">
        <v>21.2</v>
      </c>
      <c r="N3477">
        <v>18.83</v>
      </c>
      <c r="O3477">
        <v>20.21</v>
      </c>
      <c r="P3477" t="s">
        <v>32</v>
      </c>
      <c r="Q3477">
        <v>107920624</v>
      </c>
      <c r="R3477">
        <v>2.38</v>
      </c>
      <c r="S3477" t="s">
        <v>213</v>
      </c>
      <c r="T3477" t="s">
        <v>366</v>
      </c>
      <c r="U3477">
        <v>11.73</v>
      </c>
      <c r="V3477">
        <v>20.11</v>
      </c>
      <c r="W3477">
        <v>24908</v>
      </c>
      <c r="X3477">
        <v>28745</v>
      </c>
      <c r="Y3477">
        <v>0.87</v>
      </c>
      <c r="Z3477">
        <v>20</v>
      </c>
      <c r="AA3477">
        <v>19</v>
      </c>
      <c r="AB3477" t="s">
        <v>32</v>
      </c>
      <c r="AC3477">
        <v>1.21</v>
      </c>
    </row>
    <row r="3478" spans="1:29">
      <c r="A3478" t="str">
        <f>"603887"</f>
        <v>603887</v>
      </c>
      <c r="B3478" t="s">
        <v>3648</v>
      </c>
      <c r="C3478">
        <v>5.22</v>
      </c>
      <c r="D3478">
        <v>16.94</v>
      </c>
      <c r="E3478">
        <v>0.84</v>
      </c>
      <c r="F3478">
        <v>16.9</v>
      </c>
      <c r="G3478">
        <v>16.91</v>
      </c>
      <c r="H3478">
        <v>18110</v>
      </c>
      <c r="I3478">
        <v>4</v>
      </c>
      <c r="J3478">
        <v>-0.11</v>
      </c>
      <c r="K3478">
        <v>2.24</v>
      </c>
      <c r="L3478">
        <v>16.24</v>
      </c>
      <c r="M3478">
        <v>17.7</v>
      </c>
      <c r="N3478">
        <v>15.98</v>
      </c>
      <c r="O3478">
        <v>16.1</v>
      </c>
      <c r="P3478">
        <v>37.32</v>
      </c>
      <c r="Q3478">
        <v>30846454</v>
      </c>
      <c r="R3478">
        <v>4.72</v>
      </c>
      <c r="S3478" t="s">
        <v>49</v>
      </c>
      <c r="T3478" t="s">
        <v>366</v>
      </c>
      <c r="U3478">
        <v>10.68</v>
      </c>
      <c r="V3478">
        <v>17.03</v>
      </c>
      <c r="W3478">
        <v>10199</v>
      </c>
      <c r="X3478">
        <v>7910</v>
      </c>
      <c r="Y3478">
        <v>1.29</v>
      </c>
      <c r="Z3478">
        <v>18</v>
      </c>
      <c r="AA3478">
        <v>10</v>
      </c>
      <c r="AB3478" t="s">
        <v>32</v>
      </c>
      <c r="AC3478">
        <v>0.81</v>
      </c>
    </row>
    <row r="3479" spans="1:29">
      <c r="A3479" t="str">
        <f>"603888"</f>
        <v>603888</v>
      </c>
      <c r="B3479" t="s">
        <v>3649</v>
      </c>
      <c r="C3479">
        <v>1.86</v>
      </c>
      <c r="D3479">
        <v>17</v>
      </c>
      <c r="E3479">
        <v>0.31</v>
      </c>
      <c r="F3479">
        <v>16.99</v>
      </c>
      <c r="G3479">
        <v>17</v>
      </c>
      <c r="H3479">
        <v>25936</v>
      </c>
      <c r="I3479">
        <v>30</v>
      </c>
      <c r="J3479">
        <v>-0.11</v>
      </c>
      <c r="K3479">
        <v>1.47</v>
      </c>
      <c r="L3479">
        <v>16.78</v>
      </c>
      <c r="M3479">
        <v>17.12</v>
      </c>
      <c r="N3479">
        <v>16.65</v>
      </c>
      <c r="O3479">
        <v>16.69</v>
      </c>
      <c r="P3479">
        <v>92.97</v>
      </c>
      <c r="Q3479">
        <v>43946600</v>
      </c>
      <c r="R3479">
        <v>1.86</v>
      </c>
      <c r="S3479" t="s">
        <v>316</v>
      </c>
      <c r="T3479" t="s">
        <v>45</v>
      </c>
      <c r="U3479">
        <v>2.82</v>
      </c>
      <c r="V3479">
        <v>16.94</v>
      </c>
      <c r="W3479">
        <v>13317</v>
      </c>
      <c r="X3479">
        <v>12619</v>
      </c>
      <c r="Y3479">
        <v>1.06</v>
      </c>
      <c r="Z3479">
        <v>19</v>
      </c>
      <c r="AA3479">
        <v>71</v>
      </c>
      <c r="AB3479" t="s">
        <v>32</v>
      </c>
      <c r="AC3479">
        <v>1.76</v>
      </c>
    </row>
    <row r="3480" spans="1:29">
      <c r="A3480" t="str">
        <f>"603889"</f>
        <v>603889</v>
      </c>
      <c r="B3480" t="s">
        <v>3650</v>
      </c>
      <c r="C3480">
        <v>1.46</v>
      </c>
      <c r="D3480">
        <v>10.39</v>
      </c>
      <c r="E3480">
        <v>0.15</v>
      </c>
      <c r="F3480">
        <v>10.38</v>
      </c>
      <c r="G3480">
        <v>10.39</v>
      </c>
      <c r="H3480">
        <v>11181</v>
      </c>
      <c r="I3480">
        <v>15</v>
      </c>
      <c r="J3480">
        <v>-0.09</v>
      </c>
      <c r="K3480">
        <v>0.35</v>
      </c>
      <c r="L3480">
        <v>10.28</v>
      </c>
      <c r="M3480">
        <v>10.44</v>
      </c>
      <c r="N3480">
        <v>10.18</v>
      </c>
      <c r="O3480">
        <v>10.24</v>
      </c>
      <c r="P3480">
        <v>28.93</v>
      </c>
      <c r="Q3480">
        <v>11558150</v>
      </c>
      <c r="R3480">
        <v>3.33</v>
      </c>
      <c r="S3480" t="s">
        <v>99</v>
      </c>
      <c r="T3480" t="s">
        <v>149</v>
      </c>
      <c r="U3480">
        <v>2.54</v>
      </c>
      <c r="V3480">
        <v>10.34</v>
      </c>
      <c r="W3480">
        <v>4719</v>
      </c>
      <c r="X3480">
        <v>6462</v>
      </c>
      <c r="Y3480">
        <v>0.73</v>
      </c>
      <c r="Z3480">
        <v>318</v>
      </c>
      <c r="AA3480">
        <v>62</v>
      </c>
      <c r="AB3480" t="s">
        <v>32</v>
      </c>
      <c r="AC3480">
        <v>3.23</v>
      </c>
    </row>
    <row r="3481" spans="1:29">
      <c r="A3481" t="str">
        <f>"603890"</f>
        <v>603890</v>
      </c>
      <c r="B3481" t="s">
        <v>3651</v>
      </c>
      <c r="C3481">
        <v>0.27</v>
      </c>
      <c r="D3481">
        <v>18.8</v>
      </c>
      <c r="E3481">
        <v>0.05</v>
      </c>
      <c r="F3481">
        <v>18.79</v>
      </c>
      <c r="G3481">
        <v>18.81</v>
      </c>
      <c r="H3481">
        <v>31988</v>
      </c>
      <c r="I3481">
        <v>1</v>
      </c>
      <c r="J3481">
        <v>0.05</v>
      </c>
      <c r="K3481">
        <v>6.67</v>
      </c>
      <c r="L3481">
        <v>18.98</v>
      </c>
      <c r="M3481">
        <v>19.09</v>
      </c>
      <c r="N3481">
        <v>18.53</v>
      </c>
      <c r="O3481">
        <v>18.75</v>
      </c>
      <c r="P3481">
        <v>88.97</v>
      </c>
      <c r="Q3481">
        <v>60014624</v>
      </c>
      <c r="R3481">
        <v>0.77</v>
      </c>
      <c r="S3481" t="s">
        <v>241</v>
      </c>
      <c r="T3481" t="s">
        <v>87</v>
      </c>
      <c r="U3481">
        <v>2.99</v>
      </c>
      <c r="V3481">
        <v>18.76</v>
      </c>
      <c r="W3481">
        <v>16637</v>
      </c>
      <c r="X3481">
        <v>15350</v>
      </c>
      <c r="Y3481">
        <v>1.08</v>
      </c>
      <c r="Z3481">
        <v>123</v>
      </c>
      <c r="AA3481">
        <v>50</v>
      </c>
      <c r="AB3481" t="s">
        <v>32</v>
      </c>
      <c r="AC3481">
        <v>0.48</v>
      </c>
    </row>
    <row r="3482" spans="1:29">
      <c r="A3482" t="str">
        <f>"603895"</f>
        <v>603895</v>
      </c>
      <c r="B3482" t="s">
        <v>3652</v>
      </c>
      <c r="C3482">
        <v>1.69</v>
      </c>
      <c r="D3482">
        <v>36.8</v>
      </c>
      <c r="E3482">
        <v>0.61</v>
      </c>
      <c r="F3482">
        <v>36.81</v>
      </c>
      <c r="G3482">
        <v>36.82</v>
      </c>
      <c r="H3482">
        <v>43939</v>
      </c>
      <c r="I3482">
        <v>2</v>
      </c>
      <c r="J3482">
        <v>0.03</v>
      </c>
      <c r="K3482">
        <v>16.26</v>
      </c>
      <c r="L3482">
        <v>36.22</v>
      </c>
      <c r="M3482">
        <v>37.1</v>
      </c>
      <c r="N3482">
        <v>36.03</v>
      </c>
      <c r="O3482">
        <v>36.19</v>
      </c>
      <c r="P3482">
        <v>82.04</v>
      </c>
      <c r="Q3482">
        <v>161138176</v>
      </c>
      <c r="R3482">
        <v>0.84</v>
      </c>
      <c r="S3482" t="s">
        <v>171</v>
      </c>
      <c r="T3482" t="s">
        <v>366</v>
      </c>
      <c r="U3482">
        <v>2.96</v>
      </c>
      <c r="V3482">
        <v>36.67</v>
      </c>
      <c r="W3482">
        <v>21018</v>
      </c>
      <c r="X3482">
        <v>22920</v>
      </c>
      <c r="Y3482">
        <v>0.92</v>
      </c>
      <c r="Z3482">
        <v>46</v>
      </c>
      <c r="AA3482">
        <v>21</v>
      </c>
      <c r="AB3482" t="s">
        <v>32</v>
      </c>
      <c r="AC3482">
        <v>0.27</v>
      </c>
    </row>
    <row r="3483" spans="1:29">
      <c r="A3483" t="str">
        <f>"603896"</f>
        <v>603896</v>
      </c>
      <c r="B3483" t="s">
        <v>3653</v>
      </c>
      <c r="C3483">
        <v>1.54</v>
      </c>
      <c r="D3483">
        <v>45.6</v>
      </c>
      <c r="E3483">
        <v>0.69</v>
      </c>
      <c r="F3483">
        <v>45.58</v>
      </c>
      <c r="G3483">
        <v>45.6</v>
      </c>
      <c r="H3483">
        <v>13887</v>
      </c>
      <c r="I3483">
        <v>3</v>
      </c>
      <c r="J3483">
        <v>0.07</v>
      </c>
      <c r="K3483">
        <v>2.27</v>
      </c>
      <c r="L3483">
        <v>44.49</v>
      </c>
      <c r="M3483">
        <v>45.95</v>
      </c>
      <c r="N3483">
        <v>44.01</v>
      </c>
      <c r="O3483">
        <v>44.91</v>
      </c>
      <c r="P3483">
        <v>45.17</v>
      </c>
      <c r="Q3483">
        <v>63087844</v>
      </c>
      <c r="R3483">
        <v>0.88</v>
      </c>
      <c r="S3483" t="s">
        <v>195</v>
      </c>
      <c r="T3483" t="s">
        <v>149</v>
      </c>
      <c r="U3483">
        <v>4.32</v>
      </c>
      <c r="V3483">
        <v>45.43</v>
      </c>
      <c r="W3483">
        <v>6449</v>
      </c>
      <c r="X3483">
        <v>7438</v>
      </c>
      <c r="Y3483">
        <v>0.87</v>
      </c>
      <c r="Z3483">
        <v>8</v>
      </c>
      <c r="AA3483">
        <v>10</v>
      </c>
      <c r="AB3483" t="s">
        <v>32</v>
      </c>
      <c r="AC3483">
        <v>0.61</v>
      </c>
    </row>
    <row r="3484" spans="1:29">
      <c r="A3484" t="str">
        <f>"603897"</f>
        <v>603897</v>
      </c>
      <c r="B3484" t="s">
        <v>3654</v>
      </c>
      <c r="C3484">
        <v>2.81</v>
      </c>
      <c r="D3484">
        <v>35.08</v>
      </c>
      <c r="E3484">
        <v>0.96</v>
      </c>
      <c r="F3484">
        <v>35.08</v>
      </c>
      <c r="G3484">
        <v>35.09</v>
      </c>
      <c r="H3484">
        <v>41274</v>
      </c>
      <c r="I3484">
        <v>17</v>
      </c>
      <c r="J3484">
        <v>0.06</v>
      </c>
      <c r="K3484">
        <v>9.25</v>
      </c>
      <c r="L3484">
        <v>34.19</v>
      </c>
      <c r="M3484">
        <v>35.4</v>
      </c>
      <c r="N3484">
        <v>33.85</v>
      </c>
      <c r="O3484">
        <v>34.12</v>
      </c>
      <c r="P3484">
        <v>37.44</v>
      </c>
      <c r="Q3484">
        <v>143743984</v>
      </c>
      <c r="R3484">
        <v>1.1</v>
      </c>
      <c r="S3484" t="s">
        <v>104</v>
      </c>
      <c r="T3484" t="s">
        <v>149</v>
      </c>
      <c r="U3484">
        <v>4.54</v>
      </c>
      <c r="V3484">
        <v>34.83</v>
      </c>
      <c r="W3484">
        <v>18837</v>
      </c>
      <c r="X3484">
        <v>22437</v>
      </c>
      <c r="Y3484">
        <v>0.84</v>
      </c>
      <c r="Z3484">
        <v>114</v>
      </c>
      <c r="AA3484">
        <v>4</v>
      </c>
      <c r="AB3484" t="s">
        <v>32</v>
      </c>
      <c r="AC3484">
        <v>0.45</v>
      </c>
    </row>
    <row r="3485" spans="1:29">
      <c r="A3485" t="str">
        <f>"603898"</f>
        <v>603898</v>
      </c>
      <c r="B3485" t="s">
        <v>3655</v>
      </c>
      <c r="C3485">
        <v>2.81</v>
      </c>
      <c r="D3485">
        <v>25.59</v>
      </c>
      <c r="E3485">
        <v>0.7</v>
      </c>
      <c r="F3485">
        <v>25.55</v>
      </c>
      <c r="G3485">
        <v>25.56</v>
      </c>
      <c r="H3485">
        <v>10361</v>
      </c>
      <c r="I3485">
        <v>3</v>
      </c>
      <c r="J3485">
        <v>-0.07</v>
      </c>
      <c r="K3485">
        <v>1.14</v>
      </c>
      <c r="L3485">
        <v>25.08</v>
      </c>
      <c r="M3485">
        <v>25.67</v>
      </c>
      <c r="N3485">
        <v>24.01</v>
      </c>
      <c r="O3485">
        <v>24.89</v>
      </c>
      <c r="P3485">
        <v>57.69</v>
      </c>
      <c r="Q3485">
        <v>26254822</v>
      </c>
      <c r="R3485">
        <v>1.66</v>
      </c>
      <c r="S3485" t="s">
        <v>545</v>
      </c>
      <c r="T3485" t="s">
        <v>136</v>
      </c>
      <c r="U3485">
        <v>6.67</v>
      </c>
      <c r="V3485">
        <v>25.34</v>
      </c>
      <c r="W3485">
        <v>4801</v>
      </c>
      <c r="X3485">
        <v>5560</v>
      </c>
      <c r="Y3485">
        <v>0.86</v>
      </c>
      <c r="Z3485">
        <v>57</v>
      </c>
      <c r="AA3485">
        <v>27</v>
      </c>
      <c r="AB3485" t="s">
        <v>32</v>
      </c>
      <c r="AC3485">
        <v>0.91</v>
      </c>
    </row>
    <row r="3486" spans="1:29">
      <c r="A3486" t="str">
        <f>"603899"</f>
        <v>603899</v>
      </c>
      <c r="B3486" t="s">
        <v>3656</v>
      </c>
      <c r="C3486">
        <v>3.2</v>
      </c>
      <c r="D3486">
        <v>31.26</v>
      </c>
      <c r="E3486">
        <v>0.97</v>
      </c>
      <c r="F3486">
        <v>31.28</v>
      </c>
      <c r="G3486">
        <v>31.3</v>
      </c>
      <c r="H3486">
        <v>30222</v>
      </c>
      <c r="I3486">
        <v>2</v>
      </c>
      <c r="J3486">
        <v>0.51</v>
      </c>
      <c r="K3486">
        <v>0.33</v>
      </c>
      <c r="L3486">
        <v>30.7</v>
      </c>
      <c r="M3486">
        <v>31.8</v>
      </c>
      <c r="N3486">
        <v>30.35</v>
      </c>
      <c r="O3486">
        <v>30.29</v>
      </c>
      <c r="P3486">
        <v>35.13</v>
      </c>
      <c r="Q3486">
        <v>94273248</v>
      </c>
      <c r="R3486">
        <v>1.23</v>
      </c>
      <c r="S3486" t="s">
        <v>57</v>
      </c>
      <c r="T3486" t="s">
        <v>366</v>
      </c>
      <c r="U3486">
        <v>4.79</v>
      </c>
      <c r="V3486">
        <v>31.19</v>
      </c>
      <c r="W3486">
        <v>11614</v>
      </c>
      <c r="X3486">
        <v>18608</v>
      </c>
      <c r="Y3486">
        <v>0.62</v>
      </c>
      <c r="Z3486">
        <v>9</v>
      </c>
      <c r="AA3486">
        <v>51</v>
      </c>
      <c r="AB3486" t="s">
        <v>32</v>
      </c>
      <c r="AC3486">
        <v>9.2</v>
      </c>
    </row>
    <row r="3487" spans="1:29">
      <c r="A3487" t="str">
        <f>"603900"</f>
        <v>603900</v>
      </c>
      <c r="B3487" t="s">
        <v>3657</v>
      </c>
      <c r="C3487">
        <v>1.35</v>
      </c>
      <c r="D3487">
        <v>19.49</v>
      </c>
      <c r="E3487">
        <v>0.26</v>
      </c>
      <c r="F3487">
        <v>19.49</v>
      </c>
      <c r="G3487">
        <v>19.5</v>
      </c>
      <c r="H3487">
        <v>20649</v>
      </c>
      <c r="I3487">
        <v>30</v>
      </c>
      <c r="J3487">
        <v>-0.14</v>
      </c>
      <c r="K3487">
        <v>2.43</v>
      </c>
      <c r="L3487">
        <v>19.27</v>
      </c>
      <c r="M3487">
        <v>19.69</v>
      </c>
      <c r="N3487">
        <v>19.12</v>
      </c>
      <c r="O3487">
        <v>19.23</v>
      </c>
      <c r="P3487">
        <v>14.79</v>
      </c>
      <c r="Q3487">
        <v>40097384</v>
      </c>
      <c r="R3487">
        <v>1.48</v>
      </c>
      <c r="S3487" t="s">
        <v>622</v>
      </c>
      <c r="T3487" t="s">
        <v>87</v>
      </c>
      <c r="U3487">
        <v>2.96</v>
      </c>
      <c r="V3487">
        <v>19.42</v>
      </c>
      <c r="W3487">
        <v>10354</v>
      </c>
      <c r="X3487">
        <v>10295</v>
      </c>
      <c r="Y3487">
        <v>1.01</v>
      </c>
      <c r="Z3487">
        <v>18</v>
      </c>
      <c r="AA3487">
        <v>51</v>
      </c>
      <c r="AB3487" t="s">
        <v>32</v>
      </c>
      <c r="AC3487">
        <v>0.85</v>
      </c>
    </row>
    <row r="3488" spans="1:29">
      <c r="A3488" t="str">
        <f>"603901"</f>
        <v>603901</v>
      </c>
      <c r="B3488" t="s">
        <v>3658</v>
      </c>
      <c r="C3488">
        <v>2.08</v>
      </c>
      <c r="D3488">
        <v>9.8</v>
      </c>
      <c r="E3488">
        <v>0.2</v>
      </c>
      <c r="F3488">
        <v>9.8</v>
      </c>
      <c r="G3488">
        <v>9.81</v>
      </c>
      <c r="H3488">
        <v>96897</v>
      </c>
      <c r="I3488">
        <v>68</v>
      </c>
      <c r="J3488">
        <v>0.41</v>
      </c>
      <c r="K3488">
        <v>5.27</v>
      </c>
      <c r="L3488">
        <v>9.6</v>
      </c>
      <c r="M3488">
        <v>9.82</v>
      </c>
      <c r="N3488">
        <v>9.52</v>
      </c>
      <c r="O3488">
        <v>9.6</v>
      </c>
      <c r="P3488">
        <v>69.88</v>
      </c>
      <c r="Q3488">
        <v>93684592</v>
      </c>
      <c r="R3488">
        <v>1.04</v>
      </c>
      <c r="S3488" t="s">
        <v>171</v>
      </c>
      <c r="T3488" t="s">
        <v>149</v>
      </c>
      <c r="U3488">
        <v>3.13</v>
      </c>
      <c r="V3488">
        <v>9.67</v>
      </c>
      <c r="W3488">
        <v>49693</v>
      </c>
      <c r="X3488">
        <v>47204</v>
      </c>
      <c r="Y3488">
        <v>1.05</v>
      </c>
      <c r="Z3488">
        <v>91</v>
      </c>
      <c r="AA3488">
        <v>177</v>
      </c>
      <c r="AB3488" t="s">
        <v>32</v>
      </c>
      <c r="AC3488">
        <v>1.84</v>
      </c>
    </row>
    <row r="3489" spans="1:29">
      <c r="A3489" t="str">
        <f>"603903"</f>
        <v>603903</v>
      </c>
      <c r="B3489" t="s">
        <v>3659</v>
      </c>
      <c r="C3489">
        <v>1.75</v>
      </c>
      <c r="D3489">
        <v>30.83</v>
      </c>
      <c r="E3489">
        <v>0.53</v>
      </c>
      <c r="F3489">
        <v>30.83</v>
      </c>
      <c r="G3489">
        <v>30.84</v>
      </c>
      <c r="H3489">
        <v>20075</v>
      </c>
      <c r="I3489">
        <v>9</v>
      </c>
      <c r="J3489">
        <v>0.46</v>
      </c>
      <c r="K3489">
        <v>2.72</v>
      </c>
      <c r="L3489">
        <v>30.28</v>
      </c>
      <c r="M3489">
        <v>30.99</v>
      </c>
      <c r="N3489">
        <v>29.99</v>
      </c>
      <c r="O3489">
        <v>30.3</v>
      </c>
      <c r="P3489">
        <v>92.71</v>
      </c>
      <c r="Q3489">
        <v>61362456</v>
      </c>
      <c r="R3489">
        <v>1.78</v>
      </c>
      <c r="S3489" t="s">
        <v>86</v>
      </c>
      <c r="T3489" t="s">
        <v>45</v>
      </c>
      <c r="U3489">
        <v>3.3</v>
      </c>
      <c r="V3489">
        <v>30.57</v>
      </c>
      <c r="W3489">
        <v>10471</v>
      </c>
      <c r="X3489">
        <v>9604</v>
      </c>
      <c r="Y3489">
        <v>1.09</v>
      </c>
      <c r="Z3489">
        <v>150</v>
      </c>
      <c r="AA3489">
        <v>10</v>
      </c>
      <c r="AB3489" t="s">
        <v>32</v>
      </c>
      <c r="AC3489">
        <v>0.74</v>
      </c>
    </row>
    <row r="3490" spans="1:29">
      <c r="A3490" t="str">
        <f>"603906"</f>
        <v>603906</v>
      </c>
      <c r="B3490" t="s">
        <v>3660</v>
      </c>
      <c r="C3490">
        <v>1.15</v>
      </c>
      <c r="D3490">
        <v>10.59</v>
      </c>
      <c r="E3490">
        <v>0.12</v>
      </c>
      <c r="F3490">
        <v>10.59</v>
      </c>
      <c r="G3490">
        <v>10.6</v>
      </c>
      <c r="H3490">
        <v>20779</v>
      </c>
      <c r="I3490">
        <v>2</v>
      </c>
      <c r="J3490">
        <v>-0.08</v>
      </c>
      <c r="K3490">
        <v>2.23</v>
      </c>
      <c r="L3490">
        <v>10.45</v>
      </c>
      <c r="M3490">
        <v>10.64</v>
      </c>
      <c r="N3490">
        <v>10.38</v>
      </c>
      <c r="O3490">
        <v>10.47</v>
      </c>
      <c r="P3490">
        <v>23.55</v>
      </c>
      <c r="Q3490">
        <v>21930536</v>
      </c>
      <c r="R3490">
        <v>1.4</v>
      </c>
      <c r="S3490" t="s">
        <v>218</v>
      </c>
      <c r="T3490" t="s">
        <v>87</v>
      </c>
      <c r="U3490">
        <v>2.48</v>
      </c>
      <c r="V3490">
        <v>10.55</v>
      </c>
      <c r="W3490">
        <v>10863</v>
      </c>
      <c r="X3490">
        <v>9915</v>
      </c>
      <c r="Y3490">
        <v>1.1</v>
      </c>
      <c r="Z3490">
        <v>36</v>
      </c>
      <c r="AA3490">
        <v>42</v>
      </c>
      <c r="AB3490" t="s">
        <v>32</v>
      </c>
      <c r="AC3490">
        <v>0.93</v>
      </c>
    </row>
    <row r="3491" spans="1:29">
      <c r="A3491" t="str">
        <f>"603908"</f>
        <v>603908</v>
      </c>
      <c r="B3491" t="s">
        <v>3661</v>
      </c>
      <c r="C3491">
        <v>1.43</v>
      </c>
      <c r="D3491">
        <v>27.04</v>
      </c>
      <c r="E3491">
        <v>0.38</v>
      </c>
      <c r="F3491">
        <v>27.03</v>
      </c>
      <c r="G3491">
        <v>27.07</v>
      </c>
      <c r="H3491">
        <v>7978</v>
      </c>
      <c r="I3491">
        <v>3</v>
      </c>
      <c r="J3491">
        <v>0.04</v>
      </c>
      <c r="K3491">
        <v>3.46</v>
      </c>
      <c r="L3491">
        <v>26.6</v>
      </c>
      <c r="M3491">
        <v>27.13</v>
      </c>
      <c r="N3491">
        <v>26.51</v>
      </c>
      <c r="O3491">
        <v>26.66</v>
      </c>
      <c r="P3491">
        <v>22.76</v>
      </c>
      <c r="Q3491">
        <v>21470804</v>
      </c>
      <c r="R3491">
        <v>1.39</v>
      </c>
      <c r="S3491" t="s">
        <v>99</v>
      </c>
      <c r="T3491" t="s">
        <v>149</v>
      </c>
      <c r="U3491">
        <v>2.33</v>
      </c>
      <c r="V3491">
        <v>26.91</v>
      </c>
      <c r="W3491">
        <v>4019</v>
      </c>
      <c r="X3491">
        <v>3959</v>
      </c>
      <c r="Y3491">
        <v>1.02</v>
      </c>
      <c r="Z3491">
        <v>1</v>
      </c>
      <c r="AA3491">
        <v>11</v>
      </c>
      <c r="AB3491" t="s">
        <v>32</v>
      </c>
      <c r="AC3491">
        <v>0.23</v>
      </c>
    </row>
    <row r="3492" spans="1:29">
      <c r="A3492" t="str">
        <f>"603909"</f>
        <v>603909</v>
      </c>
      <c r="B3492" t="s">
        <v>3662</v>
      </c>
      <c r="C3492">
        <v>0.48</v>
      </c>
      <c r="D3492">
        <v>31.15</v>
      </c>
      <c r="E3492">
        <v>0.15</v>
      </c>
      <c r="F3492">
        <v>31.15</v>
      </c>
      <c r="G3492">
        <v>31.17</v>
      </c>
      <c r="H3492">
        <v>3224</v>
      </c>
      <c r="I3492">
        <v>1</v>
      </c>
      <c r="J3492">
        <v>0.45</v>
      </c>
      <c r="K3492">
        <v>1.29</v>
      </c>
      <c r="L3492">
        <v>31</v>
      </c>
      <c r="M3492">
        <v>31.4</v>
      </c>
      <c r="N3492">
        <v>30.7</v>
      </c>
      <c r="O3492">
        <v>31</v>
      </c>
      <c r="P3492">
        <v>289.52</v>
      </c>
      <c r="Q3492">
        <v>10053584</v>
      </c>
      <c r="R3492">
        <v>1.49</v>
      </c>
      <c r="S3492" t="s">
        <v>49</v>
      </c>
      <c r="T3492" t="s">
        <v>236</v>
      </c>
      <c r="U3492">
        <v>2.26</v>
      </c>
      <c r="V3492">
        <v>31.18</v>
      </c>
      <c r="W3492">
        <v>1683</v>
      </c>
      <c r="X3492">
        <v>1540</v>
      </c>
      <c r="Y3492">
        <v>1.09</v>
      </c>
      <c r="Z3492">
        <v>29</v>
      </c>
      <c r="AA3492">
        <v>7</v>
      </c>
      <c r="AB3492" t="s">
        <v>32</v>
      </c>
      <c r="AC3492">
        <v>0.25</v>
      </c>
    </row>
    <row r="3493" spans="1:29">
      <c r="A3493" t="str">
        <f>"603912"</f>
        <v>603912</v>
      </c>
      <c r="B3493" t="s">
        <v>3663</v>
      </c>
      <c r="C3493">
        <v>0.73</v>
      </c>
      <c r="D3493">
        <v>16.51</v>
      </c>
      <c r="E3493">
        <v>0.12</v>
      </c>
      <c r="F3493">
        <v>16.51</v>
      </c>
      <c r="G3493">
        <v>16.52</v>
      </c>
      <c r="H3493">
        <v>45383</v>
      </c>
      <c r="I3493">
        <v>24</v>
      </c>
      <c r="J3493">
        <v>0.18</v>
      </c>
      <c r="K3493">
        <v>8.76</v>
      </c>
      <c r="L3493">
        <v>16.39</v>
      </c>
      <c r="M3493">
        <v>16.61</v>
      </c>
      <c r="N3493">
        <v>16.08</v>
      </c>
      <c r="O3493">
        <v>16.39</v>
      </c>
      <c r="P3493">
        <v>36.51</v>
      </c>
      <c r="Q3493">
        <v>74357272</v>
      </c>
      <c r="R3493">
        <v>1.08</v>
      </c>
      <c r="S3493" t="s">
        <v>171</v>
      </c>
      <c r="T3493" t="s">
        <v>87</v>
      </c>
      <c r="U3493">
        <v>3.23</v>
      </c>
      <c r="V3493">
        <v>16.38</v>
      </c>
      <c r="W3493">
        <v>22209</v>
      </c>
      <c r="X3493">
        <v>23174</v>
      </c>
      <c r="Y3493">
        <v>0.96</v>
      </c>
      <c r="Z3493">
        <v>152</v>
      </c>
      <c r="AA3493">
        <v>211</v>
      </c>
      <c r="AB3493" t="s">
        <v>32</v>
      </c>
      <c r="AC3493">
        <v>0.52</v>
      </c>
    </row>
    <row r="3494" spans="1:29">
      <c r="A3494" t="str">
        <f>"603916"</f>
        <v>603916</v>
      </c>
      <c r="B3494" t="s">
        <v>3664</v>
      </c>
      <c r="C3494">
        <v>3.7</v>
      </c>
      <c r="D3494">
        <v>14.59</v>
      </c>
      <c r="E3494">
        <v>0.52</v>
      </c>
      <c r="F3494">
        <v>14.58</v>
      </c>
      <c r="G3494">
        <v>14.59</v>
      </c>
      <c r="H3494">
        <v>97829</v>
      </c>
      <c r="I3494">
        <v>10</v>
      </c>
      <c r="J3494">
        <v>-0.4</v>
      </c>
      <c r="K3494">
        <v>12.87</v>
      </c>
      <c r="L3494">
        <v>14</v>
      </c>
      <c r="M3494">
        <v>15.26</v>
      </c>
      <c r="N3494">
        <v>13.92</v>
      </c>
      <c r="O3494">
        <v>14.07</v>
      </c>
      <c r="P3494">
        <v>37.24</v>
      </c>
      <c r="Q3494">
        <v>143471504</v>
      </c>
      <c r="R3494">
        <v>2.77</v>
      </c>
      <c r="S3494" t="s">
        <v>218</v>
      </c>
      <c r="T3494" t="s">
        <v>87</v>
      </c>
      <c r="U3494">
        <v>9.52</v>
      </c>
      <c r="V3494">
        <v>14.67</v>
      </c>
      <c r="W3494">
        <v>49271</v>
      </c>
      <c r="X3494">
        <v>48558</v>
      </c>
      <c r="Y3494">
        <v>1.01</v>
      </c>
      <c r="Z3494">
        <v>158</v>
      </c>
      <c r="AA3494">
        <v>353</v>
      </c>
      <c r="AB3494" t="s">
        <v>32</v>
      </c>
      <c r="AC3494">
        <v>0.76</v>
      </c>
    </row>
    <row r="3495" spans="1:29">
      <c r="A3495" t="str">
        <f>"603917"</f>
        <v>603917</v>
      </c>
      <c r="B3495" t="s">
        <v>3665</v>
      </c>
      <c r="C3495">
        <v>1.17</v>
      </c>
      <c r="D3495">
        <v>15.56</v>
      </c>
      <c r="E3495">
        <v>0.18</v>
      </c>
      <c r="F3495">
        <v>15.55</v>
      </c>
      <c r="G3495">
        <v>15.56</v>
      </c>
      <c r="H3495">
        <v>27910</v>
      </c>
      <c r="I3495">
        <v>1</v>
      </c>
      <c r="J3495">
        <v>0.06</v>
      </c>
      <c r="K3495">
        <v>7.12</v>
      </c>
      <c r="L3495">
        <v>15.4</v>
      </c>
      <c r="M3495">
        <v>15.78</v>
      </c>
      <c r="N3495">
        <v>15.18</v>
      </c>
      <c r="O3495">
        <v>15.38</v>
      </c>
      <c r="P3495">
        <v>48.25</v>
      </c>
      <c r="Q3495">
        <v>43329912</v>
      </c>
      <c r="R3495">
        <v>1.35</v>
      </c>
      <c r="S3495" t="s">
        <v>171</v>
      </c>
      <c r="T3495" t="s">
        <v>149</v>
      </c>
      <c r="U3495">
        <v>3.9</v>
      </c>
      <c r="V3495">
        <v>15.53</v>
      </c>
      <c r="W3495">
        <v>13993</v>
      </c>
      <c r="X3495">
        <v>13916</v>
      </c>
      <c r="Y3495">
        <v>1.01</v>
      </c>
      <c r="Z3495">
        <v>49</v>
      </c>
      <c r="AA3495">
        <v>123</v>
      </c>
      <c r="AB3495" t="s">
        <v>32</v>
      </c>
      <c r="AC3495">
        <v>0.39</v>
      </c>
    </row>
    <row r="3496" spans="1:29">
      <c r="A3496" t="str">
        <f>"603918"</f>
        <v>603918</v>
      </c>
      <c r="B3496" t="s">
        <v>3666</v>
      </c>
      <c r="C3496">
        <v>0.19</v>
      </c>
      <c r="D3496">
        <v>15.46</v>
      </c>
      <c r="E3496">
        <v>0.03</v>
      </c>
      <c r="F3496">
        <v>15.46</v>
      </c>
      <c r="G3496">
        <v>15.47</v>
      </c>
      <c r="H3496">
        <v>11829</v>
      </c>
      <c r="I3496">
        <v>10</v>
      </c>
      <c r="J3496">
        <v>-0.05</v>
      </c>
      <c r="K3496">
        <v>0.67</v>
      </c>
      <c r="L3496">
        <v>15.3</v>
      </c>
      <c r="M3496">
        <v>15.63</v>
      </c>
      <c r="N3496">
        <v>15.21</v>
      </c>
      <c r="O3496">
        <v>15.43</v>
      </c>
      <c r="P3496">
        <v>2287.13</v>
      </c>
      <c r="Q3496">
        <v>18264558</v>
      </c>
      <c r="R3496">
        <v>0.95</v>
      </c>
      <c r="S3496" t="s">
        <v>270</v>
      </c>
      <c r="T3496" t="s">
        <v>366</v>
      </c>
      <c r="U3496">
        <v>2.72</v>
      </c>
      <c r="V3496">
        <v>15.44</v>
      </c>
      <c r="W3496">
        <v>6126</v>
      </c>
      <c r="X3496">
        <v>5702</v>
      </c>
      <c r="Y3496">
        <v>1.07</v>
      </c>
      <c r="Z3496">
        <v>93</v>
      </c>
      <c r="AA3496">
        <v>35</v>
      </c>
      <c r="AB3496" t="s">
        <v>32</v>
      </c>
      <c r="AC3496">
        <v>1.77</v>
      </c>
    </row>
    <row r="3497" spans="1:29">
      <c r="A3497" t="str">
        <f>"603919"</f>
        <v>603919</v>
      </c>
      <c r="B3497" t="s">
        <v>3667</v>
      </c>
      <c r="C3497">
        <v>5.58</v>
      </c>
      <c r="D3497">
        <v>17.4</v>
      </c>
      <c r="E3497">
        <v>0.92</v>
      </c>
      <c r="F3497">
        <v>17.4</v>
      </c>
      <c r="G3497">
        <v>17.41</v>
      </c>
      <c r="H3497">
        <v>54144</v>
      </c>
      <c r="I3497">
        <v>12</v>
      </c>
      <c r="J3497">
        <v>0.12</v>
      </c>
      <c r="K3497">
        <v>4.67</v>
      </c>
      <c r="L3497">
        <v>16.5</v>
      </c>
      <c r="M3497">
        <v>17.45</v>
      </c>
      <c r="N3497">
        <v>16.35</v>
      </c>
      <c r="O3497">
        <v>16.48</v>
      </c>
      <c r="P3497">
        <v>13.07</v>
      </c>
      <c r="Q3497">
        <v>91930568</v>
      </c>
      <c r="R3497">
        <v>4.26</v>
      </c>
      <c r="S3497" t="s">
        <v>285</v>
      </c>
      <c r="T3497" t="s">
        <v>266</v>
      </c>
      <c r="U3497">
        <v>6.67</v>
      </c>
      <c r="V3497">
        <v>16.98</v>
      </c>
      <c r="W3497">
        <v>20291</v>
      </c>
      <c r="X3497">
        <v>33852</v>
      </c>
      <c r="Y3497">
        <v>0.6</v>
      </c>
      <c r="Z3497">
        <v>7</v>
      </c>
      <c r="AA3497">
        <v>27</v>
      </c>
      <c r="AB3497" t="s">
        <v>32</v>
      </c>
      <c r="AC3497">
        <v>1.16</v>
      </c>
    </row>
    <row r="3498" spans="1:29">
      <c r="A3498" t="str">
        <f>"603920"</f>
        <v>603920</v>
      </c>
      <c r="B3498" t="s">
        <v>3668</v>
      </c>
      <c r="C3498">
        <v>0.61</v>
      </c>
      <c r="D3498">
        <v>13.13</v>
      </c>
      <c r="E3498">
        <v>0.08</v>
      </c>
      <c r="F3498">
        <v>13.12</v>
      </c>
      <c r="G3498">
        <v>13.13</v>
      </c>
      <c r="H3498">
        <v>35992</v>
      </c>
      <c r="I3498">
        <v>3</v>
      </c>
      <c r="J3498">
        <v>0.31</v>
      </c>
      <c r="K3498">
        <v>2.81</v>
      </c>
      <c r="L3498">
        <v>12.97</v>
      </c>
      <c r="M3498">
        <v>13.17</v>
      </c>
      <c r="N3498">
        <v>12.95</v>
      </c>
      <c r="O3498">
        <v>13.05</v>
      </c>
      <c r="P3498">
        <v>53.17</v>
      </c>
      <c r="Q3498">
        <v>47099156</v>
      </c>
      <c r="R3498">
        <v>0.6</v>
      </c>
      <c r="S3498" t="s">
        <v>63</v>
      </c>
      <c r="T3498" t="s">
        <v>136</v>
      </c>
      <c r="U3498">
        <v>1.69</v>
      </c>
      <c r="V3498">
        <v>13.09</v>
      </c>
      <c r="W3498">
        <v>19221</v>
      </c>
      <c r="X3498">
        <v>16770</v>
      </c>
      <c r="Y3498">
        <v>1.15</v>
      </c>
      <c r="Z3498">
        <v>186</v>
      </c>
      <c r="AA3498">
        <v>92</v>
      </c>
      <c r="AB3498" t="s">
        <v>32</v>
      </c>
      <c r="AC3498">
        <v>1.28</v>
      </c>
    </row>
    <row r="3499" spans="1:29">
      <c r="A3499" t="str">
        <f>"603922"</f>
        <v>603922</v>
      </c>
      <c r="B3499" t="s">
        <v>3669</v>
      </c>
      <c r="C3499">
        <v>1.76</v>
      </c>
      <c r="D3499">
        <v>20.87</v>
      </c>
      <c r="E3499">
        <v>0.36</v>
      </c>
      <c r="F3499">
        <v>20.86</v>
      </c>
      <c r="G3499">
        <v>20.88</v>
      </c>
      <c r="H3499">
        <v>9119</v>
      </c>
      <c r="I3499">
        <v>28</v>
      </c>
      <c r="J3499">
        <v>0.19</v>
      </c>
      <c r="K3499">
        <v>2.85</v>
      </c>
      <c r="L3499">
        <v>20.6</v>
      </c>
      <c r="M3499">
        <v>20.91</v>
      </c>
      <c r="N3499">
        <v>20.51</v>
      </c>
      <c r="O3499">
        <v>20.51</v>
      </c>
      <c r="P3499">
        <v>26.03</v>
      </c>
      <c r="Q3499">
        <v>18966740</v>
      </c>
      <c r="R3499">
        <v>1.06</v>
      </c>
      <c r="S3499" t="s">
        <v>80</v>
      </c>
      <c r="T3499" t="s">
        <v>87</v>
      </c>
      <c r="U3499">
        <v>1.95</v>
      </c>
      <c r="V3499">
        <v>20.8</v>
      </c>
      <c r="W3499">
        <v>4232</v>
      </c>
      <c r="X3499">
        <v>4886</v>
      </c>
      <c r="Y3499">
        <v>0.87</v>
      </c>
      <c r="Z3499">
        <v>13</v>
      </c>
      <c r="AA3499">
        <v>129</v>
      </c>
      <c r="AB3499" t="s">
        <v>32</v>
      </c>
      <c r="AC3499">
        <v>0.32</v>
      </c>
    </row>
    <row r="3500" spans="1:29">
      <c r="A3500" t="str">
        <f>"603926"</f>
        <v>603926</v>
      </c>
      <c r="B3500" t="s">
        <v>3670</v>
      </c>
      <c r="C3500">
        <v>2.14</v>
      </c>
      <c r="D3500">
        <v>18.11</v>
      </c>
      <c r="E3500">
        <v>0.38</v>
      </c>
      <c r="F3500">
        <v>18.11</v>
      </c>
      <c r="G3500">
        <v>18.12</v>
      </c>
      <c r="H3500">
        <v>11098</v>
      </c>
      <c r="I3500">
        <v>10</v>
      </c>
      <c r="J3500">
        <v>0</v>
      </c>
      <c r="K3500">
        <v>1.7</v>
      </c>
      <c r="L3500">
        <v>17.77</v>
      </c>
      <c r="M3500">
        <v>18.18</v>
      </c>
      <c r="N3500">
        <v>17.62</v>
      </c>
      <c r="O3500">
        <v>17.73</v>
      </c>
      <c r="P3500">
        <v>24.79</v>
      </c>
      <c r="Q3500">
        <v>19950668</v>
      </c>
      <c r="R3500">
        <v>2.1</v>
      </c>
      <c r="S3500" t="s">
        <v>80</v>
      </c>
      <c r="T3500" t="s">
        <v>149</v>
      </c>
      <c r="U3500">
        <v>3.16</v>
      </c>
      <c r="V3500">
        <v>17.98</v>
      </c>
      <c r="W3500">
        <v>4440</v>
      </c>
      <c r="X3500">
        <v>6657</v>
      </c>
      <c r="Y3500">
        <v>0.67</v>
      </c>
      <c r="Z3500">
        <v>684</v>
      </c>
      <c r="AA3500">
        <v>457</v>
      </c>
      <c r="AB3500" t="s">
        <v>32</v>
      </c>
      <c r="AC3500">
        <v>0.65</v>
      </c>
    </row>
    <row r="3501" spans="1:29">
      <c r="A3501" t="str">
        <f>"603928"</f>
        <v>603928</v>
      </c>
      <c r="B3501" t="s">
        <v>3671</v>
      </c>
      <c r="C3501">
        <v>3.87</v>
      </c>
      <c r="D3501">
        <v>17.17</v>
      </c>
      <c r="E3501">
        <v>0.64</v>
      </c>
      <c r="F3501">
        <v>17.17</v>
      </c>
      <c r="G3501">
        <v>17.18</v>
      </c>
      <c r="H3501">
        <v>61625</v>
      </c>
      <c r="I3501">
        <v>12</v>
      </c>
      <c r="J3501">
        <v>0.29</v>
      </c>
      <c r="K3501">
        <v>9.82</v>
      </c>
      <c r="L3501">
        <v>16.8</v>
      </c>
      <c r="M3501">
        <v>17.3</v>
      </c>
      <c r="N3501">
        <v>16.59</v>
      </c>
      <c r="O3501">
        <v>16.53</v>
      </c>
      <c r="P3501">
        <v>24.74</v>
      </c>
      <c r="Q3501">
        <v>105181616</v>
      </c>
      <c r="R3501">
        <v>1.87</v>
      </c>
      <c r="S3501" t="s">
        <v>218</v>
      </c>
      <c r="T3501" t="s">
        <v>87</v>
      </c>
      <c r="U3501">
        <v>4.3</v>
      </c>
      <c r="V3501">
        <v>17.07</v>
      </c>
      <c r="W3501">
        <v>28879</v>
      </c>
      <c r="X3501">
        <v>32745</v>
      </c>
      <c r="Y3501">
        <v>0.88</v>
      </c>
      <c r="Z3501">
        <v>7</v>
      </c>
      <c r="AA3501">
        <v>58</v>
      </c>
      <c r="AB3501" t="s">
        <v>32</v>
      </c>
      <c r="AC3501">
        <v>0.63</v>
      </c>
    </row>
    <row r="3502" spans="1:29">
      <c r="A3502" t="str">
        <f>"603929"</f>
        <v>603929</v>
      </c>
      <c r="B3502" t="s">
        <v>3672</v>
      </c>
      <c r="C3502">
        <v>0.05</v>
      </c>
      <c r="D3502">
        <v>21.63</v>
      </c>
      <c r="E3502">
        <v>0.01</v>
      </c>
      <c r="F3502">
        <v>21.62</v>
      </c>
      <c r="G3502">
        <v>21.63</v>
      </c>
      <c r="H3502">
        <v>33225</v>
      </c>
      <c r="I3502">
        <v>4</v>
      </c>
      <c r="J3502">
        <v>0.32</v>
      </c>
      <c r="K3502">
        <v>3.44</v>
      </c>
      <c r="L3502">
        <v>21.62</v>
      </c>
      <c r="M3502">
        <v>21.78</v>
      </c>
      <c r="N3502">
        <v>21.13</v>
      </c>
      <c r="O3502">
        <v>21.62</v>
      </c>
      <c r="P3502">
        <v>28.62</v>
      </c>
      <c r="Q3502">
        <v>71488424</v>
      </c>
      <c r="R3502">
        <v>0.75</v>
      </c>
      <c r="S3502" t="s">
        <v>59</v>
      </c>
      <c r="T3502" t="s">
        <v>87</v>
      </c>
      <c r="U3502">
        <v>3.01</v>
      </c>
      <c r="V3502">
        <v>21.52</v>
      </c>
      <c r="W3502">
        <v>16960</v>
      </c>
      <c r="X3502">
        <v>16264</v>
      </c>
      <c r="Y3502">
        <v>1.04</v>
      </c>
      <c r="Z3502">
        <v>27</v>
      </c>
      <c r="AA3502">
        <v>4</v>
      </c>
      <c r="AB3502" t="s">
        <v>32</v>
      </c>
      <c r="AC3502">
        <v>0.97</v>
      </c>
    </row>
    <row r="3503" spans="1:29">
      <c r="A3503" t="str">
        <f>"603933"</f>
        <v>603933</v>
      </c>
      <c r="B3503" t="s">
        <v>3673</v>
      </c>
      <c r="C3503">
        <v>1.33</v>
      </c>
      <c r="D3503">
        <v>22.92</v>
      </c>
      <c r="E3503">
        <v>0.3</v>
      </c>
      <c r="F3503">
        <v>22.92</v>
      </c>
      <c r="G3503">
        <v>22.93</v>
      </c>
      <c r="H3503">
        <v>18583</v>
      </c>
      <c r="I3503">
        <v>4</v>
      </c>
      <c r="J3503">
        <v>-0.16</v>
      </c>
      <c r="K3503">
        <v>5.17</v>
      </c>
      <c r="L3503">
        <v>22.66</v>
      </c>
      <c r="M3503">
        <v>23.1</v>
      </c>
      <c r="N3503">
        <v>22.31</v>
      </c>
      <c r="O3503">
        <v>22.62</v>
      </c>
      <c r="P3503">
        <v>21.13</v>
      </c>
      <c r="Q3503">
        <v>42438584</v>
      </c>
      <c r="R3503">
        <v>1.43</v>
      </c>
      <c r="S3503" t="s">
        <v>363</v>
      </c>
      <c r="T3503" t="s">
        <v>236</v>
      </c>
      <c r="U3503">
        <v>3.49</v>
      </c>
      <c r="V3503">
        <v>22.84</v>
      </c>
      <c r="W3503">
        <v>9203</v>
      </c>
      <c r="X3503">
        <v>9379</v>
      </c>
      <c r="Y3503">
        <v>0.98</v>
      </c>
      <c r="Z3503">
        <v>41</v>
      </c>
      <c r="AA3503">
        <v>12</v>
      </c>
      <c r="AB3503" t="s">
        <v>32</v>
      </c>
      <c r="AC3503">
        <v>0.36</v>
      </c>
    </row>
    <row r="3504" spans="1:29">
      <c r="A3504" t="str">
        <f>"603936"</f>
        <v>603936</v>
      </c>
      <c r="B3504" t="s">
        <v>3674</v>
      </c>
      <c r="C3504">
        <v>-1.08</v>
      </c>
      <c r="D3504">
        <v>20.17</v>
      </c>
      <c r="E3504">
        <v>-0.22</v>
      </c>
      <c r="F3504">
        <v>20.17</v>
      </c>
      <c r="G3504">
        <v>20.19</v>
      </c>
      <c r="H3504">
        <v>39957</v>
      </c>
      <c r="I3504">
        <v>25</v>
      </c>
      <c r="J3504">
        <v>0.05</v>
      </c>
      <c r="K3504">
        <v>7.12</v>
      </c>
      <c r="L3504">
        <v>20.01</v>
      </c>
      <c r="M3504">
        <v>20.37</v>
      </c>
      <c r="N3504">
        <v>19.8</v>
      </c>
      <c r="O3504">
        <v>20.39</v>
      </c>
      <c r="P3504">
        <v>53.46</v>
      </c>
      <c r="Q3504">
        <v>80421072</v>
      </c>
      <c r="R3504">
        <v>0.67</v>
      </c>
      <c r="S3504" t="s">
        <v>63</v>
      </c>
      <c r="T3504" t="s">
        <v>136</v>
      </c>
      <c r="U3504">
        <v>2.8</v>
      </c>
      <c r="V3504">
        <v>20.13</v>
      </c>
      <c r="W3504">
        <v>22473</v>
      </c>
      <c r="X3504">
        <v>17483</v>
      </c>
      <c r="Y3504">
        <v>1.29</v>
      </c>
      <c r="Z3504">
        <v>12</v>
      </c>
      <c r="AA3504">
        <v>32</v>
      </c>
      <c r="AB3504" t="s">
        <v>32</v>
      </c>
      <c r="AC3504">
        <v>0.56</v>
      </c>
    </row>
    <row r="3505" spans="1:29">
      <c r="A3505" t="str">
        <f>"603937"</f>
        <v>603937</v>
      </c>
      <c r="B3505" t="s">
        <v>3675</v>
      </c>
      <c r="C3505">
        <v>3.98</v>
      </c>
      <c r="D3505">
        <v>18.56</v>
      </c>
      <c r="E3505">
        <v>0.71</v>
      </c>
      <c r="F3505">
        <v>18.56</v>
      </c>
      <c r="G3505">
        <v>18.57</v>
      </c>
      <c r="H3505">
        <v>93961</v>
      </c>
      <c r="I3505">
        <v>2</v>
      </c>
      <c r="J3505">
        <v>0.22</v>
      </c>
      <c r="K3505">
        <v>17.99</v>
      </c>
      <c r="L3505">
        <v>17.67</v>
      </c>
      <c r="M3505">
        <v>18.68</v>
      </c>
      <c r="N3505">
        <v>17.66</v>
      </c>
      <c r="O3505">
        <v>17.85</v>
      </c>
      <c r="P3505">
        <v>41.79</v>
      </c>
      <c r="Q3505">
        <v>172168192</v>
      </c>
      <c r="R3505">
        <v>2.18</v>
      </c>
      <c r="S3505" t="s">
        <v>324</v>
      </c>
      <c r="T3505" t="s">
        <v>87</v>
      </c>
      <c r="U3505">
        <v>5.71</v>
      </c>
      <c r="V3505">
        <v>18.32</v>
      </c>
      <c r="W3505">
        <v>43204</v>
      </c>
      <c r="X3505">
        <v>50756</v>
      </c>
      <c r="Y3505">
        <v>0.85</v>
      </c>
      <c r="Z3505">
        <v>53</v>
      </c>
      <c r="AA3505">
        <v>92</v>
      </c>
      <c r="AB3505" t="s">
        <v>32</v>
      </c>
      <c r="AC3505">
        <v>0.52</v>
      </c>
    </row>
    <row r="3506" spans="1:29">
      <c r="A3506" t="str">
        <f>"603938"</f>
        <v>603938</v>
      </c>
      <c r="B3506" t="s">
        <v>3676</v>
      </c>
      <c r="C3506">
        <v>3.47</v>
      </c>
      <c r="D3506">
        <v>27.11</v>
      </c>
      <c r="E3506">
        <v>0.91</v>
      </c>
      <c r="F3506">
        <v>27.1</v>
      </c>
      <c r="G3506">
        <v>27.11</v>
      </c>
      <c r="H3506">
        <v>38299</v>
      </c>
      <c r="I3506">
        <v>34</v>
      </c>
      <c r="J3506">
        <v>0.11</v>
      </c>
      <c r="K3506">
        <v>7.54</v>
      </c>
      <c r="L3506">
        <v>26.16</v>
      </c>
      <c r="M3506">
        <v>27.15</v>
      </c>
      <c r="N3506">
        <v>25.95</v>
      </c>
      <c r="O3506">
        <v>26.2</v>
      </c>
      <c r="P3506">
        <v>23.5</v>
      </c>
      <c r="Q3506">
        <v>101975824</v>
      </c>
      <c r="R3506">
        <v>1.75</v>
      </c>
      <c r="S3506" t="s">
        <v>218</v>
      </c>
      <c r="T3506" t="s">
        <v>154</v>
      </c>
      <c r="U3506">
        <v>4.58</v>
      </c>
      <c r="V3506">
        <v>26.63</v>
      </c>
      <c r="W3506">
        <v>15884</v>
      </c>
      <c r="X3506">
        <v>22414</v>
      </c>
      <c r="Y3506">
        <v>0.71</v>
      </c>
      <c r="Z3506">
        <v>7</v>
      </c>
      <c r="AA3506">
        <v>9</v>
      </c>
      <c r="AB3506" t="s">
        <v>32</v>
      </c>
      <c r="AC3506">
        <v>0.51</v>
      </c>
    </row>
    <row r="3507" spans="1:29">
      <c r="A3507" t="str">
        <f>"603939"</f>
        <v>603939</v>
      </c>
      <c r="B3507" t="s">
        <v>3677</v>
      </c>
      <c r="C3507">
        <v>3.25</v>
      </c>
      <c r="D3507">
        <v>59.76</v>
      </c>
      <c r="E3507">
        <v>1.88</v>
      </c>
      <c r="F3507">
        <v>59.88</v>
      </c>
      <c r="G3507">
        <v>59.9</v>
      </c>
      <c r="H3507">
        <v>36058</v>
      </c>
      <c r="I3507">
        <v>67</v>
      </c>
      <c r="J3507">
        <v>0.18</v>
      </c>
      <c r="K3507">
        <v>0.99</v>
      </c>
      <c r="L3507">
        <v>57.48</v>
      </c>
      <c r="M3507">
        <v>60.3</v>
      </c>
      <c r="N3507">
        <v>56.04</v>
      </c>
      <c r="O3507">
        <v>57.88</v>
      </c>
      <c r="P3507">
        <v>53.67</v>
      </c>
      <c r="Q3507">
        <v>212725952</v>
      </c>
      <c r="R3507">
        <v>1.1</v>
      </c>
      <c r="S3507" t="s">
        <v>77</v>
      </c>
      <c r="T3507" t="s">
        <v>152</v>
      </c>
      <c r="U3507">
        <v>7.36</v>
      </c>
      <c r="V3507">
        <v>59</v>
      </c>
      <c r="W3507">
        <v>14995</v>
      </c>
      <c r="X3507">
        <v>21062</v>
      </c>
      <c r="Y3507">
        <v>0.71</v>
      </c>
      <c r="Z3507">
        <v>4</v>
      </c>
      <c r="AA3507">
        <v>33</v>
      </c>
      <c r="AB3507" t="s">
        <v>32</v>
      </c>
      <c r="AC3507">
        <v>3.63</v>
      </c>
    </row>
    <row r="3508" spans="1:29">
      <c r="A3508" t="str">
        <f>"603955"</f>
        <v>603955</v>
      </c>
      <c r="B3508" t="s">
        <v>3678</v>
      </c>
      <c r="C3508">
        <v>3.3</v>
      </c>
      <c r="D3508">
        <v>20.35</v>
      </c>
      <c r="E3508">
        <v>0.65</v>
      </c>
      <c r="F3508">
        <v>20.35</v>
      </c>
      <c r="G3508">
        <v>20.37</v>
      </c>
      <c r="H3508">
        <v>15035</v>
      </c>
      <c r="I3508">
        <v>20</v>
      </c>
      <c r="J3508">
        <v>0.39</v>
      </c>
      <c r="K3508">
        <v>2.11</v>
      </c>
      <c r="L3508">
        <v>19.76</v>
      </c>
      <c r="M3508">
        <v>20.66</v>
      </c>
      <c r="N3508">
        <v>19.64</v>
      </c>
      <c r="O3508">
        <v>19.7</v>
      </c>
      <c r="P3508">
        <v>276.3</v>
      </c>
      <c r="Q3508">
        <v>30341904</v>
      </c>
      <c r="R3508">
        <v>3.3</v>
      </c>
      <c r="S3508" t="s">
        <v>86</v>
      </c>
      <c r="T3508" t="s">
        <v>87</v>
      </c>
      <c r="U3508">
        <v>5.18</v>
      </c>
      <c r="V3508">
        <v>20.18</v>
      </c>
      <c r="W3508">
        <v>7985</v>
      </c>
      <c r="X3508">
        <v>7049</v>
      </c>
      <c r="Y3508">
        <v>1.13</v>
      </c>
      <c r="Z3508">
        <v>1</v>
      </c>
      <c r="AA3508">
        <v>5</v>
      </c>
      <c r="AB3508" t="s">
        <v>32</v>
      </c>
      <c r="AC3508">
        <v>0.71</v>
      </c>
    </row>
    <row r="3509" spans="1:29">
      <c r="A3509" t="str">
        <f>"603958"</f>
        <v>603958</v>
      </c>
      <c r="B3509" t="s">
        <v>3679</v>
      </c>
      <c r="C3509">
        <v>1.39</v>
      </c>
      <c r="D3509">
        <v>10.2</v>
      </c>
      <c r="E3509">
        <v>0.14</v>
      </c>
      <c r="F3509">
        <v>10.19</v>
      </c>
      <c r="G3509">
        <v>10.2</v>
      </c>
      <c r="H3509">
        <v>18687</v>
      </c>
      <c r="I3509">
        <v>68</v>
      </c>
      <c r="J3509">
        <v>-0.09</v>
      </c>
      <c r="K3509">
        <v>2.83</v>
      </c>
      <c r="L3509">
        <v>10.05</v>
      </c>
      <c r="M3509">
        <v>10.26</v>
      </c>
      <c r="N3509">
        <v>10.04</v>
      </c>
      <c r="O3509">
        <v>10.06</v>
      </c>
      <c r="P3509">
        <v>15.48</v>
      </c>
      <c r="Q3509">
        <v>19019912</v>
      </c>
      <c r="R3509">
        <v>1.42</v>
      </c>
      <c r="S3509" t="s">
        <v>622</v>
      </c>
      <c r="T3509" t="s">
        <v>87</v>
      </c>
      <c r="U3509">
        <v>2.19</v>
      </c>
      <c r="V3509">
        <v>10.18</v>
      </c>
      <c r="W3509">
        <v>8558</v>
      </c>
      <c r="X3509">
        <v>10129</v>
      </c>
      <c r="Y3509">
        <v>0.84</v>
      </c>
      <c r="Z3509">
        <v>8</v>
      </c>
      <c r="AA3509">
        <v>62</v>
      </c>
      <c r="AB3509" t="s">
        <v>32</v>
      </c>
      <c r="AC3509">
        <v>0.66</v>
      </c>
    </row>
    <row r="3510" spans="1:29">
      <c r="A3510" t="str">
        <f>"603959"</f>
        <v>603959</v>
      </c>
      <c r="B3510" t="s">
        <v>3680</v>
      </c>
      <c r="C3510">
        <v>3.69</v>
      </c>
      <c r="D3510">
        <v>18.55</v>
      </c>
      <c r="E3510">
        <v>0.66</v>
      </c>
      <c r="F3510">
        <v>18.65</v>
      </c>
      <c r="G3510">
        <v>18.66</v>
      </c>
      <c r="H3510">
        <v>18621</v>
      </c>
      <c r="I3510">
        <v>10</v>
      </c>
      <c r="J3510">
        <v>0.54</v>
      </c>
      <c r="K3510">
        <v>1.25</v>
      </c>
      <c r="L3510">
        <v>18.18</v>
      </c>
      <c r="M3510">
        <v>18.67</v>
      </c>
      <c r="N3510">
        <v>17.82</v>
      </c>
      <c r="O3510">
        <v>17.89</v>
      </c>
      <c r="P3510">
        <v>51.88</v>
      </c>
      <c r="Q3510">
        <v>33854008</v>
      </c>
      <c r="R3510">
        <v>1.39</v>
      </c>
      <c r="S3510" t="s">
        <v>49</v>
      </c>
      <c r="T3510" t="s">
        <v>152</v>
      </c>
      <c r="U3510">
        <v>4.75</v>
      </c>
      <c r="V3510">
        <v>18.18</v>
      </c>
      <c r="W3510">
        <v>7910</v>
      </c>
      <c r="X3510">
        <v>10711</v>
      </c>
      <c r="Y3510">
        <v>0.74</v>
      </c>
      <c r="Z3510">
        <v>10</v>
      </c>
      <c r="AA3510">
        <v>10</v>
      </c>
      <c r="AB3510" t="s">
        <v>32</v>
      </c>
      <c r="AC3510">
        <v>1.49</v>
      </c>
    </row>
    <row r="3511" spans="1:29">
      <c r="A3511" t="str">
        <f>"603960"</f>
        <v>603960</v>
      </c>
      <c r="B3511" t="s">
        <v>3681</v>
      </c>
      <c r="C3511">
        <v>-4.16</v>
      </c>
      <c r="D3511">
        <v>34.79</v>
      </c>
      <c r="E3511">
        <v>-1.51</v>
      </c>
      <c r="F3511">
        <v>34.81</v>
      </c>
      <c r="G3511">
        <v>34.82</v>
      </c>
      <c r="H3511">
        <v>12347</v>
      </c>
      <c r="I3511">
        <v>1</v>
      </c>
      <c r="J3511">
        <v>0.17</v>
      </c>
      <c r="K3511">
        <v>2.38</v>
      </c>
      <c r="L3511">
        <v>36.1</v>
      </c>
      <c r="M3511">
        <v>36.29</v>
      </c>
      <c r="N3511">
        <v>34.68</v>
      </c>
      <c r="O3511">
        <v>36.3</v>
      </c>
      <c r="P3511">
        <v>79.22</v>
      </c>
      <c r="Q3511">
        <v>43247528</v>
      </c>
      <c r="R3511">
        <v>1.07</v>
      </c>
      <c r="S3511" t="s">
        <v>171</v>
      </c>
      <c r="T3511" t="s">
        <v>366</v>
      </c>
      <c r="U3511">
        <v>4.44</v>
      </c>
      <c r="V3511">
        <v>35.03</v>
      </c>
      <c r="W3511">
        <v>7761</v>
      </c>
      <c r="X3511">
        <v>4585</v>
      </c>
      <c r="Y3511">
        <v>1.69</v>
      </c>
      <c r="Z3511">
        <v>13</v>
      </c>
      <c r="AA3511">
        <v>11</v>
      </c>
      <c r="AB3511" t="s">
        <v>32</v>
      </c>
      <c r="AC3511">
        <v>0.52</v>
      </c>
    </row>
    <row r="3512" spans="1:29">
      <c r="A3512" t="str">
        <f>"603963"</f>
        <v>603963</v>
      </c>
      <c r="B3512" t="s">
        <v>3682</v>
      </c>
      <c r="C3512">
        <v>3.01</v>
      </c>
      <c r="D3512">
        <v>21.59</v>
      </c>
      <c r="E3512">
        <v>0.63</v>
      </c>
      <c r="F3512">
        <v>21.57</v>
      </c>
      <c r="G3512">
        <v>21.59</v>
      </c>
      <c r="H3512">
        <v>35518</v>
      </c>
      <c r="I3512">
        <v>20</v>
      </c>
      <c r="J3512">
        <v>0.33</v>
      </c>
      <c r="K3512">
        <v>10.93</v>
      </c>
      <c r="L3512">
        <v>20.74</v>
      </c>
      <c r="M3512">
        <v>21.6</v>
      </c>
      <c r="N3512">
        <v>20.74</v>
      </c>
      <c r="O3512">
        <v>20.96</v>
      </c>
      <c r="P3512">
        <v>80.95</v>
      </c>
      <c r="Q3512">
        <v>75651256</v>
      </c>
      <c r="R3512">
        <v>0.96</v>
      </c>
      <c r="S3512" t="s">
        <v>142</v>
      </c>
      <c r="T3512" t="s">
        <v>250</v>
      </c>
      <c r="U3512">
        <v>4.1</v>
      </c>
      <c r="V3512">
        <v>21.3</v>
      </c>
      <c r="W3512">
        <v>14966</v>
      </c>
      <c r="X3512">
        <v>20551</v>
      </c>
      <c r="Y3512">
        <v>0.73</v>
      </c>
      <c r="Z3512">
        <v>40</v>
      </c>
      <c r="AA3512">
        <v>11</v>
      </c>
      <c r="AB3512" t="s">
        <v>32</v>
      </c>
      <c r="AC3512">
        <v>0.33</v>
      </c>
    </row>
    <row r="3513" spans="1:29">
      <c r="A3513" t="str">
        <f>"603966"</f>
        <v>603966</v>
      </c>
      <c r="B3513" t="s">
        <v>3683</v>
      </c>
      <c r="C3513">
        <v>3.44</v>
      </c>
      <c r="D3513">
        <v>10.23</v>
      </c>
      <c r="E3513">
        <v>0.34</v>
      </c>
      <c r="F3513">
        <v>10.22</v>
      </c>
      <c r="G3513">
        <v>10.23</v>
      </c>
      <c r="H3513">
        <v>40526</v>
      </c>
      <c r="I3513">
        <v>5</v>
      </c>
      <c r="J3513">
        <v>-0.19</v>
      </c>
      <c r="K3513">
        <v>4.36</v>
      </c>
      <c r="L3513">
        <v>10.06</v>
      </c>
      <c r="M3513">
        <v>10.36</v>
      </c>
      <c r="N3513">
        <v>9.92</v>
      </c>
      <c r="O3513">
        <v>9.89</v>
      </c>
      <c r="P3513">
        <v>269.81</v>
      </c>
      <c r="Q3513">
        <v>41247044</v>
      </c>
      <c r="R3513">
        <v>2.52</v>
      </c>
      <c r="S3513" t="s">
        <v>241</v>
      </c>
      <c r="T3513" t="s">
        <v>87</v>
      </c>
      <c r="U3513">
        <v>4.45</v>
      </c>
      <c r="V3513">
        <v>10.18</v>
      </c>
      <c r="W3513">
        <v>19721</v>
      </c>
      <c r="X3513">
        <v>20805</v>
      </c>
      <c r="Y3513">
        <v>0.95</v>
      </c>
      <c r="Z3513">
        <v>42</v>
      </c>
      <c r="AA3513">
        <v>33</v>
      </c>
      <c r="AB3513" t="s">
        <v>32</v>
      </c>
      <c r="AC3513">
        <v>0.93</v>
      </c>
    </row>
    <row r="3514" spans="1:29">
      <c r="A3514" t="str">
        <f>"603968"</f>
        <v>603968</v>
      </c>
      <c r="B3514" t="s">
        <v>3684</v>
      </c>
      <c r="C3514">
        <v>5.31</v>
      </c>
      <c r="D3514">
        <v>19.04</v>
      </c>
      <c r="E3514">
        <v>0.96</v>
      </c>
      <c r="F3514">
        <v>19.03</v>
      </c>
      <c r="G3514">
        <v>19.04</v>
      </c>
      <c r="H3514">
        <v>23643</v>
      </c>
      <c r="I3514">
        <v>3</v>
      </c>
      <c r="J3514">
        <v>-0.04</v>
      </c>
      <c r="K3514">
        <v>1.16</v>
      </c>
      <c r="L3514">
        <v>17.93</v>
      </c>
      <c r="M3514">
        <v>19.08</v>
      </c>
      <c r="N3514">
        <v>17.71</v>
      </c>
      <c r="O3514">
        <v>18.08</v>
      </c>
      <c r="P3514">
        <v>20.28</v>
      </c>
      <c r="Q3514">
        <v>44229636</v>
      </c>
      <c r="R3514">
        <v>5.47</v>
      </c>
      <c r="S3514" t="s">
        <v>218</v>
      </c>
      <c r="T3514" t="s">
        <v>87</v>
      </c>
      <c r="U3514">
        <v>7.58</v>
      </c>
      <c r="V3514">
        <v>18.71</v>
      </c>
      <c r="W3514">
        <v>7100</v>
      </c>
      <c r="X3514">
        <v>16543</v>
      </c>
      <c r="Y3514">
        <v>0.43</v>
      </c>
      <c r="Z3514">
        <v>98</v>
      </c>
      <c r="AA3514">
        <v>4</v>
      </c>
      <c r="AB3514" t="s">
        <v>32</v>
      </c>
      <c r="AC3514">
        <v>2.04</v>
      </c>
    </row>
    <row r="3515" spans="1:29">
      <c r="A3515" t="str">
        <f>"603969"</f>
        <v>603969</v>
      </c>
      <c r="B3515" t="s">
        <v>3685</v>
      </c>
      <c r="C3515">
        <v>9.95</v>
      </c>
      <c r="D3515">
        <v>6.74</v>
      </c>
      <c r="E3515">
        <v>0.61</v>
      </c>
      <c r="F3515">
        <v>6.74</v>
      </c>
      <c r="G3515" t="s">
        <v>32</v>
      </c>
      <c r="H3515">
        <v>70915</v>
      </c>
      <c r="I3515">
        <v>132</v>
      </c>
      <c r="J3515">
        <v>0</v>
      </c>
      <c r="K3515">
        <v>1.22</v>
      </c>
      <c r="L3515">
        <v>6.18</v>
      </c>
      <c r="M3515">
        <v>6.74</v>
      </c>
      <c r="N3515">
        <v>6.14</v>
      </c>
      <c r="O3515">
        <v>6.13</v>
      </c>
      <c r="P3515">
        <v>226.22</v>
      </c>
      <c r="Q3515">
        <v>47033216</v>
      </c>
      <c r="R3515">
        <v>2.59</v>
      </c>
      <c r="S3515" t="s">
        <v>69</v>
      </c>
      <c r="T3515" t="s">
        <v>248</v>
      </c>
      <c r="U3515">
        <v>9.79</v>
      </c>
      <c r="V3515">
        <v>6.63</v>
      </c>
      <c r="W3515">
        <v>48029</v>
      </c>
      <c r="X3515">
        <v>22886</v>
      </c>
      <c r="Y3515">
        <v>2.1</v>
      </c>
      <c r="Z3515">
        <v>16159</v>
      </c>
      <c r="AA3515">
        <v>0</v>
      </c>
      <c r="AB3515" t="s">
        <v>32</v>
      </c>
      <c r="AC3515">
        <v>5.8</v>
      </c>
    </row>
    <row r="3516" spans="1:29">
      <c r="A3516" t="str">
        <f>"603970"</f>
        <v>603970</v>
      </c>
      <c r="B3516" t="s">
        <v>3686</v>
      </c>
      <c r="C3516">
        <v>1.47</v>
      </c>
      <c r="D3516">
        <v>20.02</v>
      </c>
      <c r="E3516">
        <v>0.29</v>
      </c>
      <c r="F3516">
        <v>20.01</v>
      </c>
      <c r="G3516">
        <v>20.02</v>
      </c>
      <c r="H3516">
        <v>47697</v>
      </c>
      <c r="I3516">
        <v>29</v>
      </c>
      <c r="J3516">
        <v>0</v>
      </c>
      <c r="K3516">
        <v>11.92</v>
      </c>
      <c r="L3516">
        <v>19.8</v>
      </c>
      <c r="M3516">
        <v>20.06</v>
      </c>
      <c r="N3516">
        <v>19.42</v>
      </c>
      <c r="O3516">
        <v>19.73</v>
      </c>
      <c r="P3516">
        <v>34.26</v>
      </c>
      <c r="Q3516">
        <v>94423824</v>
      </c>
      <c r="R3516">
        <v>0.83</v>
      </c>
      <c r="S3516" t="s">
        <v>73</v>
      </c>
      <c r="T3516" t="s">
        <v>45</v>
      </c>
      <c r="U3516">
        <v>3.24</v>
      </c>
      <c r="V3516">
        <v>19.8</v>
      </c>
      <c r="W3516">
        <v>23896</v>
      </c>
      <c r="X3516">
        <v>23801</v>
      </c>
      <c r="Y3516">
        <v>1</v>
      </c>
      <c r="Z3516">
        <v>10</v>
      </c>
      <c r="AA3516">
        <v>113</v>
      </c>
      <c r="AB3516" t="s">
        <v>32</v>
      </c>
      <c r="AC3516">
        <v>0.4</v>
      </c>
    </row>
    <row r="3517" spans="1:29">
      <c r="A3517" t="str">
        <f>"603976"</f>
        <v>603976</v>
      </c>
      <c r="B3517" t="s">
        <v>3687</v>
      </c>
      <c r="C3517">
        <v>1.84</v>
      </c>
      <c r="D3517">
        <v>16.62</v>
      </c>
      <c r="E3517">
        <v>0.3</v>
      </c>
      <c r="F3517">
        <v>16.61</v>
      </c>
      <c r="G3517">
        <v>16.62</v>
      </c>
      <c r="H3517">
        <v>15868</v>
      </c>
      <c r="I3517">
        <v>1</v>
      </c>
      <c r="J3517">
        <v>-0.17</v>
      </c>
      <c r="K3517">
        <v>4.2</v>
      </c>
      <c r="L3517">
        <v>16.32</v>
      </c>
      <c r="M3517">
        <v>16.66</v>
      </c>
      <c r="N3517">
        <v>16.18</v>
      </c>
      <c r="O3517">
        <v>16.32</v>
      </c>
      <c r="P3517">
        <v>30.14</v>
      </c>
      <c r="Q3517">
        <v>26161960</v>
      </c>
      <c r="R3517">
        <v>1</v>
      </c>
      <c r="S3517" t="s">
        <v>138</v>
      </c>
      <c r="T3517" t="s">
        <v>221</v>
      </c>
      <c r="U3517">
        <v>2.94</v>
      </c>
      <c r="V3517">
        <v>16.49</v>
      </c>
      <c r="W3517">
        <v>6675</v>
      </c>
      <c r="X3517">
        <v>9193</v>
      </c>
      <c r="Y3517">
        <v>0.73</v>
      </c>
      <c r="Z3517">
        <v>22</v>
      </c>
      <c r="AA3517">
        <v>96</v>
      </c>
      <c r="AB3517" t="s">
        <v>32</v>
      </c>
      <c r="AC3517">
        <v>0.38</v>
      </c>
    </row>
    <row r="3518" spans="1:29">
      <c r="A3518" t="str">
        <f>"603977"</f>
        <v>603977</v>
      </c>
      <c r="B3518" t="s">
        <v>3688</v>
      </c>
      <c r="C3518">
        <v>2.05</v>
      </c>
      <c r="D3518">
        <v>8.96</v>
      </c>
      <c r="E3518">
        <v>0.18</v>
      </c>
      <c r="F3518">
        <v>8.95</v>
      </c>
      <c r="G3518">
        <v>8.96</v>
      </c>
      <c r="H3518">
        <v>14824</v>
      </c>
      <c r="I3518">
        <v>6</v>
      </c>
      <c r="J3518">
        <v>0.22</v>
      </c>
      <c r="K3518">
        <v>0.84</v>
      </c>
      <c r="L3518">
        <v>8.77</v>
      </c>
      <c r="M3518">
        <v>8.99</v>
      </c>
      <c r="N3518">
        <v>8.71</v>
      </c>
      <c r="O3518">
        <v>8.78</v>
      </c>
      <c r="P3518">
        <v>63.34</v>
      </c>
      <c r="Q3518">
        <v>13193952</v>
      </c>
      <c r="R3518">
        <v>0.65</v>
      </c>
      <c r="S3518" t="s">
        <v>218</v>
      </c>
      <c r="T3518" t="s">
        <v>172</v>
      </c>
      <c r="U3518">
        <v>3.19</v>
      </c>
      <c r="V3518">
        <v>8.9</v>
      </c>
      <c r="W3518">
        <v>6260</v>
      </c>
      <c r="X3518">
        <v>8563</v>
      </c>
      <c r="Y3518">
        <v>0.73</v>
      </c>
      <c r="Z3518">
        <v>102</v>
      </c>
      <c r="AA3518">
        <v>34</v>
      </c>
      <c r="AB3518" t="s">
        <v>32</v>
      </c>
      <c r="AC3518">
        <v>1.76</v>
      </c>
    </row>
    <row r="3519" spans="1:29">
      <c r="A3519" t="str">
        <f>"603978"</f>
        <v>603978</v>
      </c>
      <c r="B3519" t="s">
        <v>3689</v>
      </c>
      <c r="C3519">
        <v>4.92</v>
      </c>
      <c r="D3519">
        <v>35.86</v>
      </c>
      <c r="E3519">
        <v>1.68</v>
      </c>
      <c r="F3519">
        <v>35.85</v>
      </c>
      <c r="G3519">
        <v>35.86</v>
      </c>
      <c r="H3519">
        <v>23845</v>
      </c>
      <c r="I3519">
        <v>8</v>
      </c>
      <c r="J3519">
        <v>0.22</v>
      </c>
      <c r="K3519">
        <v>5.96</v>
      </c>
      <c r="L3519">
        <v>34.15</v>
      </c>
      <c r="M3519">
        <v>36.7</v>
      </c>
      <c r="N3519">
        <v>34.09</v>
      </c>
      <c r="O3519">
        <v>34.18</v>
      </c>
      <c r="P3519">
        <v>42.7</v>
      </c>
      <c r="Q3519">
        <v>84740240</v>
      </c>
      <c r="R3519">
        <v>1.63</v>
      </c>
      <c r="S3519" t="s">
        <v>324</v>
      </c>
      <c r="T3519" t="s">
        <v>31</v>
      </c>
      <c r="U3519">
        <v>7.64</v>
      </c>
      <c r="V3519">
        <v>35.54</v>
      </c>
      <c r="W3519">
        <v>10747</v>
      </c>
      <c r="X3519">
        <v>13098</v>
      </c>
      <c r="Y3519">
        <v>0.82</v>
      </c>
      <c r="Z3519">
        <v>4</v>
      </c>
      <c r="AA3519">
        <v>6</v>
      </c>
      <c r="AB3519" t="s">
        <v>32</v>
      </c>
      <c r="AC3519">
        <v>0.4</v>
      </c>
    </row>
    <row r="3520" spans="1:29">
      <c r="A3520" t="str">
        <f>"603979"</f>
        <v>603979</v>
      </c>
      <c r="B3520" t="s">
        <v>3690</v>
      </c>
      <c r="C3520">
        <v>4.32</v>
      </c>
      <c r="D3520">
        <v>9.18</v>
      </c>
      <c r="E3520">
        <v>0.38</v>
      </c>
      <c r="F3520">
        <v>9.18</v>
      </c>
      <c r="G3520">
        <v>9.19</v>
      </c>
      <c r="H3520">
        <v>85455</v>
      </c>
      <c r="I3520">
        <v>5</v>
      </c>
      <c r="J3520">
        <v>-0.1</v>
      </c>
      <c r="K3520">
        <v>1.46</v>
      </c>
      <c r="L3520">
        <v>9.01</v>
      </c>
      <c r="M3520">
        <v>9.34</v>
      </c>
      <c r="N3520">
        <v>9.01</v>
      </c>
      <c r="O3520">
        <v>8.8</v>
      </c>
      <c r="P3520">
        <v>17.88</v>
      </c>
      <c r="Q3520">
        <v>78374704</v>
      </c>
      <c r="R3520">
        <v>2.21</v>
      </c>
      <c r="S3520" t="s">
        <v>49</v>
      </c>
      <c r="T3520" t="s">
        <v>45</v>
      </c>
      <c r="U3520">
        <v>3.75</v>
      </c>
      <c r="V3520">
        <v>9.17</v>
      </c>
      <c r="W3520">
        <v>43320</v>
      </c>
      <c r="X3520">
        <v>42134</v>
      </c>
      <c r="Y3520">
        <v>1.03</v>
      </c>
      <c r="Z3520">
        <v>355</v>
      </c>
      <c r="AA3520">
        <v>310</v>
      </c>
      <c r="AB3520" t="s">
        <v>32</v>
      </c>
      <c r="AC3520">
        <v>5.85</v>
      </c>
    </row>
    <row r="3521" spans="1:29">
      <c r="A3521" t="str">
        <f>"603980"</f>
        <v>603980</v>
      </c>
      <c r="B3521" t="s">
        <v>3691</v>
      </c>
      <c r="C3521">
        <v>2.95</v>
      </c>
      <c r="D3521">
        <v>15.7</v>
      </c>
      <c r="E3521">
        <v>0.45</v>
      </c>
      <c r="F3521">
        <v>15.69</v>
      </c>
      <c r="G3521">
        <v>15.7</v>
      </c>
      <c r="H3521">
        <v>65971</v>
      </c>
      <c r="I3521">
        <v>12</v>
      </c>
      <c r="J3521">
        <v>0.19</v>
      </c>
      <c r="K3521">
        <v>2.69</v>
      </c>
      <c r="L3521">
        <v>15.21</v>
      </c>
      <c r="M3521">
        <v>15.72</v>
      </c>
      <c r="N3521">
        <v>15.18</v>
      </c>
      <c r="O3521">
        <v>15.25</v>
      </c>
      <c r="P3521">
        <v>16.16</v>
      </c>
      <c r="Q3521">
        <v>102155688</v>
      </c>
      <c r="R3521">
        <v>3.05</v>
      </c>
      <c r="S3521" t="s">
        <v>281</v>
      </c>
      <c r="T3521" t="s">
        <v>149</v>
      </c>
      <c r="U3521">
        <v>3.54</v>
      </c>
      <c r="V3521">
        <v>15.48</v>
      </c>
      <c r="W3521">
        <v>23346</v>
      </c>
      <c r="X3521">
        <v>42625</v>
      </c>
      <c r="Y3521">
        <v>0.55</v>
      </c>
      <c r="Z3521">
        <v>140</v>
      </c>
      <c r="AA3521">
        <v>87</v>
      </c>
      <c r="AB3521" t="s">
        <v>32</v>
      </c>
      <c r="AC3521">
        <v>2.46</v>
      </c>
    </row>
    <row r="3522" spans="1:29">
      <c r="A3522" t="str">
        <f>"603985"</f>
        <v>603985</v>
      </c>
      <c r="B3522" t="s">
        <v>3692</v>
      </c>
      <c r="C3522">
        <v>2.34</v>
      </c>
      <c r="D3522">
        <v>19.67</v>
      </c>
      <c r="E3522">
        <v>0.45</v>
      </c>
      <c r="F3522">
        <v>19.68</v>
      </c>
      <c r="G3522">
        <v>19.69</v>
      </c>
      <c r="H3522">
        <v>5163</v>
      </c>
      <c r="I3522">
        <v>23</v>
      </c>
      <c r="J3522">
        <v>0</v>
      </c>
      <c r="K3522">
        <v>0.78</v>
      </c>
      <c r="L3522">
        <v>19.23</v>
      </c>
      <c r="M3522">
        <v>19.72</v>
      </c>
      <c r="N3522">
        <v>19.17</v>
      </c>
      <c r="O3522">
        <v>19.22</v>
      </c>
      <c r="P3522">
        <v>19.01</v>
      </c>
      <c r="Q3522">
        <v>10072842</v>
      </c>
      <c r="R3522">
        <v>1.27</v>
      </c>
      <c r="S3522" t="s">
        <v>241</v>
      </c>
      <c r="T3522" t="s">
        <v>87</v>
      </c>
      <c r="U3522">
        <v>2.86</v>
      </c>
      <c r="V3522">
        <v>19.51</v>
      </c>
      <c r="W3522">
        <v>2137</v>
      </c>
      <c r="X3522">
        <v>3026</v>
      </c>
      <c r="Y3522">
        <v>0.71</v>
      </c>
      <c r="Z3522">
        <v>97</v>
      </c>
      <c r="AA3522">
        <v>109</v>
      </c>
      <c r="AB3522" t="s">
        <v>32</v>
      </c>
      <c r="AC3522">
        <v>0.67</v>
      </c>
    </row>
    <row r="3523" spans="1:29">
      <c r="A3523" t="str">
        <f>"603986"</f>
        <v>603986</v>
      </c>
      <c r="B3523" t="s">
        <v>3693</v>
      </c>
      <c r="C3523">
        <v>-1.44</v>
      </c>
      <c r="D3523">
        <v>126.39</v>
      </c>
      <c r="E3523">
        <v>-1.85</v>
      </c>
      <c r="F3523">
        <v>126.43</v>
      </c>
      <c r="G3523">
        <v>126.44</v>
      </c>
      <c r="H3523">
        <v>70360</v>
      </c>
      <c r="I3523">
        <v>49</v>
      </c>
      <c r="J3523">
        <v>-0.03</v>
      </c>
      <c r="K3523">
        <v>3.39</v>
      </c>
      <c r="L3523">
        <v>125.5</v>
      </c>
      <c r="M3523">
        <v>127.7</v>
      </c>
      <c r="N3523">
        <v>123.5</v>
      </c>
      <c r="O3523">
        <v>128.24</v>
      </c>
      <c r="P3523">
        <v>100.37</v>
      </c>
      <c r="Q3523">
        <v>882349568</v>
      </c>
      <c r="R3523">
        <v>0.98</v>
      </c>
      <c r="S3523" t="s">
        <v>699</v>
      </c>
      <c r="T3523" t="s">
        <v>45</v>
      </c>
      <c r="U3523">
        <v>3.28</v>
      </c>
      <c r="V3523">
        <v>125.4</v>
      </c>
      <c r="W3523">
        <v>38030</v>
      </c>
      <c r="X3523">
        <v>32330</v>
      </c>
      <c r="Y3523">
        <v>1.18</v>
      </c>
      <c r="Z3523">
        <v>19</v>
      </c>
      <c r="AA3523">
        <v>1</v>
      </c>
      <c r="AB3523" t="s">
        <v>32</v>
      </c>
      <c r="AC3523">
        <v>2.07</v>
      </c>
    </row>
    <row r="3524" spans="1:29">
      <c r="A3524" t="str">
        <f>"603987"</f>
        <v>603987</v>
      </c>
      <c r="B3524" t="s">
        <v>3694</v>
      </c>
      <c r="C3524">
        <v>2.78</v>
      </c>
      <c r="D3524">
        <v>7.39</v>
      </c>
      <c r="E3524">
        <v>0.2</v>
      </c>
      <c r="F3524">
        <v>7.35</v>
      </c>
      <c r="G3524">
        <v>7.4</v>
      </c>
      <c r="H3524">
        <v>29597</v>
      </c>
      <c r="I3524">
        <v>20</v>
      </c>
      <c r="J3524">
        <v>0.41</v>
      </c>
      <c r="K3524">
        <v>1.11</v>
      </c>
      <c r="L3524">
        <v>7.2</v>
      </c>
      <c r="M3524">
        <v>7.42</v>
      </c>
      <c r="N3524">
        <v>7.11</v>
      </c>
      <c r="O3524">
        <v>7.19</v>
      </c>
      <c r="P3524">
        <v>33.38</v>
      </c>
      <c r="Q3524">
        <v>21690288</v>
      </c>
      <c r="R3524">
        <v>1.45</v>
      </c>
      <c r="S3524" t="s">
        <v>138</v>
      </c>
      <c r="T3524" t="s">
        <v>366</v>
      </c>
      <c r="U3524">
        <v>4.31</v>
      </c>
      <c r="V3524">
        <v>7.33</v>
      </c>
      <c r="W3524">
        <v>12107</v>
      </c>
      <c r="X3524">
        <v>17490</v>
      </c>
      <c r="Y3524">
        <v>0.69</v>
      </c>
      <c r="Z3524">
        <v>88</v>
      </c>
      <c r="AA3524">
        <v>21</v>
      </c>
      <c r="AB3524" t="s">
        <v>32</v>
      </c>
      <c r="AC3524">
        <v>2.66</v>
      </c>
    </row>
    <row r="3525" spans="1:29">
      <c r="A3525" t="str">
        <f>"603988"</f>
        <v>603988</v>
      </c>
      <c r="B3525" t="s">
        <v>3695</v>
      </c>
      <c r="C3525">
        <v>3.25</v>
      </c>
      <c r="D3525">
        <v>14.91</v>
      </c>
      <c r="E3525">
        <v>0.47</v>
      </c>
      <c r="F3525">
        <v>14.84</v>
      </c>
      <c r="G3525">
        <v>14.9</v>
      </c>
      <c r="H3525">
        <v>37182</v>
      </c>
      <c r="I3525">
        <v>14</v>
      </c>
      <c r="J3525">
        <v>0.88</v>
      </c>
      <c r="K3525">
        <v>2.21</v>
      </c>
      <c r="L3525">
        <v>14.38</v>
      </c>
      <c r="M3525">
        <v>14.95</v>
      </c>
      <c r="N3525">
        <v>14.3</v>
      </c>
      <c r="O3525">
        <v>14.44</v>
      </c>
      <c r="P3525">
        <v>99.96</v>
      </c>
      <c r="Q3525">
        <v>54479960</v>
      </c>
      <c r="R3525">
        <v>1.1</v>
      </c>
      <c r="S3525" t="s">
        <v>104</v>
      </c>
      <c r="T3525" t="s">
        <v>87</v>
      </c>
      <c r="U3525">
        <v>4.5</v>
      </c>
      <c r="V3525">
        <v>14.65</v>
      </c>
      <c r="W3525">
        <v>14258</v>
      </c>
      <c r="X3525">
        <v>22924</v>
      </c>
      <c r="Y3525">
        <v>0.62</v>
      </c>
      <c r="Z3525">
        <v>5</v>
      </c>
      <c r="AA3525">
        <v>35</v>
      </c>
      <c r="AB3525" t="s">
        <v>32</v>
      </c>
      <c r="AC3525">
        <v>1.68</v>
      </c>
    </row>
    <row r="3526" spans="1:29">
      <c r="A3526" t="str">
        <f>"603989"</f>
        <v>603989</v>
      </c>
      <c r="B3526" t="s">
        <v>3696</v>
      </c>
      <c r="C3526">
        <v>4.67</v>
      </c>
      <c r="D3526">
        <v>22.63</v>
      </c>
      <c r="E3526">
        <v>1.01</v>
      </c>
      <c r="F3526">
        <v>22.61</v>
      </c>
      <c r="G3526">
        <v>22.63</v>
      </c>
      <c r="H3526">
        <v>20606</v>
      </c>
      <c r="I3526">
        <v>2</v>
      </c>
      <c r="J3526">
        <v>0.31</v>
      </c>
      <c r="K3526">
        <v>0.53</v>
      </c>
      <c r="L3526">
        <v>21.83</v>
      </c>
      <c r="M3526">
        <v>22.7</v>
      </c>
      <c r="N3526">
        <v>21.53</v>
      </c>
      <c r="O3526">
        <v>21.62</v>
      </c>
      <c r="P3526">
        <v>43.13</v>
      </c>
      <c r="Q3526">
        <v>45623776</v>
      </c>
      <c r="R3526">
        <v>1.79</v>
      </c>
      <c r="S3526" t="s">
        <v>63</v>
      </c>
      <c r="T3526" t="s">
        <v>152</v>
      </c>
      <c r="U3526">
        <v>5.41</v>
      </c>
      <c r="V3526">
        <v>22.14</v>
      </c>
      <c r="W3526">
        <v>8257</v>
      </c>
      <c r="X3526">
        <v>12348</v>
      </c>
      <c r="Y3526">
        <v>0.67</v>
      </c>
      <c r="Z3526">
        <v>4</v>
      </c>
      <c r="AA3526">
        <v>6</v>
      </c>
      <c r="AB3526" t="s">
        <v>32</v>
      </c>
      <c r="AC3526">
        <v>3.9</v>
      </c>
    </row>
    <row r="3527" spans="1:29">
      <c r="A3527" t="str">
        <f>"603990"</f>
        <v>603990</v>
      </c>
      <c r="B3527" t="s">
        <v>3697</v>
      </c>
      <c r="C3527">
        <v>0.81</v>
      </c>
      <c r="D3527">
        <v>33.65</v>
      </c>
      <c r="E3527">
        <v>0.27</v>
      </c>
      <c r="F3527">
        <v>33.42</v>
      </c>
      <c r="G3527">
        <v>33.65</v>
      </c>
      <c r="H3527">
        <v>1743</v>
      </c>
      <c r="I3527">
        <v>10</v>
      </c>
      <c r="J3527">
        <v>0.33</v>
      </c>
      <c r="K3527">
        <v>0.29</v>
      </c>
      <c r="L3527">
        <v>33.5</v>
      </c>
      <c r="M3527">
        <v>33.77</v>
      </c>
      <c r="N3527">
        <v>33.31</v>
      </c>
      <c r="O3527">
        <v>33.38</v>
      </c>
      <c r="P3527" t="s">
        <v>32</v>
      </c>
      <c r="Q3527">
        <v>5847856</v>
      </c>
      <c r="R3527">
        <v>1.82</v>
      </c>
      <c r="S3527" t="s">
        <v>270</v>
      </c>
      <c r="T3527" t="s">
        <v>87</v>
      </c>
      <c r="U3527">
        <v>1.38</v>
      </c>
      <c r="V3527">
        <v>33.55</v>
      </c>
      <c r="W3527">
        <v>1061</v>
      </c>
      <c r="X3527">
        <v>682</v>
      </c>
      <c r="Y3527">
        <v>1.56</v>
      </c>
      <c r="Z3527">
        <v>2</v>
      </c>
      <c r="AA3527">
        <v>44</v>
      </c>
      <c r="AB3527" t="s">
        <v>32</v>
      </c>
      <c r="AC3527">
        <v>0.6</v>
      </c>
    </row>
    <row r="3528" spans="1:29">
      <c r="A3528" t="str">
        <f>"603991"</f>
        <v>603991</v>
      </c>
      <c r="B3528" t="s">
        <v>3698</v>
      </c>
      <c r="C3528">
        <v>1.63</v>
      </c>
      <c r="D3528">
        <v>22.49</v>
      </c>
      <c r="E3528">
        <v>0.36</v>
      </c>
      <c r="F3528">
        <v>22.48</v>
      </c>
      <c r="G3528">
        <v>22.49</v>
      </c>
      <c r="H3528">
        <v>2932</v>
      </c>
      <c r="I3528">
        <v>2</v>
      </c>
      <c r="J3528">
        <v>0.04</v>
      </c>
      <c r="K3528">
        <v>0.71</v>
      </c>
      <c r="L3528">
        <v>22.32</v>
      </c>
      <c r="M3528">
        <v>22.53</v>
      </c>
      <c r="N3528">
        <v>22.1</v>
      </c>
      <c r="O3528">
        <v>22.13</v>
      </c>
      <c r="P3528">
        <v>62.73</v>
      </c>
      <c r="Q3528">
        <v>6564031</v>
      </c>
      <c r="R3528">
        <v>1.36</v>
      </c>
      <c r="S3528" t="s">
        <v>508</v>
      </c>
      <c r="T3528" t="s">
        <v>366</v>
      </c>
      <c r="U3528">
        <v>1.94</v>
      </c>
      <c r="V3528">
        <v>22.39</v>
      </c>
      <c r="W3528">
        <v>1112</v>
      </c>
      <c r="X3528">
        <v>1819</v>
      </c>
      <c r="Y3528">
        <v>0.61</v>
      </c>
      <c r="Z3528">
        <v>17</v>
      </c>
      <c r="AA3528">
        <v>42</v>
      </c>
      <c r="AB3528" t="s">
        <v>32</v>
      </c>
      <c r="AC3528">
        <v>0.41</v>
      </c>
    </row>
    <row r="3529" spans="1:29">
      <c r="A3529" t="str">
        <f>"603993"</f>
        <v>603993</v>
      </c>
      <c r="B3529" t="s">
        <v>3699</v>
      </c>
      <c r="C3529">
        <v>0</v>
      </c>
      <c r="D3529">
        <v>6.17</v>
      </c>
      <c r="E3529">
        <v>0</v>
      </c>
      <c r="F3529">
        <v>6.17</v>
      </c>
      <c r="G3529">
        <v>6.18</v>
      </c>
      <c r="H3529">
        <v>3843728</v>
      </c>
      <c r="I3529">
        <v>181</v>
      </c>
      <c r="J3529">
        <v>0.33</v>
      </c>
      <c r="K3529">
        <v>2.18</v>
      </c>
      <c r="L3529">
        <v>6.1</v>
      </c>
      <c r="M3529">
        <v>6.36</v>
      </c>
      <c r="N3529">
        <v>6.01</v>
      </c>
      <c r="O3529">
        <v>6.17</v>
      </c>
      <c r="P3529">
        <v>21.49</v>
      </c>
      <c r="Q3529">
        <v>2371301376</v>
      </c>
      <c r="R3529">
        <v>3.92</v>
      </c>
      <c r="S3529" t="s">
        <v>356</v>
      </c>
      <c r="T3529" t="s">
        <v>164</v>
      </c>
      <c r="U3529">
        <v>5.67</v>
      </c>
      <c r="V3529">
        <v>6.17</v>
      </c>
      <c r="W3529">
        <v>2008111</v>
      </c>
      <c r="X3529">
        <v>1835616</v>
      </c>
      <c r="Y3529">
        <v>1.09</v>
      </c>
      <c r="Z3529">
        <v>954</v>
      </c>
      <c r="AA3529">
        <v>7184</v>
      </c>
      <c r="AB3529" t="s">
        <v>32</v>
      </c>
      <c r="AC3529">
        <v>176.66</v>
      </c>
    </row>
    <row r="3530" spans="1:29">
      <c r="A3530" t="str">
        <f>"603996"</f>
        <v>603996</v>
      </c>
      <c r="B3530" t="s">
        <v>3700</v>
      </c>
      <c r="C3530">
        <v>3.9</v>
      </c>
      <c r="D3530">
        <v>11.18</v>
      </c>
      <c r="E3530">
        <v>0.42</v>
      </c>
      <c r="F3530">
        <v>11.16</v>
      </c>
      <c r="G3530">
        <v>11.17</v>
      </c>
      <c r="H3530">
        <v>150919</v>
      </c>
      <c r="I3530">
        <v>33</v>
      </c>
      <c r="J3530">
        <v>0.18</v>
      </c>
      <c r="K3530">
        <v>14.61</v>
      </c>
      <c r="L3530">
        <v>10.78</v>
      </c>
      <c r="M3530">
        <v>11.28</v>
      </c>
      <c r="N3530">
        <v>10.65</v>
      </c>
      <c r="O3530">
        <v>10.76</v>
      </c>
      <c r="P3530">
        <v>62.2</v>
      </c>
      <c r="Q3530">
        <v>166480096</v>
      </c>
      <c r="R3530">
        <v>1.53</v>
      </c>
      <c r="S3530" t="s">
        <v>55</v>
      </c>
      <c r="T3530" t="s">
        <v>149</v>
      </c>
      <c r="U3530">
        <v>5.86</v>
      </c>
      <c r="V3530">
        <v>11.03</v>
      </c>
      <c r="W3530">
        <v>67791</v>
      </c>
      <c r="X3530">
        <v>83127</v>
      </c>
      <c r="Y3530">
        <v>0.82</v>
      </c>
      <c r="Z3530">
        <v>69</v>
      </c>
      <c r="AA3530">
        <v>1250</v>
      </c>
      <c r="AB3530" t="s">
        <v>32</v>
      </c>
      <c r="AC3530">
        <v>1.03</v>
      </c>
    </row>
    <row r="3531" spans="1:29">
      <c r="A3531" t="str">
        <f>"603997"</f>
        <v>603997</v>
      </c>
      <c r="B3531" t="s">
        <v>3701</v>
      </c>
      <c r="C3531">
        <v>0</v>
      </c>
      <c r="D3531">
        <v>10.87</v>
      </c>
      <c r="E3531">
        <v>0</v>
      </c>
      <c r="F3531" t="s">
        <v>32</v>
      </c>
      <c r="G3531" t="s">
        <v>32</v>
      </c>
      <c r="H3531">
        <v>0</v>
      </c>
      <c r="I3531">
        <v>0</v>
      </c>
      <c r="J3531">
        <v>0</v>
      </c>
      <c r="K3531">
        <v>0</v>
      </c>
      <c r="L3531" t="s">
        <v>32</v>
      </c>
      <c r="M3531" t="s">
        <v>32</v>
      </c>
      <c r="N3531" t="s">
        <v>32</v>
      </c>
      <c r="O3531">
        <v>10.87</v>
      </c>
      <c r="P3531">
        <v>22.12</v>
      </c>
      <c r="Q3531">
        <v>0</v>
      </c>
      <c r="R3531">
        <v>0</v>
      </c>
      <c r="S3531" t="s">
        <v>80</v>
      </c>
      <c r="T3531" t="s">
        <v>149</v>
      </c>
      <c r="U3531">
        <v>0</v>
      </c>
      <c r="V3531">
        <v>10.87</v>
      </c>
      <c r="W3531">
        <v>0</v>
      </c>
      <c r="X3531">
        <v>0</v>
      </c>
      <c r="Y3531" t="s">
        <v>32</v>
      </c>
      <c r="Z3531">
        <v>0</v>
      </c>
      <c r="AA3531">
        <v>0</v>
      </c>
      <c r="AB3531" t="s">
        <v>32</v>
      </c>
      <c r="AC3531">
        <v>6.3</v>
      </c>
    </row>
    <row r="3532" spans="1:29">
      <c r="A3532" t="str">
        <f>"603998"</f>
        <v>603998</v>
      </c>
      <c r="B3532" t="s">
        <v>3702</v>
      </c>
      <c r="C3532">
        <v>3.03</v>
      </c>
      <c r="D3532">
        <v>7.83</v>
      </c>
      <c r="E3532">
        <v>0.23</v>
      </c>
      <c r="F3532">
        <v>7.82</v>
      </c>
      <c r="G3532">
        <v>7.83</v>
      </c>
      <c r="H3532">
        <v>29833</v>
      </c>
      <c r="I3532">
        <v>2</v>
      </c>
      <c r="J3532">
        <v>0.38</v>
      </c>
      <c r="K3532">
        <v>0.7</v>
      </c>
      <c r="L3532">
        <v>7.6</v>
      </c>
      <c r="M3532">
        <v>7.89</v>
      </c>
      <c r="N3532">
        <v>7.58</v>
      </c>
      <c r="O3532">
        <v>7.6</v>
      </c>
      <c r="P3532">
        <v>36.1</v>
      </c>
      <c r="Q3532">
        <v>23222236</v>
      </c>
      <c r="R3532">
        <v>0.93</v>
      </c>
      <c r="S3532" t="s">
        <v>195</v>
      </c>
      <c r="T3532" t="s">
        <v>152</v>
      </c>
      <c r="U3532">
        <v>4.08</v>
      </c>
      <c r="V3532">
        <v>7.78</v>
      </c>
      <c r="W3532">
        <v>14021</v>
      </c>
      <c r="X3532">
        <v>15812</v>
      </c>
      <c r="Y3532">
        <v>0.89</v>
      </c>
      <c r="Z3532">
        <v>78</v>
      </c>
      <c r="AA3532">
        <v>5</v>
      </c>
      <c r="AB3532" t="s">
        <v>32</v>
      </c>
      <c r="AC3532">
        <v>4.25</v>
      </c>
    </row>
    <row r="3533" spans="1:29">
      <c r="A3533" t="str">
        <f>"603999"</f>
        <v>603999</v>
      </c>
      <c r="B3533" t="s">
        <v>3703</v>
      </c>
      <c r="C3533">
        <v>2.26</v>
      </c>
      <c r="D3533">
        <v>5.88</v>
      </c>
      <c r="E3533">
        <v>0.13</v>
      </c>
      <c r="F3533">
        <v>5.87</v>
      </c>
      <c r="G3533">
        <v>5.88</v>
      </c>
      <c r="H3533">
        <v>42248</v>
      </c>
      <c r="I3533">
        <v>5</v>
      </c>
      <c r="J3533">
        <v>0.17</v>
      </c>
      <c r="K3533">
        <v>1.83</v>
      </c>
      <c r="L3533">
        <v>5.78</v>
      </c>
      <c r="M3533">
        <v>5.9</v>
      </c>
      <c r="N3533">
        <v>5.73</v>
      </c>
      <c r="O3533">
        <v>5.75</v>
      </c>
      <c r="P3533">
        <v>204.66</v>
      </c>
      <c r="Q3533">
        <v>24640400</v>
      </c>
      <c r="R3533">
        <v>1.03</v>
      </c>
      <c r="S3533" t="s">
        <v>211</v>
      </c>
      <c r="T3533" t="s">
        <v>266</v>
      </c>
      <c r="U3533">
        <v>2.96</v>
      </c>
      <c r="V3533">
        <v>5.83</v>
      </c>
      <c r="W3533">
        <v>20511</v>
      </c>
      <c r="X3533">
        <v>21736</v>
      </c>
      <c r="Y3533">
        <v>0.94</v>
      </c>
      <c r="Z3533">
        <v>175</v>
      </c>
      <c r="AA3533">
        <v>95</v>
      </c>
      <c r="AB3533" t="s">
        <v>32</v>
      </c>
      <c r="AC3533">
        <v>2.3</v>
      </c>
    </row>
    <row r="3534" spans="1:29">
      <c r="A3534" t="str">
        <f>"600401"</f>
        <v>600401</v>
      </c>
      <c r="B3534" t="s">
        <v>3704</v>
      </c>
      <c r="C3534" t="s">
        <v>32</v>
      </c>
      <c r="D3534">
        <v>0</v>
      </c>
      <c r="E3534" t="s">
        <v>32</v>
      </c>
      <c r="F3534" t="s">
        <v>32</v>
      </c>
      <c r="G3534" t="s">
        <v>32</v>
      </c>
      <c r="H3534">
        <v>0</v>
      </c>
      <c r="I3534">
        <v>0</v>
      </c>
      <c r="J3534" t="s">
        <v>32</v>
      </c>
      <c r="K3534">
        <v>0</v>
      </c>
      <c r="L3534" t="s">
        <v>32</v>
      </c>
      <c r="M3534" t="s">
        <v>32</v>
      </c>
      <c r="N3534" t="s">
        <v>32</v>
      </c>
      <c r="O3534" t="s">
        <v>32</v>
      </c>
      <c r="P3534" t="s">
        <v>32</v>
      </c>
      <c r="Q3534">
        <v>0</v>
      </c>
      <c r="R3534">
        <v>0</v>
      </c>
      <c r="S3534" t="s">
        <v>699</v>
      </c>
      <c r="T3534" t="s">
        <v>87</v>
      </c>
      <c r="U3534" t="s">
        <v>32</v>
      </c>
      <c r="V3534">
        <v>0</v>
      </c>
      <c r="W3534">
        <v>0</v>
      </c>
      <c r="X3534">
        <v>0</v>
      </c>
      <c r="Y3534" t="s">
        <v>32</v>
      </c>
      <c r="Z3534">
        <v>0</v>
      </c>
      <c r="AA3534">
        <v>0</v>
      </c>
      <c r="AB3534" t="s">
        <v>32</v>
      </c>
      <c r="AC3534">
        <v>47.25</v>
      </c>
    </row>
    <row r="3535" spans="1:29">
      <c r="A3535" t="str">
        <f>"600680"</f>
        <v>600680</v>
      </c>
      <c r="B3535" t="s">
        <v>3705</v>
      </c>
      <c r="C3535" t="s">
        <v>32</v>
      </c>
      <c r="D3535">
        <v>0</v>
      </c>
      <c r="E3535" t="s">
        <v>32</v>
      </c>
      <c r="F3535" t="s">
        <v>32</v>
      </c>
      <c r="G3535" t="s">
        <v>32</v>
      </c>
      <c r="H3535">
        <v>0</v>
      </c>
      <c r="I3535">
        <v>0</v>
      </c>
      <c r="J3535" t="s">
        <v>32</v>
      </c>
      <c r="K3535">
        <v>0</v>
      </c>
      <c r="L3535" t="s">
        <v>32</v>
      </c>
      <c r="M3535" t="s">
        <v>32</v>
      </c>
      <c r="N3535" t="s">
        <v>32</v>
      </c>
      <c r="O3535" t="s">
        <v>32</v>
      </c>
      <c r="P3535" t="s">
        <v>32</v>
      </c>
      <c r="Q3535">
        <v>0</v>
      </c>
      <c r="R3535">
        <v>0</v>
      </c>
      <c r="S3535" t="s">
        <v>119</v>
      </c>
      <c r="T3535" t="s">
        <v>366</v>
      </c>
      <c r="U3535" t="s">
        <v>32</v>
      </c>
      <c r="V3535">
        <v>0</v>
      </c>
      <c r="W3535">
        <v>0</v>
      </c>
      <c r="X3535">
        <v>0</v>
      </c>
      <c r="Y3535" t="s">
        <v>32</v>
      </c>
      <c r="Z3535">
        <v>0</v>
      </c>
      <c r="AA3535">
        <v>0</v>
      </c>
      <c r="AB3535" t="s">
        <v>32</v>
      </c>
      <c r="AC3535">
        <v>2.57</v>
      </c>
    </row>
    <row r="3536" spans="1:29">
      <c r="A3536" t="str">
        <f>"601068"</f>
        <v>601068</v>
      </c>
      <c r="B3536" t="s">
        <v>3706</v>
      </c>
      <c r="C3536" t="s">
        <v>32</v>
      </c>
      <c r="D3536">
        <v>0</v>
      </c>
      <c r="E3536" t="s">
        <v>32</v>
      </c>
      <c r="F3536" t="s">
        <v>32</v>
      </c>
      <c r="G3536" t="s">
        <v>32</v>
      </c>
      <c r="H3536">
        <v>0</v>
      </c>
      <c r="I3536">
        <v>0</v>
      </c>
      <c r="J3536" t="s">
        <v>32</v>
      </c>
      <c r="K3536" t="s">
        <v>32</v>
      </c>
      <c r="L3536" t="s">
        <v>32</v>
      </c>
      <c r="M3536" t="s">
        <v>32</v>
      </c>
      <c r="N3536" t="s">
        <v>32</v>
      </c>
      <c r="O3536" t="s">
        <v>32</v>
      </c>
      <c r="P3536" t="s">
        <v>32</v>
      </c>
      <c r="Q3536">
        <v>0</v>
      </c>
      <c r="R3536" t="s">
        <v>32</v>
      </c>
      <c r="S3536" t="s">
        <v>49</v>
      </c>
      <c r="T3536" t="s">
        <v>45</v>
      </c>
      <c r="U3536" t="s">
        <v>32</v>
      </c>
      <c r="V3536">
        <v>0</v>
      </c>
      <c r="W3536">
        <v>0</v>
      </c>
      <c r="X3536">
        <v>0</v>
      </c>
      <c r="Y3536" t="s">
        <v>32</v>
      </c>
      <c r="Z3536">
        <v>0</v>
      </c>
      <c r="AA3536">
        <v>0</v>
      </c>
      <c r="AB3536" t="s">
        <v>32</v>
      </c>
      <c r="AC3536" t="s">
        <v>32</v>
      </c>
    </row>
    <row r="3537" spans="1:29">
      <c r="A3537" t="str">
        <f>"601606"</f>
        <v>601606</v>
      </c>
      <c r="B3537" t="s">
        <v>3707</v>
      </c>
      <c r="C3537" t="s">
        <v>32</v>
      </c>
      <c r="D3537">
        <v>0</v>
      </c>
      <c r="E3537" t="s">
        <v>32</v>
      </c>
      <c r="F3537" t="s">
        <v>32</v>
      </c>
      <c r="G3537" t="s">
        <v>32</v>
      </c>
      <c r="H3537">
        <v>0</v>
      </c>
      <c r="I3537">
        <v>0</v>
      </c>
      <c r="J3537" t="s">
        <v>32</v>
      </c>
      <c r="K3537" t="s">
        <v>32</v>
      </c>
      <c r="L3537" t="s">
        <v>32</v>
      </c>
      <c r="M3537" t="s">
        <v>32</v>
      </c>
      <c r="N3537" t="s">
        <v>32</v>
      </c>
      <c r="O3537" t="s">
        <v>32</v>
      </c>
      <c r="P3537" t="s">
        <v>32</v>
      </c>
      <c r="Q3537">
        <v>0</v>
      </c>
      <c r="R3537" t="s">
        <v>32</v>
      </c>
      <c r="S3537" t="s">
        <v>171</v>
      </c>
      <c r="T3537" t="s">
        <v>143</v>
      </c>
      <c r="U3537" t="s">
        <v>32</v>
      </c>
      <c r="V3537">
        <v>0</v>
      </c>
      <c r="W3537">
        <v>0</v>
      </c>
      <c r="X3537">
        <v>0</v>
      </c>
      <c r="Y3537" t="s">
        <v>32</v>
      </c>
      <c r="Z3537">
        <v>0</v>
      </c>
      <c r="AA3537">
        <v>0</v>
      </c>
      <c r="AB3537" t="s">
        <v>32</v>
      </c>
      <c r="AC3537" t="s">
        <v>32</v>
      </c>
    </row>
    <row r="3538" spans="1:29">
      <c r="A3538" t="str">
        <f>"603192"</f>
        <v>603192</v>
      </c>
      <c r="B3538" t="s">
        <v>3708</v>
      </c>
      <c r="C3538" t="s">
        <v>32</v>
      </c>
      <c r="D3538">
        <v>0</v>
      </c>
      <c r="E3538" t="s">
        <v>32</v>
      </c>
      <c r="F3538" t="s">
        <v>32</v>
      </c>
      <c r="G3538" t="s">
        <v>32</v>
      </c>
      <c r="H3538">
        <v>0</v>
      </c>
      <c r="I3538">
        <v>0</v>
      </c>
      <c r="J3538" t="s">
        <v>32</v>
      </c>
      <c r="K3538" t="s">
        <v>32</v>
      </c>
      <c r="L3538" t="s">
        <v>32</v>
      </c>
      <c r="M3538" t="s">
        <v>32</v>
      </c>
      <c r="N3538" t="s">
        <v>32</v>
      </c>
      <c r="O3538" t="s">
        <v>32</v>
      </c>
      <c r="P3538" t="s">
        <v>32</v>
      </c>
      <c r="Q3538">
        <v>0</v>
      </c>
      <c r="R3538" t="s">
        <v>32</v>
      </c>
      <c r="S3538" t="s">
        <v>218</v>
      </c>
      <c r="T3538" t="s">
        <v>366</v>
      </c>
      <c r="U3538" t="s">
        <v>32</v>
      </c>
      <c r="V3538">
        <v>0</v>
      </c>
      <c r="W3538">
        <v>0</v>
      </c>
      <c r="X3538">
        <v>0</v>
      </c>
      <c r="Y3538" t="s">
        <v>32</v>
      </c>
      <c r="Z3538">
        <v>0</v>
      </c>
      <c r="AA3538">
        <v>0</v>
      </c>
      <c r="AB3538" t="s">
        <v>32</v>
      </c>
      <c r="AC3538" t="s">
        <v>32</v>
      </c>
    </row>
    <row r="3539" spans="1:29">
      <c r="A3539" t="str">
        <f>"603657"</f>
        <v>603657</v>
      </c>
      <c r="B3539" t="s">
        <v>3709</v>
      </c>
      <c r="C3539" t="s">
        <v>32</v>
      </c>
      <c r="D3539">
        <v>0</v>
      </c>
      <c r="E3539" t="s">
        <v>32</v>
      </c>
      <c r="F3539" t="s">
        <v>32</v>
      </c>
      <c r="G3539" t="s">
        <v>32</v>
      </c>
      <c r="H3539">
        <v>0</v>
      </c>
      <c r="I3539">
        <v>0</v>
      </c>
      <c r="J3539" t="s">
        <v>32</v>
      </c>
      <c r="K3539" t="s">
        <v>32</v>
      </c>
      <c r="L3539" t="s">
        <v>32</v>
      </c>
      <c r="M3539" t="s">
        <v>32</v>
      </c>
      <c r="N3539" t="s">
        <v>32</v>
      </c>
      <c r="O3539" t="s">
        <v>32</v>
      </c>
      <c r="P3539" t="s">
        <v>32</v>
      </c>
      <c r="Q3539">
        <v>0</v>
      </c>
      <c r="R3539" t="s">
        <v>32</v>
      </c>
      <c r="S3539" t="s">
        <v>508</v>
      </c>
      <c r="T3539" t="s">
        <v>149</v>
      </c>
      <c r="U3539" t="s">
        <v>32</v>
      </c>
      <c r="V3539">
        <v>0</v>
      </c>
      <c r="W3539">
        <v>0</v>
      </c>
      <c r="X3539">
        <v>0</v>
      </c>
      <c r="Y3539" t="s">
        <v>32</v>
      </c>
      <c r="Z3539">
        <v>0</v>
      </c>
      <c r="AA3539">
        <v>0</v>
      </c>
      <c r="AB3539" t="s">
        <v>32</v>
      </c>
      <c r="AC3539" t="s">
        <v>32</v>
      </c>
    </row>
    <row r="3540" spans="1:1">
      <c r="A3540" t="s">
        <v>3710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沪深Ａ股20180724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pc</cp:lastModifiedBy>
  <dcterms:created xsi:type="dcterms:W3CDTF">2018-07-24T07:27:05Z</dcterms:created>
  <dcterms:modified xsi:type="dcterms:W3CDTF">2018-07-24T07:27:27Z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